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aster1-SGB1\Docs Electrical Power Engineering\Matlab\Final Work\"/>
    </mc:Choice>
  </mc:AlternateContent>
  <xr:revisionPtr revIDLastSave="0" documentId="13_ncr:1_{E300078B-00D2-44C6-A860-F8322AD14802}" xr6:coauthVersionLast="47" xr6:coauthVersionMax="47" xr10:uidLastSave="{00000000-0000-0000-0000-000000000000}"/>
  <bookViews>
    <workbookView xWindow="-120" yWindow="-120" windowWidth="29040" windowHeight="15720" xr2:uid="{DF08BEF3-2E08-4AA9-84A1-09AAD70D9BB5}"/>
  </bookViews>
  <sheets>
    <sheet name="Sheet1" sheetId="1" r:id="rId1"/>
    <sheet name="Load Estimation" sheetId="6" r:id="rId2"/>
    <sheet name="Feeder01" sheetId="7" r:id="rId3"/>
  </sheets>
  <definedNames>
    <definedName name="_xlnm.Print_Area" localSheetId="1">'Load Estimation'!$A$1:$M$54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2" i="1" l="1"/>
  <c r="G143" i="1"/>
  <c r="G141" i="1"/>
  <c r="G140" i="1"/>
  <c r="S136" i="1"/>
  <c r="S131" i="1"/>
  <c r="S132" i="1"/>
  <c r="P121" i="1"/>
  <c r="O2" i="1"/>
  <c r="J3" i="1" l="1"/>
  <c r="H130" i="1"/>
  <c r="G130" i="1" s="1"/>
  <c r="H3" i="1"/>
  <c r="G3" i="1" s="1"/>
  <c r="H4" i="1"/>
  <c r="G4" i="1" s="1"/>
  <c r="H5" i="1"/>
  <c r="G5" i="1" s="1"/>
  <c r="H6" i="1"/>
  <c r="G6" i="1" s="1"/>
  <c r="H7" i="1"/>
  <c r="G7" i="1" s="1"/>
  <c r="H8" i="1"/>
  <c r="G8" i="1" s="1"/>
  <c r="H9" i="1"/>
  <c r="G9" i="1" s="1"/>
  <c r="H10" i="1"/>
  <c r="G10" i="1" s="1"/>
  <c r="H11" i="1"/>
  <c r="G11" i="1" s="1"/>
  <c r="H12" i="1"/>
  <c r="G12" i="1" s="1"/>
  <c r="H13" i="1"/>
  <c r="G13" i="1" s="1"/>
  <c r="H14" i="1"/>
  <c r="G14" i="1" s="1"/>
  <c r="H15" i="1"/>
  <c r="G15" i="1" s="1"/>
  <c r="H16" i="1"/>
  <c r="G16" i="1" s="1"/>
  <c r="H17" i="1"/>
  <c r="G17" i="1" s="1"/>
  <c r="H18" i="1"/>
  <c r="G18" i="1" s="1"/>
  <c r="H19" i="1"/>
  <c r="G19" i="1" s="1"/>
  <c r="H20" i="1"/>
  <c r="G20" i="1" s="1"/>
  <c r="H21" i="1"/>
  <c r="G21" i="1" s="1"/>
  <c r="H22" i="1"/>
  <c r="G22" i="1" s="1"/>
  <c r="H23" i="1"/>
  <c r="G23" i="1" s="1"/>
  <c r="H24" i="1"/>
  <c r="G24" i="1" s="1"/>
  <c r="H25" i="1"/>
  <c r="G25" i="1" s="1"/>
  <c r="H26" i="1"/>
  <c r="G26" i="1" s="1"/>
  <c r="H27" i="1"/>
  <c r="H28" i="1"/>
  <c r="G28" i="1" s="1"/>
  <c r="H29" i="1"/>
  <c r="G29" i="1" s="1"/>
  <c r="H30" i="1"/>
  <c r="G30" i="1" s="1"/>
  <c r="H31" i="1"/>
  <c r="G31" i="1" s="1"/>
  <c r="H32" i="1"/>
  <c r="G32" i="1" s="1"/>
  <c r="H33" i="1"/>
  <c r="G33" i="1" s="1"/>
  <c r="H34" i="1"/>
  <c r="G34" i="1" s="1"/>
  <c r="H35" i="1"/>
  <c r="G35" i="1" s="1"/>
  <c r="H36" i="1"/>
  <c r="G36" i="1" s="1"/>
  <c r="H37" i="1"/>
  <c r="G37" i="1" s="1"/>
  <c r="H38" i="1"/>
  <c r="G38" i="1" s="1"/>
  <c r="H39" i="1"/>
  <c r="G39" i="1" s="1"/>
  <c r="H40" i="1"/>
  <c r="G40" i="1" s="1"/>
  <c r="H41" i="1"/>
  <c r="G41" i="1" s="1"/>
  <c r="H42" i="1"/>
  <c r="G42" i="1" s="1"/>
  <c r="H43" i="1"/>
  <c r="G43" i="1" s="1"/>
  <c r="H44" i="1"/>
  <c r="G44" i="1" s="1"/>
  <c r="H45" i="1"/>
  <c r="G45" i="1" s="1"/>
  <c r="H46" i="1"/>
  <c r="G46" i="1" s="1"/>
  <c r="H47" i="1"/>
  <c r="G47" i="1" s="1"/>
  <c r="H48" i="1"/>
  <c r="G48" i="1" s="1"/>
  <c r="H49" i="1"/>
  <c r="G49" i="1" s="1"/>
  <c r="H50" i="1"/>
  <c r="G50" i="1" s="1"/>
  <c r="H51" i="1"/>
  <c r="G51" i="1" s="1"/>
  <c r="H52" i="1"/>
  <c r="G52" i="1" s="1"/>
  <c r="H53" i="1"/>
  <c r="G53" i="1" s="1"/>
  <c r="H54" i="1"/>
  <c r="G54" i="1" s="1"/>
  <c r="H55" i="1"/>
  <c r="G55" i="1" s="1"/>
  <c r="H56" i="1"/>
  <c r="G56" i="1" s="1"/>
  <c r="H57" i="1"/>
  <c r="G57" i="1" s="1"/>
  <c r="H58" i="1"/>
  <c r="G58" i="1" s="1"/>
  <c r="H59" i="1"/>
  <c r="G59" i="1" s="1"/>
  <c r="H60" i="1"/>
  <c r="G60" i="1" s="1"/>
  <c r="H61" i="1"/>
  <c r="G61" i="1" s="1"/>
  <c r="H62" i="1"/>
  <c r="G62" i="1" s="1"/>
  <c r="H63" i="1"/>
  <c r="G63" i="1" s="1"/>
  <c r="H64" i="1"/>
  <c r="G64" i="1" s="1"/>
  <c r="H65" i="1"/>
  <c r="G65" i="1" s="1"/>
  <c r="H66" i="1"/>
  <c r="G66" i="1" s="1"/>
  <c r="H67" i="1"/>
  <c r="G67" i="1" s="1"/>
  <c r="H68" i="1"/>
  <c r="G68" i="1" s="1"/>
  <c r="H69" i="1"/>
  <c r="G69" i="1" s="1"/>
  <c r="H70" i="1"/>
  <c r="G70" i="1" s="1"/>
  <c r="H71" i="1"/>
  <c r="G71" i="1" s="1"/>
  <c r="H72" i="1"/>
  <c r="G72" i="1" s="1"/>
  <c r="H73" i="1"/>
  <c r="G73" i="1" s="1"/>
  <c r="H74" i="1"/>
  <c r="G74" i="1" s="1"/>
  <c r="H75" i="1"/>
  <c r="H76" i="1"/>
  <c r="H77" i="1"/>
  <c r="H78" i="1"/>
  <c r="H79" i="1"/>
  <c r="G79" i="1" s="1"/>
  <c r="H80" i="1"/>
  <c r="G80" i="1" s="1"/>
  <c r="H81" i="1"/>
  <c r="G81" i="1" s="1"/>
  <c r="H82" i="1"/>
  <c r="G82" i="1" s="1"/>
  <c r="H83" i="1"/>
  <c r="G83" i="1" s="1"/>
  <c r="H84" i="1"/>
  <c r="G84" i="1" s="1"/>
  <c r="H85" i="1"/>
  <c r="G85" i="1" s="1"/>
  <c r="H86" i="1"/>
  <c r="G86" i="1" s="1"/>
  <c r="H87" i="1"/>
  <c r="G87" i="1" s="1"/>
  <c r="H88" i="1"/>
  <c r="G88" i="1" s="1"/>
  <c r="H89" i="1"/>
  <c r="G89" i="1" s="1"/>
  <c r="H90" i="1"/>
  <c r="G90" i="1" s="1"/>
  <c r="H91" i="1"/>
  <c r="G91" i="1" s="1"/>
  <c r="H92" i="1"/>
  <c r="G92" i="1" s="1"/>
  <c r="H93" i="1"/>
  <c r="G93" i="1" s="1"/>
  <c r="H94" i="1"/>
  <c r="G94" i="1" s="1"/>
  <c r="H95" i="1"/>
  <c r="G95" i="1" s="1"/>
  <c r="H96" i="1"/>
  <c r="G96" i="1" s="1"/>
  <c r="H97" i="1"/>
  <c r="G97" i="1" s="1"/>
  <c r="H98" i="1"/>
  <c r="G98" i="1" s="1"/>
  <c r="H99" i="1"/>
  <c r="G99" i="1" s="1"/>
  <c r="H100" i="1"/>
  <c r="G100" i="1" s="1"/>
  <c r="H101" i="1"/>
  <c r="G101" i="1" s="1"/>
  <c r="H102" i="1"/>
  <c r="G102" i="1" s="1"/>
  <c r="H103" i="1"/>
  <c r="G103" i="1" s="1"/>
  <c r="H104" i="1"/>
  <c r="G104" i="1" s="1"/>
  <c r="H105" i="1"/>
  <c r="G105" i="1" s="1"/>
  <c r="H106" i="1"/>
  <c r="G106" i="1" s="1"/>
  <c r="H107" i="1"/>
  <c r="G107" i="1" s="1"/>
  <c r="H108" i="1"/>
  <c r="G108" i="1" s="1"/>
  <c r="H109" i="1"/>
  <c r="G109" i="1" s="1"/>
  <c r="H110" i="1"/>
  <c r="G110" i="1" s="1"/>
  <c r="H111" i="1"/>
  <c r="G111" i="1" s="1"/>
  <c r="H112" i="1"/>
  <c r="G112" i="1" s="1"/>
  <c r="H113" i="1"/>
  <c r="G113" i="1" s="1"/>
  <c r="H114" i="1"/>
  <c r="G114" i="1" s="1"/>
  <c r="H115" i="1"/>
  <c r="G115" i="1" s="1"/>
  <c r="H116" i="1"/>
  <c r="G116" i="1" s="1"/>
  <c r="H117" i="1"/>
  <c r="G117" i="1" s="1"/>
  <c r="H118" i="1"/>
  <c r="G118" i="1" s="1"/>
  <c r="H119" i="1"/>
  <c r="G119" i="1" s="1"/>
  <c r="H120" i="1"/>
  <c r="G120" i="1" s="1"/>
  <c r="H121" i="1"/>
  <c r="G121" i="1" s="1"/>
  <c r="H122" i="1"/>
  <c r="G122" i="1" s="1"/>
  <c r="H123" i="1"/>
  <c r="G123" i="1" s="1"/>
  <c r="H124" i="1"/>
  <c r="G124" i="1" s="1"/>
  <c r="H125" i="1"/>
  <c r="G125" i="1" s="1"/>
  <c r="H126" i="1"/>
  <c r="G126" i="1" s="1"/>
  <c r="H127" i="1"/>
  <c r="G127" i="1" s="1"/>
  <c r="H128" i="1"/>
  <c r="G128" i="1" s="1"/>
  <c r="H129" i="1"/>
  <c r="G129" i="1" s="1"/>
  <c r="G27" i="1"/>
  <c r="G75" i="1"/>
  <c r="G76" i="1"/>
  <c r="G77" i="1"/>
  <c r="G78" i="1"/>
  <c r="H2" i="1"/>
  <c r="G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2" i="1"/>
  <c r="P123" i="1"/>
  <c r="P124" i="1"/>
  <c r="P125" i="1"/>
  <c r="P126" i="1"/>
  <c r="P127" i="1"/>
  <c r="P128" i="1"/>
  <c r="P129" i="1"/>
  <c r="P13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Q2" i="1"/>
  <c r="P2" i="1"/>
  <c r="J15" i="1"/>
  <c r="E14" i="7"/>
  <c r="E13" i="7"/>
  <c r="F12" i="7"/>
  <c r="E12" i="7"/>
  <c r="F11" i="7"/>
  <c r="E11" i="7"/>
  <c r="L49" i="6"/>
  <c r="O131" i="1" l="1"/>
  <c r="O137" i="1" s="1"/>
  <c r="Q131" i="1"/>
  <c r="Q137" i="1" s="1"/>
  <c r="P131" i="1"/>
  <c r="P137" i="1" s="1"/>
  <c r="T14" i="6"/>
  <c r="U14" i="6"/>
  <c r="V14" i="6"/>
  <c r="W14" i="6"/>
  <c r="X14" i="6"/>
  <c r="Y14" i="6"/>
  <c r="I15" i="6"/>
  <c r="M15" i="6"/>
  <c r="I16" i="6"/>
  <c r="M16" i="6"/>
  <c r="T18" i="6"/>
  <c r="U18" i="6"/>
  <c r="V18" i="6"/>
  <c r="W18" i="6"/>
  <c r="X18" i="6"/>
  <c r="Y18" i="6"/>
  <c r="I19" i="6"/>
  <c r="J18" i="6" s="1"/>
  <c r="L18" i="6" s="1"/>
  <c r="M18" i="6" s="1"/>
  <c r="M19" i="6"/>
  <c r="J35" i="6"/>
  <c r="T38" i="6"/>
  <c r="U38" i="6"/>
  <c r="V38" i="6"/>
  <c r="W38" i="6"/>
  <c r="X38" i="6"/>
  <c r="Y38" i="6"/>
  <c r="I39" i="6"/>
  <c r="J38" i="6" s="1"/>
  <c r="T41" i="6"/>
  <c r="U41" i="6"/>
  <c r="V41" i="6"/>
  <c r="W41" i="6"/>
  <c r="X41" i="6"/>
  <c r="Y41" i="6"/>
  <c r="I42" i="6"/>
  <c r="J41" i="6" s="1"/>
  <c r="I31" i="6"/>
  <c r="J30" i="6" s="1"/>
  <c r="T30" i="6"/>
  <c r="U30" i="6"/>
  <c r="V30" i="6"/>
  <c r="W30" i="6"/>
  <c r="X30" i="6"/>
  <c r="Y30" i="6"/>
  <c r="T10" i="6"/>
  <c r="U10" i="6"/>
  <c r="V10" i="6"/>
  <c r="W10" i="6"/>
  <c r="X10" i="6"/>
  <c r="Y10" i="6"/>
  <c r="I11" i="6"/>
  <c r="M11" i="6"/>
  <c r="I12" i="6"/>
  <c r="M12" i="6"/>
  <c r="I36" i="6"/>
  <c r="Y35" i="6"/>
  <c r="X35" i="6"/>
  <c r="W35" i="6"/>
  <c r="V35" i="6"/>
  <c r="U35" i="6"/>
  <c r="T35" i="6"/>
  <c r="I28" i="6"/>
  <c r="J27" i="6" s="1"/>
  <c r="Y27" i="6"/>
  <c r="X27" i="6"/>
  <c r="W27" i="6"/>
  <c r="V27" i="6"/>
  <c r="U27" i="6"/>
  <c r="T27" i="6"/>
  <c r="I25" i="6"/>
  <c r="I24" i="6"/>
  <c r="J23" i="6" s="1"/>
  <c r="Y23" i="6"/>
  <c r="X23" i="6"/>
  <c r="W23" i="6"/>
  <c r="V23" i="6"/>
  <c r="U23" i="6"/>
  <c r="T23" i="6"/>
  <c r="M8" i="6"/>
  <c r="C2" i="6"/>
  <c r="O134" i="1" l="1"/>
  <c r="J14" i="6"/>
  <c r="L14" i="6" s="1"/>
  <c r="M14" i="6" s="1"/>
  <c r="S18" i="6"/>
  <c r="P18" i="6" s="1"/>
  <c r="R18" i="6"/>
  <c r="O18" i="6" s="1"/>
  <c r="AA18" i="6"/>
  <c r="Q18" i="6"/>
  <c r="N18" i="6" s="1"/>
  <c r="Z18" i="6" s="1"/>
  <c r="L38" i="6"/>
  <c r="M38" i="6" s="1"/>
  <c r="AA38" i="6"/>
  <c r="AA41" i="6"/>
  <c r="L41" i="6"/>
  <c r="L35" i="6"/>
  <c r="Q35" i="6" s="1"/>
  <c r="N35" i="6" s="1"/>
  <c r="L30" i="6"/>
  <c r="Q30" i="6" s="1"/>
  <c r="N30" i="6" s="1"/>
  <c r="AA30" i="6"/>
  <c r="J10" i="6"/>
  <c r="L10" i="6" s="1"/>
  <c r="AA10" i="6" s="1"/>
  <c r="L23" i="6"/>
  <c r="R23" i="6" s="1"/>
  <c r="O23" i="6" s="1"/>
  <c r="AA27" i="6"/>
  <c r="L27" i="6"/>
  <c r="S137" i="1" l="1"/>
  <c r="R30" i="6"/>
  <c r="O30" i="6" s="1"/>
  <c r="Z30" i="6" s="1"/>
  <c r="AA14" i="6"/>
  <c r="S14" i="6"/>
  <c r="P14" i="6" s="1"/>
  <c r="R14" i="6"/>
  <c r="O14" i="6" s="1"/>
  <c r="Q14" i="6"/>
  <c r="N14" i="6" s="1"/>
  <c r="S30" i="6"/>
  <c r="P30" i="6" s="1"/>
  <c r="M30" i="6"/>
  <c r="S35" i="6"/>
  <c r="P35" i="6" s="1"/>
  <c r="R35" i="6"/>
  <c r="O35" i="6" s="1"/>
  <c r="Z35" i="6" s="1"/>
  <c r="AA35" i="6"/>
  <c r="M35" i="6"/>
  <c r="Q38" i="6"/>
  <c r="N38" i="6" s="1"/>
  <c r="R38" i="6"/>
  <c r="O38" i="6" s="1"/>
  <c r="S38" i="6"/>
  <c r="P38" i="6" s="1"/>
  <c r="Q41" i="6"/>
  <c r="N41" i="6" s="1"/>
  <c r="R41" i="6"/>
  <c r="O41" i="6" s="1"/>
  <c r="S41" i="6"/>
  <c r="P41" i="6" s="1"/>
  <c r="M41" i="6"/>
  <c r="R10" i="6"/>
  <c r="O10" i="6" s="1"/>
  <c r="M10" i="6"/>
  <c r="S10" i="6"/>
  <c r="P10" i="6" s="1"/>
  <c r="Q10" i="6"/>
  <c r="N10" i="6" s="1"/>
  <c r="S23" i="6"/>
  <c r="P23" i="6" s="1"/>
  <c r="M23" i="6"/>
  <c r="Q23" i="6"/>
  <c r="N23" i="6" s="1"/>
  <c r="AA23" i="6"/>
  <c r="Q27" i="6"/>
  <c r="N27" i="6" s="1"/>
  <c r="S27" i="6"/>
  <c r="P27" i="6" s="1"/>
  <c r="R27" i="6"/>
  <c r="O27" i="6" s="1"/>
  <c r="M27" i="6"/>
  <c r="L44" i="6"/>
  <c r="L46" i="6" s="1"/>
  <c r="Z14" i="6" l="1"/>
  <c r="Z38" i="6"/>
  <c r="Z41" i="6"/>
  <c r="Z10" i="6"/>
  <c r="Z23" i="6"/>
  <c r="P44" i="6"/>
  <c r="N44" i="6"/>
  <c r="Z27" i="6"/>
  <c r="O44" i="6"/>
  <c r="M44" i="6"/>
  <c r="N54" i="6" l="1"/>
  <c r="O51" i="6" s="1"/>
  <c r="P51" i="6" l="1"/>
  <c r="N51" i="6"/>
  <c r="N45" i="6"/>
  <c r="G131" i="1"/>
  <c r="G136" i="1" s="1"/>
  <c r="L3" i="1"/>
  <c r="L11" i="1"/>
  <c r="K9" i="1"/>
  <c r="L4" i="1"/>
  <c r="L5" i="1"/>
  <c r="L6" i="1"/>
  <c r="L7" i="1"/>
  <c r="L8" i="1"/>
  <c r="L9" i="1"/>
  <c r="L10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K3" i="1"/>
  <c r="K4" i="1"/>
  <c r="K5" i="1"/>
  <c r="K6" i="1"/>
  <c r="K7" i="1"/>
  <c r="K8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J4" i="1"/>
  <c r="J5" i="1"/>
  <c r="J6" i="1"/>
  <c r="J7" i="1"/>
  <c r="J8" i="1"/>
  <c r="J9" i="1"/>
  <c r="J10" i="1"/>
  <c r="J11" i="1"/>
  <c r="J12" i="1"/>
  <c r="J13" i="1"/>
  <c r="J14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L2" i="1"/>
  <c r="K2" i="1"/>
  <c r="J2" i="1"/>
  <c r="I88" i="1" l="1"/>
  <c r="I122" i="1"/>
  <c r="I110" i="1"/>
  <c r="I108" i="1"/>
  <c r="I107" i="1"/>
  <c r="I86" i="1"/>
  <c r="I38" i="1"/>
  <c r="I121" i="1"/>
  <c r="I106" i="1"/>
  <c r="I123" i="1"/>
  <c r="I120" i="1"/>
  <c r="I23" i="1"/>
  <c r="I22" i="1"/>
  <c r="I90" i="1"/>
  <c r="I87" i="1"/>
  <c r="I36" i="1"/>
  <c r="I35" i="1"/>
  <c r="I89" i="1"/>
  <c r="I125" i="1"/>
  <c r="I95" i="1"/>
  <c r="I124" i="1"/>
  <c r="I109" i="1"/>
  <c r="I94" i="1"/>
  <c r="I37" i="1"/>
  <c r="I118" i="1"/>
  <c r="I100" i="1"/>
  <c r="I44" i="1"/>
  <c r="I10" i="1"/>
  <c r="I114" i="1"/>
  <c r="I99" i="1"/>
  <c r="I43" i="1"/>
  <c r="I102" i="1"/>
  <c r="I101" i="1"/>
  <c r="I2" i="1"/>
  <c r="I113" i="1"/>
  <c r="I98" i="1"/>
  <c r="I42" i="1"/>
  <c r="I31" i="1"/>
  <c r="I130" i="1"/>
  <c r="I112" i="1"/>
  <c r="I97" i="1"/>
  <c r="I41" i="1"/>
  <c r="I119" i="1"/>
  <c r="I126" i="1"/>
  <c r="I111" i="1"/>
  <c r="I96" i="1"/>
  <c r="I39" i="1"/>
  <c r="I54" i="1"/>
  <c r="I21" i="1"/>
  <c r="I20" i="1"/>
  <c r="I19" i="1"/>
  <c r="I18" i="1"/>
  <c r="I17" i="1"/>
  <c r="I76" i="1"/>
  <c r="I14" i="1"/>
  <c r="I24" i="1"/>
  <c r="I129" i="1"/>
  <c r="I117" i="1"/>
  <c r="I105" i="1"/>
  <c r="I93" i="1"/>
  <c r="I75" i="1"/>
  <c r="I34" i="1"/>
  <c r="I13" i="1"/>
  <c r="I80" i="1"/>
  <c r="I67" i="1"/>
  <c r="I55" i="1"/>
  <c r="I65" i="1"/>
  <c r="I53" i="1"/>
  <c r="I6" i="1"/>
  <c r="I5" i="1"/>
  <c r="I78" i="1"/>
  <c r="I26" i="1"/>
  <c r="I77" i="1"/>
  <c r="I3" i="1"/>
  <c r="I25" i="1"/>
  <c r="I128" i="1"/>
  <c r="I116" i="1"/>
  <c r="I104" i="1"/>
  <c r="I92" i="1"/>
  <c r="I51" i="1"/>
  <c r="I33" i="1"/>
  <c r="I12" i="1"/>
  <c r="I9" i="1"/>
  <c r="I8" i="1"/>
  <c r="I7" i="1"/>
  <c r="I64" i="1"/>
  <c r="I52" i="1"/>
  <c r="I79" i="1"/>
  <c r="I63" i="1"/>
  <c r="I27" i="1"/>
  <c r="I15" i="1"/>
  <c r="I4" i="1"/>
  <c r="I127" i="1"/>
  <c r="I115" i="1"/>
  <c r="I103" i="1"/>
  <c r="I91" i="1"/>
  <c r="I45" i="1"/>
  <c r="I32" i="1"/>
  <c r="I11" i="1"/>
  <c r="I61" i="1"/>
  <c r="I16" i="1"/>
  <c r="I40" i="1"/>
  <c r="I30" i="1"/>
  <c r="I29" i="1"/>
  <c r="I28" i="1"/>
  <c r="I56" i="1"/>
  <c r="I68" i="1"/>
  <c r="I49" i="1"/>
  <c r="I85" i="1"/>
  <c r="I73" i="1"/>
  <c r="I66" i="1"/>
  <c r="I74" i="1"/>
  <c r="I62" i="1"/>
  <c r="I50" i="1"/>
  <c r="I84" i="1"/>
  <c r="I72" i="1"/>
  <c r="I60" i="1"/>
  <c r="I48" i="1"/>
  <c r="I83" i="1"/>
  <c r="I71" i="1"/>
  <c r="I59" i="1"/>
  <c r="I47" i="1"/>
  <c r="I82" i="1"/>
  <c r="I70" i="1"/>
  <c r="I58" i="1"/>
  <c r="I46" i="1"/>
  <c r="I81" i="1"/>
  <c r="I69" i="1"/>
  <c r="I57" i="1"/>
  <c r="K131" i="1"/>
  <c r="K137" i="1" s="1"/>
  <c r="J131" i="1"/>
  <c r="J137" i="1" s="1"/>
  <c r="L131" i="1"/>
  <c r="L137" i="1" s="1"/>
  <c r="M133" i="1" l="1"/>
  <c r="J134" i="1" s="1"/>
  <c r="G135" i="1" l="1"/>
  <c r="G132" i="1" l="1"/>
  <c r="G133" i="1" l="1"/>
</calcChain>
</file>

<file path=xl/sharedStrings.xml><?xml version="1.0" encoding="utf-8"?>
<sst xmlns="http://schemas.openxmlformats.org/spreadsheetml/2006/main" count="136" uniqueCount="93">
  <si>
    <t>X</t>
  </si>
  <si>
    <t>Y</t>
  </si>
  <si>
    <t>P (kW) @ pf=0.95</t>
  </si>
  <si>
    <t>No.</t>
  </si>
  <si>
    <t>Q(kVar) @ pf =0.95</t>
  </si>
  <si>
    <t>I(A)</t>
  </si>
  <si>
    <t>Total P (kW)</t>
  </si>
  <si>
    <t>Total Q (kVar)</t>
  </si>
  <si>
    <t>Total S (kVA)</t>
  </si>
  <si>
    <t>Total Demand Current (A)</t>
  </si>
  <si>
    <t>Phase</t>
  </si>
  <si>
    <t>Phase Number</t>
  </si>
  <si>
    <t>R</t>
  </si>
  <si>
    <t>B</t>
  </si>
  <si>
    <t xml:space="preserve">Phase Test </t>
  </si>
  <si>
    <t>I10(A)</t>
  </si>
  <si>
    <t xml:space="preserve">Subject: </t>
  </si>
  <si>
    <t xml:space="preserve">Date: </t>
  </si>
  <si>
    <t>Item</t>
  </si>
  <si>
    <t>Description</t>
  </si>
  <si>
    <t>Unit</t>
  </si>
  <si>
    <t>Qty</t>
  </si>
  <si>
    <t>Unit Power (W)</t>
  </si>
  <si>
    <t>Ku</t>
  </si>
  <si>
    <t>Demand Power (W)</t>
  </si>
  <si>
    <t>Sub Total Power (W)</t>
  </si>
  <si>
    <t>Ks</t>
  </si>
  <si>
    <t>Demand  Power (W)</t>
  </si>
  <si>
    <t>Current (A)</t>
  </si>
  <si>
    <t>Load Division</t>
  </si>
  <si>
    <t>Phase Test</t>
  </si>
  <si>
    <t>Preliminary Phase division</t>
  </si>
  <si>
    <t xml:space="preserve">Cable </t>
  </si>
  <si>
    <t xml:space="preserve">R </t>
  </si>
  <si>
    <t xml:space="preserve"> </t>
  </si>
  <si>
    <t>A</t>
  </si>
  <si>
    <t>LIGHTING SYSTEM</t>
  </si>
  <si>
    <t>2.5 mm²</t>
  </si>
  <si>
    <t>pcs</t>
  </si>
  <si>
    <t>- DOUBLE POWER SOCKET OUTLET</t>
  </si>
  <si>
    <t>C</t>
  </si>
  <si>
    <t xml:space="preserve">AIR CONDITIONING </t>
  </si>
  <si>
    <t xml:space="preserve">- AIR CONDITIONING </t>
  </si>
  <si>
    <t>SUB TOAL DEMAND LOAD (W)</t>
  </si>
  <si>
    <t>DIVERSIFY FACTOR (Ks)</t>
  </si>
  <si>
    <t>TOTAL DEMAND LOAD (W)</t>
  </si>
  <si>
    <t>PHASE NUMBER</t>
  </si>
  <si>
    <t>APPARENT POWER (VA)</t>
  </si>
  <si>
    <t>Tolerence by Phase</t>
  </si>
  <si>
    <t>Allowable Tolerence</t>
  </si>
  <si>
    <t>W</t>
  </si>
  <si>
    <t>Load average for each phase</t>
  </si>
  <si>
    <t xml:space="preserve">                                              </t>
  </si>
  <si>
    <t>POWER FACTOR (COS φ)</t>
  </si>
  <si>
    <r>
      <t xml:space="preserve">Q
</t>
    </r>
    <r>
      <rPr>
        <b/>
        <sz val="12"/>
        <rFont val="Arial Narrow"/>
        <family val="2"/>
      </rPr>
      <t>(W)</t>
    </r>
  </si>
  <si>
    <t>DISTRIBUTION BOARD</t>
  </si>
  <si>
    <t>Household Location (X=88, Y=490)</t>
  </si>
  <si>
    <t>DB-L01</t>
  </si>
  <si>
    <t>- LED PANEL LIGHT 1.2m X 0.3m</t>
  </si>
  <si>
    <t>- LED PANEL LIGHT 0.6m X 0.6m</t>
  </si>
  <si>
    <t>DB-L02</t>
  </si>
  <si>
    <t>- BATTEN LUMINAIRE 1 X 20W</t>
  </si>
  <si>
    <t>DB-L03</t>
  </si>
  <si>
    <t>- BATTEN LUMINAIRE 2 X 20W</t>
  </si>
  <si>
    <t>POWER SOCKET OUTLET SYSTEM</t>
  </si>
  <si>
    <t>DB-S01</t>
  </si>
  <si>
    <t>- SINGLE POWER SOCKET OUTLET</t>
  </si>
  <si>
    <t>DB-S02</t>
  </si>
  <si>
    <t>DB-S03</t>
  </si>
  <si>
    <t>DB-AC01</t>
  </si>
  <si>
    <t>DB-AC02</t>
  </si>
  <si>
    <t>DB-AC03</t>
  </si>
  <si>
    <t xml:space="preserve">LOAD ESTIMATION FOR HOUSEHOLD </t>
  </si>
  <si>
    <t>2.5 mm131</t>
  </si>
  <si>
    <t>2.5 mm132</t>
  </si>
  <si>
    <t>- LED DOWN LIGH 1 X 12W</t>
  </si>
  <si>
    <t>Total P (kW) for 10 years</t>
  </si>
  <si>
    <t xml:space="preserve">S_demand for 10 years </t>
  </si>
  <si>
    <t>N.</t>
  </si>
  <si>
    <t>Coordinates</t>
  </si>
  <si>
    <t>P [kW]</t>
  </si>
  <si>
    <t>Q [kVar]</t>
  </si>
  <si>
    <t xml:space="preserve">initial year </t>
  </si>
  <si>
    <t>in 10 years</t>
  </si>
  <si>
    <t xml:space="preserve">demand current </t>
  </si>
  <si>
    <t>maximum current</t>
  </si>
  <si>
    <t>I_avg</t>
  </si>
  <si>
    <t>UC</t>
  </si>
  <si>
    <t>Limit_UC</t>
  </si>
  <si>
    <t xml:space="preserve">Current </t>
  </si>
  <si>
    <t>Q_demand for 10 years</t>
  </si>
  <si>
    <t>P_demand for 10 years</t>
  </si>
  <si>
    <t>S_Transformer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</si>
</sst>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_(* #,##0.00_);_(* \(#,##0.00\);_(* &quot;-&quot;_);_(@_)"/>
    <numFmt numFmtId="166" formatCode="[$-409]d\-mmm\-yyyy;@"/>
  </numFmts>
  <fonts count="28" x14ac:knownFonts="1">
    <font>
      <sz val="11"/>
      <color theme="1"/>
      <name val="Aptos Narrow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rgb="FFFF0000"/>
      <name val="Arial Narrow"/>
      <family val="2"/>
    </font>
    <font>
      <sz val="11"/>
      <color rgb="FFFFC000"/>
      <name val="Arial Narrow"/>
      <family val="2"/>
    </font>
    <font>
      <sz val="11"/>
      <color theme="4"/>
      <name val="Arial Narrow"/>
      <family val="2"/>
    </font>
    <font>
      <b/>
      <sz val="11"/>
      <color rgb="FFFF0000"/>
      <name val="Arial Narrow"/>
      <family val="2"/>
    </font>
    <font>
      <b/>
      <sz val="11"/>
      <color theme="4"/>
      <name val="Arial Narrow"/>
      <family val="2"/>
    </font>
    <font>
      <sz val="11"/>
      <color theme="1"/>
      <name val="Arial Narrow"/>
      <family val="2"/>
    </font>
    <font>
      <b/>
      <sz val="11"/>
      <color rgb="FFFFC000"/>
      <name val="Arial Narrow"/>
      <family val="2"/>
    </font>
    <font>
      <sz val="10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b/>
      <sz val="12"/>
      <color rgb="FFFFFF00"/>
      <name val="Arial Narrow"/>
      <family val="2"/>
    </font>
    <font>
      <sz val="12"/>
      <color rgb="FFFF0000"/>
      <name val="Arial Narrow"/>
      <family val="2"/>
    </font>
    <font>
      <sz val="12"/>
      <color rgb="FFFFC000"/>
      <name val="Arial Narrow"/>
      <family val="2"/>
    </font>
    <font>
      <sz val="12"/>
      <color rgb="FF00B0F0"/>
      <name val="Arial Narrow"/>
      <family val="2"/>
    </font>
    <font>
      <sz val="12"/>
      <color rgb="FFC00000"/>
      <name val="Arial Narrow"/>
      <family val="2"/>
    </font>
    <font>
      <b/>
      <sz val="12"/>
      <color rgb="FFC00000"/>
      <name val="Arial Narrow"/>
      <family val="2"/>
    </font>
    <font>
      <b/>
      <sz val="12"/>
      <color rgb="FFFF0000"/>
      <name val="Arial Narrow"/>
      <family val="2"/>
    </font>
    <font>
      <sz val="12"/>
      <color rgb="FFCC9900"/>
      <name val="Arial Narrow"/>
      <family val="2"/>
    </font>
    <font>
      <sz val="12"/>
      <color rgb="FF0070C0"/>
      <name val="Arial Narrow"/>
      <family val="2"/>
    </font>
    <font>
      <b/>
      <sz val="12"/>
      <color rgb="FFFFC000"/>
      <name val="Arial Narrow"/>
      <family val="2"/>
    </font>
    <font>
      <b/>
      <sz val="12"/>
      <color rgb="FF00B0F0"/>
      <name val="Arial Narrow"/>
      <family val="2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1" fillId="0" borderId="0"/>
  </cellStyleXfs>
  <cellXfs count="14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3" fontId="4" fillId="0" borderId="1" xfId="0" applyNumberFormat="1" applyFont="1" applyBorder="1" applyAlignment="1">
      <alignment horizontal="center" vertical="center"/>
    </xf>
    <xf numFmtId="43" fontId="5" fillId="0" borderId="1" xfId="0" applyNumberFormat="1" applyFont="1" applyBorder="1" applyAlignment="1">
      <alignment horizontal="center" vertical="center"/>
    </xf>
    <xf numFmtId="43" fontId="6" fillId="0" borderId="1" xfId="0" applyNumberFormat="1" applyFont="1" applyBorder="1" applyAlignment="1">
      <alignment horizontal="center" vertical="center"/>
    </xf>
    <xf numFmtId="43" fontId="7" fillId="0" borderId="1" xfId="0" applyNumberFormat="1" applyFont="1" applyBorder="1" applyAlignment="1">
      <alignment horizontal="center" vertical="center"/>
    </xf>
    <xf numFmtId="43" fontId="10" fillId="0" borderId="1" xfId="0" applyNumberFormat="1" applyFont="1" applyBorder="1" applyAlignment="1">
      <alignment horizontal="center" vertical="center"/>
    </xf>
    <xf numFmtId="43" fontId="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43" fontId="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 vertical="center"/>
    </xf>
    <xf numFmtId="41" fontId="13" fillId="0" borderId="0" xfId="0" applyNumberFormat="1" applyFont="1" applyAlignment="1">
      <alignment horizontal="center" vertical="center"/>
    </xf>
    <xf numFmtId="165" fontId="13" fillId="0" borderId="0" xfId="0" applyNumberFormat="1" applyFont="1" applyAlignment="1">
      <alignment horizontal="center" vertical="center"/>
    </xf>
    <xf numFmtId="43" fontId="13" fillId="0" borderId="0" xfId="0" applyNumberFormat="1" applyFont="1"/>
    <xf numFmtId="43" fontId="13" fillId="0" borderId="0" xfId="0" applyNumberFormat="1" applyFont="1" applyAlignment="1">
      <alignment horizontal="center"/>
    </xf>
    <xf numFmtId="41" fontId="13" fillId="0" borderId="0" xfId="0" applyNumberFormat="1" applyFont="1" applyAlignment="1">
      <alignment horizontal="center"/>
    </xf>
    <xf numFmtId="41" fontId="13" fillId="0" borderId="0" xfId="0" applyNumberFormat="1" applyFont="1"/>
    <xf numFmtId="0" fontId="12" fillId="0" borderId="0" xfId="1" applyFont="1" applyAlignment="1">
      <alignment horizontal="left" vertical="center"/>
    </xf>
    <xf numFmtId="0" fontId="12" fillId="0" borderId="0" xfId="1" applyFont="1"/>
    <xf numFmtId="166" fontId="13" fillId="0" borderId="0" xfId="1" applyNumberFormat="1" applyFont="1" applyAlignment="1">
      <alignment horizontal="left"/>
    </xf>
    <xf numFmtId="0" fontId="13" fillId="0" borderId="0" xfId="0" applyFont="1" applyAlignment="1">
      <alignment horizontal="center"/>
    </xf>
    <xf numFmtId="43" fontId="12" fillId="0" borderId="0" xfId="0" applyNumberFormat="1" applyFont="1" applyAlignment="1">
      <alignment horizontal="center" vertical="center" wrapText="1"/>
    </xf>
    <xf numFmtId="41" fontId="12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13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3" fillId="0" borderId="1" xfId="0" applyFont="1" applyBorder="1"/>
    <xf numFmtId="0" fontId="13" fillId="0" borderId="1" xfId="0" applyFont="1" applyBorder="1" applyAlignment="1">
      <alignment horizontal="center" vertical="center"/>
    </xf>
    <xf numFmtId="41" fontId="13" fillId="0" borderId="1" xfId="0" applyNumberFormat="1" applyFont="1" applyBorder="1" applyAlignment="1">
      <alignment horizontal="center" vertical="center"/>
    </xf>
    <xf numFmtId="165" fontId="13" fillId="0" borderId="1" xfId="0" applyNumberFormat="1" applyFont="1" applyBorder="1" applyAlignment="1">
      <alignment horizontal="center" vertical="center"/>
    </xf>
    <xf numFmtId="43" fontId="14" fillId="3" borderId="3" xfId="0" applyNumberFormat="1" applyFont="1" applyFill="1" applyBorder="1" applyAlignment="1">
      <alignment horizontal="center" vertical="center" wrapText="1"/>
    </xf>
    <xf numFmtId="43" fontId="12" fillId="4" borderId="1" xfId="0" applyNumberFormat="1" applyFont="1" applyFill="1" applyBorder="1" applyAlignment="1">
      <alignment horizontal="center" vertical="center" wrapText="1"/>
    </xf>
    <xf numFmtId="43" fontId="1" fillId="7" borderId="10" xfId="0" applyNumberFormat="1" applyFont="1" applyFill="1" applyBorder="1" applyAlignment="1">
      <alignment horizontal="center" vertical="center" wrapText="1"/>
    </xf>
    <xf numFmtId="0" fontId="13" fillId="0" borderId="11" xfId="0" applyFont="1" applyBorder="1"/>
    <xf numFmtId="0" fontId="13" fillId="0" borderId="1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43" fontId="15" fillId="0" borderId="3" xfId="0" applyNumberFormat="1" applyFont="1" applyBorder="1"/>
    <xf numFmtId="43" fontId="16" fillId="0" borderId="1" xfId="0" applyNumberFormat="1" applyFont="1" applyBorder="1"/>
    <xf numFmtId="43" fontId="17" fillId="0" borderId="10" xfId="0" applyNumberFormat="1" applyFont="1" applyBorder="1"/>
    <xf numFmtId="0" fontId="13" fillId="0" borderId="13" xfId="0" applyFont="1" applyBorder="1" applyAlignment="1">
      <alignment horizontal="center" vertical="center"/>
    </xf>
    <xf numFmtId="0" fontId="13" fillId="8" borderId="1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 vertical="center"/>
    </xf>
    <xf numFmtId="41" fontId="13" fillId="8" borderId="1" xfId="0" applyNumberFormat="1" applyFont="1" applyFill="1" applyBorder="1" applyAlignment="1">
      <alignment horizontal="center" vertical="center"/>
    </xf>
    <xf numFmtId="165" fontId="13" fillId="8" borderId="1" xfId="0" applyNumberFormat="1" applyFont="1" applyFill="1" applyBorder="1" applyAlignment="1">
      <alignment horizontal="center" vertical="center"/>
    </xf>
    <xf numFmtId="165" fontId="19" fillId="8" borderId="1" xfId="0" applyNumberFormat="1" applyFont="1" applyFill="1" applyBorder="1" applyAlignment="1">
      <alignment horizontal="center" vertical="center"/>
    </xf>
    <xf numFmtId="165" fontId="20" fillId="8" borderId="1" xfId="0" applyNumberFormat="1" applyFont="1" applyFill="1" applyBorder="1" applyAlignment="1">
      <alignment horizontal="center" vertical="center"/>
    </xf>
    <xf numFmtId="43" fontId="19" fillId="8" borderId="3" xfId="0" applyNumberFormat="1" applyFont="1" applyFill="1" applyBorder="1"/>
    <xf numFmtId="43" fontId="21" fillId="8" borderId="1" xfId="0" applyNumberFormat="1" applyFont="1" applyFill="1" applyBorder="1"/>
    <xf numFmtId="43" fontId="22" fillId="8" borderId="10" xfId="0" applyNumberFormat="1" applyFont="1" applyFill="1" applyBorder="1"/>
    <xf numFmtId="43" fontId="13" fillId="8" borderId="0" xfId="0" applyNumberFormat="1" applyFont="1" applyFill="1" applyAlignment="1">
      <alignment horizontal="center"/>
    </xf>
    <xf numFmtId="41" fontId="13" fillId="8" borderId="0" xfId="0" applyNumberFormat="1" applyFont="1" applyFill="1"/>
    <xf numFmtId="0" fontId="13" fillId="8" borderId="0" xfId="0" applyFont="1" applyFill="1"/>
    <xf numFmtId="0" fontId="13" fillId="8" borderId="12" xfId="0" applyFont="1" applyFill="1" applyBorder="1" applyAlignment="1">
      <alignment horizontal="center" vertical="center"/>
    </xf>
    <xf numFmtId="0" fontId="12" fillId="0" borderId="1" xfId="0" applyFont="1" applyBorder="1"/>
    <xf numFmtId="0" fontId="15" fillId="0" borderId="1" xfId="0" applyFont="1" applyBorder="1"/>
    <xf numFmtId="43" fontId="13" fillId="0" borderId="13" xfId="0" applyNumberFormat="1" applyFont="1" applyBorder="1" applyAlignment="1">
      <alignment vertical="center"/>
    </xf>
    <xf numFmtId="0" fontId="12" fillId="0" borderId="12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left" vertical="center"/>
    </xf>
    <xf numFmtId="3" fontId="13" fillId="0" borderId="1" xfId="0" applyNumberFormat="1" applyFont="1" applyBorder="1" applyAlignment="1">
      <alignment horizontal="center" vertical="center"/>
    </xf>
    <xf numFmtId="49" fontId="13" fillId="0" borderId="1" xfId="0" quotePrefix="1" applyNumberFormat="1" applyFont="1" applyBorder="1" applyAlignment="1">
      <alignment horizontal="left" vertical="center"/>
    </xf>
    <xf numFmtId="43" fontId="13" fillId="0" borderId="3" xfId="0" applyNumberFormat="1" applyFont="1" applyBorder="1"/>
    <xf numFmtId="43" fontId="13" fillId="0" borderId="1" xfId="0" applyNumberFormat="1" applyFont="1" applyBorder="1"/>
    <xf numFmtId="43" fontId="13" fillId="0" borderId="10" xfId="0" applyNumberFormat="1" applyFont="1" applyBorder="1"/>
    <xf numFmtId="43" fontId="13" fillId="0" borderId="12" xfId="0" applyNumberFormat="1" applyFont="1" applyBorder="1" applyAlignment="1">
      <alignment horizontal="center" vertical="center"/>
    </xf>
    <xf numFmtId="43" fontId="21" fillId="0" borderId="1" xfId="0" applyNumberFormat="1" applyFont="1" applyBorder="1"/>
    <xf numFmtId="43" fontId="22" fillId="0" borderId="10" xfId="0" applyNumberFormat="1" applyFont="1" applyBorder="1"/>
    <xf numFmtId="0" fontId="12" fillId="0" borderId="1" xfId="0" applyFont="1" applyBorder="1" applyAlignment="1">
      <alignment horizontal="center" vertical="center"/>
    </xf>
    <xf numFmtId="43" fontId="13" fillId="0" borderId="0" xfId="0" applyNumberFormat="1" applyFont="1" applyAlignment="1">
      <alignment horizontal="center" vertical="center"/>
    </xf>
    <xf numFmtId="43" fontId="23" fillId="0" borderId="1" xfId="0" applyNumberFormat="1" applyFont="1" applyBorder="1" applyAlignment="1">
      <alignment vertical="center"/>
    </xf>
    <xf numFmtId="43" fontId="24" fillId="0" borderId="10" xfId="0" applyNumberFormat="1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3" fillId="0" borderId="12" xfId="0" applyFont="1" applyBorder="1"/>
    <xf numFmtId="165" fontId="13" fillId="0" borderId="0" xfId="0" applyNumberFormat="1" applyFont="1" applyAlignment="1">
      <alignment horizontal="right" vertical="center"/>
    </xf>
    <xf numFmtId="165" fontId="13" fillId="0" borderId="3" xfId="0" applyNumberFormat="1" applyFont="1" applyBorder="1" applyAlignment="1">
      <alignment horizontal="center" vertical="center"/>
    </xf>
    <xf numFmtId="43" fontId="13" fillId="0" borderId="1" xfId="0" applyNumberFormat="1" applyFont="1" applyBorder="1" applyAlignment="1">
      <alignment horizontal="center" vertical="center"/>
    </xf>
    <xf numFmtId="43" fontId="12" fillId="0" borderId="9" xfId="0" applyNumberFormat="1" applyFont="1" applyBorder="1" applyAlignment="1">
      <alignment horizontal="center" vertical="center"/>
    </xf>
    <xf numFmtId="0" fontId="13" fillId="0" borderId="9" xfId="0" applyFont="1" applyBorder="1"/>
    <xf numFmtId="2" fontId="12" fillId="0" borderId="9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" fillId="8" borderId="1" xfId="0" applyFont="1" applyFill="1" applyBorder="1"/>
    <xf numFmtId="0" fontId="12" fillId="6" borderId="1" xfId="0" applyFont="1" applyFill="1" applyBorder="1" applyAlignment="1">
      <alignment horizontal="center" vertical="center" wrapText="1"/>
    </xf>
    <xf numFmtId="165" fontId="12" fillId="6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43" fontId="12" fillId="0" borderId="3" xfId="0" applyNumberFormat="1" applyFont="1" applyBorder="1" applyAlignment="1">
      <alignment vertical="center"/>
    </xf>
    <xf numFmtId="2" fontId="12" fillId="9" borderId="2" xfId="0" applyNumberFormat="1" applyFont="1" applyFill="1" applyBorder="1" applyAlignment="1">
      <alignment horizontal="center" vertical="center"/>
    </xf>
    <xf numFmtId="1" fontId="12" fillId="9" borderId="2" xfId="0" applyNumberFormat="1" applyFont="1" applyFill="1" applyBorder="1" applyAlignment="1">
      <alignment horizontal="center" vertical="center"/>
    </xf>
    <xf numFmtId="164" fontId="12" fillId="9" borderId="2" xfId="0" applyNumberFormat="1" applyFont="1" applyFill="1" applyBorder="1" applyAlignment="1">
      <alignment horizontal="center" vertical="center"/>
    </xf>
    <xf numFmtId="2" fontId="12" fillId="9" borderId="18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43" fontId="27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9" fillId="0" borderId="0" xfId="0" applyFont="1"/>
    <xf numFmtId="43" fontId="2" fillId="0" borderId="0" xfId="0" applyNumberFormat="1" applyFont="1" applyAlignment="1">
      <alignment vertical="center"/>
    </xf>
    <xf numFmtId="43" fontId="6" fillId="0" borderId="0" xfId="0" applyNumberFormat="1" applyFont="1" applyAlignment="1">
      <alignment horizontal="center" vertical="center"/>
    </xf>
    <xf numFmtId="43" fontId="27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1" fontId="12" fillId="0" borderId="0" xfId="0" applyNumberFormat="1" applyFont="1" applyAlignment="1">
      <alignment horizontal="center" vertical="center" wrapText="1"/>
    </xf>
    <xf numFmtId="0" fontId="12" fillId="9" borderId="17" xfId="0" applyFont="1" applyFill="1" applyBorder="1" applyAlignment="1">
      <alignment horizontal="right" vertical="center"/>
    </xf>
    <xf numFmtId="165" fontId="12" fillId="0" borderId="14" xfId="0" applyNumberFormat="1" applyFont="1" applyBorder="1" applyAlignment="1">
      <alignment horizontal="center" vertical="center"/>
    </xf>
    <xf numFmtId="165" fontId="12" fillId="0" borderId="19" xfId="0" applyNumberFormat="1" applyFont="1" applyBorder="1" applyAlignment="1">
      <alignment horizontal="center" vertical="center"/>
    </xf>
    <xf numFmtId="165" fontId="12" fillId="0" borderId="5" xfId="0" applyNumberFormat="1" applyFont="1" applyBorder="1" applyAlignment="1">
      <alignment horizontal="center" vertical="center"/>
    </xf>
    <xf numFmtId="0" fontId="12" fillId="9" borderId="1" xfId="0" applyFont="1" applyFill="1" applyBorder="1" applyAlignment="1">
      <alignment horizontal="right" vertical="center"/>
    </xf>
    <xf numFmtId="43" fontId="12" fillId="0" borderId="3" xfId="0" applyNumberFormat="1" applyFont="1" applyBorder="1" applyAlignment="1">
      <alignment horizontal="center" vertical="center"/>
    </xf>
    <xf numFmtId="43" fontId="12" fillId="0" borderId="1" xfId="0" applyNumberFormat="1" applyFont="1" applyBorder="1" applyAlignment="1">
      <alignment horizontal="center" vertical="center"/>
    </xf>
    <xf numFmtId="43" fontId="12" fillId="0" borderId="10" xfId="0" applyNumberFormat="1" applyFont="1" applyBorder="1" applyAlignment="1">
      <alignment horizontal="center" vertical="center"/>
    </xf>
    <xf numFmtId="43" fontId="12" fillId="0" borderId="16" xfId="0" applyNumberFormat="1" applyFont="1" applyBorder="1" applyAlignment="1">
      <alignment horizontal="center" vertical="center"/>
    </xf>
    <xf numFmtId="43" fontId="12" fillId="0" borderId="14" xfId="0" applyNumberFormat="1" applyFont="1" applyBorder="1" applyAlignment="1">
      <alignment horizontal="center" vertical="center"/>
    </xf>
    <xf numFmtId="43" fontId="12" fillId="0" borderId="15" xfId="0" applyNumberFormat="1" applyFont="1" applyBorder="1" applyAlignment="1">
      <alignment horizontal="center" vertical="center"/>
    </xf>
    <xf numFmtId="165" fontId="13" fillId="0" borderId="2" xfId="0" applyNumberFormat="1" applyFont="1" applyBorder="1" applyAlignment="1">
      <alignment horizontal="center" vertical="center"/>
    </xf>
    <xf numFmtId="165" fontId="13" fillId="0" borderId="4" xfId="0" applyNumberFormat="1" applyFont="1" applyBorder="1" applyAlignment="1">
      <alignment horizontal="center" vertical="center"/>
    </xf>
    <xf numFmtId="165" fontId="13" fillId="0" borderId="3" xfId="0" applyNumberFormat="1" applyFont="1" applyBorder="1" applyAlignment="1">
      <alignment horizontal="center" vertical="center"/>
    </xf>
    <xf numFmtId="43" fontId="12" fillId="6" borderId="6" xfId="0" applyNumberFormat="1" applyFont="1" applyFill="1" applyBorder="1" applyAlignment="1">
      <alignment horizontal="center" vertical="center" wrapText="1"/>
    </xf>
    <xf numFmtId="43" fontId="12" fillId="6" borderId="5" xfId="0" applyNumberFormat="1" applyFont="1" applyFill="1" applyBorder="1" applyAlignment="1">
      <alignment horizontal="center" vertical="center" wrapText="1"/>
    </xf>
    <xf numFmtId="43" fontId="12" fillId="6" borderId="7" xfId="0" applyNumberFormat="1" applyFont="1" applyFill="1" applyBorder="1" applyAlignment="1">
      <alignment horizontal="center" vertical="center" wrapText="1"/>
    </xf>
    <xf numFmtId="43" fontId="12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/>
    </xf>
    <xf numFmtId="0" fontId="9" fillId="0" borderId="0" xfId="0" applyFont="1" applyAlignment="1">
      <alignment horizontal="center"/>
    </xf>
  </cellXfs>
  <cellStyles count="2">
    <cellStyle name="Normal" xfId="0" builtinId="0"/>
    <cellStyle name="Normal 2" xfId="1" xr:uid="{BADE2409-971C-4ADB-B6BB-902F409F20EB}"/>
  </cellStyles>
  <dxfs count="7">
    <dxf>
      <font>
        <strike val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8E1DB-935F-4EE6-B1BA-881B86C2C2F5}">
  <dimension ref="A1:S143"/>
  <sheetViews>
    <sheetView tabSelected="1" zoomScale="115" zoomScaleNormal="115" workbookViewId="0">
      <pane ySplit="1" topLeftCell="A109" activePane="bottomLeft" state="frozen"/>
      <selection pane="bottomLeft" activeCell="G124" sqref="G124"/>
    </sheetView>
  </sheetViews>
  <sheetFormatPr defaultRowHeight="15.75" x14ac:dyDescent="0.25"/>
  <cols>
    <col min="1" max="3" width="9.140625" style="2"/>
    <col min="4" max="4" width="14" style="2" customWidth="1"/>
    <col min="5" max="5" width="10.7109375" style="2" customWidth="1"/>
    <col min="6" max="6" width="19.42578125" style="2" customWidth="1"/>
    <col min="7" max="7" width="17.85546875" style="2" customWidth="1"/>
    <col min="8" max="8" width="12.5703125" style="2" customWidth="1"/>
    <col min="9" max="9" width="12.5703125" style="2" hidden="1" customWidth="1"/>
    <col min="10" max="10" width="13.5703125" style="5" hidden="1" customWidth="1"/>
    <col min="11" max="11" width="13.42578125" style="5" hidden="1" customWidth="1"/>
    <col min="12" max="12" width="12.42578125" style="5" hidden="1" customWidth="1"/>
    <col min="13" max="13" width="0" style="2" hidden="1" customWidth="1"/>
    <col min="14" max="14" width="9.140625" style="2"/>
    <col min="15" max="15" width="13.5703125" style="5" customWidth="1"/>
    <col min="16" max="16" width="13.42578125" style="5" customWidth="1"/>
    <col min="17" max="18" width="12.42578125" style="5" customWidth="1"/>
    <col min="19" max="16384" width="9.140625" style="2"/>
  </cols>
  <sheetData>
    <row r="1" spans="1:18" ht="16.5" x14ac:dyDescent="0.25">
      <c r="A1" s="1" t="s">
        <v>3</v>
      </c>
      <c r="B1" s="1" t="s">
        <v>0</v>
      </c>
      <c r="C1" s="1" t="s">
        <v>1</v>
      </c>
      <c r="D1" s="1" t="s">
        <v>10</v>
      </c>
      <c r="E1" s="1" t="s">
        <v>14</v>
      </c>
      <c r="F1" s="1" t="s">
        <v>2</v>
      </c>
      <c r="G1" s="1" t="s">
        <v>4</v>
      </c>
      <c r="H1" s="1" t="s">
        <v>5</v>
      </c>
      <c r="I1" s="1" t="s">
        <v>15</v>
      </c>
      <c r="J1" s="6" t="s">
        <v>12</v>
      </c>
      <c r="K1" s="7" t="s">
        <v>1</v>
      </c>
      <c r="L1" s="8" t="s">
        <v>13</v>
      </c>
      <c r="O1" s="6" t="s">
        <v>12</v>
      </c>
      <c r="P1" s="7" t="s">
        <v>1</v>
      </c>
      <c r="Q1" s="8" t="s">
        <v>13</v>
      </c>
      <c r="R1" s="111"/>
    </row>
    <row r="2" spans="1:18" ht="16.5" x14ac:dyDescent="0.25">
      <c r="A2" s="3">
        <v>1</v>
      </c>
      <c r="B2" s="3">
        <v>0</v>
      </c>
      <c r="C2" s="3">
        <v>0</v>
      </c>
      <c r="D2" s="3">
        <v>1</v>
      </c>
      <c r="E2" s="15">
        <v>1</v>
      </c>
      <c r="F2" s="3">
        <v>0</v>
      </c>
      <c r="G2" s="4">
        <f t="shared" ref="G2:G33" si="0">IF(D2=1,(230*H2*SIN(ACOS(0.95)))/1000, IF(D2=3,(SQRT(3)*400*H2*SIN(ACOS(0.95)))/1000))</f>
        <v>0</v>
      </c>
      <c r="H2" s="4">
        <f t="shared" ref="H2:H33" si="1">IF(D2=1, (F2*1000)/(230*0.95),IF(D2=3,(F2*1000/(SQRT(3)*400*0.95))))</f>
        <v>0</v>
      </c>
      <c r="I2" s="4">
        <f>H2*(1+0.025)^9</f>
        <v>0</v>
      </c>
      <c r="J2" s="9">
        <f t="shared" ref="J2:J33" si="2">IF(AND(E2=1, D2=1),F2,IF(D2=3, F2/3,0))</f>
        <v>0</v>
      </c>
      <c r="K2" s="10">
        <f t="shared" ref="K2:K33" si="3">IF(AND(E2=2, D2=1),F2,IF(D2=3, F2/3,0))</f>
        <v>0</v>
      </c>
      <c r="L2" s="11">
        <f t="shared" ref="L2:L33" si="4">IF(AND(E2=3, D2=1),F2,IF(D2=3, F2/3,0))</f>
        <v>0</v>
      </c>
      <c r="O2" s="9">
        <f t="shared" ref="O2:O33" si="5">IF(AND(E2=1, D2=1),(F2*1000)/(230*0.95),IF(D2=3, (F2*1000)/(SQRT(3)*400*0.95),0))</f>
        <v>0</v>
      </c>
      <c r="P2" s="10">
        <f t="shared" ref="P2:P33" si="6">IF(AND(E2=2, D2=1),(F2*1000)/(230*0.95),IF(D2=3, (F2*1000)/(SQRT(3)*400*0.95),0))</f>
        <v>0</v>
      </c>
      <c r="Q2" s="11">
        <f t="shared" ref="Q2:Q33" si="7">IF(AND(E2=3, D2=1),(F2*1000)/(230*0.95),IF(D2=3, (F2*1000)/(SQRT(3)*400*0.95),0))</f>
        <v>0</v>
      </c>
      <c r="R2" s="109"/>
    </row>
    <row r="3" spans="1:18" ht="16.5" x14ac:dyDescent="0.25">
      <c r="A3" s="3">
        <v>2</v>
      </c>
      <c r="B3" s="3">
        <v>40</v>
      </c>
      <c r="C3" s="3">
        <v>0</v>
      </c>
      <c r="D3" s="3">
        <v>1</v>
      </c>
      <c r="E3" s="15">
        <v>1</v>
      </c>
      <c r="F3" s="3">
        <v>0</v>
      </c>
      <c r="G3" s="4">
        <f t="shared" si="0"/>
        <v>0</v>
      </c>
      <c r="H3" s="4">
        <f t="shared" si="1"/>
        <v>0</v>
      </c>
      <c r="I3" s="4">
        <f t="shared" ref="I3:I66" si="8">H3*(1+0.025)^9</f>
        <v>0</v>
      </c>
      <c r="J3" s="9">
        <f t="shared" si="2"/>
        <v>0</v>
      </c>
      <c r="K3" s="10">
        <f t="shared" si="3"/>
        <v>0</v>
      </c>
      <c r="L3" s="11">
        <f t="shared" si="4"/>
        <v>0</v>
      </c>
      <c r="O3" s="9">
        <f t="shared" si="5"/>
        <v>0</v>
      </c>
      <c r="P3" s="10">
        <f t="shared" si="6"/>
        <v>0</v>
      </c>
      <c r="Q3" s="11">
        <f t="shared" si="7"/>
        <v>0</v>
      </c>
      <c r="R3" s="109"/>
    </row>
    <row r="4" spans="1:18" ht="16.5" x14ac:dyDescent="0.25">
      <c r="A4" s="3">
        <v>3</v>
      </c>
      <c r="B4" s="3">
        <v>80</v>
      </c>
      <c r="C4" s="3">
        <v>0</v>
      </c>
      <c r="D4" s="3">
        <v>1</v>
      </c>
      <c r="E4" s="15">
        <v>1</v>
      </c>
      <c r="F4" s="3">
        <v>0</v>
      </c>
      <c r="G4" s="4">
        <f t="shared" si="0"/>
        <v>0</v>
      </c>
      <c r="H4" s="4">
        <f t="shared" si="1"/>
        <v>0</v>
      </c>
      <c r="I4" s="4">
        <f t="shared" si="8"/>
        <v>0</v>
      </c>
      <c r="J4" s="9">
        <f t="shared" si="2"/>
        <v>0</v>
      </c>
      <c r="K4" s="10">
        <f t="shared" si="3"/>
        <v>0</v>
      </c>
      <c r="L4" s="11">
        <f t="shared" si="4"/>
        <v>0</v>
      </c>
      <c r="O4" s="9">
        <f t="shared" si="5"/>
        <v>0</v>
      </c>
      <c r="P4" s="10">
        <f t="shared" si="6"/>
        <v>0</v>
      </c>
      <c r="Q4" s="11">
        <f t="shared" si="7"/>
        <v>0</v>
      </c>
      <c r="R4" s="109"/>
    </row>
    <row r="5" spans="1:18" ht="16.5" x14ac:dyDescent="0.25">
      <c r="A5" s="3">
        <v>4</v>
      </c>
      <c r="B5" s="3">
        <v>120</v>
      </c>
      <c r="C5" s="3">
        <v>0</v>
      </c>
      <c r="D5" s="3">
        <v>1</v>
      </c>
      <c r="E5" s="15">
        <v>1</v>
      </c>
      <c r="F5" s="3">
        <v>0</v>
      </c>
      <c r="G5" s="4">
        <f t="shared" si="0"/>
        <v>0</v>
      </c>
      <c r="H5" s="4">
        <f t="shared" si="1"/>
        <v>0</v>
      </c>
      <c r="I5" s="4">
        <f t="shared" si="8"/>
        <v>0</v>
      </c>
      <c r="J5" s="9">
        <f t="shared" si="2"/>
        <v>0</v>
      </c>
      <c r="K5" s="10">
        <f t="shared" si="3"/>
        <v>0</v>
      </c>
      <c r="L5" s="11">
        <f t="shared" si="4"/>
        <v>0</v>
      </c>
      <c r="O5" s="9">
        <f t="shared" si="5"/>
        <v>0</v>
      </c>
      <c r="P5" s="10">
        <f t="shared" si="6"/>
        <v>0</v>
      </c>
      <c r="Q5" s="11">
        <f t="shared" si="7"/>
        <v>0</v>
      </c>
      <c r="R5" s="109"/>
    </row>
    <row r="6" spans="1:18" ht="16.5" x14ac:dyDescent="0.25">
      <c r="A6" s="3">
        <v>5</v>
      </c>
      <c r="B6" s="3">
        <v>160</v>
      </c>
      <c r="C6" s="3">
        <v>0</v>
      </c>
      <c r="D6" s="3">
        <v>1</v>
      </c>
      <c r="E6" s="15">
        <v>1</v>
      </c>
      <c r="F6" s="3">
        <v>0</v>
      </c>
      <c r="G6" s="4">
        <f t="shared" si="0"/>
        <v>0</v>
      </c>
      <c r="H6" s="4">
        <f t="shared" si="1"/>
        <v>0</v>
      </c>
      <c r="I6" s="4">
        <f t="shared" si="8"/>
        <v>0</v>
      </c>
      <c r="J6" s="9">
        <f t="shared" si="2"/>
        <v>0</v>
      </c>
      <c r="K6" s="10">
        <f t="shared" si="3"/>
        <v>0</v>
      </c>
      <c r="L6" s="11">
        <f t="shared" si="4"/>
        <v>0</v>
      </c>
      <c r="O6" s="9">
        <f t="shared" si="5"/>
        <v>0</v>
      </c>
      <c r="P6" s="10">
        <f t="shared" si="6"/>
        <v>0</v>
      </c>
      <c r="Q6" s="11">
        <f t="shared" si="7"/>
        <v>0</v>
      </c>
      <c r="R6" s="109"/>
    </row>
    <row r="7" spans="1:18" ht="16.5" x14ac:dyDescent="0.25">
      <c r="A7" s="3">
        <v>6</v>
      </c>
      <c r="B7" s="3">
        <v>200</v>
      </c>
      <c r="C7" s="3">
        <v>0</v>
      </c>
      <c r="D7" s="3">
        <v>1</v>
      </c>
      <c r="E7" s="15">
        <v>1</v>
      </c>
      <c r="F7" s="3">
        <v>0</v>
      </c>
      <c r="G7" s="4">
        <f t="shared" si="0"/>
        <v>0</v>
      </c>
      <c r="H7" s="4">
        <f t="shared" si="1"/>
        <v>0</v>
      </c>
      <c r="I7" s="4">
        <f t="shared" si="8"/>
        <v>0</v>
      </c>
      <c r="J7" s="9">
        <f t="shared" si="2"/>
        <v>0</v>
      </c>
      <c r="K7" s="10">
        <f t="shared" si="3"/>
        <v>0</v>
      </c>
      <c r="L7" s="11">
        <f t="shared" si="4"/>
        <v>0</v>
      </c>
      <c r="O7" s="9">
        <f t="shared" si="5"/>
        <v>0</v>
      </c>
      <c r="P7" s="10">
        <f t="shared" si="6"/>
        <v>0</v>
      </c>
      <c r="Q7" s="11">
        <f t="shared" si="7"/>
        <v>0</v>
      </c>
      <c r="R7" s="109"/>
    </row>
    <row r="8" spans="1:18" ht="16.5" x14ac:dyDescent="0.25">
      <c r="A8" s="3">
        <v>7</v>
      </c>
      <c r="B8" s="3">
        <v>240</v>
      </c>
      <c r="C8" s="3">
        <v>0</v>
      </c>
      <c r="D8" s="3">
        <v>1</v>
      </c>
      <c r="E8" s="15">
        <v>1</v>
      </c>
      <c r="F8" s="3">
        <v>0</v>
      </c>
      <c r="G8" s="4">
        <f t="shared" si="0"/>
        <v>0</v>
      </c>
      <c r="H8" s="4">
        <f t="shared" si="1"/>
        <v>0</v>
      </c>
      <c r="I8" s="4">
        <f t="shared" si="8"/>
        <v>0</v>
      </c>
      <c r="J8" s="9">
        <f t="shared" si="2"/>
        <v>0</v>
      </c>
      <c r="K8" s="10">
        <f t="shared" si="3"/>
        <v>0</v>
      </c>
      <c r="L8" s="11">
        <f t="shared" si="4"/>
        <v>0</v>
      </c>
      <c r="O8" s="9">
        <f t="shared" si="5"/>
        <v>0</v>
      </c>
      <c r="P8" s="10">
        <f t="shared" si="6"/>
        <v>0</v>
      </c>
      <c r="Q8" s="11">
        <f t="shared" si="7"/>
        <v>0</v>
      </c>
      <c r="R8" s="109"/>
    </row>
    <row r="9" spans="1:18" ht="16.5" x14ac:dyDescent="0.25">
      <c r="A9" s="3">
        <v>8</v>
      </c>
      <c r="B9" s="3">
        <v>280</v>
      </c>
      <c r="C9" s="3">
        <v>0</v>
      </c>
      <c r="D9" s="3">
        <v>1</v>
      </c>
      <c r="E9" s="15">
        <v>1</v>
      </c>
      <c r="F9" s="3">
        <v>0</v>
      </c>
      <c r="G9" s="4">
        <f t="shared" si="0"/>
        <v>0</v>
      </c>
      <c r="H9" s="4">
        <f t="shared" si="1"/>
        <v>0</v>
      </c>
      <c r="I9" s="4">
        <f t="shared" si="8"/>
        <v>0</v>
      </c>
      <c r="J9" s="9">
        <f t="shared" si="2"/>
        <v>0</v>
      </c>
      <c r="K9" s="10">
        <f t="shared" si="3"/>
        <v>0</v>
      </c>
      <c r="L9" s="11">
        <f t="shared" si="4"/>
        <v>0</v>
      </c>
      <c r="O9" s="9">
        <f t="shared" si="5"/>
        <v>0</v>
      </c>
      <c r="P9" s="10">
        <f t="shared" si="6"/>
        <v>0</v>
      </c>
      <c r="Q9" s="11">
        <f t="shared" si="7"/>
        <v>0</v>
      </c>
      <c r="R9" s="109"/>
    </row>
    <row r="10" spans="1:18" ht="16.5" x14ac:dyDescent="0.25">
      <c r="A10" s="3">
        <v>9</v>
      </c>
      <c r="B10" s="3">
        <v>320</v>
      </c>
      <c r="C10" s="3">
        <v>0</v>
      </c>
      <c r="D10" s="3">
        <v>1</v>
      </c>
      <c r="E10" s="15">
        <v>1</v>
      </c>
      <c r="F10" s="3">
        <v>0</v>
      </c>
      <c r="G10" s="4">
        <f t="shared" si="0"/>
        <v>0</v>
      </c>
      <c r="H10" s="4">
        <f t="shared" si="1"/>
        <v>0</v>
      </c>
      <c r="I10" s="4">
        <f t="shared" si="8"/>
        <v>0</v>
      </c>
      <c r="J10" s="9">
        <f t="shared" si="2"/>
        <v>0</v>
      </c>
      <c r="K10" s="10">
        <f t="shared" si="3"/>
        <v>0</v>
      </c>
      <c r="L10" s="11">
        <f t="shared" si="4"/>
        <v>0</v>
      </c>
      <c r="O10" s="9">
        <f t="shared" si="5"/>
        <v>0</v>
      </c>
      <c r="P10" s="10">
        <f t="shared" si="6"/>
        <v>0</v>
      </c>
      <c r="Q10" s="11">
        <f t="shared" si="7"/>
        <v>0</v>
      </c>
      <c r="R10" s="109"/>
    </row>
    <row r="11" spans="1:18" ht="16.5" x14ac:dyDescent="0.25">
      <c r="A11" s="3">
        <v>10</v>
      </c>
      <c r="B11" s="3">
        <v>360</v>
      </c>
      <c r="C11" s="3">
        <v>0</v>
      </c>
      <c r="D11" s="3">
        <v>1</v>
      </c>
      <c r="E11" s="15">
        <v>1</v>
      </c>
      <c r="F11" s="3">
        <v>0</v>
      </c>
      <c r="G11" s="4">
        <f t="shared" si="0"/>
        <v>0</v>
      </c>
      <c r="H11" s="4">
        <f t="shared" si="1"/>
        <v>0</v>
      </c>
      <c r="I11" s="4">
        <f t="shared" si="8"/>
        <v>0</v>
      </c>
      <c r="J11" s="9">
        <f t="shared" si="2"/>
        <v>0</v>
      </c>
      <c r="K11" s="10">
        <f t="shared" si="3"/>
        <v>0</v>
      </c>
      <c r="L11" s="11">
        <f t="shared" si="4"/>
        <v>0</v>
      </c>
      <c r="O11" s="9">
        <f t="shared" si="5"/>
        <v>0</v>
      </c>
      <c r="P11" s="10">
        <f t="shared" si="6"/>
        <v>0</v>
      </c>
      <c r="Q11" s="11">
        <f t="shared" si="7"/>
        <v>0</v>
      </c>
      <c r="R11" s="109"/>
    </row>
    <row r="12" spans="1:18" ht="16.5" x14ac:dyDescent="0.25">
      <c r="A12" s="3">
        <v>11</v>
      </c>
      <c r="B12" s="3">
        <v>400</v>
      </c>
      <c r="C12" s="3">
        <v>0</v>
      </c>
      <c r="D12" s="3">
        <v>1</v>
      </c>
      <c r="E12" s="15">
        <v>1</v>
      </c>
      <c r="F12" s="3">
        <v>0</v>
      </c>
      <c r="G12" s="4">
        <f t="shared" si="0"/>
        <v>0</v>
      </c>
      <c r="H12" s="4">
        <f t="shared" si="1"/>
        <v>0</v>
      </c>
      <c r="I12" s="4">
        <f t="shared" si="8"/>
        <v>0</v>
      </c>
      <c r="J12" s="9">
        <f t="shared" si="2"/>
        <v>0</v>
      </c>
      <c r="K12" s="10">
        <f t="shared" si="3"/>
        <v>0</v>
      </c>
      <c r="L12" s="11">
        <f t="shared" si="4"/>
        <v>0</v>
      </c>
      <c r="O12" s="9">
        <f t="shared" si="5"/>
        <v>0</v>
      </c>
      <c r="P12" s="10">
        <f t="shared" si="6"/>
        <v>0</v>
      </c>
      <c r="Q12" s="11">
        <f t="shared" si="7"/>
        <v>0</v>
      </c>
      <c r="R12" s="109"/>
    </row>
    <row r="13" spans="1:18" ht="16.5" x14ac:dyDescent="0.25">
      <c r="A13" s="3">
        <v>12</v>
      </c>
      <c r="B13" s="3">
        <v>440</v>
      </c>
      <c r="C13" s="3">
        <v>0</v>
      </c>
      <c r="D13" s="3">
        <v>1</v>
      </c>
      <c r="E13" s="15">
        <v>1</v>
      </c>
      <c r="F13" s="3">
        <v>0</v>
      </c>
      <c r="G13" s="4">
        <f t="shared" si="0"/>
        <v>0</v>
      </c>
      <c r="H13" s="4">
        <f t="shared" si="1"/>
        <v>0</v>
      </c>
      <c r="I13" s="4">
        <f t="shared" si="8"/>
        <v>0</v>
      </c>
      <c r="J13" s="9">
        <f t="shared" si="2"/>
        <v>0</v>
      </c>
      <c r="K13" s="10">
        <f t="shared" si="3"/>
        <v>0</v>
      </c>
      <c r="L13" s="11">
        <f t="shared" si="4"/>
        <v>0</v>
      </c>
      <c r="O13" s="9">
        <f t="shared" si="5"/>
        <v>0</v>
      </c>
      <c r="P13" s="10">
        <f t="shared" si="6"/>
        <v>0</v>
      </c>
      <c r="Q13" s="11">
        <f t="shared" si="7"/>
        <v>0</v>
      </c>
      <c r="R13" s="109"/>
    </row>
    <row r="14" spans="1:18" ht="16.5" x14ac:dyDescent="0.25">
      <c r="A14" s="3">
        <v>13</v>
      </c>
      <c r="B14" s="3">
        <v>480</v>
      </c>
      <c r="C14" s="3">
        <v>0</v>
      </c>
      <c r="D14" s="3">
        <v>1</v>
      </c>
      <c r="E14" s="15">
        <v>1</v>
      </c>
      <c r="F14" s="3">
        <v>0</v>
      </c>
      <c r="G14" s="4">
        <f t="shared" si="0"/>
        <v>0</v>
      </c>
      <c r="H14" s="4">
        <f t="shared" si="1"/>
        <v>0</v>
      </c>
      <c r="I14" s="4">
        <f t="shared" si="8"/>
        <v>0</v>
      </c>
      <c r="J14" s="9">
        <f t="shared" si="2"/>
        <v>0</v>
      </c>
      <c r="K14" s="10">
        <f t="shared" si="3"/>
        <v>0</v>
      </c>
      <c r="L14" s="11">
        <f t="shared" si="4"/>
        <v>0</v>
      </c>
      <c r="O14" s="9">
        <f t="shared" si="5"/>
        <v>0</v>
      </c>
      <c r="P14" s="10">
        <f t="shared" si="6"/>
        <v>0</v>
      </c>
      <c r="Q14" s="11">
        <f t="shared" si="7"/>
        <v>0</v>
      </c>
      <c r="R14" s="109"/>
    </row>
    <row r="15" spans="1:18" ht="16.5" x14ac:dyDescent="0.25">
      <c r="A15" s="3">
        <v>14</v>
      </c>
      <c r="B15" s="3">
        <v>88</v>
      </c>
      <c r="C15" s="3">
        <v>490</v>
      </c>
      <c r="D15" s="3">
        <v>1</v>
      </c>
      <c r="E15" s="15">
        <v>1</v>
      </c>
      <c r="F15" s="3">
        <v>6.4736000000000002</v>
      </c>
      <c r="G15" s="4">
        <f t="shared" si="0"/>
        <v>2.1277694232858888</v>
      </c>
      <c r="H15" s="4">
        <f t="shared" si="1"/>
        <v>29.627459954233412</v>
      </c>
      <c r="I15" s="4">
        <f t="shared" si="8"/>
        <v>37.000637630449461</v>
      </c>
      <c r="J15" s="9">
        <f t="shared" si="2"/>
        <v>6.4736000000000002</v>
      </c>
      <c r="K15" s="10">
        <f t="shared" si="3"/>
        <v>0</v>
      </c>
      <c r="L15" s="11">
        <f t="shared" si="4"/>
        <v>0</v>
      </c>
      <c r="O15" s="9">
        <f t="shared" si="5"/>
        <v>29.627459954233412</v>
      </c>
      <c r="P15" s="10">
        <f t="shared" si="6"/>
        <v>0</v>
      </c>
      <c r="Q15" s="11">
        <f t="shared" si="7"/>
        <v>0</v>
      </c>
      <c r="R15" s="109"/>
    </row>
    <row r="16" spans="1:18" ht="16.5" x14ac:dyDescent="0.25">
      <c r="A16" s="3">
        <v>15</v>
      </c>
      <c r="B16" s="3">
        <v>128</v>
      </c>
      <c r="C16" s="3">
        <v>490</v>
      </c>
      <c r="D16" s="3">
        <v>1</v>
      </c>
      <c r="E16" s="15">
        <v>2</v>
      </c>
      <c r="F16" s="3">
        <v>1.2</v>
      </c>
      <c r="G16" s="4">
        <f t="shared" si="0"/>
        <v>0.39442092621463581</v>
      </c>
      <c r="H16" s="4">
        <f t="shared" si="1"/>
        <v>5.4919908466819223</v>
      </c>
      <c r="I16" s="4">
        <f t="shared" si="8"/>
        <v>6.858743999712579</v>
      </c>
      <c r="J16" s="9">
        <f t="shared" si="2"/>
        <v>0</v>
      </c>
      <c r="K16" s="10">
        <f t="shared" si="3"/>
        <v>1.2</v>
      </c>
      <c r="L16" s="11">
        <f t="shared" si="4"/>
        <v>0</v>
      </c>
      <c r="O16" s="9">
        <f t="shared" si="5"/>
        <v>0</v>
      </c>
      <c r="P16" s="10">
        <f t="shared" si="6"/>
        <v>5.4919908466819223</v>
      </c>
      <c r="Q16" s="11">
        <f t="shared" si="7"/>
        <v>0</v>
      </c>
      <c r="R16" s="109"/>
    </row>
    <row r="17" spans="1:18" ht="16.5" x14ac:dyDescent="0.25">
      <c r="A17" s="3">
        <v>16</v>
      </c>
      <c r="B17" s="3">
        <v>168</v>
      </c>
      <c r="C17" s="3">
        <v>490</v>
      </c>
      <c r="D17" s="3">
        <v>1</v>
      </c>
      <c r="E17" s="15">
        <v>3</v>
      </c>
      <c r="F17" s="3">
        <v>2.2999999999999998</v>
      </c>
      <c r="G17" s="4">
        <f t="shared" si="0"/>
        <v>0.75597344191138538</v>
      </c>
      <c r="H17" s="4">
        <f t="shared" si="1"/>
        <v>10.526315789473685</v>
      </c>
      <c r="I17" s="4">
        <f t="shared" si="8"/>
        <v>13.14592599944911</v>
      </c>
      <c r="J17" s="9">
        <f t="shared" si="2"/>
        <v>0</v>
      </c>
      <c r="K17" s="10">
        <f t="shared" si="3"/>
        <v>0</v>
      </c>
      <c r="L17" s="11">
        <f t="shared" si="4"/>
        <v>2.2999999999999998</v>
      </c>
      <c r="O17" s="9">
        <f t="shared" si="5"/>
        <v>0</v>
      </c>
      <c r="P17" s="10">
        <f t="shared" si="6"/>
        <v>0</v>
      </c>
      <c r="Q17" s="11">
        <f t="shared" si="7"/>
        <v>10.526315789473685</v>
      </c>
      <c r="R17" s="109"/>
    </row>
    <row r="18" spans="1:18" ht="16.5" x14ac:dyDescent="0.25">
      <c r="A18" s="3">
        <v>17</v>
      </c>
      <c r="B18" s="3">
        <v>208</v>
      </c>
      <c r="C18" s="3">
        <v>490</v>
      </c>
      <c r="D18" s="3">
        <v>1</v>
      </c>
      <c r="E18" s="15">
        <v>2</v>
      </c>
      <c r="F18" s="3">
        <v>1.28</v>
      </c>
      <c r="G18" s="4">
        <f t="shared" si="0"/>
        <v>0.42071565462894484</v>
      </c>
      <c r="H18" s="4">
        <f t="shared" si="1"/>
        <v>5.8581235697940501</v>
      </c>
      <c r="I18" s="4">
        <f t="shared" si="8"/>
        <v>7.3159935996934173</v>
      </c>
      <c r="J18" s="9">
        <f t="shared" si="2"/>
        <v>0</v>
      </c>
      <c r="K18" s="10">
        <f t="shared" si="3"/>
        <v>1.28</v>
      </c>
      <c r="L18" s="11">
        <f t="shared" si="4"/>
        <v>0</v>
      </c>
      <c r="O18" s="9">
        <f t="shared" si="5"/>
        <v>0</v>
      </c>
      <c r="P18" s="10">
        <f t="shared" si="6"/>
        <v>5.8581235697940501</v>
      </c>
      <c r="Q18" s="11">
        <f t="shared" si="7"/>
        <v>0</v>
      </c>
      <c r="R18" s="109"/>
    </row>
    <row r="19" spans="1:18" ht="16.5" x14ac:dyDescent="0.25">
      <c r="A19" s="3">
        <v>18</v>
      </c>
      <c r="B19" s="3">
        <v>248</v>
      </c>
      <c r="C19" s="3">
        <v>490</v>
      </c>
      <c r="D19" s="3">
        <v>1</v>
      </c>
      <c r="E19" s="15">
        <v>3</v>
      </c>
      <c r="F19" s="3">
        <v>1.56</v>
      </c>
      <c r="G19" s="4">
        <f t="shared" si="0"/>
        <v>0.51274720407902652</v>
      </c>
      <c r="H19" s="4">
        <f t="shared" si="1"/>
        <v>7.139588100686499</v>
      </c>
      <c r="I19" s="4">
        <f t="shared" si="8"/>
        <v>8.916367199626352</v>
      </c>
      <c r="J19" s="9">
        <f t="shared" si="2"/>
        <v>0</v>
      </c>
      <c r="K19" s="10">
        <f t="shared" si="3"/>
        <v>0</v>
      </c>
      <c r="L19" s="11">
        <f t="shared" si="4"/>
        <v>1.56</v>
      </c>
      <c r="O19" s="9">
        <f t="shared" si="5"/>
        <v>0</v>
      </c>
      <c r="P19" s="10">
        <f t="shared" si="6"/>
        <v>0</v>
      </c>
      <c r="Q19" s="11">
        <f t="shared" si="7"/>
        <v>7.139588100686499</v>
      </c>
      <c r="R19" s="109"/>
    </row>
    <row r="20" spans="1:18" ht="16.5" x14ac:dyDescent="0.25">
      <c r="A20" s="3">
        <v>19</v>
      </c>
      <c r="B20" s="3">
        <v>288</v>
      </c>
      <c r="C20" s="3">
        <v>490</v>
      </c>
      <c r="D20" s="3">
        <v>1</v>
      </c>
      <c r="E20" s="15">
        <v>2</v>
      </c>
      <c r="F20" s="3">
        <v>2.5</v>
      </c>
      <c r="G20" s="4">
        <f t="shared" si="0"/>
        <v>0.82171026294715788</v>
      </c>
      <c r="H20" s="4">
        <f t="shared" si="1"/>
        <v>11.441647597254004</v>
      </c>
      <c r="I20" s="4">
        <f t="shared" si="8"/>
        <v>14.289049999401206</v>
      </c>
      <c r="J20" s="9">
        <f t="shared" si="2"/>
        <v>0</v>
      </c>
      <c r="K20" s="10">
        <f t="shared" si="3"/>
        <v>2.5</v>
      </c>
      <c r="L20" s="11">
        <f t="shared" si="4"/>
        <v>0</v>
      </c>
      <c r="O20" s="9">
        <f t="shared" si="5"/>
        <v>0</v>
      </c>
      <c r="P20" s="10">
        <f t="shared" si="6"/>
        <v>11.441647597254004</v>
      </c>
      <c r="Q20" s="11">
        <f t="shared" si="7"/>
        <v>0</v>
      </c>
      <c r="R20" s="109"/>
    </row>
    <row r="21" spans="1:18" ht="16.5" x14ac:dyDescent="0.25">
      <c r="A21" s="3">
        <v>20</v>
      </c>
      <c r="B21" s="3">
        <v>328</v>
      </c>
      <c r="C21" s="3">
        <v>490</v>
      </c>
      <c r="D21" s="3">
        <v>1</v>
      </c>
      <c r="E21" s="15">
        <v>3</v>
      </c>
      <c r="F21" s="3">
        <v>2.1</v>
      </c>
      <c r="G21" s="4">
        <f t="shared" si="0"/>
        <v>0.69023662087561277</v>
      </c>
      <c r="H21" s="4">
        <f t="shared" si="1"/>
        <v>9.610983981693364</v>
      </c>
      <c r="I21" s="4">
        <f t="shared" si="8"/>
        <v>12.002801999497013</v>
      </c>
      <c r="J21" s="9">
        <f t="shared" si="2"/>
        <v>0</v>
      </c>
      <c r="K21" s="10">
        <f t="shared" si="3"/>
        <v>0</v>
      </c>
      <c r="L21" s="11">
        <f t="shared" si="4"/>
        <v>2.1</v>
      </c>
      <c r="O21" s="9">
        <f t="shared" si="5"/>
        <v>0</v>
      </c>
      <c r="P21" s="10">
        <f t="shared" si="6"/>
        <v>0</v>
      </c>
      <c r="Q21" s="11">
        <f t="shared" si="7"/>
        <v>9.610983981693364</v>
      </c>
      <c r="R21" s="109"/>
    </row>
    <row r="22" spans="1:18" ht="16.5" x14ac:dyDescent="0.25">
      <c r="A22" s="3">
        <v>21</v>
      </c>
      <c r="B22" s="3">
        <v>368</v>
      </c>
      <c r="C22" s="3">
        <v>490</v>
      </c>
      <c r="D22" s="3">
        <v>1</v>
      </c>
      <c r="E22" s="15">
        <v>2</v>
      </c>
      <c r="F22" s="3">
        <v>0</v>
      </c>
      <c r="G22" s="4">
        <f t="shared" si="0"/>
        <v>0</v>
      </c>
      <c r="H22" s="4">
        <f t="shared" si="1"/>
        <v>0</v>
      </c>
      <c r="I22" s="4">
        <f t="shared" si="8"/>
        <v>0</v>
      </c>
      <c r="J22" s="9">
        <f t="shared" si="2"/>
        <v>0</v>
      </c>
      <c r="K22" s="10">
        <f t="shared" si="3"/>
        <v>0</v>
      </c>
      <c r="L22" s="11">
        <f t="shared" si="4"/>
        <v>0</v>
      </c>
      <c r="O22" s="9">
        <f t="shared" si="5"/>
        <v>0</v>
      </c>
      <c r="P22" s="10">
        <f t="shared" si="6"/>
        <v>0</v>
      </c>
      <c r="Q22" s="11">
        <f t="shared" si="7"/>
        <v>0</v>
      </c>
      <c r="R22" s="109"/>
    </row>
    <row r="23" spans="1:18" ht="16.5" x14ac:dyDescent="0.25">
      <c r="A23" s="3">
        <v>22</v>
      </c>
      <c r="B23" s="3">
        <v>408</v>
      </c>
      <c r="C23" s="3">
        <v>490</v>
      </c>
      <c r="D23" s="3">
        <v>1</v>
      </c>
      <c r="E23" s="15">
        <v>2</v>
      </c>
      <c r="F23" s="3">
        <v>0</v>
      </c>
      <c r="G23" s="4">
        <f t="shared" si="0"/>
        <v>0</v>
      </c>
      <c r="H23" s="4">
        <f t="shared" si="1"/>
        <v>0</v>
      </c>
      <c r="I23" s="4">
        <f t="shared" si="8"/>
        <v>0</v>
      </c>
      <c r="J23" s="9">
        <f t="shared" si="2"/>
        <v>0</v>
      </c>
      <c r="K23" s="10">
        <f t="shared" si="3"/>
        <v>0</v>
      </c>
      <c r="L23" s="11">
        <f t="shared" si="4"/>
        <v>0</v>
      </c>
      <c r="O23" s="9">
        <f t="shared" si="5"/>
        <v>0</v>
      </c>
      <c r="P23" s="10">
        <f t="shared" si="6"/>
        <v>0</v>
      </c>
      <c r="Q23" s="11">
        <f t="shared" si="7"/>
        <v>0</v>
      </c>
      <c r="R23" s="109"/>
    </row>
    <row r="24" spans="1:18" ht="16.5" x14ac:dyDescent="0.25">
      <c r="A24" s="3">
        <v>23</v>
      </c>
      <c r="B24" s="3">
        <v>63</v>
      </c>
      <c r="C24" s="3">
        <v>0</v>
      </c>
      <c r="D24" s="3">
        <v>3</v>
      </c>
      <c r="E24" s="15">
        <v>0</v>
      </c>
      <c r="F24" s="3">
        <v>10</v>
      </c>
      <c r="G24" s="4">
        <f t="shared" si="0"/>
        <v>3.2868410517886324</v>
      </c>
      <c r="H24" s="4">
        <f t="shared" si="1"/>
        <v>15.1934281365691</v>
      </c>
      <c r="I24" s="4">
        <f t="shared" si="8"/>
        <v>18.974509786322109</v>
      </c>
      <c r="J24" s="9">
        <f t="shared" si="2"/>
        <v>3.3333333333333335</v>
      </c>
      <c r="K24" s="10">
        <f t="shared" si="3"/>
        <v>3.3333333333333335</v>
      </c>
      <c r="L24" s="11">
        <f t="shared" si="4"/>
        <v>3.3333333333333335</v>
      </c>
      <c r="O24" s="9">
        <f t="shared" si="5"/>
        <v>15.1934281365691</v>
      </c>
      <c r="P24" s="10">
        <f t="shared" si="6"/>
        <v>15.1934281365691</v>
      </c>
      <c r="Q24" s="11">
        <f t="shared" si="7"/>
        <v>15.1934281365691</v>
      </c>
      <c r="R24" s="109"/>
    </row>
    <row r="25" spans="1:18" ht="16.5" x14ac:dyDescent="0.25">
      <c r="A25" s="3">
        <v>24</v>
      </c>
      <c r="B25" s="3">
        <v>87</v>
      </c>
      <c r="C25" s="3">
        <v>0</v>
      </c>
      <c r="D25" s="3">
        <v>3</v>
      </c>
      <c r="E25" s="15">
        <v>0</v>
      </c>
      <c r="F25" s="3">
        <v>15</v>
      </c>
      <c r="G25" s="4">
        <f t="shared" si="0"/>
        <v>4.9302615776829493</v>
      </c>
      <c r="H25" s="4">
        <f t="shared" si="1"/>
        <v>22.790142204853652</v>
      </c>
      <c r="I25" s="4">
        <f t="shared" si="8"/>
        <v>28.461764679483167</v>
      </c>
      <c r="J25" s="9">
        <f t="shared" si="2"/>
        <v>5</v>
      </c>
      <c r="K25" s="10">
        <f t="shared" si="3"/>
        <v>5</v>
      </c>
      <c r="L25" s="11">
        <f t="shared" si="4"/>
        <v>5</v>
      </c>
      <c r="O25" s="9">
        <f t="shared" si="5"/>
        <v>22.790142204853652</v>
      </c>
      <c r="P25" s="10">
        <f t="shared" si="6"/>
        <v>22.790142204853652</v>
      </c>
      <c r="Q25" s="11">
        <f t="shared" si="7"/>
        <v>22.790142204853652</v>
      </c>
      <c r="R25" s="109"/>
    </row>
    <row r="26" spans="1:18" ht="16.5" x14ac:dyDescent="0.25">
      <c r="A26" s="3">
        <v>25</v>
      </c>
      <c r="B26" s="3">
        <v>115</v>
      </c>
      <c r="C26" s="3">
        <v>0</v>
      </c>
      <c r="D26" s="3">
        <v>3</v>
      </c>
      <c r="E26" s="15">
        <v>0</v>
      </c>
      <c r="F26" s="3">
        <v>12.5</v>
      </c>
      <c r="G26" s="4">
        <f t="shared" si="0"/>
        <v>4.1085513147357897</v>
      </c>
      <c r="H26" s="4">
        <f t="shared" si="1"/>
        <v>18.991785170711374</v>
      </c>
      <c r="I26" s="4">
        <f t="shared" si="8"/>
        <v>23.718137232902638</v>
      </c>
      <c r="J26" s="9">
        <f t="shared" si="2"/>
        <v>4.166666666666667</v>
      </c>
      <c r="K26" s="10">
        <f t="shared" si="3"/>
        <v>4.166666666666667</v>
      </c>
      <c r="L26" s="11">
        <f t="shared" si="4"/>
        <v>4.166666666666667</v>
      </c>
      <c r="O26" s="9">
        <f t="shared" si="5"/>
        <v>18.991785170711374</v>
      </c>
      <c r="P26" s="10">
        <f t="shared" si="6"/>
        <v>18.991785170711374</v>
      </c>
      <c r="Q26" s="11">
        <f t="shared" si="7"/>
        <v>18.991785170711374</v>
      </c>
      <c r="R26" s="109"/>
    </row>
    <row r="27" spans="1:18" ht="16.5" x14ac:dyDescent="0.25">
      <c r="A27" s="3">
        <v>26</v>
      </c>
      <c r="B27" s="3">
        <v>145</v>
      </c>
      <c r="C27" s="3">
        <v>0</v>
      </c>
      <c r="D27" s="3">
        <v>3</v>
      </c>
      <c r="E27" s="15">
        <v>0</v>
      </c>
      <c r="F27" s="3">
        <v>8</v>
      </c>
      <c r="G27" s="4">
        <f t="shared" si="0"/>
        <v>2.6294728414309056</v>
      </c>
      <c r="H27" s="4">
        <f t="shared" si="1"/>
        <v>12.15474250925528</v>
      </c>
      <c r="I27" s="4">
        <f t="shared" si="8"/>
        <v>15.179607829057689</v>
      </c>
      <c r="J27" s="9">
        <f t="shared" si="2"/>
        <v>2.6666666666666665</v>
      </c>
      <c r="K27" s="10">
        <f t="shared" si="3"/>
        <v>2.6666666666666665</v>
      </c>
      <c r="L27" s="11">
        <f t="shared" si="4"/>
        <v>2.6666666666666665</v>
      </c>
      <c r="O27" s="9">
        <f t="shared" si="5"/>
        <v>12.15474250925528</v>
      </c>
      <c r="P27" s="10">
        <f t="shared" si="6"/>
        <v>12.15474250925528</v>
      </c>
      <c r="Q27" s="11">
        <f t="shared" si="7"/>
        <v>12.15474250925528</v>
      </c>
      <c r="R27" s="109"/>
    </row>
    <row r="28" spans="1:18" ht="16.5" x14ac:dyDescent="0.25">
      <c r="A28" s="3">
        <v>27</v>
      </c>
      <c r="B28" s="3">
        <v>176</v>
      </c>
      <c r="C28" s="3">
        <v>0</v>
      </c>
      <c r="D28" s="3">
        <v>3</v>
      </c>
      <c r="E28" s="15">
        <v>0</v>
      </c>
      <c r="F28" s="3">
        <v>9.5</v>
      </c>
      <c r="G28" s="4">
        <f t="shared" si="0"/>
        <v>3.1224989991992</v>
      </c>
      <c r="H28" s="4">
        <f t="shared" si="1"/>
        <v>14.433756729740645</v>
      </c>
      <c r="I28" s="4">
        <f t="shared" si="8"/>
        <v>18.025784297006005</v>
      </c>
      <c r="J28" s="9">
        <f t="shared" si="2"/>
        <v>3.1666666666666665</v>
      </c>
      <c r="K28" s="10">
        <f t="shared" si="3"/>
        <v>3.1666666666666665</v>
      </c>
      <c r="L28" s="11">
        <f t="shared" si="4"/>
        <v>3.1666666666666665</v>
      </c>
      <c r="O28" s="9">
        <f t="shared" si="5"/>
        <v>14.433756729740645</v>
      </c>
      <c r="P28" s="10">
        <f t="shared" si="6"/>
        <v>14.433756729740645</v>
      </c>
      <c r="Q28" s="11">
        <f t="shared" si="7"/>
        <v>14.433756729740645</v>
      </c>
      <c r="R28" s="109"/>
    </row>
    <row r="29" spans="1:18" ht="16.5" x14ac:dyDescent="0.25">
      <c r="A29" s="3">
        <v>28</v>
      </c>
      <c r="B29" s="3">
        <v>105</v>
      </c>
      <c r="C29" s="3">
        <v>0</v>
      </c>
      <c r="D29" s="3">
        <v>3</v>
      </c>
      <c r="E29" s="15">
        <v>0</v>
      </c>
      <c r="F29" s="3">
        <v>8.75</v>
      </c>
      <c r="G29" s="4">
        <f t="shared" si="0"/>
        <v>2.8759859203150531</v>
      </c>
      <c r="H29" s="4">
        <f t="shared" si="1"/>
        <v>13.294249619497963</v>
      </c>
      <c r="I29" s="4">
        <f t="shared" si="8"/>
        <v>16.602696063031846</v>
      </c>
      <c r="J29" s="9">
        <f t="shared" si="2"/>
        <v>2.9166666666666665</v>
      </c>
      <c r="K29" s="10">
        <f t="shared" si="3"/>
        <v>2.9166666666666665</v>
      </c>
      <c r="L29" s="11">
        <f t="shared" si="4"/>
        <v>2.9166666666666665</v>
      </c>
      <c r="O29" s="9">
        <f t="shared" si="5"/>
        <v>13.294249619497963</v>
      </c>
      <c r="P29" s="10">
        <f t="shared" si="6"/>
        <v>13.294249619497963</v>
      </c>
      <c r="Q29" s="11">
        <f t="shared" si="7"/>
        <v>13.294249619497963</v>
      </c>
      <c r="R29" s="109"/>
    </row>
    <row r="30" spans="1:18" ht="16.5" x14ac:dyDescent="0.25">
      <c r="A30" s="3">
        <v>29</v>
      </c>
      <c r="B30" s="3">
        <v>153</v>
      </c>
      <c r="C30" s="3">
        <v>0</v>
      </c>
      <c r="D30" s="3">
        <v>3</v>
      </c>
      <c r="E30" s="15">
        <v>0</v>
      </c>
      <c r="F30" s="3">
        <v>10</v>
      </c>
      <c r="G30" s="4">
        <f t="shared" si="0"/>
        <v>3.2868410517886324</v>
      </c>
      <c r="H30" s="4">
        <f t="shared" si="1"/>
        <v>15.1934281365691</v>
      </c>
      <c r="I30" s="4">
        <f t="shared" si="8"/>
        <v>18.974509786322109</v>
      </c>
      <c r="J30" s="9">
        <f t="shared" si="2"/>
        <v>3.3333333333333335</v>
      </c>
      <c r="K30" s="10">
        <f t="shared" si="3"/>
        <v>3.3333333333333335</v>
      </c>
      <c r="L30" s="11">
        <f t="shared" si="4"/>
        <v>3.3333333333333335</v>
      </c>
      <c r="O30" s="9">
        <f t="shared" si="5"/>
        <v>15.1934281365691</v>
      </c>
      <c r="P30" s="10">
        <f t="shared" si="6"/>
        <v>15.1934281365691</v>
      </c>
      <c r="Q30" s="11">
        <f t="shared" si="7"/>
        <v>15.1934281365691</v>
      </c>
      <c r="R30" s="109"/>
    </row>
    <row r="31" spans="1:18" ht="16.5" x14ac:dyDescent="0.25">
      <c r="A31" s="3">
        <v>30</v>
      </c>
      <c r="B31" s="3">
        <v>38</v>
      </c>
      <c r="C31" s="3">
        <v>196</v>
      </c>
      <c r="D31" s="3">
        <v>3</v>
      </c>
      <c r="E31" s="15">
        <v>0</v>
      </c>
      <c r="F31" s="3">
        <v>12</v>
      </c>
      <c r="G31" s="4">
        <f t="shared" si="0"/>
        <v>3.9442092621463583</v>
      </c>
      <c r="H31" s="4">
        <f t="shared" si="1"/>
        <v>18.232113763882921</v>
      </c>
      <c r="I31" s="4">
        <f t="shared" si="8"/>
        <v>22.769411743586534</v>
      </c>
      <c r="J31" s="9">
        <f t="shared" si="2"/>
        <v>4</v>
      </c>
      <c r="K31" s="10">
        <f t="shared" si="3"/>
        <v>4</v>
      </c>
      <c r="L31" s="11">
        <f t="shared" si="4"/>
        <v>4</v>
      </c>
      <c r="O31" s="9">
        <f t="shared" si="5"/>
        <v>18.232113763882921</v>
      </c>
      <c r="P31" s="10">
        <f t="shared" si="6"/>
        <v>18.232113763882921</v>
      </c>
      <c r="Q31" s="11">
        <f t="shared" si="7"/>
        <v>18.232113763882921</v>
      </c>
      <c r="R31" s="109"/>
    </row>
    <row r="32" spans="1:18" ht="16.5" x14ac:dyDescent="0.25">
      <c r="A32" s="3">
        <v>31</v>
      </c>
      <c r="B32" s="3">
        <v>124</v>
      </c>
      <c r="C32" s="3">
        <v>175</v>
      </c>
      <c r="D32" s="3">
        <v>3</v>
      </c>
      <c r="E32" s="15">
        <v>0</v>
      </c>
      <c r="F32" s="3">
        <v>13.5</v>
      </c>
      <c r="G32" s="4">
        <f t="shared" si="0"/>
        <v>4.4372354199146535</v>
      </c>
      <c r="H32" s="4">
        <f t="shared" si="1"/>
        <v>20.511127984368287</v>
      </c>
      <c r="I32" s="4">
        <f t="shared" si="8"/>
        <v>25.615588211534853</v>
      </c>
      <c r="J32" s="9">
        <f t="shared" si="2"/>
        <v>4.5</v>
      </c>
      <c r="K32" s="10">
        <f t="shared" si="3"/>
        <v>4.5</v>
      </c>
      <c r="L32" s="11">
        <f t="shared" si="4"/>
        <v>4.5</v>
      </c>
      <c r="O32" s="9">
        <f t="shared" si="5"/>
        <v>20.511127984368287</v>
      </c>
      <c r="P32" s="10">
        <f t="shared" si="6"/>
        <v>20.511127984368287</v>
      </c>
      <c r="Q32" s="11">
        <f t="shared" si="7"/>
        <v>20.511127984368287</v>
      </c>
      <c r="R32" s="109"/>
    </row>
    <row r="33" spans="1:18" ht="16.5" x14ac:dyDescent="0.25">
      <c r="A33" s="3">
        <v>32</v>
      </c>
      <c r="B33" s="3">
        <v>39</v>
      </c>
      <c r="C33" s="3">
        <v>221</v>
      </c>
      <c r="D33" s="3">
        <v>3</v>
      </c>
      <c r="E33" s="15">
        <v>0</v>
      </c>
      <c r="F33" s="3">
        <v>12</v>
      </c>
      <c r="G33" s="4">
        <f t="shared" si="0"/>
        <v>3.9442092621463583</v>
      </c>
      <c r="H33" s="4">
        <f t="shared" si="1"/>
        <v>18.232113763882921</v>
      </c>
      <c r="I33" s="4">
        <f t="shared" si="8"/>
        <v>22.769411743586534</v>
      </c>
      <c r="J33" s="9">
        <f t="shared" si="2"/>
        <v>4</v>
      </c>
      <c r="K33" s="10">
        <f t="shared" si="3"/>
        <v>4</v>
      </c>
      <c r="L33" s="11">
        <f t="shared" si="4"/>
        <v>4</v>
      </c>
      <c r="O33" s="9">
        <f t="shared" si="5"/>
        <v>18.232113763882921</v>
      </c>
      <c r="P33" s="10">
        <f t="shared" si="6"/>
        <v>18.232113763882921</v>
      </c>
      <c r="Q33" s="11">
        <f t="shared" si="7"/>
        <v>18.232113763882921</v>
      </c>
      <c r="R33" s="109"/>
    </row>
    <row r="34" spans="1:18" ht="16.5" x14ac:dyDescent="0.25">
      <c r="A34" s="3">
        <v>33</v>
      </c>
      <c r="B34" s="3">
        <v>41</v>
      </c>
      <c r="C34" s="3">
        <v>236</v>
      </c>
      <c r="D34" s="3">
        <v>3</v>
      </c>
      <c r="E34" s="15">
        <v>0</v>
      </c>
      <c r="F34" s="3">
        <v>7.5</v>
      </c>
      <c r="G34" s="4">
        <f t="shared" ref="G34:G65" si="9">IF(D34=1,(230*H34*SIN(ACOS(0.95)))/1000, IF(D34=3,(SQRT(3)*400*H34*SIN(ACOS(0.95)))/1000))</f>
        <v>2.4651307888414746</v>
      </c>
      <c r="H34" s="4">
        <f t="shared" ref="H34:H65" si="10">IF(D34=1, (F34*1000)/(230*0.95),IF(D34=3,(F34*1000/(SQRT(3)*400*0.95))))</f>
        <v>11.395071102426826</v>
      </c>
      <c r="I34" s="4">
        <f t="shared" si="8"/>
        <v>14.230882339741584</v>
      </c>
      <c r="J34" s="9">
        <f t="shared" ref="J34:J65" si="11">IF(AND(E34=1, D34=1),F34,IF(D34=3, F34/3,0))</f>
        <v>2.5</v>
      </c>
      <c r="K34" s="10">
        <f t="shared" ref="K34:K65" si="12">IF(AND(E34=2, D34=1),F34,IF(D34=3, F34/3,0))</f>
        <v>2.5</v>
      </c>
      <c r="L34" s="11">
        <f t="shared" ref="L34:L65" si="13">IF(AND(E34=3, D34=1),F34,IF(D34=3, F34/3,0))</f>
        <v>2.5</v>
      </c>
      <c r="O34" s="9">
        <f t="shared" ref="O34:O65" si="14">IF(AND(E34=1, D34=1),(F34*1000)/(230*0.95),IF(D34=3, (F34*1000)/(SQRT(3)*400*0.95),0))</f>
        <v>11.395071102426826</v>
      </c>
      <c r="P34" s="10">
        <f t="shared" ref="P34:P65" si="15">IF(AND(E34=2, D34=1),(F34*1000)/(230*0.95),IF(D34=3, (F34*1000)/(SQRT(3)*400*0.95),0))</f>
        <v>11.395071102426826</v>
      </c>
      <c r="Q34" s="11">
        <f t="shared" ref="Q34:Q65" si="16">IF(AND(E34=3, D34=1),(F34*1000)/(230*0.95),IF(D34=3, (F34*1000)/(SQRT(3)*400*0.95),0))</f>
        <v>11.395071102426826</v>
      </c>
      <c r="R34" s="109"/>
    </row>
    <row r="35" spans="1:18" ht="16.5" x14ac:dyDescent="0.25">
      <c r="A35" s="3">
        <v>34</v>
      </c>
      <c r="B35" s="3">
        <v>69</v>
      </c>
      <c r="C35" s="3">
        <v>229</v>
      </c>
      <c r="D35" s="3">
        <v>3</v>
      </c>
      <c r="E35" s="15">
        <v>0</v>
      </c>
      <c r="F35" s="3">
        <v>9.8000000000000007</v>
      </c>
      <c r="G35" s="4">
        <f t="shared" si="9"/>
        <v>3.2211042307528595</v>
      </c>
      <c r="H35" s="4">
        <f t="shared" si="10"/>
        <v>14.889559573837719</v>
      </c>
      <c r="I35" s="4">
        <f t="shared" si="8"/>
        <v>18.595019590595669</v>
      </c>
      <c r="J35" s="9">
        <f t="shared" si="11"/>
        <v>3.2666666666666671</v>
      </c>
      <c r="K35" s="10">
        <f t="shared" si="12"/>
        <v>3.2666666666666671</v>
      </c>
      <c r="L35" s="11">
        <f t="shared" si="13"/>
        <v>3.2666666666666671</v>
      </c>
      <c r="O35" s="9">
        <f t="shared" si="14"/>
        <v>14.889559573837719</v>
      </c>
      <c r="P35" s="10">
        <f t="shared" si="15"/>
        <v>14.889559573837719</v>
      </c>
      <c r="Q35" s="11">
        <f t="shared" si="16"/>
        <v>14.889559573837719</v>
      </c>
      <c r="R35" s="109"/>
    </row>
    <row r="36" spans="1:18" ht="16.5" x14ac:dyDescent="0.25">
      <c r="A36" s="3">
        <v>35</v>
      </c>
      <c r="B36" s="3">
        <v>111</v>
      </c>
      <c r="C36" s="3">
        <v>217</v>
      </c>
      <c r="D36" s="3">
        <v>3</v>
      </c>
      <c r="E36" s="15">
        <v>0</v>
      </c>
      <c r="F36" s="3">
        <v>11.2</v>
      </c>
      <c r="G36" s="4">
        <f t="shared" si="9"/>
        <v>3.6812619780032683</v>
      </c>
      <c r="H36" s="4">
        <f t="shared" si="10"/>
        <v>17.016639512957394</v>
      </c>
      <c r="I36" s="4">
        <f t="shared" si="8"/>
        <v>21.251450960680767</v>
      </c>
      <c r="J36" s="9">
        <f t="shared" si="11"/>
        <v>3.7333333333333329</v>
      </c>
      <c r="K36" s="10">
        <f t="shared" si="12"/>
        <v>3.7333333333333329</v>
      </c>
      <c r="L36" s="11">
        <f t="shared" si="13"/>
        <v>3.7333333333333329</v>
      </c>
      <c r="O36" s="9">
        <f t="shared" si="14"/>
        <v>17.016639512957394</v>
      </c>
      <c r="P36" s="10">
        <f t="shared" si="15"/>
        <v>17.016639512957394</v>
      </c>
      <c r="Q36" s="11">
        <f t="shared" si="16"/>
        <v>17.016639512957394</v>
      </c>
      <c r="R36" s="109"/>
    </row>
    <row r="37" spans="1:18" ht="16.5" x14ac:dyDescent="0.25">
      <c r="A37" s="3">
        <v>36</v>
      </c>
      <c r="B37" s="3">
        <v>43</v>
      </c>
      <c r="C37" s="3">
        <v>254</v>
      </c>
      <c r="D37" s="3">
        <v>3</v>
      </c>
      <c r="E37" s="15">
        <v>0</v>
      </c>
      <c r="F37" s="3">
        <v>11.8</v>
      </c>
      <c r="G37" s="4">
        <f t="shared" si="9"/>
        <v>3.8784724411105853</v>
      </c>
      <c r="H37" s="4">
        <f t="shared" si="10"/>
        <v>17.928245201151537</v>
      </c>
      <c r="I37" s="4">
        <f t="shared" si="8"/>
        <v>22.389921547860087</v>
      </c>
      <c r="J37" s="9">
        <f t="shared" si="11"/>
        <v>3.9333333333333336</v>
      </c>
      <c r="K37" s="10">
        <f t="shared" si="12"/>
        <v>3.9333333333333336</v>
      </c>
      <c r="L37" s="11">
        <f t="shared" si="13"/>
        <v>3.9333333333333336</v>
      </c>
      <c r="O37" s="9">
        <f t="shared" si="14"/>
        <v>17.928245201151537</v>
      </c>
      <c r="P37" s="10">
        <f t="shared" si="15"/>
        <v>17.928245201151537</v>
      </c>
      <c r="Q37" s="11">
        <f t="shared" si="16"/>
        <v>17.928245201151537</v>
      </c>
      <c r="R37" s="109"/>
    </row>
    <row r="38" spans="1:18" ht="16.5" x14ac:dyDescent="0.25">
      <c r="A38" s="3">
        <v>37</v>
      </c>
      <c r="B38" s="3">
        <v>66</v>
      </c>
      <c r="C38" s="3">
        <v>260</v>
      </c>
      <c r="D38" s="3">
        <v>3</v>
      </c>
      <c r="E38" s="15">
        <v>0</v>
      </c>
      <c r="F38" s="3">
        <v>14</v>
      </c>
      <c r="G38" s="4">
        <f t="shared" si="9"/>
        <v>4.6015774725040846</v>
      </c>
      <c r="H38" s="4">
        <f t="shared" si="10"/>
        <v>21.270799391196739</v>
      </c>
      <c r="I38" s="4">
        <f t="shared" si="8"/>
        <v>26.564313700850953</v>
      </c>
      <c r="J38" s="9">
        <f t="shared" si="11"/>
        <v>4.666666666666667</v>
      </c>
      <c r="K38" s="10">
        <f t="shared" si="12"/>
        <v>4.666666666666667</v>
      </c>
      <c r="L38" s="11">
        <f t="shared" si="13"/>
        <v>4.666666666666667</v>
      </c>
      <c r="O38" s="9">
        <f t="shared" si="14"/>
        <v>21.270799391196739</v>
      </c>
      <c r="P38" s="10">
        <f t="shared" si="15"/>
        <v>21.270799391196739</v>
      </c>
      <c r="Q38" s="11">
        <f t="shared" si="16"/>
        <v>21.270799391196739</v>
      </c>
      <c r="R38" s="109"/>
    </row>
    <row r="39" spans="1:18" ht="16.5" x14ac:dyDescent="0.25">
      <c r="A39" s="3">
        <v>38</v>
      </c>
      <c r="B39" s="3">
        <v>46</v>
      </c>
      <c r="C39" s="3">
        <v>274</v>
      </c>
      <c r="D39" s="3">
        <v>3</v>
      </c>
      <c r="E39" s="15">
        <v>0</v>
      </c>
      <c r="F39" s="3">
        <v>18</v>
      </c>
      <c r="G39" s="4">
        <f t="shared" si="9"/>
        <v>5.916313893219538</v>
      </c>
      <c r="H39" s="4">
        <f t="shared" si="10"/>
        <v>27.348170645824382</v>
      </c>
      <c r="I39" s="4">
        <f t="shared" si="8"/>
        <v>34.154117615379803</v>
      </c>
      <c r="J39" s="9">
        <f t="shared" si="11"/>
        <v>6</v>
      </c>
      <c r="K39" s="10">
        <f t="shared" si="12"/>
        <v>6</v>
      </c>
      <c r="L39" s="11">
        <f t="shared" si="13"/>
        <v>6</v>
      </c>
      <c r="O39" s="9">
        <f t="shared" si="14"/>
        <v>27.348170645824382</v>
      </c>
      <c r="P39" s="10">
        <f t="shared" si="15"/>
        <v>27.348170645824382</v>
      </c>
      <c r="Q39" s="11">
        <f t="shared" si="16"/>
        <v>27.348170645824382</v>
      </c>
      <c r="R39" s="109"/>
    </row>
    <row r="40" spans="1:18" ht="16.5" x14ac:dyDescent="0.25">
      <c r="A40" s="3">
        <v>39</v>
      </c>
      <c r="B40" s="3">
        <v>46</v>
      </c>
      <c r="C40" s="3">
        <v>291</v>
      </c>
      <c r="D40" s="3">
        <v>3</v>
      </c>
      <c r="E40" s="15">
        <v>0</v>
      </c>
      <c r="F40" s="3">
        <v>17.89</v>
      </c>
      <c r="G40" s="4">
        <f t="shared" si="9"/>
        <v>5.8801586416498628</v>
      </c>
      <c r="H40" s="4">
        <f t="shared" si="10"/>
        <v>27.181042936322122</v>
      </c>
      <c r="I40" s="4">
        <f t="shared" si="8"/>
        <v>33.945398007730255</v>
      </c>
      <c r="J40" s="9">
        <f t="shared" si="11"/>
        <v>5.9633333333333338</v>
      </c>
      <c r="K40" s="10">
        <f t="shared" si="12"/>
        <v>5.9633333333333338</v>
      </c>
      <c r="L40" s="11">
        <f t="shared" si="13"/>
        <v>5.9633333333333338</v>
      </c>
      <c r="O40" s="9">
        <f t="shared" si="14"/>
        <v>27.181042936322122</v>
      </c>
      <c r="P40" s="10">
        <f t="shared" si="15"/>
        <v>27.181042936322122</v>
      </c>
      <c r="Q40" s="11">
        <f t="shared" si="16"/>
        <v>27.181042936322122</v>
      </c>
      <c r="R40" s="109"/>
    </row>
    <row r="41" spans="1:18" ht="16.5" x14ac:dyDescent="0.25">
      <c r="A41" s="3">
        <v>40</v>
      </c>
      <c r="B41" s="3">
        <v>48</v>
      </c>
      <c r="C41" s="3">
        <v>306</v>
      </c>
      <c r="D41" s="3">
        <v>3</v>
      </c>
      <c r="E41" s="15">
        <v>0</v>
      </c>
      <c r="F41" s="3">
        <v>8.6999999999999993</v>
      </c>
      <c r="G41" s="4">
        <f t="shared" si="9"/>
        <v>2.8595517150561101</v>
      </c>
      <c r="H41" s="4">
        <f t="shared" si="10"/>
        <v>13.218282478815118</v>
      </c>
      <c r="I41" s="4">
        <f t="shared" si="8"/>
        <v>16.507823514100238</v>
      </c>
      <c r="J41" s="9">
        <f t="shared" si="11"/>
        <v>2.9</v>
      </c>
      <c r="K41" s="10">
        <f t="shared" si="12"/>
        <v>2.9</v>
      </c>
      <c r="L41" s="11">
        <f t="shared" si="13"/>
        <v>2.9</v>
      </c>
      <c r="O41" s="9">
        <f t="shared" si="14"/>
        <v>13.218282478815118</v>
      </c>
      <c r="P41" s="10">
        <f t="shared" si="15"/>
        <v>13.218282478815118</v>
      </c>
      <c r="Q41" s="11">
        <f t="shared" si="16"/>
        <v>13.218282478815118</v>
      </c>
      <c r="R41" s="109"/>
    </row>
    <row r="42" spans="1:18" ht="16.5" x14ac:dyDescent="0.25">
      <c r="A42" s="3">
        <v>41</v>
      </c>
      <c r="B42" s="3">
        <v>50</v>
      </c>
      <c r="C42" s="3">
        <v>373</v>
      </c>
      <c r="D42" s="3">
        <v>3</v>
      </c>
      <c r="E42" s="15">
        <v>0</v>
      </c>
      <c r="F42" s="3">
        <v>9.8000000000000007</v>
      </c>
      <c r="G42" s="4">
        <f t="shared" si="9"/>
        <v>3.2211042307528595</v>
      </c>
      <c r="H42" s="4">
        <f t="shared" si="10"/>
        <v>14.889559573837719</v>
      </c>
      <c r="I42" s="4">
        <f t="shared" si="8"/>
        <v>18.595019590595669</v>
      </c>
      <c r="J42" s="9">
        <f t="shared" si="11"/>
        <v>3.2666666666666671</v>
      </c>
      <c r="K42" s="10">
        <f t="shared" si="12"/>
        <v>3.2666666666666671</v>
      </c>
      <c r="L42" s="11">
        <f t="shared" si="13"/>
        <v>3.2666666666666671</v>
      </c>
      <c r="O42" s="9">
        <f t="shared" si="14"/>
        <v>14.889559573837719</v>
      </c>
      <c r="P42" s="10">
        <f t="shared" si="15"/>
        <v>14.889559573837719</v>
      </c>
      <c r="Q42" s="11">
        <f t="shared" si="16"/>
        <v>14.889559573837719</v>
      </c>
      <c r="R42" s="109"/>
    </row>
    <row r="43" spans="1:18" ht="16.5" x14ac:dyDescent="0.25">
      <c r="A43" s="3">
        <v>42</v>
      </c>
      <c r="B43" s="3">
        <v>65</v>
      </c>
      <c r="C43" s="3">
        <v>362</v>
      </c>
      <c r="D43" s="3">
        <v>3</v>
      </c>
      <c r="E43" s="15">
        <v>0</v>
      </c>
      <c r="F43" s="3">
        <v>11.87</v>
      </c>
      <c r="G43" s="4">
        <f t="shared" si="9"/>
        <v>3.9014803284731059</v>
      </c>
      <c r="H43" s="4">
        <f t="shared" si="10"/>
        <v>18.034599198107522</v>
      </c>
      <c r="I43" s="4">
        <f t="shared" si="8"/>
        <v>22.522743116364346</v>
      </c>
      <c r="J43" s="9">
        <f t="shared" si="11"/>
        <v>3.9566666666666666</v>
      </c>
      <c r="K43" s="10">
        <f t="shared" si="12"/>
        <v>3.9566666666666666</v>
      </c>
      <c r="L43" s="11">
        <f t="shared" si="13"/>
        <v>3.9566666666666666</v>
      </c>
      <c r="O43" s="9">
        <f t="shared" si="14"/>
        <v>18.034599198107522</v>
      </c>
      <c r="P43" s="10">
        <f t="shared" si="15"/>
        <v>18.034599198107522</v>
      </c>
      <c r="Q43" s="11">
        <f t="shared" si="16"/>
        <v>18.034599198107522</v>
      </c>
      <c r="R43" s="109"/>
    </row>
    <row r="44" spans="1:18" ht="16.5" x14ac:dyDescent="0.25">
      <c r="A44" s="3">
        <v>43</v>
      </c>
      <c r="B44" s="3">
        <v>66</v>
      </c>
      <c r="C44" s="3">
        <v>371</v>
      </c>
      <c r="D44" s="3">
        <v>3</v>
      </c>
      <c r="E44" s="15">
        <v>0</v>
      </c>
      <c r="F44" s="3">
        <v>21.3</v>
      </c>
      <c r="G44" s="4">
        <f t="shared" si="9"/>
        <v>7.0009714403097867</v>
      </c>
      <c r="H44" s="4">
        <f t="shared" si="10"/>
        <v>32.362001930892184</v>
      </c>
      <c r="I44" s="4">
        <f t="shared" si="8"/>
        <v>40.415705844866096</v>
      </c>
      <c r="J44" s="9">
        <f t="shared" si="11"/>
        <v>7.1000000000000005</v>
      </c>
      <c r="K44" s="10">
        <f t="shared" si="12"/>
        <v>7.1000000000000005</v>
      </c>
      <c r="L44" s="11">
        <f t="shared" si="13"/>
        <v>7.1000000000000005</v>
      </c>
      <c r="O44" s="9">
        <f t="shared" si="14"/>
        <v>32.362001930892184</v>
      </c>
      <c r="P44" s="10">
        <f t="shared" si="15"/>
        <v>32.362001930892184</v>
      </c>
      <c r="Q44" s="11">
        <f t="shared" si="16"/>
        <v>32.362001930892184</v>
      </c>
      <c r="R44" s="109"/>
    </row>
    <row r="45" spans="1:18" ht="16.5" x14ac:dyDescent="0.25">
      <c r="A45" s="3">
        <v>44</v>
      </c>
      <c r="B45" s="3">
        <v>68</v>
      </c>
      <c r="C45" s="3">
        <v>382</v>
      </c>
      <c r="D45" s="3">
        <v>3</v>
      </c>
      <c r="E45" s="15">
        <v>0</v>
      </c>
      <c r="F45" s="3">
        <v>22.5</v>
      </c>
      <c r="G45" s="4">
        <f t="shared" si="9"/>
        <v>7.3953923665244226</v>
      </c>
      <c r="H45" s="4">
        <f t="shared" si="10"/>
        <v>34.185213307280478</v>
      </c>
      <c r="I45" s="4">
        <f t="shared" si="8"/>
        <v>42.692647019224751</v>
      </c>
      <c r="J45" s="9">
        <f t="shared" si="11"/>
        <v>7.5</v>
      </c>
      <c r="K45" s="10">
        <f t="shared" si="12"/>
        <v>7.5</v>
      </c>
      <c r="L45" s="11">
        <f t="shared" si="13"/>
        <v>7.5</v>
      </c>
      <c r="O45" s="9">
        <f t="shared" si="14"/>
        <v>34.185213307280478</v>
      </c>
      <c r="P45" s="10">
        <f t="shared" si="15"/>
        <v>34.185213307280478</v>
      </c>
      <c r="Q45" s="11">
        <f t="shared" si="16"/>
        <v>34.185213307280478</v>
      </c>
      <c r="R45" s="109"/>
    </row>
    <row r="46" spans="1:18" ht="16.5" x14ac:dyDescent="0.25">
      <c r="A46" s="3">
        <v>45</v>
      </c>
      <c r="B46" s="3">
        <v>100</v>
      </c>
      <c r="C46" s="3">
        <v>365</v>
      </c>
      <c r="D46" s="3">
        <v>1</v>
      </c>
      <c r="E46" s="15">
        <v>2</v>
      </c>
      <c r="F46" s="3">
        <v>1.3</v>
      </c>
      <c r="G46" s="4">
        <f t="shared" si="9"/>
        <v>0.42728933673252212</v>
      </c>
      <c r="H46" s="4">
        <f t="shared" si="10"/>
        <v>5.9496567505720828</v>
      </c>
      <c r="I46" s="4">
        <f t="shared" si="8"/>
        <v>7.4303059996886276</v>
      </c>
      <c r="J46" s="9">
        <f t="shared" si="11"/>
        <v>0</v>
      </c>
      <c r="K46" s="10">
        <f t="shared" si="12"/>
        <v>1.3</v>
      </c>
      <c r="L46" s="11">
        <f t="shared" si="13"/>
        <v>0</v>
      </c>
      <c r="O46" s="9">
        <f t="shared" si="14"/>
        <v>0</v>
      </c>
      <c r="P46" s="10">
        <f t="shared" si="15"/>
        <v>5.9496567505720828</v>
      </c>
      <c r="Q46" s="11">
        <f t="shared" si="16"/>
        <v>0</v>
      </c>
      <c r="R46" s="109"/>
    </row>
    <row r="47" spans="1:18" ht="16.5" x14ac:dyDescent="0.25">
      <c r="A47" s="3">
        <v>46</v>
      </c>
      <c r="B47" s="3">
        <v>66</v>
      </c>
      <c r="C47" s="3">
        <v>419</v>
      </c>
      <c r="D47" s="3">
        <v>1</v>
      </c>
      <c r="E47" s="15">
        <v>3</v>
      </c>
      <c r="F47" s="3">
        <v>1.9</v>
      </c>
      <c r="G47" s="4">
        <f t="shared" si="9"/>
        <v>0.62449979983984005</v>
      </c>
      <c r="H47" s="4">
        <f t="shared" si="10"/>
        <v>8.695652173913043</v>
      </c>
      <c r="I47" s="4">
        <f t="shared" si="8"/>
        <v>10.859677999544916</v>
      </c>
      <c r="J47" s="9">
        <f t="shared" si="11"/>
        <v>0</v>
      </c>
      <c r="K47" s="10">
        <f t="shared" si="12"/>
        <v>0</v>
      </c>
      <c r="L47" s="11">
        <f t="shared" si="13"/>
        <v>1.9</v>
      </c>
      <c r="O47" s="9">
        <f t="shared" si="14"/>
        <v>0</v>
      </c>
      <c r="P47" s="10">
        <f t="shared" si="15"/>
        <v>0</v>
      </c>
      <c r="Q47" s="11">
        <f t="shared" si="16"/>
        <v>8.695652173913043</v>
      </c>
      <c r="R47" s="109"/>
    </row>
    <row r="48" spans="1:18" ht="16.5" x14ac:dyDescent="0.25">
      <c r="A48" s="3">
        <v>47</v>
      </c>
      <c r="B48" s="3">
        <v>59</v>
      </c>
      <c r="C48" s="3">
        <v>459</v>
      </c>
      <c r="D48" s="3">
        <v>1</v>
      </c>
      <c r="E48" s="15">
        <v>2</v>
      </c>
      <c r="F48" s="3">
        <v>2.4</v>
      </c>
      <c r="G48" s="4">
        <f t="shared" si="9"/>
        <v>0.78884185242927163</v>
      </c>
      <c r="H48" s="4">
        <f t="shared" si="10"/>
        <v>10.983981693363845</v>
      </c>
      <c r="I48" s="4">
        <f t="shared" si="8"/>
        <v>13.717487999425158</v>
      </c>
      <c r="J48" s="9">
        <f t="shared" si="11"/>
        <v>0</v>
      </c>
      <c r="K48" s="10">
        <f t="shared" si="12"/>
        <v>2.4</v>
      </c>
      <c r="L48" s="11">
        <f t="shared" si="13"/>
        <v>0</v>
      </c>
      <c r="O48" s="9">
        <f t="shared" si="14"/>
        <v>0</v>
      </c>
      <c r="P48" s="10">
        <f t="shared" si="15"/>
        <v>10.983981693363845</v>
      </c>
      <c r="Q48" s="11">
        <f t="shared" si="16"/>
        <v>0</v>
      </c>
      <c r="R48" s="109"/>
    </row>
    <row r="49" spans="1:18" ht="16.5" x14ac:dyDescent="0.25">
      <c r="A49" s="3">
        <v>48</v>
      </c>
      <c r="B49" s="3">
        <v>59</v>
      </c>
      <c r="C49" s="3">
        <v>482</v>
      </c>
      <c r="D49" s="3">
        <v>1</v>
      </c>
      <c r="E49" s="15">
        <v>1</v>
      </c>
      <c r="F49" s="3">
        <v>1.1000000000000001</v>
      </c>
      <c r="G49" s="4">
        <f t="shared" si="9"/>
        <v>0.36155251569674945</v>
      </c>
      <c r="H49" s="4">
        <f t="shared" si="10"/>
        <v>5.0343249427917618</v>
      </c>
      <c r="I49" s="4">
        <f t="shared" si="8"/>
        <v>6.2871819997365304</v>
      </c>
      <c r="J49" s="9">
        <f t="shared" si="11"/>
        <v>1.1000000000000001</v>
      </c>
      <c r="K49" s="10">
        <f t="shared" si="12"/>
        <v>0</v>
      </c>
      <c r="L49" s="11">
        <f t="shared" si="13"/>
        <v>0</v>
      </c>
      <c r="O49" s="9">
        <f t="shared" si="14"/>
        <v>5.0343249427917618</v>
      </c>
      <c r="P49" s="10">
        <f t="shared" si="15"/>
        <v>0</v>
      </c>
      <c r="Q49" s="11">
        <f t="shared" si="16"/>
        <v>0</v>
      </c>
      <c r="R49" s="109"/>
    </row>
    <row r="50" spans="1:18" ht="16.5" x14ac:dyDescent="0.25">
      <c r="A50" s="3">
        <v>49</v>
      </c>
      <c r="B50" s="3">
        <v>103</v>
      </c>
      <c r="C50" s="3">
        <v>463</v>
      </c>
      <c r="D50" s="3">
        <v>1</v>
      </c>
      <c r="E50" s="15">
        <v>1</v>
      </c>
      <c r="F50" s="3">
        <v>1.2</v>
      </c>
      <c r="G50" s="4">
        <f t="shared" si="9"/>
        <v>0.39442092621463581</v>
      </c>
      <c r="H50" s="4">
        <f t="shared" si="10"/>
        <v>5.4919908466819223</v>
      </c>
      <c r="I50" s="4">
        <f t="shared" si="8"/>
        <v>6.858743999712579</v>
      </c>
      <c r="J50" s="9">
        <f t="shared" si="11"/>
        <v>1.2</v>
      </c>
      <c r="K50" s="10">
        <f t="shared" si="12"/>
        <v>0</v>
      </c>
      <c r="L50" s="11">
        <f t="shared" si="13"/>
        <v>0</v>
      </c>
      <c r="O50" s="9">
        <f t="shared" si="14"/>
        <v>5.4919908466819223</v>
      </c>
      <c r="P50" s="10">
        <f t="shared" si="15"/>
        <v>0</v>
      </c>
      <c r="Q50" s="11">
        <f t="shared" si="16"/>
        <v>0</v>
      </c>
      <c r="R50" s="109"/>
    </row>
    <row r="51" spans="1:18" ht="16.5" x14ac:dyDescent="0.25">
      <c r="A51" s="3">
        <v>50</v>
      </c>
      <c r="B51" s="3">
        <v>121</v>
      </c>
      <c r="C51" s="3">
        <v>460</v>
      </c>
      <c r="D51" s="3">
        <v>1</v>
      </c>
      <c r="E51" s="15">
        <v>3</v>
      </c>
      <c r="F51" s="3">
        <v>1.3</v>
      </c>
      <c r="G51" s="4">
        <f t="shared" si="9"/>
        <v>0.42728933673252212</v>
      </c>
      <c r="H51" s="4">
        <f t="shared" si="10"/>
        <v>5.9496567505720828</v>
      </c>
      <c r="I51" s="4">
        <f t="shared" si="8"/>
        <v>7.4303059996886276</v>
      </c>
      <c r="J51" s="9">
        <f t="shared" si="11"/>
        <v>0</v>
      </c>
      <c r="K51" s="10">
        <f t="shared" si="12"/>
        <v>0</v>
      </c>
      <c r="L51" s="11">
        <f t="shared" si="13"/>
        <v>1.3</v>
      </c>
      <c r="O51" s="9">
        <f t="shared" si="14"/>
        <v>0</v>
      </c>
      <c r="P51" s="10">
        <f t="shared" si="15"/>
        <v>0</v>
      </c>
      <c r="Q51" s="11">
        <f t="shared" si="16"/>
        <v>5.9496567505720828</v>
      </c>
      <c r="R51" s="109"/>
    </row>
    <row r="52" spans="1:18" ht="16.5" x14ac:dyDescent="0.25">
      <c r="A52" s="3">
        <v>51</v>
      </c>
      <c r="B52" s="3">
        <v>134</v>
      </c>
      <c r="C52" s="3">
        <v>464</v>
      </c>
      <c r="D52" s="3">
        <v>1</v>
      </c>
      <c r="E52" s="15">
        <v>2</v>
      </c>
      <c r="F52" s="3">
        <v>1.5</v>
      </c>
      <c r="G52" s="4">
        <f t="shared" si="9"/>
        <v>0.49302615776829478</v>
      </c>
      <c r="H52" s="4">
        <f t="shared" si="10"/>
        <v>6.8649885583524028</v>
      </c>
      <c r="I52" s="4">
        <f t="shared" si="8"/>
        <v>8.5734299996407231</v>
      </c>
      <c r="J52" s="9">
        <f t="shared" si="11"/>
        <v>0</v>
      </c>
      <c r="K52" s="10">
        <f t="shared" si="12"/>
        <v>1.5</v>
      </c>
      <c r="L52" s="11">
        <f t="shared" si="13"/>
        <v>0</v>
      </c>
      <c r="O52" s="9">
        <f t="shared" si="14"/>
        <v>0</v>
      </c>
      <c r="P52" s="10">
        <f t="shared" si="15"/>
        <v>6.8649885583524028</v>
      </c>
      <c r="Q52" s="11">
        <f t="shared" si="16"/>
        <v>0</v>
      </c>
      <c r="R52" s="109"/>
    </row>
    <row r="53" spans="1:18" s="105" customFormat="1" ht="16.5" x14ac:dyDescent="0.25">
      <c r="A53" s="39">
        <v>52</v>
      </c>
      <c r="B53" s="39">
        <v>137</v>
      </c>
      <c r="C53" s="39">
        <v>419</v>
      </c>
      <c r="D53" s="39">
        <v>1</v>
      </c>
      <c r="E53" s="102">
        <v>1</v>
      </c>
      <c r="F53" s="39">
        <v>1.8</v>
      </c>
      <c r="G53" s="4">
        <f t="shared" si="9"/>
        <v>0.59163138932195369</v>
      </c>
      <c r="H53" s="4">
        <f t="shared" si="10"/>
        <v>8.2379862700228834</v>
      </c>
      <c r="I53" s="103">
        <f t="shared" si="8"/>
        <v>10.288115999568868</v>
      </c>
      <c r="J53" s="104">
        <f t="shared" si="11"/>
        <v>1.8</v>
      </c>
      <c r="K53" s="104">
        <f t="shared" si="12"/>
        <v>0</v>
      </c>
      <c r="L53" s="104">
        <f t="shared" si="13"/>
        <v>0</v>
      </c>
      <c r="O53" s="9">
        <f t="shared" si="14"/>
        <v>8.2379862700228834</v>
      </c>
      <c r="P53" s="10">
        <f t="shared" si="15"/>
        <v>0</v>
      </c>
      <c r="Q53" s="11">
        <f t="shared" si="16"/>
        <v>0</v>
      </c>
      <c r="R53" s="109"/>
    </row>
    <row r="54" spans="1:18" ht="16.5" x14ac:dyDescent="0.25">
      <c r="A54" s="3">
        <v>53</v>
      </c>
      <c r="B54" s="3">
        <v>151</v>
      </c>
      <c r="C54" s="3">
        <v>411</v>
      </c>
      <c r="D54" s="3">
        <v>1</v>
      </c>
      <c r="E54" s="15">
        <v>3</v>
      </c>
      <c r="F54" s="3">
        <v>2.2999999999999998</v>
      </c>
      <c r="G54" s="4">
        <f t="shared" si="9"/>
        <v>0.75597344191138538</v>
      </c>
      <c r="H54" s="4">
        <f t="shared" si="10"/>
        <v>10.526315789473685</v>
      </c>
      <c r="I54" s="4">
        <f t="shared" si="8"/>
        <v>13.14592599944911</v>
      </c>
      <c r="J54" s="9">
        <f t="shared" si="11"/>
        <v>0</v>
      </c>
      <c r="K54" s="10">
        <f t="shared" si="12"/>
        <v>0</v>
      </c>
      <c r="L54" s="11">
        <f t="shared" si="13"/>
        <v>2.2999999999999998</v>
      </c>
      <c r="O54" s="9">
        <f t="shared" si="14"/>
        <v>0</v>
      </c>
      <c r="P54" s="10">
        <f t="shared" si="15"/>
        <v>0</v>
      </c>
      <c r="Q54" s="11">
        <f t="shared" si="16"/>
        <v>10.526315789473685</v>
      </c>
      <c r="R54" s="109"/>
    </row>
    <row r="55" spans="1:18" ht="16.5" x14ac:dyDescent="0.25">
      <c r="A55" s="3">
        <v>54</v>
      </c>
      <c r="B55" s="3">
        <v>164</v>
      </c>
      <c r="C55" s="3">
        <v>419</v>
      </c>
      <c r="D55" s="3">
        <v>1</v>
      </c>
      <c r="E55" s="15">
        <v>2</v>
      </c>
      <c r="F55" s="3">
        <v>1.7</v>
      </c>
      <c r="G55" s="4">
        <f t="shared" si="9"/>
        <v>0.55876297880406745</v>
      </c>
      <c r="H55" s="4">
        <f t="shared" si="10"/>
        <v>7.7803203661327229</v>
      </c>
      <c r="I55" s="4">
        <f t="shared" si="8"/>
        <v>9.7165539995928203</v>
      </c>
      <c r="J55" s="9">
        <f t="shared" si="11"/>
        <v>0</v>
      </c>
      <c r="K55" s="10">
        <f t="shared" si="12"/>
        <v>1.7</v>
      </c>
      <c r="L55" s="11">
        <f t="shared" si="13"/>
        <v>0</v>
      </c>
      <c r="O55" s="9">
        <f t="shared" si="14"/>
        <v>0</v>
      </c>
      <c r="P55" s="10">
        <f t="shared" si="15"/>
        <v>7.7803203661327229</v>
      </c>
      <c r="Q55" s="11">
        <f t="shared" si="16"/>
        <v>0</v>
      </c>
      <c r="R55" s="109"/>
    </row>
    <row r="56" spans="1:18" ht="16.5" x14ac:dyDescent="0.25">
      <c r="A56" s="3">
        <v>55</v>
      </c>
      <c r="B56" s="3">
        <v>182</v>
      </c>
      <c r="C56" s="3">
        <v>471</v>
      </c>
      <c r="D56" s="3">
        <v>3</v>
      </c>
      <c r="E56" s="15">
        <v>0</v>
      </c>
      <c r="F56" s="3">
        <v>2.5</v>
      </c>
      <c r="G56" s="4">
        <f t="shared" si="9"/>
        <v>0.8217102629471581</v>
      </c>
      <c r="H56" s="4">
        <f t="shared" si="10"/>
        <v>3.798357034142275</v>
      </c>
      <c r="I56" s="4">
        <f t="shared" si="8"/>
        <v>4.7436274465805273</v>
      </c>
      <c r="J56" s="9">
        <f t="shared" si="11"/>
        <v>0.83333333333333337</v>
      </c>
      <c r="K56" s="10">
        <f t="shared" si="12"/>
        <v>0.83333333333333337</v>
      </c>
      <c r="L56" s="11">
        <f t="shared" si="13"/>
        <v>0.83333333333333337</v>
      </c>
      <c r="O56" s="9">
        <f t="shared" si="14"/>
        <v>3.798357034142275</v>
      </c>
      <c r="P56" s="10">
        <f t="shared" si="15"/>
        <v>3.798357034142275</v>
      </c>
      <c r="Q56" s="11">
        <f t="shared" si="16"/>
        <v>3.798357034142275</v>
      </c>
      <c r="R56" s="109"/>
    </row>
    <row r="57" spans="1:18" ht="16.5" x14ac:dyDescent="0.25">
      <c r="A57" s="3">
        <v>56</v>
      </c>
      <c r="B57" s="3">
        <v>177</v>
      </c>
      <c r="C57" s="3">
        <v>461</v>
      </c>
      <c r="D57" s="3">
        <v>1</v>
      </c>
      <c r="E57" s="15">
        <v>1</v>
      </c>
      <c r="F57" s="3">
        <v>3.2</v>
      </c>
      <c r="G57" s="4">
        <f t="shared" si="9"/>
        <v>1.0517891365723622</v>
      </c>
      <c r="H57" s="4">
        <f t="shared" si="10"/>
        <v>14.645308924485127</v>
      </c>
      <c r="I57" s="4">
        <f t="shared" si="8"/>
        <v>18.289983999233545</v>
      </c>
      <c r="J57" s="9">
        <f t="shared" si="11"/>
        <v>3.2</v>
      </c>
      <c r="K57" s="10">
        <f t="shared" si="12"/>
        <v>0</v>
      </c>
      <c r="L57" s="11">
        <f t="shared" si="13"/>
        <v>0</v>
      </c>
      <c r="O57" s="9">
        <f t="shared" si="14"/>
        <v>14.645308924485127</v>
      </c>
      <c r="P57" s="10">
        <f t="shared" si="15"/>
        <v>0</v>
      </c>
      <c r="Q57" s="11">
        <f t="shared" si="16"/>
        <v>0</v>
      </c>
      <c r="R57" s="109"/>
    </row>
    <row r="58" spans="1:18" ht="16.5" x14ac:dyDescent="0.25">
      <c r="A58" s="3">
        <v>57</v>
      </c>
      <c r="B58" s="3">
        <v>185</v>
      </c>
      <c r="C58" s="3">
        <v>426</v>
      </c>
      <c r="D58" s="3">
        <v>1</v>
      </c>
      <c r="E58" s="15">
        <v>3</v>
      </c>
      <c r="F58" s="3">
        <v>1.3</v>
      </c>
      <c r="G58" s="4">
        <f t="shared" si="9"/>
        <v>0.42728933673252212</v>
      </c>
      <c r="H58" s="4">
        <f t="shared" si="10"/>
        <v>5.9496567505720828</v>
      </c>
      <c r="I58" s="4">
        <f t="shared" si="8"/>
        <v>7.4303059996886276</v>
      </c>
      <c r="J58" s="9">
        <f t="shared" si="11"/>
        <v>0</v>
      </c>
      <c r="K58" s="10">
        <f t="shared" si="12"/>
        <v>0</v>
      </c>
      <c r="L58" s="11">
        <f t="shared" si="13"/>
        <v>1.3</v>
      </c>
      <c r="O58" s="9">
        <f t="shared" si="14"/>
        <v>0</v>
      </c>
      <c r="P58" s="10">
        <f t="shared" si="15"/>
        <v>0</v>
      </c>
      <c r="Q58" s="11">
        <f t="shared" si="16"/>
        <v>5.9496567505720828</v>
      </c>
      <c r="R58" s="109"/>
    </row>
    <row r="59" spans="1:18" ht="16.5" x14ac:dyDescent="0.25">
      <c r="A59" s="3">
        <v>58</v>
      </c>
      <c r="B59" s="3">
        <v>185</v>
      </c>
      <c r="C59" s="3">
        <v>418</v>
      </c>
      <c r="D59" s="3">
        <v>1</v>
      </c>
      <c r="E59" s="15">
        <v>2</v>
      </c>
      <c r="F59" s="3">
        <v>1.5</v>
      </c>
      <c r="G59" s="4">
        <f t="shared" si="9"/>
        <v>0.49302615776829478</v>
      </c>
      <c r="H59" s="4">
        <f t="shared" si="10"/>
        <v>6.8649885583524028</v>
      </c>
      <c r="I59" s="4">
        <f t="shared" si="8"/>
        <v>8.5734299996407231</v>
      </c>
      <c r="J59" s="9">
        <f t="shared" si="11"/>
        <v>0</v>
      </c>
      <c r="K59" s="10">
        <f t="shared" si="12"/>
        <v>1.5</v>
      </c>
      <c r="L59" s="11">
        <f t="shared" si="13"/>
        <v>0</v>
      </c>
      <c r="O59" s="9">
        <f t="shared" si="14"/>
        <v>0</v>
      </c>
      <c r="P59" s="10">
        <f t="shared" si="15"/>
        <v>6.8649885583524028</v>
      </c>
      <c r="Q59" s="11">
        <f t="shared" si="16"/>
        <v>0</v>
      </c>
      <c r="R59" s="109"/>
    </row>
    <row r="60" spans="1:18" ht="16.5" x14ac:dyDescent="0.25">
      <c r="A60" s="3">
        <v>59</v>
      </c>
      <c r="B60" s="3">
        <v>196</v>
      </c>
      <c r="C60" s="3">
        <v>412</v>
      </c>
      <c r="D60" s="3">
        <v>1</v>
      </c>
      <c r="E60" s="15">
        <v>3</v>
      </c>
      <c r="F60" s="3">
        <v>1.2</v>
      </c>
      <c r="G60" s="4">
        <f t="shared" si="9"/>
        <v>0.39442092621463581</v>
      </c>
      <c r="H60" s="4">
        <f t="shared" si="10"/>
        <v>5.4919908466819223</v>
      </c>
      <c r="I60" s="4">
        <f t="shared" si="8"/>
        <v>6.858743999712579</v>
      </c>
      <c r="J60" s="9">
        <f t="shared" si="11"/>
        <v>0</v>
      </c>
      <c r="K60" s="10">
        <f t="shared" si="12"/>
        <v>0</v>
      </c>
      <c r="L60" s="11">
        <f t="shared" si="13"/>
        <v>1.2</v>
      </c>
      <c r="O60" s="9">
        <f t="shared" si="14"/>
        <v>0</v>
      </c>
      <c r="P60" s="10">
        <f t="shared" si="15"/>
        <v>0</v>
      </c>
      <c r="Q60" s="11">
        <f t="shared" si="16"/>
        <v>5.4919908466819223</v>
      </c>
      <c r="R60" s="109"/>
    </row>
    <row r="61" spans="1:18" ht="16.5" x14ac:dyDescent="0.25">
      <c r="A61" s="3">
        <v>60</v>
      </c>
      <c r="B61" s="3">
        <v>220</v>
      </c>
      <c r="C61" s="3">
        <v>406</v>
      </c>
      <c r="D61" s="3">
        <v>1</v>
      </c>
      <c r="E61" s="15">
        <v>2</v>
      </c>
      <c r="F61" s="3">
        <v>1.1000000000000001</v>
      </c>
      <c r="G61" s="4">
        <f t="shared" si="9"/>
        <v>0.36155251569674945</v>
      </c>
      <c r="H61" s="4">
        <f t="shared" si="10"/>
        <v>5.0343249427917618</v>
      </c>
      <c r="I61" s="4">
        <f t="shared" si="8"/>
        <v>6.2871819997365304</v>
      </c>
      <c r="J61" s="9">
        <f t="shared" si="11"/>
        <v>0</v>
      </c>
      <c r="K61" s="10">
        <f t="shared" si="12"/>
        <v>1.1000000000000001</v>
      </c>
      <c r="L61" s="11">
        <f t="shared" si="13"/>
        <v>0</v>
      </c>
      <c r="O61" s="9">
        <f t="shared" si="14"/>
        <v>0</v>
      </c>
      <c r="P61" s="10">
        <f t="shared" si="15"/>
        <v>5.0343249427917618</v>
      </c>
      <c r="Q61" s="11">
        <f t="shared" si="16"/>
        <v>0</v>
      </c>
      <c r="R61" s="109"/>
    </row>
    <row r="62" spans="1:18" ht="16.5" x14ac:dyDescent="0.25">
      <c r="A62" s="3">
        <v>61</v>
      </c>
      <c r="B62" s="3">
        <v>239</v>
      </c>
      <c r="C62" s="3">
        <v>467</v>
      </c>
      <c r="D62" s="3">
        <v>1</v>
      </c>
      <c r="E62" s="15">
        <v>1</v>
      </c>
      <c r="F62" s="3">
        <v>0.9</v>
      </c>
      <c r="G62" s="4">
        <f t="shared" si="9"/>
        <v>0.29581569466097685</v>
      </c>
      <c r="H62" s="4">
        <f t="shared" si="10"/>
        <v>4.1189931350114417</v>
      </c>
      <c r="I62" s="4">
        <f t="shared" si="8"/>
        <v>5.144057999784434</v>
      </c>
      <c r="J62" s="9">
        <f t="shared" si="11"/>
        <v>0.9</v>
      </c>
      <c r="K62" s="10">
        <f t="shared" si="12"/>
        <v>0</v>
      </c>
      <c r="L62" s="11">
        <f t="shared" si="13"/>
        <v>0</v>
      </c>
      <c r="O62" s="9">
        <f t="shared" si="14"/>
        <v>4.1189931350114417</v>
      </c>
      <c r="P62" s="10">
        <f t="shared" si="15"/>
        <v>0</v>
      </c>
      <c r="Q62" s="11">
        <f t="shared" si="16"/>
        <v>0</v>
      </c>
      <c r="R62" s="109"/>
    </row>
    <row r="63" spans="1:18" ht="16.5" x14ac:dyDescent="0.25">
      <c r="A63" s="3">
        <v>62</v>
      </c>
      <c r="B63" s="3">
        <v>267</v>
      </c>
      <c r="C63" s="3">
        <v>399</v>
      </c>
      <c r="D63" s="3">
        <v>1</v>
      </c>
      <c r="E63" s="15">
        <v>3</v>
      </c>
      <c r="F63" s="3">
        <v>0.46400000000000002</v>
      </c>
      <c r="G63" s="4">
        <f t="shared" si="9"/>
        <v>0.15250942480299251</v>
      </c>
      <c r="H63" s="4">
        <f t="shared" si="10"/>
        <v>2.1235697940503431</v>
      </c>
      <c r="I63" s="4">
        <f t="shared" si="8"/>
        <v>2.6520476798888635</v>
      </c>
      <c r="J63" s="9">
        <f t="shared" si="11"/>
        <v>0</v>
      </c>
      <c r="K63" s="10">
        <f t="shared" si="12"/>
        <v>0</v>
      </c>
      <c r="L63" s="11">
        <f t="shared" si="13"/>
        <v>0.46400000000000002</v>
      </c>
      <c r="O63" s="9">
        <f t="shared" si="14"/>
        <v>0</v>
      </c>
      <c r="P63" s="10">
        <f t="shared" si="15"/>
        <v>0</v>
      </c>
      <c r="Q63" s="11">
        <f t="shared" si="16"/>
        <v>2.1235697940503431</v>
      </c>
      <c r="R63" s="109"/>
    </row>
    <row r="64" spans="1:18" ht="16.5" x14ac:dyDescent="0.25">
      <c r="A64" s="3">
        <v>63</v>
      </c>
      <c r="B64" s="3">
        <v>354</v>
      </c>
      <c r="C64" s="3">
        <v>469</v>
      </c>
      <c r="D64" s="3">
        <v>1</v>
      </c>
      <c r="E64" s="15">
        <v>3</v>
      </c>
      <c r="F64" s="3">
        <v>0.41099999999999998</v>
      </c>
      <c r="G64" s="4">
        <f t="shared" si="9"/>
        <v>0.13508916722851277</v>
      </c>
      <c r="H64" s="4">
        <f t="shared" si="10"/>
        <v>1.8810068649885583</v>
      </c>
      <c r="I64" s="4">
        <f t="shared" si="8"/>
        <v>2.3491198199015582</v>
      </c>
      <c r="J64" s="9">
        <f t="shared" si="11"/>
        <v>0</v>
      </c>
      <c r="K64" s="10">
        <f t="shared" si="12"/>
        <v>0</v>
      </c>
      <c r="L64" s="11">
        <f t="shared" si="13"/>
        <v>0.41099999999999998</v>
      </c>
      <c r="O64" s="9">
        <f t="shared" si="14"/>
        <v>0</v>
      </c>
      <c r="P64" s="10">
        <f t="shared" si="15"/>
        <v>0</v>
      </c>
      <c r="Q64" s="11">
        <f t="shared" si="16"/>
        <v>1.8810068649885583</v>
      </c>
      <c r="R64" s="109"/>
    </row>
    <row r="65" spans="1:18" ht="16.5" x14ac:dyDescent="0.25">
      <c r="A65" s="3">
        <v>64</v>
      </c>
      <c r="B65" s="3">
        <v>372</v>
      </c>
      <c r="C65" s="3">
        <v>472</v>
      </c>
      <c r="D65" s="3">
        <v>1</v>
      </c>
      <c r="E65" s="15">
        <v>2</v>
      </c>
      <c r="F65" s="3">
        <v>0.434</v>
      </c>
      <c r="G65" s="4">
        <f t="shared" si="9"/>
        <v>0.14264890164762664</v>
      </c>
      <c r="H65" s="4">
        <f t="shared" si="10"/>
        <v>1.9862700228832952</v>
      </c>
      <c r="I65" s="4">
        <f t="shared" si="8"/>
        <v>2.4805790798960494</v>
      </c>
      <c r="J65" s="9">
        <f t="shared" si="11"/>
        <v>0</v>
      </c>
      <c r="K65" s="10">
        <f t="shared" si="12"/>
        <v>0.434</v>
      </c>
      <c r="L65" s="11">
        <f t="shared" si="13"/>
        <v>0</v>
      </c>
      <c r="O65" s="9">
        <f t="shared" si="14"/>
        <v>0</v>
      </c>
      <c r="P65" s="10">
        <f t="shared" si="15"/>
        <v>1.9862700228832952</v>
      </c>
      <c r="Q65" s="11">
        <f t="shared" si="16"/>
        <v>0</v>
      </c>
      <c r="R65" s="109"/>
    </row>
    <row r="66" spans="1:18" ht="16.5" x14ac:dyDescent="0.25">
      <c r="A66" s="3">
        <v>65</v>
      </c>
      <c r="B66" s="3">
        <v>423</v>
      </c>
      <c r="C66" s="3">
        <v>473</v>
      </c>
      <c r="D66" s="3">
        <v>1</v>
      </c>
      <c r="E66" s="15">
        <v>1</v>
      </c>
      <c r="F66" s="3">
        <v>0.437</v>
      </c>
      <c r="G66" s="4">
        <f t="shared" ref="G66:G97" si="17">IF(D66=1,(230*H66*SIN(ACOS(0.95)))/1000, IF(D66=3,(SQRT(3)*400*H66*SIN(ACOS(0.95)))/1000))</f>
        <v>0.14363495396316323</v>
      </c>
      <c r="H66" s="4">
        <f t="shared" ref="H66:H97" si="18">IF(D66=1, (F66*1000)/(230*0.95),IF(D66=3,(F66*1000/(SQRT(3)*400*0.95))))</f>
        <v>2</v>
      </c>
      <c r="I66" s="4">
        <f t="shared" si="8"/>
        <v>2.4977259398953309</v>
      </c>
      <c r="J66" s="9">
        <f t="shared" ref="J66:J97" si="19">IF(AND(E66=1, D66=1),F66,IF(D66=3, F66/3,0))</f>
        <v>0.437</v>
      </c>
      <c r="K66" s="10">
        <f t="shared" ref="K66:K97" si="20">IF(AND(E66=2, D66=1),F66,IF(D66=3, F66/3,0))</f>
        <v>0</v>
      </c>
      <c r="L66" s="11">
        <f t="shared" ref="L66:L97" si="21">IF(AND(E66=3, D66=1),F66,IF(D66=3, F66/3,0))</f>
        <v>0</v>
      </c>
      <c r="O66" s="9">
        <f t="shared" ref="O66:O97" si="22">IF(AND(E66=1, D66=1),(F66*1000)/(230*0.95),IF(D66=3, (F66*1000)/(SQRT(3)*400*0.95),0))</f>
        <v>2</v>
      </c>
      <c r="P66" s="10">
        <f t="shared" ref="P66:P97" si="23">IF(AND(E66=2, D66=1),(F66*1000)/(230*0.95),IF(D66=3, (F66*1000)/(SQRT(3)*400*0.95),0))</f>
        <v>0</v>
      </c>
      <c r="Q66" s="11">
        <f t="shared" ref="Q66:Q97" si="24">IF(AND(E66=3, D66=1),(F66*1000)/(230*0.95),IF(D66=3, (F66*1000)/(SQRT(3)*400*0.95),0))</f>
        <v>0</v>
      </c>
      <c r="R66" s="109"/>
    </row>
    <row r="67" spans="1:18" ht="16.5" x14ac:dyDescent="0.25">
      <c r="A67" s="3">
        <v>66</v>
      </c>
      <c r="B67" s="3">
        <v>-61</v>
      </c>
      <c r="C67" s="3">
        <v>24</v>
      </c>
      <c r="D67" s="3">
        <v>1</v>
      </c>
      <c r="E67" s="15">
        <v>3</v>
      </c>
      <c r="F67" s="3">
        <v>0.29199999999999998</v>
      </c>
      <c r="G67" s="4">
        <f t="shared" si="17"/>
        <v>9.5975758712228049E-2</v>
      </c>
      <c r="H67" s="4">
        <f t="shared" si="18"/>
        <v>1.3363844393592677</v>
      </c>
      <c r="I67" s="4">
        <f t="shared" ref="I67:I130" si="25">H67*(1+0.025)^9</f>
        <v>1.6689610399300607</v>
      </c>
      <c r="J67" s="9">
        <f t="shared" si="19"/>
        <v>0</v>
      </c>
      <c r="K67" s="10">
        <f t="shared" si="20"/>
        <v>0</v>
      </c>
      <c r="L67" s="11">
        <f t="shared" si="21"/>
        <v>0.29199999999999998</v>
      </c>
      <c r="O67" s="9">
        <f t="shared" si="22"/>
        <v>0</v>
      </c>
      <c r="P67" s="10">
        <f t="shared" si="23"/>
        <v>0</v>
      </c>
      <c r="Q67" s="11">
        <f t="shared" si="24"/>
        <v>1.3363844393592677</v>
      </c>
      <c r="R67" s="109"/>
    </row>
    <row r="68" spans="1:18" ht="16.5" x14ac:dyDescent="0.25">
      <c r="A68" s="3">
        <v>67</v>
      </c>
      <c r="B68" s="3">
        <v>-27</v>
      </c>
      <c r="C68" s="3">
        <v>32</v>
      </c>
      <c r="D68" s="3">
        <v>1</v>
      </c>
      <c r="E68" s="15">
        <v>2</v>
      </c>
      <c r="F68" s="3">
        <v>0.36899999999999999</v>
      </c>
      <c r="G68" s="4">
        <f t="shared" si="17"/>
        <v>0.12128443481100051</v>
      </c>
      <c r="H68" s="4">
        <f t="shared" si="18"/>
        <v>1.688787185354691</v>
      </c>
      <c r="I68" s="4">
        <f t="shared" si="25"/>
        <v>2.1090637799116179</v>
      </c>
      <c r="J68" s="9">
        <f t="shared" si="19"/>
        <v>0</v>
      </c>
      <c r="K68" s="10">
        <f t="shared" si="20"/>
        <v>0.36899999999999999</v>
      </c>
      <c r="L68" s="11">
        <f t="shared" si="21"/>
        <v>0</v>
      </c>
      <c r="O68" s="9">
        <f t="shared" si="22"/>
        <v>0</v>
      </c>
      <c r="P68" s="10">
        <f t="shared" si="23"/>
        <v>1.688787185354691</v>
      </c>
      <c r="Q68" s="11">
        <f t="shared" si="24"/>
        <v>0</v>
      </c>
      <c r="R68" s="109"/>
    </row>
    <row r="69" spans="1:18" ht="16.5" x14ac:dyDescent="0.25">
      <c r="A69" s="3">
        <v>68</v>
      </c>
      <c r="B69" s="3">
        <v>-12</v>
      </c>
      <c r="C69" s="3">
        <v>38</v>
      </c>
      <c r="D69" s="3">
        <v>1</v>
      </c>
      <c r="E69" s="15">
        <v>1</v>
      </c>
      <c r="F69" s="3">
        <v>0.44500000000000001</v>
      </c>
      <c r="G69" s="4">
        <f t="shared" si="17"/>
        <v>0.14626442680459412</v>
      </c>
      <c r="H69" s="4">
        <f t="shared" si="18"/>
        <v>2.0366132723112127</v>
      </c>
      <c r="I69" s="4">
        <f t="shared" si="25"/>
        <v>2.5434508998934144</v>
      </c>
      <c r="J69" s="9">
        <f t="shared" si="19"/>
        <v>0.44500000000000001</v>
      </c>
      <c r="K69" s="10">
        <f t="shared" si="20"/>
        <v>0</v>
      </c>
      <c r="L69" s="11">
        <f t="shared" si="21"/>
        <v>0</v>
      </c>
      <c r="O69" s="9">
        <f t="shared" si="22"/>
        <v>2.0366132723112127</v>
      </c>
      <c r="P69" s="10">
        <f t="shared" si="23"/>
        <v>0</v>
      </c>
      <c r="Q69" s="11">
        <f t="shared" si="24"/>
        <v>0</v>
      </c>
      <c r="R69" s="109"/>
    </row>
    <row r="70" spans="1:18" ht="16.5" x14ac:dyDescent="0.25">
      <c r="A70" s="3">
        <v>69</v>
      </c>
      <c r="B70" s="3">
        <v>-3</v>
      </c>
      <c r="C70" s="3">
        <v>38</v>
      </c>
      <c r="D70" s="3">
        <v>1</v>
      </c>
      <c r="E70" s="15">
        <v>3</v>
      </c>
      <c r="F70" s="3">
        <v>0.44600000000000001</v>
      </c>
      <c r="G70" s="4">
        <f t="shared" si="17"/>
        <v>0.14659311090977301</v>
      </c>
      <c r="H70" s="4">
        <f t="shared" si="18"/>
        <v>2.0411899313501145</v>
      </c>
      <c r="I70" s="4">
        <f t="shared" si="25"/>
        <v>2.5491665198931752</v>
      </c>
      <c r="J70" s="9">
        <f t="shared" si="19"/>
        <v>0</v>
      </c>
      <c r="K70" s="10">
        <f t="shared" si="20"/>
        <v>0</v>
      </c>
      <c r="L70" s="11">
        <f t="shared" si="21"/>
        <v>0.44600000000000001</v>
      </c>
      <c r="O70" s="9">
        <f t="shared" si="22"/>
        <v>0</v>
      </c>
      <c r="P70" s="10">
        <f t="shared" si="23"/>
        <v>0</v>
      </c>
      <c r="Q70" s="11">
        <f t="shared" si="24"/>
        <v>2.0411899313501145</v>
      </c>
      <c r="R70" s="109"/>
    </row>
    <row r="71" spans="1:18" ht="16.5" x14ac:dyDescent="0.25">
      <c r="A71" s="3">
        <v>70</v>
      </c>
      <c r="B71" s="3">
        <v>-12</v>
      </c>
      <c r="C71" s="3">
        <v>50</v>
      </c>
      <c r="D71" s="3">
        <v>1</v>
      </c>
      <c r="E71" s="15">
        <v>2</v>
      </c>
      <c r="F71" s="3">
        <v>0.38100000000000001</v>
      </c>
      <c r="G71" s="4">
        <f t="shared" si="17"/>
        <v>0.12522864407314688</v>
      </c>
      <c r="H71" s="4">
        <f t="shared" si="18"/>
        <v>1.7437070938215102</v>
      </c>
      <c r="I71" s="4">
        <f t="shared" si="25"/>
        <v>2.1776512199087437</v>
      </c>
      <c r="J71" s="9">
        <f t="shared" si="19"/>
        <v>0</v>
      </c>
      <c r="K71" s="10">
        <f t="shared" si="20"/>
        <v>0.38100000000000001</v>
      </c>
      <c r="L71" s="11">
        <f t="shared" si="21"/>
        <v>0</v>
      </c>
      <c r="O71" s="9">
        <f t="shared" si="22"/>
        <v>0</v>
      </c>
      <c r="P71" s="10">
        <f t="shared" si="23"/>
        <v>1.7437070938215102</v>
      </c>
      <c r="Q71" s="11">
        <f t="shared" si="24"/>
        <v>0</v>
      </c>
      <c r="R71" s="109"/>
    </row>
    <row r="72" spans="1:18" ht="16.5" x14ac:dyDescent="0.25">
      <c r="A72" s="3">
        <v>71</v>
      </c>
      <c r="B72" s="3">
        <v>-10</v>
      </c>
      <c r="C72" s="3">
        <v>57</v>
      </c>
      <c r="D72" s="3">
        <v>1</v>
      </c>
      <c r="E72" s="15">
        <v>1</v>
      </c>
      <c r="F72" s="3">
        <v>0.33300000000000002</v>
      </c>
      <c r="G72" s="4">
        <f t="shared" si="17"/>
        <v>0.10945180702456145</v>
      </c>
      <c r="H72" s="4">
        <f t="shared" si="18"/>
        <v>1.5240274599542334</v>
      </c>
      <c r="I72" s="4">
        <f t="shared" si="25"/>
        <v>1.9033014599202407</v>
      </c>
      <c r="J72" s="9">
        <f t="shared" si="19"/>
        <v>0.33300000000000002</v>
      </c>
      <c r="K72" s="10">
        <f t="shared" si="20"/>
        <v>0</v>
      </c>
      <c r="L72" s="11">
        <f t="shared" si="21"/>
        <v>0</v>
      </c>
      <c r="O72" s="9">
        <f t="shared" si="22"/>
        <v>1.5240274599542334</v>
      </c>
      <c r="P72" s="10">
        <f t="shared" si="23"/>
        <v>0</v>
      </c>
      <c r="Q72" s="11">
        <f t="shared" si="24"/>
        <v>0</v>
      </c>
      <c r="R72" s="109"/>
    </row>
    <row r="73" spans="1:18" ht="16.5" x14ac:dyDescent="0.25">
      <c r="A73" s="3">
        <v>72</v>
      </c>
      <c r="B73" s="3">
        <v>-9</v>
      </c>
      <c r="C73" s="3">
        <v>63</v>
      </c>
      <c r="D73" s="3">
        <v>1</v>
      </c>
      <c r="E73" s="15">
        <v>3</v>
      </c>
      <c r="F73" s="3">
        <v>0.371</v>
      </c>
      <c r="G73" s="4">
        <f t="shared" si="17"/>
        <v>0.12194180302135824</v>
      </c>
      <c r="H73" s="4">
        <f t="shared" si="18"/>
        <v>1.6979405034324944</v>
      </c>
      <c r="I73" s="4">
        <f t="shared" si="25"/>
        <v>2.120495019911139</v>
      </c>
      <c r="J73" s="9">
        <f t="shared" si="19"/>
        <v>0</v>
      </c>
      <c r="K73" s="10">
        <f t="shared" si="20"/>
        <v>0</v>
      </c>
      <c r="L73" s="11">
        <f t="shared" si="21"/>
        <v>0.371</v>
      </c>
      <c r="O73" s="9">
        <f t="shared" si="22"/>
        <v>0</v>
      </c>
      <c r="P73" s="10">
        <f t="shared" si="23"/>
        <v>0</v>
      </c>
      <c r="Q73" s="11">
        <f t="shared" si="24"/>
        <v>1.6979405034324944</v>
      </c>
      <c r="R73" s="109"/>
    </row>
    <row r="74" spans="1:18" ht="16.5" x14ac:dyDescent="0.25">
      <c r="A74" s="3">
        <v>73</v>
      </c>
      <c r="B74" s="3">
        <v>-17</v>
      </c>
      <c r="C74" s="3">
        <v>72</v>
      </c>
      <c r="D74" s="3">
        <v>1</v>
      </c>
      <c r="E74" s="15">
        <v>2</v>
      </c>
      <c r="F74" s="3">
        <v>0.435</v>
      </c>
      <c r="G74" s="4">
        <f t="shared" si="17"/>
        <v>0.14297758575280547</v>
      </c>
      <c r="H74" s="4">
        <f t="shared" si="18"/>
        <v>1.9908466819221968</v>
      </c>
      <c r="I74" s="4">
        <f t="shared" si="25"/>
        <v>2.4862946998958098</v>
      </c>
      <c r="J74" s="9">
        <f t="shared" si="19"/>
        <v>0</v>
      </c>
      <c r="K74" s="10">
        <f t="shared" si="20"/>
        <v>0.435</v>
      </c>
      <c r="L74" s="11">
        <f t="shared" si="21"/>
        <v>0</v>
      </c>
      <c r="O74" s="9">
        <f t="shared" si="22"/>
        <v>0</v>
      </c>
      <c r="P74" s="10">
        <f t="shared" si="23"/>
        <v>1.9908466819221968</v>
      </c>
      <c r="Q74" s="11">
        <f t="shared" si="24"/>
        <v>0</v>
      </c>
      <c r="R74" s="109"/>
    </row>
    <row r="75" spans="1:18" ht="16.5" x14ac:dyDescent="0.25">
      <c r="A75" s="3">
        <v>74</v>
      </c>
      <c r="B75" s="3">
        <v>-16</v>
      </c>
      <c r="C75" s="3">
        <v>89</v>
      </c>
      <c r="D75" s="3">
        <v>1</v>
      </c>
      <c r="E75" s="15">
        <v>1</v>
      </c>
      <c r="F75" s="3">
        <v>0.41399999999999998</v>
      </c>
      <c r="G75" s="4">
        <f t="shared" si="17"/>
        <v>0.13607521954404936</v>
      </c>
      <c r="H75" s="4">
        <f t="shared" si="18"/>
        <v>1.8947368421052631</v>
      </c>
      <c r="I75" s="4">
        <f t="shared" si="25"/>
        <v>2.3662666799008396</v>
      </c>
      <c r="J75" s="9">
        <f t="shared" si="19"/>
        <v>0.41399999999999998</v>
      </c>
      <c r="K75" s="10">
        <f t="shared" si="20"/>
        <v>0</v>
      </c>
      <c r="L75" s="11">
        <f t="shared" si="21"/>
        <v>0</v>
      </c>
      <c r="O75" s="9">
        <f t="shared" si="22"/>
        <v>1.8947368421052631</v>
      </c>
      <c r="P75" s="10">
        <f t="shared" si="23"/>
        <v>0</v>
      </c>
      <c r="Q75" s="11">
        <f t="shared" si="24"/>
        <v>0</v>
      </c>
      <c r="R75" s="109"/>
    </row>
    <row r="76" spans="1:18" ht="16.5" x14ac:dyDescent="0.25">
      <c r="A76" s="3">
        <v>75</v>
      </c>
      <c r="B76" s="3">
        <v>-4</v>
      </c>
      <c r="C76" s="3">
        <v>104</v>
      </c>
      <c r="D76" s="3">
        <v>1</v>
      </c>
      <c r="E76" s="15">
        <v>3</v>
      </c>
      <c r="F76" s="3">
        <v>0.42299999999999999</v>
      </c>
      <c r="G76" s="4">
        <f t="shared" si="17"/>
        <v>0.13903337649065911</v>
      </c>
      <c r="H76" s="4">
        <f t="shared" si="18"/>
        <v>1.9359267734553776</v>
      </c>
      <c r="I76" s="4">
        <f t="shared" si="25"/>
        <v>2.417707259898684</v>
      </c>
      <c r="J76" s="9">
        <f t="shared" si="19"/>
        <v>0</v>
      </c>
      <c r="K76" s="10">
        <f t="shared" si="20"/>
        <v>0</v>
      </c>
      <c r="L76" s="11">
        <f t="shared" si="21"/>
        <v>0.42299999999999999</v>
      </c>
      <c r="O76" s="9">
        <f t="shared" si="22"/>
        <v>0</v>
      </c>
      <c r="P76" s="10">
        <f t="shared" si="23"/>
        <v>0</v>
      </c>
      <c r="Q76" s="11">
        <f t="shared" si="24"/>
        <v>1.9359267734553776</v>
      </c>
      <c r="R76" s="109"/>
    </row>
    <row r="77" spans="1:18" ht="16.5" x14ac:dyDescent="0.25">
      <c r="A77" s="3">
        <v>76</v>
      </c>
      <c r="B77" s="3">
        <v>-10</v>
      </c>
      <c r="C77" s="3">
        <v>128</v>
      </c>
      <c r="D77" s="3">
        <v>1</v>
      </c>
      <c r="E77" s="15">
        <v>2</v>
      </c>
      <c r="F77" s="3">
        <v>0.33200000000000002</v>
      </c>
      <c r="G77" s="4">
        <f t="shared" si="17"/>
        <v>0.10912312291938257</v>
      </c>
      <c r="H77" s="4">
        <f t="shared" si="18"/>
        <v>1.5194508009153318</v>
      </c>
      <c r="I77" s="4">
        <f t="shared" si="25"/>
        <v>1.8975858399204801</v>
      </c>
      <c r="J77" s="9">
        <f t="shared" si="19"/>
        <v>0</v>
      </c>
      <c r="K77" s="10">
        <f t="shared" si="20"/>
        <v>0.33200000000000002</v>
      </c>
      <c r="L77" s="11">
        <f t="shared" si="21"/>
        <v>0</v>
      </c>
      <c r="O77" s="9">
        <f t="shared" si="22"/>
        <v>0</v>
      </c>
      <c r="P77" s="10">
        <f t="shared" si="23"/>
        <v>1.5194508009153318</v>
      </c>
      <c r="Q77" s="11">
        <f t="shared" si="24"/>
        <v>0</v>
      </c>
      <c r="R77" s="109"/>
    </row>
    <row r="78" spans="1:18" ht="16.5" x14ac:dyDescent="0.25">
      <c r="A78" s="3">
        <v>77</v>
      </c>
      <c r="B78" s="3">
        <v>-34</v>
      </c>
      <c r="C78" s="3">
        <v>158</v>
      </c>
      <c r="D78" s="3">
        <v>1</v>
      </c>
      <c r="E78" s="15">
        <v>1</v>
      </c>
      <c r="F78" s="3">
        <v>0.47699999999999998</v>
      </c>
      <c r="G78" s="4">
        <f t="shared" si="17"/>
        <v>0.15678231817031774</v>
      </c>
      <c r="H78" s="4">
        <f t="shared" si="18"/>
        <v>2.1830663615560639</v>
      </c>
      <c r="I78" s="4">
        <f t="shared" si="25"/>
        <v>2.7263507398857501</v>
      </c>
      <c r="J78" s="9">
        <f t="shared" si="19"/>
        <v>0.47699999999999998</v>
      </c>
      <c r="K78" s="10">
        <f t="shared" si="20"/>
        <v>0</v>
      </c>
      <c r="L78" s="11">
        <f t="shared" si="21"/>
        <v>0</v>
      </c>
      <c r="O78" s="9">
        <f t="shared" si="22"/>
        <v>2.1830663615560639</v>
      </c>
      <c r="P78" s="10">
        <f t="shared" si="23"/>
        <v>0</v>
      </c>
      <c r="Q78" s="11">
        <f t="shared" si="24"/>
        <v>0</v>
      </c>
      <c r="R78" s="109"/>
    </row>
    <row r="79" spans="1:18" ht="16.5" x14ac:dyDescent="0.25">
      <c r="A79" s="3">
        <v>78</v>
      </c>
      <c r="B79" s="3">
        <v>-69</v>
      </c>
      <c r="C79" s="3">
        <v>165</v>
      </c>
      <c r="D79" s="3">
        <v>1</v>
      </c>
      <c r="E79" s="15">
        <v>3</v>
      </c>
      <c r="F79" s="3">
        <v>0.41199999999999998</v>
      </c>
      <c r="G79" s="4">
        <f t="shared" si="17"/>
        <v>0.13541785133369164</v>
      </c>
      <c r="H79" s="4">
        <f t="shared" si="18"/>
        <v>1.8855835240274599</v>
      </c>
      <c r="I79" s="4">
        <f t="shared" si="25"/>
        <v>2.3548354399013185</v>
      </c>
      <c r="J79" s="9">
        <f t="shared" si="19"/>
        <v>0</v>
      </c>
      <c r="K79" s="10">
        <f t="shared" si="20"/>
        <v>0</v>
      </c>
      <c r="L79" s="11">
        <f t="shared" si="21"/>
        <v>0.41199999999999998</v>
      </c>
      <c r="O79" s="9">
        <f t="shared" si="22"/>
        <v>0</v>
      </c>
      <c r="P79" s="10">
        <f t="shared" si="23"/>
        <v>0</v>
      </c>
      <c r="Q79" s="11">
        <f t="shared" si="24"/>
        <v>1.8855835240274599</v>
      </c>
      <c r="R79" s="109"/>
    </row>
    <row r="80" spans="1:18" ht="16.5" x14ac:dyDescent="0.25">
      <c r="A80" s="3">
        <v>79</v>
      </c>
      <c r="B80" s="3">
        <v>-84</v>
      </c>
      <c r="C80" s="3">
        <v>166</v>
      </c>
      <c r="D80" s="3">
        <v>1</v>
      </c>
      <c r="E80" s="15">
        <v>2</v>
      </c>
      <c r="F80" s="3">
        <v>0.33600000000000002</v>
      </c>
      <c r="G80" s="4">
        <f t="shared" si="17"/>
        <v>0.11043785934009803</v>
      </c>
      <c r="H80" s="4">
        <f t="shared" si="18"/>
        <v>1.5377574370709381</v>
      </c>
      <c r="I80" s="4">
        <f t="shared" si="25"/>
        <v>1.9204483199195221</v>
      </c>
      <c r="J80" s="9">
        <f t="shared" si="19"/>
        <v>0</v>
      </c>
      <c r="K80" s="10">
        <f t="shared" si="20"/>
        <v>0.33600000000000002</v>
      </c>
      <c r="L80" s="11">
        <f t="shared" si="21"/>
        <v>0</v>
      </c>
      <c r="O80" s="9">
        <f t="shared" si="22"/>
        <v>0</v>
      </c>
      <c r="P80" s="10">
        <f t="shared" si="23"/>
        <v>1.5377574370709381</v>
      </c>
      <c r="Q80" s="11">
        <f t="shared" si="24"/>
        <v>0</v>
      </c>
      <c r="R80" s="109"/>
    </row>
    <row r="81" spans="1:18" ht="16.5" x14ac:dyDescent="0.25">
      <c r="A81" s="3">
        <v>80</v>
      </c>
      <c r="B81" s="3">
        <v>-102</v>
      </c>
      <c r="C81" s="3">
        <v>164</v>
      </c>
      <c r="D81" s="3">
        <v>1</v>
      </c>
      <c r="E81" s="15">
        <v>2</v>
      </c>
      <c r="F81" s="3">
        <v>0.36099999999999999</v>
      </c>
      <c r="G81" s="4">
        <f t="shared" si="17"/>
        <v>0.11865496196956961</v>
      </c>
      <c r="H81" s="4">
        <f t="shared" si="18"/>
        <v>1.6521739130434783</v>
      </c>
      <c r="I81" s="4">
        <f t="shared" si="25"/>
        <v>2.0633388199135343</v>
      </c>
      <c r="J81" s="9">
        <f t="shared" si="19"/>
        <v>0</v>
      </c>
      <c r="K81" s="10">
        <f t="shared" si="20"/>
        <v>0.36099999999999999</v>
      </c>
      <c r="L81" s="11">
        <f t="shared" si="21"/>
        <v>0</v>
      </c>
      <c r="O81" s="9">
        <f t="shared" si="22"/>
        <v>0</v>
      </c>
      <c r="P81" s="10">
        <f t="shared" si="23"/>
        <v>1.6521739130434783</v>
      </c>
      <c r="Q81" s="11">
        <f t="shared" si="24"/>
        <v>0</v>
      </c>
      <c r="R81" s="109"/>
    </row>
    <row r="82" spans="1:18" ht="16.5" x14ac:dyDescent="0.25">
      <c r="A82" s="3">
        <v>81</v>
      </c>
      <c r="B82" s="3">
        <v>-6</v>
      </c>
      <c r="C82" s="3">
        <v>165</v>
      </c>
      <c r="D82" s="3">
        <v>1</v>
      </c>
      <c r="E82" s="15">
        <v>3</v>
      </c>
      <c r="F82" s="3">
        <v>0.38200000000000001</v>
      </c>
      <c r="G82" s="4">
        <f t="shared" si="17"/>
        <v>0.12555732817832574</v>
      </c>
      <c r="H82" s="4">
        <f t="shared" si="18"/>
        <v>1.7482837528604118</v>
      </c>
      <c r="I82" s="4">
        <f t="shared" si="25"/>
        <v>2.1833668399085044</v>
      </c>
      <c r="J82" s="9">
        <f t="shared" si="19"/>
        <v>0</v>
      </c>
      <c r="K82" s="10">
        <f t="shared" si="20"/>
        <v>0</v>
      </c>
      <c r="L82" s="11">
        <f t="shared" si="21"/>
        <v>0.38200000000000001</v>
      </c>
      <c r="O82" s="9">
        <f t="shared" si="22"/>
        <v>0</v>
      </c>
      <c r="P82" s="10">
        <f t="shared" si="23"/>
        <v>0</v>
      </c>
      <c r="Q82" s="11">
        <f t="shared" si="24"/>
        <v>1.7482837528604118</v>
      </c>
      <c r="R82" s="109"/>
    </row>
    <row r="83" spans="1:18" ht="16.5" x14ac:dyDescent="0.25">
      <c r="A83" s="3">
        <v>82</v>
      </c>
      <c r="B83" s="3">
        <v>-4</v>
      </c>
      <c r="C83" s="3">
        <v>178</v>
      </c>
      <c r="D83" s="3">
        <v>1</v>
      </c>
      <c r="E83" s="15">
        <v>1</v>
      </c>
      <c r="F83" s="3">
        <v>0.33200000000000002</v>
      </c>
      <c r="G83" s="4">
        <f t="shared" si="17"/>
        <v>0.10912312291938257</v>
      </c>
      <c r="H83" s="4">
        <f t="shared" si="18"/>
        <v>1.5194508009153318</v>
      </c>
      <c r="I83" s="4">
        <f t="shared" si="25"/>
        <v>1.8975858399204801</v>
      </c>
      <c r="J83" s="9">
        <f t="shared" si="19"/>
        <v>0.33200000000000002</v>
      </c>
      <c r="K83" s="10">
        <f t="shared" si="20"/>
        <v>0</v>
      </c>
      <c r="L83" s="11">
        <f t="shared" si="21"/>
        <v>0</v>
      </c>
      <c r="O83" s="9">
        <f t="shared" si="22"/>
        <v>1.5194508009153318</v>
      </c>
      <c r="P83" s="10">
        <f t="shared" si="23"/>
        <v>0</v>
      </c>
      <c r="Q83" s="11">
        <f t="shared" si="24"/>
        <v>0</v>
      </c>
      <c r="R83" s="109"/>
    </row>
    <row r="84" spans="1:18" ht="16.5" x14ac:dyDescent="0.25">
      <c r="A84" s="3">
        <v>83</v>
      </c>
      <c r="B84" s="3">
        <v>5</v>
      </c>
      <c r="C84" s="3">
        <v>205</v>
      </c>
      <c r="D84" s="3">
        <v>1</v>
      </c>
      <c r="E84" s="15">
        <v>1</v>
      </c>
      <c r="F84" s="3">
        <v>0.34699999999999998</v>
      </c>
      <c r="G84" s="4">
        <f t="shared" si="17"/>
        <v>0.11405338449706552</v>
      </c>
      <c r="H84" s="4">
        <f t="shared" si="18"/>
        <v>1.5881006864988558</v>
      </c>
      <c r="I84" s="4">
        <f t="shared" si="25"/>
        <v>1.9833201399168874</v>
      </c>
      <c r="J84" s="9">
        <f t="shared" si="19"/>
        <v>0.34699999999999998</v>
      </c>
      <c r="K84" s="10">
        <f t="shared" si="20"/>
        <v>0</v>
      </c>
      <c r="L84" s="11">
        <f t="shared" si="21"/>
        <v>0</v>
      </c>
      <c r="O84" s="9">
        <f t="shared" si="22"/>
        <v>1.5881006864988558</v>
      </c>
      <c r="P84" s="10">
        <f t="shared" si="23"/>
        <v>0</v>
      </c>
      <c r="Q84" s="11">
        <f t="shared" si="24"/>
        <v>0</v>
      </c>
      <c r="R84" s="109"/>
    </row>
    <row r="85" spans="1:18" ht="16.5" x14ac:dyDescent="0.25">
      <c r="A85" s="3">
        <v>84</v>
      </c>
      <c r="B85" s="3">
        <v>3</v>
      </c>
      <c r="C85" s="3">
        <v>230</v>
      </c>
      <c r="D85" s="3">
        <v>1</v>
      </c>
      <c r="E85" s="15">
        <v>2</v>
      </c>
      <c r="F85" s="3">
        <v>0.45400000000000001</v>
      </c>
      <c r="G85" s="4">
        <f t="shared" si="17"/>
        <v>0.1492225837512039</v>
      </c>
      <c r="H85" s="4">
        <f t="shared" si="18"/>
        <v>2.0778032036613272</v>
      </c>
      <c r="I85" s="4">
        <f t="shared" si="25"/>
        <v>2.5948914798912592</v>
      </c>
      <c r="J85" s="9">
        <f t="shared" si="19"/>
        <v>0</v>
      </c>
      <c r="K85" s="10">
        <f t="shared" si="20"/>
        <v>0.45400000000000001</v>
      </c>
      <c r="L85" s="11">
        <f t="shared" si="21"/>
        <v>0</v>
      </c>
      <c r="O85" s="9">
        <f t="shared" si="22"/>
        <v>0</v>
      </c>
      <c r="P85" s="10">
        <f t="shared" si="23"/>
        <v>2.0778032036613272</v>
      </c>
      <c r="Q85" s="11">
        <f t="shared" si="24"/>
        <v>0</v>
      </c>
      <c r="R85" s="109"/>
    </row>
    <row r="86" spans="1:18" ht="16.5" x14ac:dyDescent="0.25">
      <c r="A86" s="3">
        <v>85</v>
      </c>
      <c r="B86" s="3">
        <v>8</v>
      </c>
      <c r="C86" s="3">
        <v>247</v>
      </c>
      <c r="D86" s="3">
        <v>1</v>
      </c>
      <c r="E86" s="15">
        <v>3</v>
      </c>
      <c r="F86" s="3">
        <v>0.45100000000000001</v>
      </c>
      <c r="G86" s="4">
        <f t="shared" si="17"/>
        <v>0.14823653143566728</v>
      </c>
      <c r="H86" s="4">
        <f t="shared" si="18"/>
        <v>2.0640732265446222</v>
      </c>
      <c r="I86" s="4">
        <f t="shared" si="25"/>
        <v>2.5777446198919773</v>
      </c>
      <c r="J86" s="9">
        <f t="shared" si="19"/>
        <v>0</v>
      </c>
      <c r="K86" s="10">
        <f t="shared" si="20"/>
        <v>0</v>
      </c>
      <c r="L86" s="11">
        <f t="shared" si="21"/>
        <v>0.45100000000000001</v>
      </c>
      <c r="O86" s="9">
        <f t="shared" si="22"/>
        <v>0</v>
      </c>
      <c r="P86" s="10">
        <f t="shared" si="23"/>
        <v>0</v>
      </c>
      <c r="Q86" s="11">
        <f t="shared" si="24"/>
        <v>2.0640732265446222</v>
      </c>
      <c r="R86" s="109"/>
    </row>
    <row r="87" spans="1:18" ht="16.5" x14ac:dyDescent="0.25">
      <c r="A87" s="3">
        <v>86</v>
      </c>
      <c r="B87" s="3">
        <v>7</v>
      </c>
      <c r="C87" s="3">
        <v>289</v>
      </c>
      <c r="D87" s="3">
        <v>1</v>
      </c>
      <c r="E87" s="15">
        <v>1</v>
      </c>
      <c r="F87" s="3">
        <v>0.46899999999999997</v>
      </c>
      <c r="G87" s="4">
        <f t="shared" si="17"/>
        <v>0.15415284532888682</v>
      </c>
      <c r="H87" s="4">
        <f t="shared" si="18"/>
        <v>2.1464530892448512</v>
      </c>
      <c r="I87" s="4">
        <f t="shared" si="25"/>
        <v>2.6806257798876665</v>
      </c>
      <c r="J87" s="9">
        <f t="shared" si="19"/>
        <v>0.46899999999999997</v>
      </c>
      <c r="K87" s="10">
        <f t="shared" si="20"/>
        <v>0</v>
      </c>
      <c r="L87" s="11">
        <f t="shared" si="21"/>
        <v>0</v>
      </c>
      <c r="O87" s="9">
        <f t="shared" si="22"/>
        <v>2.1464530892448512</v>
      </c>
      <c r="P87" s="10">
        <f t="shared" si="23"/>
        <v>0</v>
      </c>
      <c r="Q87" s="11">
        <f t="shared" si="24"/>
        <v>0</v>
      </c>
      <c r="R87" s="109"/>
    </row>
    <row r="88" spans="1:18" ht="16.5" x14ac:dyDescent="0.25">
      <c r="A88" s="3">
        <v>87</v>
      </c>
      <c r="B88" s="3">
        <v>13</v>
      </c>
      <c r="C88" s="3">
        <v>322</v>
      </c>
      <c r="D88" s="3">
        <v>1</v>
      </c>
      <c r="E88" s="15">
        <v>2</v>
      </c>
      <c r="F88" s="3">
        <v>0.372</v>
      </c>
      <c r="G88" s="4">
        <f t="shared" si="17"/>
        <v>0.12227048712653711</v>
      </c>
      <c r="H88" s="4">
        <f t="shared" si="18"/>
        <v>1.702517162471396</v>
      </c>
      <c r="I88" s="4">
        <f t="shared" si="25"/>
        <v>2.1262106399108998</v>
      </c>
      <c r="J88" s="9">
        <f t="shared" si="19"/>
        <v>0</v>
      </c>
      <c r="K88" s="10">
        <f t="shared" si="20"/>
        <v>0.372</v>
      </c>
      <c r="L88" s="11">
        <f t="shared" si="21"/>
        <v>0</v>
      </c>
      <c r="O88" s="9">
        <f t="shared" si="22"/>
        <v>0</v>
      </c>
      <c r="P88" s="10">
        <f t="shared" si="23"/>
        <v>1.702517162471396</v>
      </c>
      <c r="Q88" s="11">
        <f t="shared" si="24"/>
        <v>0</v>
      </c>
      <c r="R88" s="109"/>
    </row>
    <row r="89" spans="1:18" ht="16.5" x14ac:dyDescent="0.25">
      <c r="A89" s="3">
        <v>88</v>
      </c>
      <c r="B89" s="3">
        <v>0</v>
      </c>
      <c r="C89" s="3">
        <v>320</v>
      </c>
      <c r="D89" s="3">
        <v>1</v>
      </c>
      <c r="E89" s="15">
        <v>3</v>
      </c>
      <c r="F89" s="3">
        <v>0.38900000000000001</v>
      </c>
      <c r="G89" s="4">
        <f t="shared" si="17"/>
        <v>0.12785811691457777</v>
      </c>
      <c r="H89" s="4">
        <f t="shared" si="18"/>
        <v>1.7803203661327232</v>
      </c>
      <c r="I89" s="4">
        <f t="shared" si="25"/>
        <v>2.2233761799068277</v>
      </c>
      <c r="J89" s="9">
        <f t="shared" si="19"/>
        <v>0</v>
      </c>
      <c r="K89" s="10">
        <f t="shared" si="20"/>
        <v>0</v>
      </c>
      <c r="L89" s="11">
        <f t="shared" si="21"/>
        <v>0.38900000000000001</v>
      </c>
      <c r="O89" s="9">
        <f t="shared" si="22"/>
        <v>0</v>
      </c>
      <c r="P89" s="10">
        <f t="shared" si="23"/>
        <v>0</v>
      </c>
      <c r="Q89" s="11">
        <f t="shared" si="24"/>
        <v>1.7803203661327232</v>
      </c>
      <c r="R89" s="109"/>
    </row>
    <row r="90" spans="1:18" ht="16.5" x14ac:dyDescent="0.25">
      <c r="A90" s="3">
        <v>89</v>
      </c>
      <c r="B90" s="3">
        <v>11</v>
      </c>
      <c r="C90" s="3">
        <v>337</v>
      </c>
      <c r="D90" s="3">
        <v>1</v>
      </c>
      <c r="E90" s="15">
        <v>1</v>
      </c>
      <c r="F90" s="3">
        <v>0.49399999999999999</v>
      </c>
      <c r="G90" s="4">
        <f t="shared" si="17"/>
        <v>0.16236994795835841</v>
      </c>
      <c r="H90" s="4">
        <f t="shared" si="18"/>
        <v>2.2608695652173911</v>
      </c>
      <c r="I90" s="4">
        <f t="shared" si="25"/>
        <v>2.823516279881678</v>
      </c>
      <c r="J90" s="9">
        <f t="shared" si="19"/>
        <v>0.49399999999999999</v>
      </c>
      <c r="K90" s="10">
        <f t="shared" si="20"/>
        <v>0</v>
      </c>
      <c r="L90" s="11">
        <f t="shared" si="21"/>
        <v>0</v>
      </c>
      <c r="O90" s="9">
        <f t="shared" si="22"/>
        <v>2.2608695652173911</v>
      </c>
      <c r="P90" s="10">
        <f t="shared" si="23"/>
        <v>0</v>
      </c>
      <c r="Q90" s="11">
        <f t="shared" si="24"/>
        <v>0</v>
      </c>
      <c r="R90" s="109"/>
    </row>
    <row r="91" spans="1:18" ht="16.5" x14ac:dyDescent="0.25">
      <c r="A91" s="3">
        <v>90</v>
      </c>
      <c r="B91" s="3">
        <v>13</v>
      </c>
      <c r="C91" s="3">
        <v>349</v>
      </c>
      <c r="D91" s="3">
        <v>1</v>
      </c>
      <c r="E91" s="15">
        <v>2</v>
      </c>
      <c r="F91" s="3">
        <v>0.35699999999999998</v>
      </c>
      <c r="G91" s="4">
        <f t="shared" si="17"/>
        <v>0.11734022554885415</v>
      </c>
      <c r="H91" s="4">
        <f t="shared" si="18"/>
        <v>1.6338672768878719</v>
      </c>
      <c r="I91" s="4">
        <f t="shared" si="25"/>
        <v>2.0404763399144925</v>
      </c>
      <c r="J91" s="9">
        <f t="shared" si="19"/>
        <v>0</v>
      </c>
      <c r="K91" s="10">
        <f t="shared" si="20"/>
        <v>0.35699999999999998</v>
      </c>
      <c r="L91" s="11">
        <f t="shared" si="21"/>
        <v>0</v>
      </c>
      <c r="O91" s="9">
        <f t="shared" si="22"/>
        <v>0</v>
      </c>
      <c r="P91" s="10">
        <f t="shared" si="23"/>
        <v>1.6338672768878719</v>
      </c>
      <c r="Q91" s="11">
        <f t="shared" si="24"/>
        <v>0</v>
      </c>
      <c r="R91" s="109"/>
    </row>
    <row r="92" spans="1:18" ht="16.5" x14ac:dyDescent="0.25">
      <c r="A92" s="3">
        <v>91</v>
      </c>
      <c r="B92" s="3">
        <v>21</v>
      </c>
      <c r="C92" s="3">
        <v>419</v>
      </c>
      <c r="D92" s="3">
        <v>1</v>
      </c>
      <c r="E92" s="15">
        <v>3</v>
      </c>
      <c r="F92" s="3">
        <v>0.42599999999999999</v>
      </c>
      <c r="G92" s="4">
        <f t="shared" si="17"/>
        <v>0.14001942880619572</v>
      </c>
      <c r="H92" s="4">
        <f t="shared" si="18"/>
        <v>1.9496567505720823</v>
      </c>
      <c r="I92" s="4">
        <f t="shared" si="25"/>
        <v>2.4348541198979654</v>
      </c>
      <c r="J92" s="9">
        <f t="shared" si="19"/>
        <v>0</v>
      </c>
      <c r="K92" s="10">
        <f t="shared" si="20"/>
        <v>0</v>
      </c>
      <c r="L92" s="11">
        <f t="shared" si="21"/>
        <v>0.42599999999999999</v>
      </c>
      <c r="O92" s="9">
        <f t="shared" si="22"/>
        <v>0</v>
      </c>
      <c r="P92" s="10">
        <f t="shared" si="23"/>
        <v>0</v>
      </c>
      <c r="Q92" s="11">
        <f t="shared" si="24"/>
        <v>1.9496567505720823</v>
      </c>
      <c r="R92" s="109"/>
    </row>
    <row r="93" spans="1:18" ht="16.5" x14ac:dyDescent="0.25">
      <c r="A93" s="3">
        <v>92</v>
      </c>
      <c r="B93" s="3">
        <v>20</v>
      </c>
      <c r="C93" s="3">
        <v>428</v>
      </c>
      <c r="D93" s="3">
        <v>1</v>
      </c>
      <c r="E93" s="15">
        <v>2</v>
      </c>
      <c r="F93" s="3">
        <v>0.35899999999999999</v>
      </c>
      <c r="G93" s="4">
        <f t="shared" si="17"/>
        <v>0.11799759375921189</v>
      </c>
      <c r="H93" s="4">
        <f t="shared" si="18"/>
        <v>1.6430205949656751</v>
      </c>
      <c r="I93" s="4">
        <f t="shared" si="25"/>
        <v>2.0519075799140132</v>
      </c>
      <c r="J93" s="9">
        <f t="shared" si="19"/>
        <v>0</v>
      </c>
      <c r="K93" s="10">
        <f t="shared" si="20"/>
        <v>0.35899999999999999</v>
      </c>
      <c r="L93" s="11">
        <f t="shared" si="21"/>
        <v>0</v>
      </c>
      <c r="O93" s="9">
        <f t="shared" si="22"/>
        <v>0</v>
      </c>
      <c r="P93" s="10">
        <f t="shared" si="23"/>
        <v>1.6430205949656751</v>
      </c>
      <c r="Q93" s="11">
        <f t="shared" si="24"/>
        <v>0</v>
      </c>
      <c r="R93" s="109"/>
    </row>
    <row r="94" spans="1:18" ht="16.5" x14ac:dyDescent="0.25">
      <c r="A94" s="3">
        <v>93</v>
      </c>
      <c r="B94" s="3">
        <v>-77</v>
      </c>
      <c r="C94" s="3">
        <v>413</v>
      </c>
      <c r="D94" s="3">
        <v>1</v>
      </c>
      <c r="E94" s="15">
        <v>1</v>
      </c>
      <c r="F94" s="3">
        <v>0.439</v>
      </c>
      <c r="G94" s="4">
        <f t="shared" si="17"/>
        <v>0.14429232217352095</v>
      </c>
      <c r="H94" s="4">
        <f t="shared" si="18"/>
        <v>2.0091533180778032</v>
      </c>
      <c r="I94" s="4">
        <f t="shared" si="25"/>
        <v>2.509157179894852</v>
      </c>
      <c r="J94" s="9">
        <f t="shared" si="19"/>
        <v>0.439</v>
      </c>
      <c r="K94" s="10">
        <f t="shared" si="20"/>
        <v>0</v>
      </c>
      <c r="L94" s="11">
        <f t="shared" si="21"/>
        <v>0</v>
      </c>
      <c r="O94" s="9">
        <f t="shared" si="22"/>
        <v>2.0091533180778032</v>
      </c>
      <c r="P94" s="10">
        <f t="shared" si="23"/>
        <v>0</v>
      </c>
      <c r="Q94" s="11">
        <f t="shared" si="24"/>
        <v>0</v>
      </c>
      <c r="R94" s="109"/>
    </row>
    <row r="95" spans="1:18" ht="16.5" x14ac:dyDescent="0.25">
      <c r="A95" s="3">
        <v>94</v>
      </c>
      <c r="B95" s="3">
        <v>-17</v>
      </c>
      <c r="C95" s="3">
        <v>514</v>
      </c>
      <c r="D95" s="3">
        <v>1</v>
      </c>
      <c r="E95" s="15">
        <v>3</v>
      </c>
      <c r="F95" s="3">
        <v>0.35799999999999998</v>
      </c>
      <c r="G95" s="4">
        <f t="shared" si="17"/>
        <v>0.11766890965403302</v>
      </c>
      <c r="H95" s="4">
        <f t="shared" si="18"/>
        <v>1.6384439359267735</v>
      </c>
      <c r="I95" s="4">
        <f t="shared" si="25"/>
        <v>2.0461919599142528</v>
      </c>
      <c r="J95" s="9">
        <f t="shared" si="19"/>
        <v>0</v>
      </c>
      <c r="K95" s="10">
        <f t="shared" si="20"/>
        <v>0</v>
      </c>
      <c r="L95" s="11">
        <f t="shared" si="21"/>
        <v>0.35799999999999998</v>
      </c>
      <c r="O95" s="9">
        <f t="shared" si="22"/>
        <v>0</v>
      </c>
      <c r="P95" s="10">
        <f t="shared" si="23"/>
        <v>0</v>
      </c>
      <c r="Q95" s="11">
        <f t="shared" si="24"/>
        <v>1.6384439359267735</v>
      </c>
      <c r="R95" s="109"/>
    </row>
    <row r="96" spans="1:18" ht="16.5" x14ac:dyDescent="0.25">
      <c r="A96" s="3">
        <v>95</v>
      </c>
      <c r="B96" s="3">
        <v>42</v>
      </c>
      <c r="C96" s="3">
        <v>495</v>
      </c>
      <c r="D96" s="3">
        <v>1</v>
      </c>
      <c r="E96" s="15">
        <v>2</v>
      </c>
      <c r="F96" s="3">
        <v>0.57999999999999996</v>
      </c>
      <c r="G96" s="4">
        <f t="shared" si="17"/>
        <v>0.19063678100374062</v>
      </c>
      <c r="H96" s="4">
        <f t="shared" si="18"/>
        <v>2.654462242562929</v>
      </c>
      <c r="I96" s="4">
        <f t="shared" si="25"/>
        <v>3.3150595998610797</v>
      </c>
      <c r="J96" s="9">
        <f t="shared" si="19"/>
        <v>0</v>
      </c>
      <c r="K96" s="10">
        <f t="shared" si="20"/>
        <v>0.57999999999999996</v>
      </c>
      <c r="L96" s="11">
        <f t="shared" si="21"/>
        <v>0</v>
      </c>
      <c r="O96" s="9">
        <f t="shared" si="22"/>
        <v>0</v>
      </c>
      <c r="P96" s="10">
        <f t="shared" si="23"/>
        <v>2.654462242562929</v>
      </c>
      <c r="Q96" s="11">
        <f t="shared" si="24"/>
        <v>0</v>
      </c>
      <c r="R96" s="109"/>
    </row>
    <row r="97" spans="1:18" ht="16.5" x14ac:dyDescent="0.25">
      <c r="A97" s="3">
        <v>96</v>
      </c>
      <c r="B97" s="3">
        <v>-14</v>
      </c>
      <c r="C97" s="3">
        <v>527</v>
      </c>
      <c r="D97" s="3">
        <v>1</v>
      </c>
      <c r="E97" s="15">
        <v>3</v>
      </c>
      <c r="F97" s="3">
        <v>1.8</v>
      </c>
      <c r="G97" s="4">
        <f t="shared" si="17"/>
        <v>0.59163138932195369</v>
      </c>
      <c r="H97" s="4">
        <f t="shared" si="18"/>
        <v>8.2379862700228834</v>
      </c>
      <c r="I97" s="4">
        <f t="shared" si="25"/>
        <v>10.288115999568868</v>
      </c>
      <c r="J97" s="9">
        <f t="shared" si="19"/>
        <v>0</v>
      </c>
      <c r="K97" s="10">
        <f t="shared" si="20"/>
        <v>0</v>
      </c>
      <c r="L97" s="11">
        <f t="shared" si="21"/>
        <v>1.8</v>
      </c>
      <c r="O97" s="9">
        <f t="shared" si="22"/>
        <v>0</v>
      </c>
      <c r="P97" s="10">
        <f t="shared" si="23"/>
        <v>0</v>
      </c>
      <c r="Q97" s="11">
        <f t="shared" si="24"/>
        <v>8.2379862700228834</v>
      </c>
      <c r="R97" s="109"/>
    </row>
    <row r="98" spans="1:18" ht="16.5" x14ac:dyDescent="0.25">
      <c r="A98" s="3">
        <v>97</v>
      </c>
      <c r="B98" s="3">
        <v>-15</v>
      </c>
      <c r="C98" s="3">
        <v>540</v>
      </c>
      <c r="D98" s="3">
        <v>1</v>
      </c>
      <c r="E98" s="15">
        <v>1</v>
      </c>
      <c r="F98" s="3">
        <v>2.8</v>
      </c>
      <c r="G98" s="4">
        <f t="shared" ref="G98:G129" si="26">IF(D98=1,(230*H98*SIN(ACOS(0.95)))/1000, IF(D98=3,(SQRT(3)*400*H98*SIN(ACOS(0.95)))/1000))</f>
        <v>0.92031549450081696</v>
      </c>
      <c r="H98" s="4">
        <f t="shared" ref="H98:H130" si="27">IF(D98=1, (F98*1000)/(230*0.95),IF(D98=3,(F98*1000/(SQRT(3)*400*0.95))))</f>
        <v>12.814645308924485</v>
      </c>
      <c r="I98" s="4">
        <f t="shared" si="25"/>
        <v>16.003735999329351</v>
      </c>
      <c r="J98" s="9">
        <f t="shared" ref="J98:J130" si="28">IF(AND(E98=1, D98=1),F98,IF(D98=3, F98/3,0))</f>
        <v>2.8</v>
      </c>
      <c r="K98" s="10">
        <f t="shared" ref="K98:K130" si="29">IF(AND(E98=2, D98=1),F98,IF(D98=3, F98/3,0))</f>
        <v>0</v>
      </c>
      <c r="L98" s="11">
        <f t="shared" ref="L98:L130" si="30">IF(AND(E98=3, D98=1),F98,IF(D98=3, F98/3,0))</f>
        <v>0</v>
      </c>
      <c r="O98" s="9">
        <f t="shared" ref="O98:O130" si="31">IF(AND(E98=1, D98=1),(F98*1000)/(230*0.95),IF(D98=3, (F98*1000)/(SQRT(3)*400*0.95),0))</f>
        <v>12.814645308924485</v>
      </c>
      <c r="P98" s="10">
        <f t="shared" ref="P98:P130" si="32">IF(AND(E98=2, D98=1),(F98*1000)/(230*0.95),IF(D98=3, (F98*1000)/(SQRT(3)*400*0.95),0))</f>
        <v>0</v>
      </c>
      <c r="Q98" s="11">
        <f t="shared" ref="Q98:Q130" si="33">IF(AND(E98=3, D98=1),(F98*1000)/(230*0.95),IF(D98=3, (F98*1000)/(SQRT(3)*400*0.95),0))</f>
        <v>0</v>
      </c>
      <c r="R98" s="109"/>
    </row>
    <row r="99" spans="1:18" ht="16.5" x14ac:dyDescent="0.25">
      <c r="A99" s="3">
        <v>98</v>
      </c>
      <c r="B99" s="3">
        <v>31</v>
      </c>
      <c r="C99" s="3">
        <v>504</v>
      </c>
      <c r="D99" s="3">
        <v>1</v>
      </c>
      <c r="E99" s="15">
        <v>2</v>
      </c>
      <c r="F99" s="3">
        <v>0.57999999999999996</v>
      </c>
      <c r="G99" s="4">
        <f t="shared" si="26"/>
        <v>0.19063678100374062</v>
      </c>
      <c r="H99" s="4">
        <f t="shared" si="27"/>
        <v>2.654462242562929</v>
      </c>
      <c r="I99" s="4">
        <f t="shared" si="25"/>
        <v>3.3150595998610797</v>
      </c>
      <c r="J99" s="9">
        <f t="shared" si="28"/>
        <v>0</v>
      </c>
      <c r="K99" s="10">
        <f t="shared" si="29"/>
        <v>0.57999999999999996</v>
      </c>
      <c r="L99" s="11">
        <f t="shared" si="30"/>
        <v>0</v>
      </c>
      <c r="O99" s="9">
        <f t="shared" si="31"/>
        <v>0</v>
      </c>
      <c r="P99" s="10">
        <f t="shared" si="32"/>
        <v>2.654462242562929</v>
      </c>
      <c r="Q99" s="11">
        <f t="shared" si="33"/>
        <v>0</v>
      </c>
      <c r="R99" s="109"/>
    </row>
    <row r="100" spans="1:18" ht="16.5" x14ac:dyDescent="0.25">
      <c r="A100" s="3">
        <v>99</v>
      </c>
      <c r="B100" s="3">
        <v>33</v>
      </c>
      <c r="C100" s="3">
        <v>516</v>
      </c>
      <c r="D100" s="3">
        <v>1</v>
      </c>
      <c r="E100" s="15">
        <v>2</v>
      </c>
      <c r="F100" s="3">
        <v>0.42399999999999999</v>
      </c>
      <c r="G100" s="4">
        <f t="shared" si="26"/>
        <v>0.139362060595838</v>
      </c>
      <c r="H100" s="4">
        <f t="shared" si="27"/>
        <v>1.9405034324942791</v>
      </c>
      <c r="I100" s="4">
        <f t="shared" si="25"/>
        <v>2.4234228798984447</v>
      </c>
      <c r="J100" s="9">
        <f t="shared" si="28"/>
        <v>0</v>
      </c>
      <c r="K100" s="10">
        <f t="shared" si="29"/>
        <v>0.42399999999999999</v>
      </c>
      <c r="L100" s="11">
        <f t="shared" si="30"/>
        <v>0</v>
      </c>
      <c r="O100" s="9">
        <f t="shared" si="31"/>
        <v>0</v>
      </c>
      <c r="P100" s="10">
        <f t="shared" si="32"/>
        <v>1.9405034324942791</v>
      </c>
      <c r="Q100" s="11">
        <f t="shared" si="33"/>
        <v>0</v>
      </c>
      <c r="R100" s="109"/>
    </row>
    <row r="101" spans="1:18" ht="16.5" x14ac:dyDescent="0.25">
      <c r="A101" s="3">
        <v>100</v>
      </c>
      <c r="B101" s="3">
        <v>-8</v>
      </c>
      <c r="C101" s="3">
        <v>500</v>
      </c>
      <c r="D101" s="3">
        <v>1</v>
      </c>
      <c r="E101" s="15">
        <v>2</v>
      </c>
      <c r="F101" s="3">
        <v>0.36499999999999999</v>
      </c>
      <c r="G101" s="4">
        <f t="shared" si="26"/>
        <v>0.11996969839028505</v>
      </c>
      <c r="H101" s="4">
        <f t="shared" si="27"/>
        <v>1.6704805491990846</v>
      </c>
      <c r="I101" s="4">
        <f t="shared" si="25"/>
        <v>2.0862012999125761</v>
      </c>
      <c r="J101" s="9">
        <f t="shared" si="28"/>
        <v>0</v>
      </c>
      <c r="K101" s="10">
        <f t="shared" si="29"/>
        <v>0.36499999999999999</v>
      </c>
      <c r="L101" s="11">
        <f t="shared" si="30"/>
        <v>0</v>
      </c>
      <c r="O101" s="9">
        <f t="shared" si="31"/>
        <v>0</v>
      </c>
      <c r="P101" s="10">
        <f t="shared" si="32"/>
        <v>1.6704805491990846</v>
      </c>
      <c r="Q101" s="11">
        <f t="shared" si="33"/>
        <v>0</v>
      </c>
      <c r="R101" s="109"/>
    </row>
    <row r="102" spans="1:18" ht="16.5" x14ac:dyDescent="0.25">
      <c r="A102" s="3">
        <v>101</v>
      </c>
      <c r="B102" s="3">
        <v>33</v>
      </c>
      <c r="C102" s="3">
        <v>566</v>
      </c>
      <c r="D102" s="3">
        <v>1</v>
      </c>
      <c r="E102" s="15">
        <v>3</v>
      </c>
      <c r="F102" s="3">
        <v>0.435</v>
      </c>
      <c r="G102" s="4">
        <f t="shared" si="26"/>
        <v>0.14297758575280547</v>
      </c>
      <c r="H102" s="4">
        <f t="shared" si="27"/>
        <v>1.9908466819221968</v>
      </c>
      <c r="I102" s="4">
        <f t="shared" si="25"/>
        <v>2.4862946998958098</v>
      </c>
      <c r="J102" s="9">
        <f t="shared" si="28"/>
        <v>0</v>
      </c>
      <c r="K102" s="10">
        <f t="shared" si="29"/>
        <v>0</v>
      </c>
      <c r="L102" s="11">
        <f t="shared" si="30"/>
        <v>0.435</v>
      </c>
      <c r="O102" s="9">
        <f t="shared" si="31"/>
        <v>0</v>
      </c>
      <c r="P102" s="10">
        <f t="shared" si="32"/>
        <v>0</v>
      </c>
      <c r="Q102" s="11">
        <f t="shared" si="33"/>
        <v>1.9908466819221968</v>
      </c>
      <c r="R102" s="109"/>
    </row>
    <row r="103" spans="1:18" ht="16.5" x14ac:dyDescent="0.25">
      <c r="A103" s="3">
        <v>102</v>
      </c>
      <c r="B103" s="3">
        <v>40</v>
      </c>
      <c r="C103" s="3">
        <v>629</v>
      </c>
      <c r="D103" s="3">
        <v>1</v>
      </c>
      <c r="E103" s="15">
        <v>2</v>
      </c>
      <c r="F103" s="3">
        <v>0.35699999999999998</v>
      </c>
      <c r="G103" s="4">
        <f t="shared" si="26"/>
        <v>0.11734022554885415</v>
      </c>
      <c r="H103" s="4">
        <f t="shared" si="27"/>
        <v>1.6338672768878719</v>
      </c>
      <c r="I103" s="4">
        <f t="shared" si="25"/>
        <v>2.0404763399144925</v>
      </c>
      <c r="J103" s="9">
        <f t="shared" si="28"/>
        <v>0</v>
      </c>
      <c r="K103" s="10">
        <f t="shared" si="29"/>
        <v>0.35699999999999998</v>
      </c>
      <c r="L103" s="11">
        <f t="shared" si="30"/>
        <v>0</v>
      </c>
      <c r="O103" s="9">
        <f t="shared" si="31"/>
        <v>0</v>
      </c>
      <c r="P103" s="10">
        <f t="shared" si="32"/>
        <v>1.6338672768878719</v>
      </c>
      <c r="Q103" s="11">
        <f t="shared" si="33"/>
        <v>0</v>
      </c>
      <c r="R103" s="109"/>
    </row>
    <row r="104" spans="1:18" ht="16.5" x14ac:dyDescent="0.25">
      <c r="A104" s="3">
        <v>103</v>
      </c>
      <c r="B104" s="3">
        <v>52</v>
      </c>
      <c r="C104" s="3">
        <v>619</v>
      </c>
      <c r="D104" s="3">
        <v>1</v>
      </c>
      <c r="E104" s="15">
        <v>2</v>
      </c>
      <c r="F104" s="3">
        <v>0.30399999999999999</v>
      </c>
      <c r="G104" s="4">
        <f t="shared" si="26"/>
        <v>9.9919967974374399E-2</v>
      </c>
      <c r="H104" s="4">
        <f t="shared" si="27"/>
        <v>1.3913043478260869</v>
      </c>
      <c r="I104" s="4">
        <f t="shared" si="25"/>
        <v>1.7375484799271868</v>
      </c>
      <c r="J104" s="9">
        <f t="shared" si="28"/>
        <v>0</v>
      </c>
      <c r="K104" s="10">
        <f t="shared" si="29"/>
        <v>0.30399999999999999</v>
      </c>
      <c r="L104" s="11">
        <f t="shared" si="30"/>
        <v>0</v>
      </c>
      <c r="O104" s="9">
        <f t="shared" si="31"/>
        <v>0</v>
      </c>
      <c r="P104" s="10">
        <f t="shared" si="32"/>
        <v>1.3913043478260869</v>
      </c>
      <c r="Q104" s="11">
        <f t="shared" si="33"/>
        <v>0</v>
      </c>
      <c r="R104" s="109"/>
    </row>
    <row r="105" spans="1:18" ht="16.5" x14ac:dyDescent="0.25">
      <c r="A105" s="3">
        <v>104</v>
      </c>
      <c r="B105" s="3">
        <v>51</v>
      </c>
      <c r="C105" s="3">
        <v>680</v>
      </c>
      <c r="D105" s="3">
        <v>1</v>
      </c>
      <c r="E105" s="15">
        <v>3</v>
      </c>
      <c r="F105" s="3">
        <v>0.46500000000000002</v>
      </c>
      <c r="G105" s="4">
        <f t="shared" si="26"/>
        <v>0.15283810890817137</v>
      </c>
      <c r="H105" s="4">
        <f t="shared" si="27"/>
        <v>2.1281464530892449</v>
      </c>
      <c r="I105" s="4">
        <f t="shared" si="25"/>
        <v>2.6577632998886243</v>
      </c>
      <c r="J105" s="9">
        <f t="shared" si="28"/>
        <v>0</v>
      </c>
      <c r="K105" s="10">
        <f t="shared" si="29"/>
        <v>0</v>
      </c>
      <c r="L105" s="11">
        <f t="shared" si="30"/>
        <v>0.46500000000000002</v>
      </c>
      <c r="O105" s="9">
        <f t="shared" si="31"/>
        <v>0</v>
      </c>
      <c r="P105" s="10">
        <f t="shared" si="32"/>
        <v>0</v>
      </c>
      <c r="Q105" s="11">
        <f t="shared" si="33"/>
        <v>2.1281464530892449</v>
      </c>
      <c r="R105" s="109"/>
    </row>
    <row r="106" spans="1:18" ht="16.5" x14ac:dyDescent="0.25">
      <c r="A106" s="3">
        <v>105</v>
      </c>
      <c r="B106" s="3">
        <v>51</v>
      </c>
      <c r="C106" s="3">
        <v>691</v>
      </c>
      <c r="D106" s="3">
        <v>1</v>
      </c>
      <c r="E106" s="15">
        <v>2</v>
      </c>
      <c r="F106" s="3">
        <v>0.43</v>
      </c>
      <c r="G106" s="4">
        <f t="shared" si="26"/>
        <v>0.14133416522691117</v>
      </c>
      <c r="H106" s="4">
        <f t="shared" si="27"/>
        <v>1.9679633867276889</v>
      </c>
      <c r="I106" s="4">
        <f t="shared" si="25"/>
        <v>2.4577165998970076</v>
      </c>
      <c r="J106" s="9">
        <f t="shared" si="28"/>
        <v>0</v>
      </c>
      <c r="K106" s="10">
        <f t="shared" si="29"/>
        <v>0.43</v>
      </c>
      <c r="L106" s="11">
        <f t="shared" si="30"/>
        <v>0</v>
      </c>
      <c r="O106" s="9">
        <f t="shared" si="31"/>
        <v>0</v>
      </c>
      <c r="P106" s="10">
        <f t="shared" si="32"/>
        <v>1.9679633867276889</v>
      </c>
      <c r="Q106" s="11">
        <f t="shared" si="33"/>
        <v>0</v>
      </c>
      <c r="R106" s="109"/>
    </row>
    <row r="107" spans="1:18" ht="16.5" x14ac:dyDescent="0.25">
      <c r="A107" s="3">
        <v>106</v>
      </c>
      <c r="B107" s="3">
        <v>69</v>
      </c>
      <c r="C107" s="3">
        <v>599</v>
      </c>
      <c r="D107" s="3">
        <v>1</v>
      </c>
      <c r="E107" s="15">
        <v>3</v>
      </c>
      <c r="F107" s="3">
        <v>0.36899999999999999</v>
      </c>
      <c r="G107" s="4">
        <f t="shared" si="26"/>
        <v>0.12128443481100051</v>
      </c>
      <c r="H107" s="4">
        <f t="shared" si="27"/>
        <v>1.688787185354691</v>
      </c>
      <c r="I107" s="4">
        <f t="shared" si="25"/>
        <v>2.1090637799116179</v>
      </c>
      <c r="J107" s="9">
        <f t="shared" si="28"/>
        <v>0</v>
      </c>
      <c r="K107" s="10">
        <f t="shared" si="29"/>
        <v>0</v>
      </c>
      <c r="L107" s="11">
        <f t="shared" si="30"/>
        <v>0.36899999999999999</v>
      </c>
      <c r="O107" s="9">
        <f t="shared" si="31"/>
        <v>0</v>
      </c>
      <c r="P107" s="10">
        <f t="shared" si="32"/>
        <v>0</v>
      </c>
      <c r="Q107" s="11">
        <f t="shared" si="33"/>
        <v>1.688787185354691</v>
      </c>
      <c r="R107" s="109"/>
    </row>
    <row r="108" spans="1:18" ht="16.5" x14ac:dyDescent="0.25">
      <c r="A108" s="3">
        <v>107</v>
      </c>
      <c r="B108" s="3">
        <v>82</v>
      </c>
      <c r="C108" s="3">
        <v>638</v>
      </c>
      <c r="D108" s="3">
        <v>1</v>
      </c>
      <c r="E108" s="15">
        <v>1</v>
      </c>
      <c r="F108" s="3">
        <v>0.437</v>
      </c>
      <c r="G108" s="4">
        <f t="shared" si="26"/>
        <v>0.14363495396316323</v>
      </c>
      <c r="H108" s="4">
        <f t="shared" si="27"/>
        <v>2</v>
      </c>
      <c r="I108" s="4">
        <f t="shared" si="25"/>
        <v>2.4977259398953309</v>
      </c>
      <c r="J108" s="9">
        <f t="shared" si="28"/>
        <v>0.437</v>
      </c>
      <c r="K108" s="10">
        <f t="shared" si="29"/>
        <v>0</v>
      </c>
      <c r="L108" s="11">
        <f t="shared" si="30"/>
        <v>0</v>
      </c>
      <c r="O108" s="9">
        <f t="shared" si="31"/>
        <v>2</v>
      </c>
      <c r="P108" s="10">
        <f t="shared" si="32"/>
        <v>0</v>
      </c>
      <c r="Q108" s="11">
        <f t="shared" si="33"/>
        <v>0</v>
      </c>
      <c r="R108" s="109"/>
    </row>
    <row r="109" spans="1:18" ht="16.5" x14ac:dyDescent="0.25">
      <c r="A109" s="3">
        <v>108</v>
      </c>
      <c r="B109" s="3">
        <v>65</v>
      </c>
      <c r="C109" s="3">
        <v>508</v>
      </c>
      <c r="D109" s="3">
        <v>1</v>
      </c>
      <c r="E109" s="15">
        <v>2</v>
      </c>
      <c r="F109" s="3">
        <v>0.42799999999999999</v>
      </c>
      <c r="G109" s="4">
        <f t="shared" si="26"/>
        <v>0.14067679701655342</v>
      </c>
      <c r="H109" s="4">
        <f t="shared" si="27"/>
        <v>1.9588100686498855</v>
      </c>
      <c r="I109" s="4">
        <f t="shared" si="25"/>
        <v>2.4462853598974865</v>
      </c>
      <c r="J109" s="9">
        <f t="shared" si="28"/>
        <v>0</v>
      </c>
      <c r="K109" s="10">
        <f t="shared" si="29"/>
        <v>0.42799999999999999</v>
      </c>
      <c r="L109" s="11">
        <f t="shared" si="30"/>
        <v>0</v>
      </c>
      <c r="O109" s="9">
        <f t="shared" si="31"/>
        <v>0</v>
      </c>
      <c r="P109" s="10">
        <f t="shared" si="32"/>
        <v>1.9588100686498855</v>
      </c>
      <c r="Q109" s="11">
        <f t="shared" si="33"/>
        <v>0</v>
      </c>
      <c r="R109" s="109"/>
    </row>
    <row r="110" spans="1:18" ht="16.5" x14ac:dyDescent="0.25">
      <c r="A110" s="3">
        <v>109</v>
      </c>
      <c r="B110" s="3">
        <v>72</v>
      </c>
      <c r="C110" s="3">
        <v>537</v>
      </c>
      <c r="D110" s="3">
        <v>1</v>
      </c>
      <c r="E110" s="15">
        <v>3</v>
      </c>
      <c r="F110" s="3">
        <v>0.36399999999999999</v>
      </c>
      <c r="G110" s="4">
        <f t="shared" si="26"/>
        <v>0.11964101428510619</v>
      </c>
      <c r="H110" s="4">
        <f t="shared" si="27"/>
        <v>1.665903890160183</v>
      </c>
      <c r="I110" s="4">
        <f t="shared" si="25"/>
        <v>2.0804856799128157</v>
      </c>
      <c r="J110" s="9">
        <f t="shared" si="28"/>
        <v>0</v>
      </c>
      <c r="K110" s="10">
        <f t="shared" si="29"/>
        <v>0</v>
      </c>
      <c r="L110" s="11">
        <f t="shared" si="30"/>
        <v>0.36399999999999999</v>
      </c>
      <c r="O110" s="9">
        <f t="shared" si="31"/>
        <v>0</v>
      </c>
      <c r="P110" s="10">
        <f t="shared" si="32"/>
        <v>0</v>
      </c>
      <c r="Q110" s="11">
        <f t="shared" si="33"/>
        <v>1.665903890160183</v>
      </c>
      <c r="R110" s="109"/>
    </row>
    <row r="111" spans="1:18" ht="16.5" x14ac:dyDescent="0.25">
      <c r="A111" s="3">
        <v>110</v>
      </c>
      <c r="B111" s="3">
        <v>75</v>
      </c>
      <c r="C111" s="3">
        <v>549</v>
      </c>
      <c r="D111" s="3">
        <v>1</v>
      </c>
      <c r="E111" s="15">
        <v>1</v>
      </c>
      <c r="F111" s="3">
        <v>0.35799999999999998</v>
      </c>
      <c r="G111" s="4">
        <f t="shared" si="26"/>
        <v>0.11766890965403302</v>
      </c>
      <c r="H111" s="4">
        <f t="shared" si="27"/>
        <v>1.6384439359267735</v>
      </c>
      <c r="I111" s="4">
        <f t="shared" si="25"/>
        <v>2.0461919599142528</v>
      </c>
      <c r="J111" s="9">
        <f t="shared" si="28"/>
        <v>0.35799999999999998</v>
      </c>
      <c r="K111" s="10">
        <f t="shared" si="29"/>
        <v>0</v>
      </c>
      <c r="L111" s="11">
        <f t="shared" si="30"/>
        <v>0</v>
      </c>
      <c r="O111" s="9">
        <f t="shared" si="31"/>
        <v>1.6384439359267735</v>
      </c>
      <c r="P111" s="10">
        <f t="shared" si="32"/>
        <v>0</v>
      </c>
      <c r="Q111" s="11">
        <f t="shared" si="33"/>
        <v>0</v>
      </c>
      <c r="R111" s="109"/>
    </row>
    <row r="112" spans="1:18" ht="16.5" x14ac:dyDescent="0.25">
      <c r="A112" s="3">
        <v>111</v>
      </c>
      <c r="B112" s="3">
        <v>74</v>
      </c>
      <c r="C112" s="3">
        <v>563</v>
      </c>
      <c r="D112" s="3">
        <v>1</v>
      </c>
      <c r="E112" s="15">
        <v>2</v>
      </c>
      <c r="F112" s="3">
        <v>0.501</v>
      </c>
      <c r="G112" s="4">
        <f t="shared" si="26"/>
        <v>0.16467073669461044</v>
      </c>
      <c r="H112" s="4">
        <f t="shared" si="27"/>
        <v>2.2929061784897025</v>
      </c>
      <c r="I112" s="4">
        <f t="shared" si="25"/>
        <v>2.8635256198800016</v>
      </c>
      <c r="J112" s="9">
        <f t="shared" si="28"/>
        <v>0</v>
      </c>
      <c r="K112" s="10">
        <f t="shared" si="29"/>
        <v>0.501</v>
      </c>
      <c r="L112" s="11">
        <f t="shared" si="30"/>
        <v>0</v>
      </c>
      <c r="O112" s="9">
        <f t="shared" si="31"/>
        <v>0</v>
      </c>
      <c r="P112" s="10">
        <f t="shared" si="32"/>
        <v>2.2929061784897025</v>
      </c>
      <c r="Q112" s="11">
        <f t="shared" si="33"/>
        <v>0</v>
      </c>
      <c r="R112" s="109"/>
    </row>
    <row r="113" spans="1:18" ht="16.5" x14ac:dyDescent="0.25">
      <c r="A113" s="3">
        <v>112</v>
      </c>
      <c r="B113" s="3">
        <v>38</v>
      </c>
      <c r="C113" s="3">
        <v>581</v>
      </c>
      <c r="D113" s="3">
        <v>1</v>
      </c>
      <c r="E113" s="15">
        <v>3</v>
      </c>
      <c r="F113" s="3">
        <v>0.313</v>
      </c>
      <c r="G113" s="4">
        <f t="shared" si="26"/>
        <v>0.10287812492098418</v>
      </c>
      <c r="H113" s="4">
        <f t="shared" si="27"/>
        <v>1.4324942791762014</v>
      </c>
      <c r="I113" s="4">
        <f t="shared" si="25"/>
        <v>1.7889890599250311</v>
      </c>
      <c r="J113" s="9">
        <f t="shared" si="28"/>
        <v>0</v>
      </c>
      <c r="K113" s="10">
        <f t="shared" si="29"/>
        <v>0</v>
      </c>
      <c r="L113" s="11">
        <f t="shared" si="30"/>
        <v>0.313</v>
      </c>
      <c r="O113" s="9">
        <f t="shared" si="31"/>
        <v>0</v>
      </c>
      <c r="P113" s="10">
        <f t="shared" si="32"/>
        <v>0</v>
      </c>
      <c r="Q113" s="11">
        <f t="shared" si="33"/>
        <v>1.4324942791762014</v>
      </c>
      <c r="R113" s="109"/>
    </row>
    <row r="114" spans="1:18" ht="16.5" x14ac:dyDescent="0.25">
      <c r="A114" s="3">
        <v>113</v>
      </c>
      <c r="B114" s="3">
        <v>106</v>
      </c>
      <c r="C114" s="3">
        <v>506</v>
      </c>
      <c r="D114" s="3">
        <v>1</v>
      </c>
      <c r="E114" s="15">
        <v>1</v>
      </c>
      <c r="F114" s="3">
        <v>0.435</v>
      </c>
      <c r="G114" s="4">
        <f t="shared" si="26"/>
        <v>0.14297758575280547</v>
      </c>
      <c r="H114" s="4">
        <f t="shared" si="27"/>
        <v>1.9908466819221968</v>
      </c>
      <c r="I114" s="4">
        <f t="shared" si="25"/>
        <v>2.4862946998958098</v>
      </c>
      <c r="J114" s="9">
        <f t="shared" si="28"/>
        <v>0.435</v>
      </c>
      <c r="K114" s="10">
        <f t="shared" si="29"/>
        <v>0</v>
      </c>
      <c r="L114" s="11">
        <f t="shared" si="30"/>
        <v>0</v>
      </c>
      <c r="O114" s="9">
        <f t="shared" si="31"/>
        <v>1.9908466819221968</v>
      </c>
      <c r="P114" s="10">
        <f t="shared" si="32"/>
        <v>0</v>
      </c>
      <c r="Q114" s="11">
        <f t="shared" si="33"/>
        <v>0</v>
      </c>
      <c r="R114" s="109"/>
    </row>
    <row r="115" spans="1:18" ht="16.5" x14ac:dyDescent="0.25">
      <c r="A115" s="3">
        <v>114</v>
      </c>
      <c r="B115" s="3">
        <v>119</v>
      </c>
      <c r="C115" s="3">
        <v>506</v>
      </c>
      <c r="D115" s="3">
        <v>1</v>
      </c>
      <c r="E115" s="15">
        <v>3</v>
      </c>
      <c r="F115" s="3">
        <v>0.38900000000000001</v>
      </c>
      <c r="G115" s="4">
        <f t="shared" si="26"/>
        <v>0.12785811691457777</v>
      </c>
      <c r="H115" s="4">
        <f t="shared" si="27"/>
        <v>1.7803203661327232</v>
      </c>
      <c r="I115" s="4">
        <f t="shared" si="25"/>
        <v>2.2233761799068277</v>
      </c>
      <c r="J115" s="9">
        <f t="shared" si="28"/>
        <v>0</v>
      </c>
      <c r="K115" s="10">
        <f t="shared" si="29"/>
        <v>0</v>
      </c>
      <c r="L115" s="11">
        <f t="shared" si="30"/>
        <v>0.38900000000000001</v>
      </c>
      <c r="O115" s="9">
        <f t="shared" si="31"/>
        <v>0</v>
      </c>
      <c r="P115" s="10">
        <f t="shared" si="32"/>
        <v>0</v>
      </c>
      <c r="Q115" s="11">
        <f t="shared" si="33"/>
        <v>1.7803203661327232</v>
      </c>
      <c r="R115" s="109"/>
    </row>
    <row r="116" spans="1:18" ht="16.5" x14ac:dyDescent="0.25">
      <c r="A116" s="3">
        <v>115</v>
      </c>
      <c r="B116" s="3">
        <v>132</v>
      </c>
      <c r="C116" s="3">
        <v>490</v>
      </c>
      <c r="D116" s="3">
        <v>1</v>
      </c>
      <c r="E116" s="15">
        <v>2</v>
      </c>
      <c r="F116" s="3">
        <v>0.38900000000000001</v>
      </c>
      <c r="G116" s="4">
        <f t="shared" si="26"/>
        <v>0.12785811691457777</v>
      </c>
      <c r="H116" s="4">
        <f t="shared" si="27"/>
        <v>1.7803203661327232</v>
      </c>
      <c r="I116" s="4">
        <f t="shared" si="25"/>
        <v>2.2233761799068277</v>
      </c>
      <c r="J116" s="9">
        <f t="shared" si="28"/>
        <v>0</v>
      </c>
      <c r="K116" s="10">
        <f t="shared" si="29"/>
        <v>0.38900000000000001</v>
      </c>
      <c r="L116" s="11">
        <f t="shared" si="30"/>
        <v>0</v>
      </c>
      <c r="O116" s="9">
        <f t="shared" si="31"/>
        <v>0</v>
      </c>
      <c r="P116" s="10">
        <f t="shared" si="32"/>
        <v>1.7803203661327232</v>
      </c>
      <c r="Q116" s="11">
        <f t="shared" si="33"/>
        <v>0</v>
      </c>
      <c r="R116" s="109"/>
    </row>
    <row r="117" spans="1:18" ht="16.5" x14ac:dyDescent="0.25">
      <c r="A117" s="3">
        <v>116</v>
      </c>
      <c r="B117" s="3">
        <v>158</v>
      </c>
      <c r="C117" s="3">
        <v>512</v>
      </c>
      <c r="D117" s="3">
        <v>1</v>
      </c>
      <c r="E117" s="15">
        <v>1</v>
      </c>
      <c r="F117" s="3">
        <v>0.38200000000000001</v>
      </c>
      <c r="G117" s="4">
        <f t="shared" si="26"/>
        <v>0.12555732817832574</v>
      </c>
      <c r="H117" s="4">
        <f t="shared" si="27"/>
        <v>1.7482837528604118</v>
      </c>
      <c r="I117" s="4">
        <f t="shared" si="25"/>
        <v>2.1833668399085044</v>
      </c>
      <c r="J117" s="9">
        <f t="shared" si="28"/>
        <v>0.38200000000000001</v>
      </c>
      <c r="K117" s="10">
        <f t="shared" si="29"/>
        <v>0</v>
      </c>
      <c r="L117" s="11">
        <f t="shared" si="30"/>
        <v>0</v>
      </c>
      <c r="O117" s="9">
        <f t="shared" si="31"/>
        <v>1.7482837528604118</v>
      </c>
      <c r="P117" s="10">
        <f t="shared" si="32"/>
        <v>0</v>
      </c>
      <c r="Q117" s="11">
        <f t="shared" si="33"/>
        <v>0</v>
      </c>
      <c r="R117" s="109"/>
    </row>
    <row r="118" spans="1:18" ht="16.5" x14ac:dyDescent="0.25">
      <c r="A118" s="3">
        <v>117</v>
      </c>
      <c r="B118" s="3">
        <v>178</v>
      </c>
      <c r="C118" s="3">
        <v>511</v>
      </c>
      <c r="D118" s="3">
        <v>1</v>
      </c>
      <c r="E118" s="15">
        <v>3</v>
      </c>
      <c r="F118" s="3">
        <v>0.34200000000000003</v>
      </c>
      <c r="G118" s="4">
        <f t="shared" si="26"/>
        <v>0.11240996397117121</v>
      </c>
      <c r="H118" s="4">
        <f t="shared" si="27"/>
        <v>1.5652173913043479</v>
      </c>
      <c r="I118" s="4">
        <f t="shared" si="25"/>
        <v>1.954742039918085</v>
      </c>
      <c r="J118" s="9">
        <f t="shared" si="28"/>
        <v>0</v>
      </c>
      <c r="K118" s="10">
        <f t="shared" si="29"/>
        <v>0</v>
      </c>
      <c r="L118" s="11">
        <f t="shared" si="30"/>
        <v>0.34200000000000003</v>
      </c>
      <c r="O118" s="9">
        <f t="shared" si="31"/>
        <v>0</v>
      </c>
      <c r="P118" s="10">
        <f t="shared" si="32"/>
        <v>0</v>
      </c>
      <c r="Q118" s="11">
        <f t="shared" si="33"/>
        <v>1.5652173913043479</v>
      </c>
      <c r="R118" s="109"/>
    </row>
    <row r="119" spans="1:18" ht="16.5" x14ac:dyDescent="0.25">
      <c r="A119" s="3">
        <v>118</v>
      </c>
      <c r="B119" s="3">
        <v>189</v>
      </c>
      <c r="C119" s="3">
        <v>512</v>
      </c>
      <c r="D119" s="3">
        <v>1</v>
      </c>
      <c r="E119" s="15">
        <v>2</v>
      </c>
      <c r="F119" s="3">
        <v>1.5</v>
      </c>
      <c r="G119" s="4">
        <f t="shared" si="26"/>
        <v>0.49302615776829478</v>
      </c>
      <c r="H119" s="4">
        <f t="shared" si="27"/>
        <v>6.8649885583524028</v>
      </c>
      <c r="I119" s="4">
        <f t="shared" si="25"/>
        <v>8.5734299996407231</v>
      </c>
      <c r="J119" s="9">
        <f t="shared" si="28"/>
        <v>0</v>
      </c>
      <c r="K119" s="10">
        <f t="shared" si="29"/>
        <v>1.5</v>
      </c>
      <c r="L119" s="11">
        <f t="shared" si="30"/>
        <v>0</v>
      </c>
      <c r="O119" s="9">
        <f t="shared" si="31"/>
        <v>0</v>
      </c>
      <c r="P119" s="10">
        <f t="shared" si="32"/>
        <v>6.8649885583524028</v>
      </c>
      <c r="Q119" s="11">
        <f t="shared" si="33"/>
        <v>0</v>
      </c>
      <c r="R119" s="109"/>
    </row>
    <row r="120" spans="1:18" ht="16.5" x14ac:dyDescent="0.25">
      <c r="A120" s="3">
        <v>119</v>
      </c>
      <c r="B120" s="3">
        <v>180</v>
      </c>
      <c r="C120" s="3">
        <v>570</v>
      </c>
      <c r="D120" s="3">
        <v>1</v>
      </c>
      <c r="E120" s="15">
        <v>3</v>
      </c>
      <c r="F120" s="3">
        <v>2.34</v>
      </c>
      <c r="G120" s="4">
        <f t="shared" si="26"/>
        <v>0.76912080611853983</v>
      </c>
      <c r="H120" s="4">
        <f t="shared" si="27"/>
        <v>10.709382151029748</v>
      </c>
      <c r="I120" s="4">
        <f t="shared" si="25"/>
        <v>13.374550799439529</v>
      </c>
      <c r="J120" s="9">
        <f t="shared" si="28"/>
        <v>0</v>
      </c>
      <c r="K120" s="10">
        <f t="shared" si="29"/>
        <v>0</v>
      </c>
      <c r="L120" s="11">
        <f t="shared" si="30"/>
        <v>2.34</v>
      </c>
      <c r="O120" s="9">
        <f t="shared" si="31"/>
        <v>0</v>
      </c>
      <c r="P120" s="10">
        <f t="shared" si="32"/>
        <v>0</v>
      </c>
      <c r="Q120" s="11">
        <f t="shared" si="33"/>
        <v>10.709382151029748</v>
      </c>
      <c r="R120" s="109"/>
    </row>
    <row r="121" spans="1:18" ht="16.5" x14ac:dyDescent="0.25">
      <c r="A121" s="3">
        <v>120</v>
      </c>
      <c r="B121" s="3">
        <v>259</v>
      </c>
      <c r="C121" s="3">
        <v>513</v>
      </c>
      <c r="D121" s="3">
        <v>1</v>
      </c>
      <c r="E121" s="15">
        <v>1</v>
      </c>
      <c r="F121" s="3">
        <v>0.41499999999999998</v>
      </c>
      <c r="G121" s="4">
        <f t="shared" si="26"/>
        <v>0.13640390364922822</v>
      </c>
      <c r="H121" s="4">
        <f t="shared" si="27"/>
        <v>1.8993135011441649</v>
      </c>
      <c r="I121" s="4">
        <f t="shared" si="25"/>
        <v>2.3719822999006004</v>
      </c>
      <c r="J121" s="9">
        <f t="shared" si="28"/>
        <v>0.41499999999999998</v>
      </c>
      <c r="K121" s="10">
        <f t="shared" si="29"/>
        <v>0</v>
      </c>
      <c r="L121" s="11">
        <f t="shared" si="30"/>
        <v>0</v>
      </c>
      <c r="O121" s="9">
        <f t="shared" si="31"/>
        <v>1.8993135011441649</v>
      </c>
      <c r="P121" s="10">
        <f t="shared" si="32"/>
        <v>0</v>
      </c>
      <c r="Q121" s="11">
        <f t="shared" si="33"/>
        <v>0</v>
      </c>
      <c r="R121" s="109"/>
    </row>
    <row r="122" spans="1:18" ht="16.5" x14ac:dyDescent="0.25">
      <c r="A122" s="3">
        <v>121</v>
      </c>
      <c r="B122" s="3">
        <v>269</v>
      </c>
      <c r="C122" s="3">
        <v>512</v>
      </c>
      <c r="D122" s="3">
        <v>1</v>
      </c>
      <c r="E122" s="15">
        <v>1</v>
      </c>
      <c r="F122" s="3">
        <v>3.3</v>
      </c>
      <c r="G122" s="4">
        <f t="shared" si="26"/>
        <v>1.0846575470902484</v>
      </c>
      <c r="H122" s="4">
        <f t="shared" si="27"/>
        <v>15.102974828375286</v>
      </c>
      <c r="I122" s="4">
        <f t="shared" si="25"/>
        <v>18.861545999209593</v>
      </c>
      <c r="J122" s="9">
        <f t="shared" si="28"/>
        <v>3.3</v>
      </c>
      <c r="K122" s="10">
        <f t="shared" si="29"/>
        <v>0</v>
      </c>
      <c r="L122" s="11">
        <f t="shared" si="30"/>
        <v>0</v>
      </c>
      <c r="O122" s="9">
        <f t="shared" si="31"/>
        <v>15.102974828375286</v>
      </c>
      <c r="P122" s="10">
        <f t="shared" si="32"/>
        <v>0</v>
      </c>
      <c r="Q122" s="11">
        <f t="shared" si="33"/>
        <v>0</v>
      </c>
      <c r="R122" s="109"/>
    </row>
    <row r="123" spans="1:18" ht="16.5" x14ac:dyDescent="0.25">
      <c r="A123" s="3">
        <v>122</v>
      </c>
      <c r="B123" s="3">
        <v>275</v>
      </c>
      <c r="C123" s="3">
        <v>522</v>
      </c>
      <c r="D123" s="3">
        <v>1</v>
      </c>
      <c r="E123" s="15">
        <v>2</v>
      </c>
      <c r="F123" s="3">
        <v>2.2000000000000002</v>
      </c>
      <c r="G123" s="4">
        <f t="shared" si="26"/>
        <v>0.72310503139349891</v>
      </c>
      <c r="H123" s="4">
        <f t="shared" si="27"/>
        <v>10.068649885583524</v>
      </c>
      <c r="I123" s="4">
        <f t="shared" si="25"/>
        <v>12.574363999473061</v>
      </c>
      <c r="J123" s="9">
        <f t="shared" si="28"/>
        <v>0</v>
      </c>
      <c r="K123" s="10">
        <f t="shared" si="29"/>
        <v>2.2000000000000002</v>
      </c>
      <c r="L123" s="11">
        <f t="shared" si="30"/>
        <v>0</v>
      </c>
      <c r="O123" s="9">
        <f t="shared" si="31"/>
        <v>0</v>
      </c>
      <c r="P123" s="10">
        <f t="shared" si="32"/>
        <v>10.068649885583524</v>
      </c>
      <c r="Q123" s="11">
        <f t="shared" si="33"/>
        <v>0</v>
      </c>
      <c r="R123" s="109"/>
    </row>
    <row r="124" spans="1:18" ht="16.5" x14ac:dyDescent="0.25">
      <c r="A124" s="3">
        <v>123</v>
      </c>
      <c r="B124" s="3">
        <v>284</v>
      </c>
      <c r="C124" s="3">
        <v>522</v>
      </c>
      <c r="D124" s="3">
        <v>1</v>
      </c>
      <c r="E124" s="15">
        <v>3</v>
      </c>
      <c r="F124" s="3">
        <v>0.35699999999999998</v>
      </c>
      <c r="G124" s="4">
        <f t="shared" si="26"/>
        <v>0.11734022554885415</v>
      </c>
      <c r="H124" s="4">
        <f t="shared" si="27"/>
        <v>1.6338672768878719</v>
      </c>
      <c r="I124" s="4">
        <f t="shared" si="25"/>
        <v>2.0404763399144925</v>
      </c>
      <c r="J124" s="9">
        <f t="shared" si="28"/>
        <v>0</v>
      </c>
      <c r="K124" s="10">
        <f t="shared" si="29"/>
        <v>0</v>
      </c>
      <c r="L124" s="11">
        <f t="shared" si="30"/>
        <v>0.35699999999999998</v>
      </c>
      <c r="O124" s="9">
        <f t="shared" si="31"/>
        <v>0</v>
      </c>
      <c r="P124" s="10">
        <f t="shared" si="32"/>
        <v>0</v>
      </c>
      <c r="Q124" s="11">
        <f t="shared" si="33"/>
        <v>1.6338672768878719</v>
      </c>
      <c r="R124" s="109"/>
    </row>
    <row r="125" spans="1:18" ht="16.5" x14ac:dyDescent="0.25">
      <c r="A125" s="3">
        <v>124</v>
      </c>
      <c r="B125" s="3">
        <v>293</v>
      </c>
      <c r="C125" s="3">
        <v>511</v>
      </c>
      <c r="D125" s="3">
        <v>1</v>
      </c>
      <c r="E125" s="15">
        <v>3</v>
      </c>
      <c r="F125" s="3">
        <v>1.2</v>
      </c>
      <c r="G125" s="4">
        <f t="shared" si="26"/>
        <v>0.39442092621463581</v>
      </c>
      <c r="H125" s="4">
        <f t="shared" si="27"/>
        <v>5.4919908466819223</v>
      </c>
      <c r="I125" s="4">
        <f t="shared" si="25"/>
        <v>6.858743999712579</v>
      </c>
      <c r="J125" s="9">
        <f t="shared" si="28"/>
        <v>0</v>
      </c>
      <c r="K125" s="10">
        <f t="shared" si="29"/>
        <v>0</v>
      </c>
      <c r="L125" s="11">
        <f t="shared" si="30"/>
        <v>1.2</v>
      </c>
      <c r="O125" s="9">
        <f t="shared" si="31"/>
        <v>0</v>
      </c>
      <c r="P125" s="10">
        <f t="shared" si="32"/>
        <v>0</v>
      </c>
      <c r="Q125" s="11">
        <f t="shared" si="33"/>
        <v>5.4919908466819223</v>
      </c>
      <c r="R125" s="109"/>
    </row>
    <row r="126" spans="1:18" ht="16.5" x14ac:dyDescent="0.25">
      <c r="A126" s="3">
        <v>125</v>
      </c>
      <c r="B126" s="3">
        <v>350</v>
      </c>
      <c r="C126" s="3">
        <v>507</v>
      </c>
      <c r="D126" s="3">
        <v>1</v>
      </c>
      <c r="E126" s="15">
        <v>2</v>
      </c>
      <c r="F126" s="3">
        <v>0.47299999999999998</v>
      </c>
      <c r="G126" s="4">
        <f t="shared" si="26"/>
        <v>0.15546758174960229</v>
      </c>
      <c r="H126" s="4">
        <f t="shared" si="27"/>
        <v>2.1647597254004576</v>
      </c>
      <c r="I126" s="4">
        <f t="shared" si="25"/>
        <v>2.7034882598867083</v>
      </c>
      <c r="J126" s="9">
        <f t="shared" si="28"/>
        <v>0</v>
      </c>
      <c r="K126" s="10">
        <f t="shared" si="29"/>
        <v>0.47299999999999998</v>
      </c>
      <c r="L126" s="11">
        <f t="shared" si="30"/>
        <v>0</v>
      </c>
      <c r="O126" s="9">
        <f t="shared" si="31"/>
        <v>0</v>
      </c>
      <c r="P126" s="10">
        <f t="shared" si="32"/>
        <v>2.1647597254004576</v>
      </c>
      <c r="Q126" s="11">
        <f t="shared" si="33"/>
        <v>0</v>
      </c>
      <c r="R126" s="109"/>
    </row>
    <row r="127" spans="1:18" ht="16.5" x14ac:dyDescent="0.25">
      <c r="A127" s="3">
        <v>126</v>
      </c>
      <c r="B127" s="3">
        <v>357</v>
      </c>
      <c r="C127" s="3">
        <v>507</v>
      </c>
      <c r="D127" s="3">
        <v>1</v>
      </c>
      <c r="E127" s="15">
        <v>1</v>
      </c>
      <c r="F127" s="3">
        <v>0.39200000000000002</v>
      </c>
      <c r="G127" s="4">
        <f t="shared" si="26"/>
        <v>0.12884416923011438</v>
      </c>
      <c r="H127" s="4">
        <f t="shared" si="27"/>
        <v>1.7940503432494279</v>
      </c>
      <c r="I127" s="4">
        <f t="shared" si="25"/>
        <v>2.2405230399061091</v>
      </c>
      <c r="J127" s="9">
        <f t="shared" si="28"/>
        <v>0.39200000000000002</v>
      </c>
      <c r="K127" s="10">
        <f t="shared" si="29"/>
        <v>0</v>
      </c>
      <c r="L127" s="11">
        <f t="shared" si="30"/>
        <v>0</v>
      </c>
      <c r="O127" s="9">
        <f t="shared" si="31"/>
        <v>1.7940503432494279</v>
      </c>
      <c r="P127" s="10">
        <f t="shared" si="32"/>
        <v>0</v>
      </c>
      <c r="Q127" s="11">
        <f t="shared" si="33"/>
        <v>0</v>
      </c>
      <c r="R127" s="109"/>
    </row>
    <row r="128" spans="1:18" ht="16.5" x14ac:dyDescent="0.25">
      <c r="A128" s="3">
        <v>127</v>
      </c>
      <c r="B128" s="3">
        <v>373</v>
      </c>
      <c r="C128" s="3">
        <v>505</v>
      </c>
      <c r="D128" s="3">
        <v>1</v>
      </c>
      <c r="E128" s="15">
        <v>3</v>
      </c>
      <c r="F128" s="3">
        <v>0.42599999999999999</v>
      </c>
      <c r="G128" s="4">
        <f t="shared" si="26"/>
        <v>0.14001942880619572</v>
      </c>
      <c r="H128" s="4">
        <f t="shared" si="27"/>
        <v>1.9496567505720823</v>
      </c>
      <c r="I128" s="4">
        <f t="shared" si="25"/>
        <v>2.4348541198979654</v>
      </c>
      <c r="J128" s="9">
        <f t="shared" si="28"/>
        <v>0</v>
      </c>
      <c r="K128" s="10">
        <f t="shared" si="29"/>
        <v>0</v>
      </c>
      <c r="L128" s="11">
        <f t="shared" si="30"/>
        <v>0.42599999999999999</v>
      </c>
      <c r="O128" s="9">
        <f t="shared" si="31"/>
        <v>0</v>
      </c>
      <c r="P128" s="10">
        <f t="shared" si="32"/>
        <v>0</v>
      </c>
      <c r="Q128" s="11">
        <f t="shared" si="33"/>
        <v>1.9496567505720823</v>
      </c>
      <c r="R128" s="109"/>
    </row>
    <row r="129" spans="1:19" ht="16.5" x14ac:dyDescent="0.25">
      <c r="A129" s="3">
        <v>128</v>
      </c>
      <c r="B129" s="3">
        <v>409</v>
      </c>
      <c r="C129" s="3">
        <v>500</v>
      </c>
      <c r="D129" s="3">
        <v>1</v>
      </c>
      <c r="E129" s="15">
        <v>2</v>
      </c>
      <c r="F129" s="3">
        <v>0.41599999999999998</v>
      </c>
      <c r="G129" s="4">
        <f t="shared" si="26"/>
        <v>0.13673258775440708</v>
      </c>
      <c r="H129" s="4">
        <f t="shared" si="27"/>
        <v>1.9038901601830664</v>
      </c>
      <c r="I129" s="4">
        <f t="shared" si="25"/>
        <v>2.3776979199003607</v>
      </c>
      <c r="J129" s="9">
        <f t="shared" si="28"/>
        <v>0</v>
      </c>
      <c r="K129" s="10">
        <f t="shared" si="29"/>
        <v>0.41599999999999998</v>
      </c>
      <c r="L129" s="11">
        <f t="shared" si="30"/>
        <v>0</v>
      </c>
      <c r="O129" s="9">
        <f t="shared" si="31"/>
        <v>0</v>
      </c>
      <c r="P129" s="10">
        <f t="shared" si="32"/>
        <v>1.9038901601830664</v>
      </c>
      <c r="Q129" s="11">
        <f t="shared" si="33"/>
        <v>0</v>
      </c>
      <c r="R129" s="109"/>
    </row>
    <row r="130" spans="1:19" ht="16.5" x14ac:dyDescent="0.25">
      <c r="A130" s="3">
        <v>129</v>
      </c>
      <c r="B130" s="3">
        <v>422</v>
      </c>
      <c r="C130" s="3">
        <v>500</v>
      </c>
      <c r="D130" s="3">
        <v>1</v>
      </c>
      <c r="E130" s="15">
        <v>1</v>
      </c>
      <c r="F130" s="3">
        <v>0.34899999999999998</v>
      </c>
      <c r="G130" s="4">
        <f t="shared" ref="G130" si="34">IF(D130=1,(230*H130*SIN(ACOS(0.95)))/1000, IF(D130=3,(SQRT(3)*400*H130*SIN(ACOS(0.95)))/1000))</f>
        <v>0.11471075270742324</v>
      </c>
      <c r="H130" s="4">
        <f t="shared" si="27"/>
        <v>1.597254004576659</v>
      </c>
      <c r="I130" s="4">
        <f t="shared" si="25"/>
        <v>1.9947513799164083</v>
      </c>
      <c r="J130" s="9">
        <f t="shared" si="28"/>
        <v>0.34899999999999998</v>
      </c>
      <c r="K130" s="10">
        <f t="shared" si="29"/>
        <v>0</v>
      </c>
      <c r="L130" s="11">
        <f t="shared" si="30"/>
        <v>0</v>
      </c>
      <c r="O130" s="9">
        <f t="shared" si="31"/>
        <v>1.597254004576659</v>
      </c>
      <c r="P130" s="10">
        <f t="shared" si="32"/>
        <v>0</v>
      </c>
      <c r="Q130" s="11">
        <f t="shared" si="33"/>
        <v>0</v>
      </c>
      <c r="R130" s="110" t="s">
        <v>88</v>
      </c>
      <c r="S130" s="2">
        <v>1.1000000000000001</v>
      </c>
    </row>
    <row r="131" spans="1:19" ht="16.5" x14ac:dyDescent="0.25">
      <c r="A131" s="112" t="s">
        <v>6</v>
      </c>
      <c r="B131" s="113"/>
      <c r="C131" s="113"/>
      <c r="D131" s="113"/>
      <c r="E131" s="113"/>
      <c r="F131" s="114"/>
      <c r="G131" s="115">
        <f>SUM(F2:F130)</f>
        <v>361.04060000000004</v>
      </c>
      <c r="H131" s="115"/>
      <c r="I131" s="17"/>
      <c r="J131" s="12">
        <f>SUM(J2:J130)</f>
        <v>120.43193333333332</v>
      </c>
      <c r="K131" s="13">
        <f>SUM(K2:K130)</f>
        <v>120.32033333333331</v>
      </c>
      <c r="L131" s="14">
        <f>SUM(L2:L130)</f>
        <v>120.28833333333336</v>
      </c>
      <c r="O131" s="12">
        <f>SUM(O2:O130)</f>
        <v>549.44877773221049</v>
      </c>
      <c r="P131" s="13">
        <f t="shared" ref="P131:Q131" si="35">SUM(P2:P130)</f>
        <v>548.93802258346898</v>
      </c>
      <c r="Q131" s="14">
        <f t="shared" si="35"/>
        <v>548.79156949422429</v>
      </c>
      <c r="R131" s="110" t="s">
        <v>87</v>
      </c>
      <c r="S131" s="108">
        <f>(1/3)*((O131/S132)^2 + (P131/S132)^2 + (Q131/S132)^2)</f>
        <v>1.0000002632474185</v>
      </c>
    </row>
    <row r="132" spans="1:19" x14ac:dyDescent="0.25">
      <c r="A132" s="112" t="s">
        <v>7</v>
      </c>
      <c r="B132" s="113"/>
      <c r="C132" s="113"/>
      <c r="D132" s="113"/>
      <c r="E132" s="113"/>
      <c r="F132" s="114"/>
      <c r="G132" s="116">
        <f>SUM(G2:G130)</f>
        <v>118.6683065442399</v>
      </c>
      <c r="H132" s="116"/>
      <c r="I132" s="17"/>
      <c r="M132" s="5">
        <v>0.5</v>
      </c>
      <c r="N132" s="5"/>
      <c r="R132" s="5" t="s">
        <v>86</v>
      </c>
      <c r="S132" s="108">
        <f>AVERAGE(O131:Q131)</f>
        <v>549.05945660330133</v>
      </c>
    </row>
    <row r="133" spans="1:19" x14ac:dyDescent="0.25">
      <c r="A133" s="112" t="s">
        <v>8</v>
      </c>
      <c r="B133" s="113"/>
      <c r="C133" s="113"/>
      <c r="D133" s="113"/>
      <c r="E133" s="113"/>
      <c r="F133" s="114"/>
      <c r="G133" s="116">
        <f>SQRT(G131^2 + G132^2)</f>
        <v>380.04273684210534</v>
      </c>
      <c r="H133" s="116"/>
      <c r="I133" s="17"/>
      <c r="M133" s="18">
        <f>AVERAGE(J131:L131)</f>
        <v>120.34686666666666</v>
      </c>
      <c r="N133" s="18"/>
    </row>
    <row r="134" spans="1:19" ht="16.5" x14ac:dyDescent="0.25">
      <c r="A134" s="112" t="s">
        <v>11</v>
      </c>
      <c r="B134" s="113"/>
      <c r="C134" s="113"/>
      <c r="D134" s="113"/>
      <c r="E134" s="113"/>
      <c r="F134" s="114"/>
      <c r="G134" s="115">
        <v>3</v>
      </c>
      <c r="H134" s="115"/>
      <c r="I134" s="17"/>
      <c r="J134" s="117" t="str">
        <f>IF(OR(ABS(J131-M133)&gt;M132,ABS(K131-M133)&gt;M132,ABS(L131-M133)&gt;M132),"Re-arrangement Phase Division Again !!","Arrangement Phase Division Completed !!")</f>
        <v>Arrangement Phase Division Completed !!</v>
      </c>
      <c r="K134" s="117"/>
      <c r="L134" s="117"/>
      <c r="O134" s="117" t="str">
        <f>IF(S131&gt;=S130,"Re-arrangement Phase Division Again !!","Arrangement Phase Division Completed !!")</f>
        <v>Arrangement Phase Division Completed !!</v>
      </c>
      <c r="P134" s="117"/>
      <c r="Q134" s="117"/>
      <c r="R134" s="101"/>
    </row>
    <row r="135" spans="1:19" x14ac:dyDescent="0.25">
      <c r="A135" s="112" t="s">
        <v>9</v>
      </c>
      <c r="B135" s="113"/>
      <c r="C135" s="113"/>
      <c r="D135" s="113"/>
      <c r="E135" s="113"/>
      <c r="F135" s="114"/>
      <c r="G135" s="116">
        <f>IF(G134=1, G131*1000/(220*0.95), IF(G134=3, G131*1000/(SQRT(3)*380*0.95)))</f>
        <v>577.41520110355691</v>
      </c>
      <c r="H135" s="116"/>
      <c r="I135" s="17"/>
    </row>
    <row r="136" spans="1:19" x14ac:dyDescent="0.25">
      <c r="A136" s="112" t="s">
        <v>76</v>
      </c>
      <c r="B136" s="113"/>
      <c r="C136" s="113"/>
      <c r="D136" s="113"/>
      <c r="E136" s="113"/>
      <c r="F136" s="114"/>
      <c r="G136" s="115">
        <f>G131*(1+0.025)^10</f>
        <v>462.16249188737936</v>
      </c>
      <c r="H136" s="115"/>
      <c r="S136" s="2">
        <f>MAX(ABS(O131-S132), ABS(P131-S132),ABS(Q131-S132))</f>
        <v>0.3893211289091596</v>
      </c>
    </row>
    <row r="137" spans="1:19" x14ac:dyDescent="0.25">
      <c r="G137" s="16"/>
      <c r="I137" s="5" t="s">
        <v>89</v>
      </c>
      <c r="J137" s="18">
        <f>(J131*1000)/(230*0.95)</f>
        <v>551.1758962623951</v>
      </c>
      <c r="K137" s="18">
        <f>(K131*1000)/(230*0.95)</f>
        <v>550.66514111365359</v>
      </c>
      <c r="L137" s="18">
        <f>(L131*1000)/(230*0.95)</f>
        <v>550.5186880244089</v>
      </c>
      <c r="O137" s="17" t="str">
        <f>TEXT(O131*230*0.95/1000, 0) &amp; " kW"</f>
        <v>120 kW</v>
      </c>
      <c r="P137" s="17" t="str">
        <f t="shared" ref="P137:Q137" si="36">TEXT(P131*230*0.95/1000, 0) &amp; " kW"</f>
        <v>120 kW</v>
      </c>
      <c r="Q137" s="17" t="str">
        <f t="shared" si="36"/>
        <v>120 kW</v>
      </c>
      <c r="S137" s="2">
        <f>(S136/S132)*100</f>
        <v>7.090691622318171E-2</v>
      </c>
    </row>
    <row r="138" spans="1:19" x14ac:dyDescent="0.25">
      <c r="P138" s="18"/>
      <c r="Q138" s="18"/>
      <c r="R138" s="18"/>
    </row>
    <row r="139" spans="1:19" x14ac:dyDescent="0.25">
      <c r="O139" s="18"/>
    </row>
    <row r="140" spans="1:19" x14ac:dyDescent="0.25">
      <c r="F140" s="2" t="s">
        <v>91</v>
      </c>
      <c r="G140" s="2">
        <f>G136</f>
        <v>462.16249188737936</v>
      </c>
    </row>
    <row r="141" spans="1:19" x14ac:dyDescent="0.25">
      <c r="F141" s="2" t="s">
        <v>90</v>
      </c>
      <c r="G141" s="2">
        <f>G132*(1+0.025)^10</f>
        <v>151.9054650932369</v>
      </c>
    </row>
    <row r="142" spans="1:19" x14ac:dyDescent="0.25">
      <c r="F142" s="2" t="s">
        <v>77</v>
      </c>
      <c r="G142" s="2">
        <f>SQRT(G140^2 + G141^2)</f>
        <v>486.48683356566249</v>
      </c>
    </row>
    <row r="143" spans="1:19" x14ac:dyDescent="0.25">
      <c r="F143" s="2" t="s">
        <v>92</v>
      </c>
      <c r="G143" s="2">
        <f>G142*1.2</f>
        <v>583.78420027879497</v>
      </c>
    </row>
  </sheetData>
  <mergeCells count="14">
    <mergeCell ref="O134:Q134"/>
    <mergeCell ref="G131:H131"/>
    <mergeCell ref="G132:H132"/>
    <mergeCell ref="G133:H133"/>
    <mergeCell ref="A131:F131"/>
    <mergeCell ref="A132:F132"/>
    <mergeCell ref="A133:F133"/>
    <mergeCell ref="J134:L134"/>
    <mergeCell ref="A136:F136"/>
    <mergeCell ref="G136:H136"/>
    <mergeCell ref="A135:F135"/>
    <mergeCell ref="A134:F134"/>
    <mergeCell ref="G135:H135"/>
    <mergeCell ref="G134:H134"/>
  </mergeCells>
  <conditionalFormatting sqref="J134:L134">
    <cfRule type="containsText" dxfId="6" priority="4" operator="containsText" text="Arrangement Phase Division Completed !!">
      <formula>NOT(ISERROR(SEARCH("Arrangement Phase Division Completed !!",J134)))</formula>
    </cfRule>
    <cfRule type="containsText" dxfId="5" priority="5" operator="containsText" text="Arragement Phase Division Completed !!">
      <formula>NOT(ISERROR(SEARCH("Arragement Phase Division Completed !!",J134)))</formula>
    </cfRule>
    <cfRule type="containsText" dxfId="4" priority="6" operator="containsText" text="Re-arrangement Phase Division Again !!">
      <formula>NOT(ISERROR(SEARCH("Re-arrangement Phase Division Again !!",J134)))</formula>
    </cfRule>
  </conditionalFormatting>
  <conditionalFormatting sqref="O134:R134">
    <cfRule type="containsText" dxfId="3" priority="1" operator="containsText" text="Arrangement Phase Division Completed !!">
      <formula>NOT(ISERROR(SEARCH("Arrangement Phase Division Completed !!",O134)))</formula>
    </cfRule>
    <cfRule type="containsText" dxfId="2" priority="2" operator="containsText" text="Arragement Phase Division Completed !!">
      <formula>NOT(ISERROR(SEARCH("Arragement Phase Division Completed !!",O134)))</formula>
    </cfRule>
    <cfRule type="containsText" dxfId="1" priority="3" operator="containsText" text="Re-arrangement Phase Division Again !!">
      <formula>NOT(ISERROR(SEARCH("Re-arrangement Phase Division Again !!",O134)))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E42F4-208C-4DD9-9867-08B7158F9950}">
  <sheetPr>
    <pageSetUpPr fitToPage="1"/>
  </sheetPr>
  <dimension ref="A1:AF57"/>
  <sheetViews>
    <sheetView zoomScale="82" zoomScaleNormal="70" zoomScaleSheetLayoutView="100" workbookViewId="0">
      <selection activeCell="M10" sqref="M10"/>
    </sheetView>
  </sheetViews>
  <sheetFormatPr defaultColWidth="9.140625" defaultRowHeight="15.75" x14ac:dyDescent="0.25"/>
  <cols>
    <col min="1" max="1" width="9.5703125" style="32" bestFit="1" customWidth="1"/>
    <col min="2" max="2" width="0.140625" style="21" customWidth="1"/>
    <col min="3" max="3" width="47.28515625" style="21" customWidth="1"/>
    <col min="4" max="4" width="7.7109375" style="22" customWidth="1"/>
    <col min="5" max="5" width="6.7109375" style="23" customWidth="1"/>
    <col min="6" max="6" width="5.7109375" style="23" bestFit="1" customWidth="1"/>
    <col min="7" max="7" width="12.42578125" style="24" customWidth="1"/>
    <col min="8" max="8" width="6.42578125" style="24" bestFit="1" customWidth="1"/>
    <col min="9" max="9" width="12.5703125" style="24" customWidth="1"/>
    <col min="10" max="10" width="13.140625" style="24" customWidth="1"/>
    <col min="11" max="11" width="8.42578125" style="24" customWidth="1"/>
    <col min="12" max="12" width="12.42578125" style="24" customWidth="1"/>
    <col min="13" max="13" width="27.5703125" style="24" customWidth="1"/>
    <col min="14" max="14" width="18.7109375" style="25" hidden="1" customWidth="1"/>
    <col min="15" max="15" width="22.5703125" style="25" hidden="1" customWidth="1"/>
    <col min="16" max="16" width="17.5703125" style="25" hidden="1" customWidth="1"/>
    <col min="17" max="17" width="25.7109375" style="26" hidden="1" customWidth="1"/>
    <col min="18" max="18" width="23.5703125" style="26" hidden="1" customWidth="1"/>
    <col min="19" max="19" width="30.28515625" style="26" hidden="1" customWidth="1"/>
    <col min="20" max="20" width="22.5703125" style="26" hidden="1" customWidth="1"/>
    <col min="21" max="21" width="23.7109375" style="26" hidden="1" customWidth="1"/>
    <col min="22" max="22" width="19.42578125" style="26" hidden="1" customWidth="1"/>
    <col min="23" max="23" width="19" style="27" hidden="1" customWidth="1"/>
    <col min="24" max="24" width="30.28515625" style="27" hidden="1" customWidth="1"/>
    <col min="25" max="25" width="38.85546875" style="28" hidden="1" customWidth="1"/>
    <col min="26" max="26" width="20.7109375" style="21" hidden="1" customWidth="1"/>
    <col min="27" max="27" width="28.7109375" style="21" hidden="1" customWidth="1"/>
    <col min="28" max="28" width="37.85546875" style="21" hidden="1" customWidth="1"/>
    <col min="29" max="29" width="9.140625" style="21"/>
    <col min="30" max="32" width="11.28515625" style="21" bestFit="1" customWidth="1"/>
    <col min="33" max="16384" width="9.140625" style="21"/>
  </cols>
  <sheetData>
    <row r="1" spans="1:28" x14ac:dyDescent="0.25">
      <c r="A1" s="19" t="s">
        <v>16</v>
      </c>
      <c r="B1" s="20"/>
      <c r="C1" s="21" t="s">
        <v>72</v>
      </c>
    </row>
    <row r="2" spans="1:28" x14ac:dyDescent="0.25">
      <c r="A2" s="29" t="s">
        <v>17</v>
      </c>
      <c r="B2" s="30"/>
      <c r="C2" s="31">
        <f ca="1">TODAY()</f>
        <v>45864</v>
      </c>
    </row>
    <row r="3" spans="1:28" ht="16.5" thickBot="1" x14ac:dyDescent="0.3"/>
    <row r="4" spans="1:28" s="35" customFormat="1" ht="32.25" thickBot="1" x14ac:dyDescent="0.3">
      <c r="A4" s="93" t="s">
        <v>18</v>
      </c>
      <c r="B4" s="93"/>
      <c r="C4" s="93" t="s">
        <v>19</v>
      </c>
      <c r="D4" s="93" t="s">
        <v>10</v>
      </c>
      <c r="E4" s="93" t="s">
        <v>20</v>
      </c>
      <c r="F4" s="93" t="s">
        <v>21</v>
      </c>
      <c r="G4" s="94" t="s">
        <v>22</v>
      </c>
      <c r="H4" s="93" t="s">
        <v>23</v>
      </c>
      <c r="I4" s="93" t="s">
        <v>24</v>
      </c>
      <c r="J4" s="93" t="s">
        <v>25</v>
      </c>
      <c r="K4" s="93" t="s">
        <v>26</v>
      </c>
      <c r="L4" s="93" t="s">
        <v>27</v>
      </c>
      <c r="M4" s="93" t="s">
        <v>28</v>
      </c>
      <c r="N4" s="133" t="s">
        <v>29</v>
      </c>
      <c r="O4" s="134"/>
      <c r="P4" s="135"/>
      <c r="Q4" s="136" t="s">
        <v>30</v>
      </c>
      <c r="R4" s="136"/>
      <c r="S4" s="136"/>
      <c r="T4" s="136" t="s">
        <v>30</v>
      </c>
      <c r="U4" s="136"/>
      <c r="V4" s="136"/>
      <c r="W4" s="118" t="s">
        <v>31</v>
      </c>
      <c r="X4" s="118"/>
      <c r="Y4" s="118"/>
      <c r="AA4" s="36" t="s">
        <v>54</v>
      </c>
      <c r="AB4" s="37" t="s">
        <v>32</v>
      </c>
    </row>
    <row r="5" spans="1:28" x14ac:dyDescent="0.25">
      <c r="A5" s="47"/>
      <c r="B5" s="38"/>
      <c r="C5" s="38"/>
      <c r="D5" s="39"/>
      <c r="E5" s="40"/>
      <c r="F5" s="40"/>
      <c r="G5" s="41"/>
      <c r="H5" s="41"/>
      <c r="I5" s="41"/>
      <c r="J5" s="41"/>
      <c r="K5" s="41"/>
      <c r="L5" s="41"/>
      <c r="M5" s="41"/>
      <c r="N5" s="42" t="s">
        <v>33</v>
      </c>
      <c r="O5" s="43" t="s">
        <v>1</v>
      </c>
      <c r="P5" s="44" t="s">
        <v>13</v>
      </c>
      <c r="Q5" s="33" t="s">
        <v>12</v>
      </c>
      <c r="R5" s="33" t="s">
        <v>1</v>
      </c>
      <c r="S5" s="33" t="s">
        <v>13</v>
      </c>
      <c r="T5" s="33" t="s">
        <v>12</v>
      </c>
      <c r="U5" s="33" t="s">
        <v>13</v>
      </c>
      <c r="V5" s="33" t="s">
        <v>1</v>
      </c>
      <c r="W5" s="34" t="s">
        <v>12</v>
      </c>
      <c r="X5" s="34" t="s">
        <v>13</v>
      </c>
      <c r="Y5" s="28" t="s">
        <v>1</v>
      </c>
      <c r="AA5" s="45"/>
      <c r="AB5" s="46"/>
    </row>
    <row r="6" spans="1:28" x14ac:dyDescent="0.25">
      <c r="A6" s="47"/>
      <c r="B6" s="47"/>
      <c r="C6" s="48" t="s">
        <v>56</v>
      </c>
      <c r="D6" s="39"/>
      <c r="E6" s="40"/>
      <c r="F6" s="40"/>
      <c r="G6" s="41"/>
      <c r="H6" s="41"/>
      <c r="I6" s="41"/>
      <c r="J6" s="41"/>
      <c r="K6" s="41"/>
      <c r="L6" s="41"/>
      <c r="M6" s="41"/>
      <c r="N6" s="49"/>
      <c r="O6" s="50"/>
      <c r="P6" s="51"/>
      <c r="X6" s="27" t="s">
        <v>34</v>
      </c>
      <c r="AA6" s="52"/>
      <c r="AB6" s="46"/>
    </row>
    <row r="7" spans="1:28" s="64" customFormat="1" x14ac:dyDescent="0.25">
      <c r="A7" s="53"/>
      <c r="B7" s="53"/>
      <c r="C7" s="92" t="s">
        <v>55</v>
      </c>
      <c r="D7" s="54"/>
      <c r="E7" s="55"/>
      <c r="F7" s="55"/>
      <c r="G7" s="56"/>
      <c r="H7" s="56"/>
      <c r="I7" s="56"/>
      <c r="J7" s="57"/>
      <c r="K7" s="56"/>
      <c r="L7" s="57"/>
      <c r="M7" s="58"/>
      <c r="N7" s="59"/>
      <c r="O7" s="60"/>
      <c r="P7" s="61"/>
      <c r="Q7" s="62"/>
      <c r="R7" s="62"/>
      <c r="S7" s="62"/>
      <c r="T7" s="62"/>
      <c r="U7" s="62"/>
      <c r="V7" s="62"/>
      <c r="W7" s="63"/>
      <c r="X7" s="63"/>
      <c r="Y7" s="63"/>
      <c r="AA7" s="65"/>
      <c r="AB7" s="65"/>
    </row>
    <row r="8" spans="1:28" x14ac:dyDescent="0.25">
      <c r="A8" s="95" t="s">
        <v>35</v>
      </c>
      <c r="B8" s="47">
        <v>2</v>
      </c>
      <c r="C8" s="66" t="s">
        <v>36</v>
      </c>
      <c r="D8" s="39"/>
      <c r="E8" s="40"/>
      <c r="F8" s="40"/>
      <c r="G8" s="41"/>
      <c r="H8" s="41"/>
      <c r="I8" s="41"/>
      <c r="J8" s="41"/>
      <c r="K8" s="41"/>
      <c r="L8" s="41"/>
      <c r="M8" s="41" t="str">
        <f t="shared" ref="M8:M10" si="0">+IF(D8=1,L8/(220*0.8),IF(D8=3,L8/(1.73*380*0.8),""))</f>
        <v/>
      </c>
      <c r="N8" s="49"/>
      <c r="O8" s="50"/>
      <c r="P8" s="51"/>
      <c r="W8" s="28"/>
      <c r="X8" s="28"/>
      <c r="AA8" s="22"/>
      <c r="AB8" s="46"/>
    </row>
    <row r="9" spans="1:28" x14ac:dyDescent="0.25">
      <c r="A9" s="95"/>
      <c r="B9" s="47"/>
      <c r="C9" s="66"/>
      <c r="D9" s="39"/>
      <c r="E9" s="40"/>
      <c r="F9" s="40"/>
      <c r="G9" s="41"/>
      <c r="H9" s="41"/>
      <c r="I9" s="41"/>
      <c r="J9" s="41"/>
      <c r="K9" s="41"/>
      <c r="L9" s="41"/>
      <c r="M9" s="41"/>
      <c r="N9" s="49"/>
      <c r="O9" s="50"/>
      <c r="P9" s="51"/>
      <c r="W9" s="28"/>
      <c r="X9" s="28"/>
      <c r="AA9" s="22"/>
      <c r="AB9" s="46"/>
    </row>
    <row r="10" spans="1:28" x14ac:dyDescent="0.25">
      <c r="A10" s="47">
        <v>1</v>
      </c>
      <c r="B10" s="47"/>
      <c r="C10" s="67" t="s">
        <v>57</v>
      </c>
      <c r="D10" s="39">
        <v>1</v>
      </c>
      <c r="E10" s="40"/>
      <c r="F10" s="40"/>
      <c r="G10" s="41"/>
      <c r="H10" s="41"/>
      <c r="I10" s="41"/>
      <c r="J10" s="41">
        <f>+SUM(I11:I12)</f>
        <v>200</v>
      </c>
      <c r="K10" s="41">
        <v>1</v>
      </c>
      <c r="L10" s="41">
        <f>+J10*K10</f>
        <v>200</v>
      </c>
      <c r="M10" s="41">
        <f t="shared" si="0"/>
        <v>1.1363636363636365</v>
      </c>
      <c r="N10" s="49">
        <f>+Q10</f>
        <v>200</v>
      </c>
      <c r="O10" s="50">
        <f>+R10</f>
        <v>0</v>
      </c>
      <c r="P10" s="51">
        <f>+S10</f>
        <v>0</v>
      </c>
      <c r="Q10" s="26">
        <f>+L10*T10*W10</f>
        <v>200</v>
      </c>
      <c r="R10" s="26">
        <f>+L10*U10*X10</f>
        <v>0</v>
      </c>
      <c r="S10" s="26">
        <f>+L10*V10*Y10</f>
        <v>0</v>
      </c>
      <c r="T10" s="26">
        <f>+IF($D10=1,1,IF($D10=3,1/3,0))</f>
        <v>1</v>
      </c>
      <c r="U10" s="26">
        <f>+IF($D10=1,1,IF($D10=3,1/3,0))</f>
        <v>1</v>
      </c>
      <c r="V10" s="26">
        <f>+IF($D10=1,1,IF($D10=3,1/3,0))</f>
        <v>1</v>
      </c>
      <c r="W10" s="28">
        <f>+IF(OR(A10&lt;0,A10&gt;0),IF($D10=1,IF(MOD(A10+2,3)=0,1,0),IF($D10=3,1,0)),0)</f>
        <v>1</v>
      </c>
      <c r="X10" s="28">
        <f>+IF(OR(A10&lt;0,A10&gt;0),IF(D10=1,IF(MOD(A10+1,3)=0,1,0),IF(D10=3,1,0)),0)</f>
        <v>0</v>
      </c>
      <c r="Y10" s="28">
        <f>+IF(OR(A10&lt;0,A10&gt;0),IF(D10=1,IF(MOD(A10,3)=0,1,0),IF(D10=3,1,0)),0)</f>
        <v>0</v>
      </c>
      <c r="Z10" s="21" t="str">
        <f>+IF(ABS(SUM(N10:P10)-L10)&gt;0,"Error","")</f>
        <v/>
      </c>
      <c r="AA10" s="68">
        <f>L10*0.75</f>
        <v>150</v>
      </c>
      <c r="AB10" s="69" t="s">
        <v>37</v>
      </c>
    </row>
    <row r="11" spans="1:28" x14ac:dyDescent="0.25">
      <c r="A11" s="47"/>
      <c r="B11" s="47"/>
      <c r="C11" s="70" t="s">
        <v>58</v>
      </c>
      <c r="D11" s="39"/>
      <c r="E11" s="40" t="s">
        <v>38</v>
      </c>
      <c r="F11" s="71">
        <v>2</v>
      </c>
      <c r="G11" s="41">
        <v>40</v>
      </c>
      <c r="H11" s="41">
        <v>1</v>
      </c>
      <c r="I11" s="41">
        <f>+F11*G11*H11</f>
        <v>80</v>
      </c>
      <c r="J11" s="41"/>
      <c r="K11" s="41"/>
      <c r="L11" s="41"/>
      <c r="M11" s="41" t="str">
        <f>+IF(D11=1,L11/(220*0.8),IF(D11=3,L11/(1.73*380*0.8),""))</f>
        <v/>
      </c>
      <c r="N11" s="49"/>
      <c r="O11" s="50"/>
      <c r="P11" s="51"/>
      <c r="W11" s="28"/>
      <c r="X11" s="28"/>
      <c r="AA11" s="22"/>
      <c r="AB11" s="46"/>
    </row>
    <row r="12" spans="1:28" x14ac:dyDescent="0.25">
      <c r="A12" s="47"/>
      <c r="B12" s="47"/>
      <c r="C12" s="70" t="s">
        <v>59</v>
      </c>
      <c r="D12" s="39"/>
      <c r="E12" s="40" t="s">
        <v>38</v>
      </c>
      <c r="F12" s="71">
        <v>3</v>
      </c>
      <c r="G12" s="41">
        <v>40</v>
      </c>
      <c r="H12" s="41">
        <v>1</v>
      </c>
      <c r="I12" s="41">
        <f>+F12*G12*H12</f>
        <v>120</v>
      </c>
      <c r="J12" s="41"/>
      <c r="K12" s="41"/>
      <c r="L12" s="41"/>
      <c r="M12" s="41" t="str">
        <f>+IF(D12=1,L12/(220*0.8),IF(D12=3,L12/(1.73*380*0.8),""))</f>
        <v/>
      </c>
      <c r="N12" s="49"/>
      <c r="O12" s="50"/>
      <c r="P12" s="51"/>
      <c r="W12" s="28"/>
      <c r="X12" s="28"/>
      <c r="AA12" s="22"/>
      <c r="AB12" s="46"/>
    </row>
    <row r="13" spans="1:28" x14ac:dyDescent="0.25">
      <c r="A13" s="47"/>
      <c r="B13" s="47"/>
      <c r="C13" s="70"/>
      <c r="D13" s="39"/>
      <c r="E13" s="40"/>
      <c r="F13" s="71"/>
      <c r="G13" s="41"/>
      <c r="H13" s="41"/>
      <c r="I13" s="41"/>
      <c r="J13" s="41"/>
      <c r="K13" s="41"/>
      <c r="L13" s="41"/>
      <c r="M13" s="41"/>
      <c r="N13" s="49"/>
      <c r="O13" s="50"/>
      <c r="P13" s="51"/>
      <c r="W13" s="28"/>
      <c r="X13" s="28"/>
      <c r="AA13" s="22"/>
      <c r="AB13" s="46"/>
    </row>
    <row r="14" spans="1:28" x14ac:dyDescent="0.25">
      <c r="A14" s="47">
        <v>1</v>
      </c>
      <c r="B14" s="47"/>
      <c r="C14" s="67" t="s">
        <v>60</v>
      </c>
      <c r="D14" s="39">
        <v>1</v>
      </c>
      <c r="E14" s="40"/>
      <c r="F14" s="40"/>
      <c r="G14" s="41"/>
      <c r="H14" s="41"/>
      <c r="I14" s="41"/>
      <c r="J14" s="41">
        <f t="shared" ref="J14" si="1">+SUM(I15:I16)</f>
        <v>156</v>
      </c>
      <c r="K14" s="41">
        <v>1</v>
      </c>
      <c r="L14" s="41">
        <f t="shared" ref="L14" si="2">+J14*K14</f>
        <v>156</v>
      </c>
      <c r="M14" s="41">
        <f t="shared" ref="M14:M16" si="3">+IF(D14=1,L14/(220*0.8),IF(D14=3,L14/(1.73*380*0.8),""))</f>
        <v>0.88636363636363635</v>
      </c>
      <c r="N14" s="49">
        <f t="shared" ref="N14" si="4">+Q14</f>
        <v>156</v>
      </c>
      <c r="O14" s="50">
        <f t="shared" ref="O14" si="5">+R14</f>
        <v>0</v>
      </c>
      <c r="P14" s="51">
        <f t="shared" ref="P14" si="6">+S14</f>
        <v>0</v>
      </c>
      <c r="Q14" s="26">
        <f t="shared" ref="Q14" si="7">+L14*T14*W14</f>
        <v>156</v>
      </c>
      <c r="R14" s="26">
        <f t="shared" ref="R14" si="8">+L14*U14*X14</f>
        <v>0</v>
      </c>
      <c r="S14" s="26">
        <f t="shared" ref="S14" si="9">+L14*V14*Y14</f>
        <v>0</v>
      </c>
      <c r="T14" s="26">
        <f t="shared" ref="T14:V14" si="10">+IF($D14=1,1,IF($D14=3,1/3,0))</f>
        <v>1</v>
      </c>
      <c r="U14" s="26">
        <f t="shared" si="10"/>
        <v>1</v>
      </c>
      <c r="V14" s="26">
        <f t="shared" si="10"/>
        <v>1</v>
      </c>
      <c r="W14" s="28">
        <f t="shared" ref="W14" si="11">+IF(OR(A14&lt;0,A14&gt;0),IF($D14=1,IF(MOD(A14+2,3)=0,1,0),IF($D14=3,1,0)),0)</f>
        <v>1</v>
      </c>
      <c r="X14" s="28">
        <f t="shared" ref="X14" si="12">+IF(OR(A14&lt;0,A14&gt;0),IF(D14=1,IF(MOD(A14+1,3)=0,1,0),IF(D14=3,1,0)),0)</f>
        <v>0</v>
      </c>
      <c r="Y14" s="28">
        <f t="shared" ref="Y14" si="13">+IF(OR(A14&lt;0,A14&gt;0),IF(D14=1,IF(MOD(A14,3)=0,1,0),IF(D14=3,1,0)),0)</f>
        <v>0</v>
      </c>
      <c r="Z14" s="21" t="str">
        <f t="shared" ref="Z14" si="14">+IF(ABS(SUM(N14:P14)-L14)&gt;0,"Error","")</f>
        <v/>
      </c>
      <c r="AA14" s="68">
        <f t="shared" ref="AA14" si="15">L14*0.75</f>
        <v>117</v>
      </c>
      <c r="AB14" s="69" t="s">
        <v>73</v>
      </c>
    </row>
    <row r="15" spans="1:28" x14ac:dyDescent="0.25">
      <c r="A15" s="47"/>
      <c r="B15" s="47"/>
      <c r="C15" s="70" t="s">
        <v>75</v>
      </c>
      <c r="D15" s="39"/>
      <c r="E15" s="40" t="s">
        <v>38</v>
      </c>
      <c r="F15" s="71">
        <v>3</v>
      </c>
      <c r="G15" s="41">
        <v>12</v>
      </c>
      <c r="H15" s="41">
        <v>1</v>
      </c>
      <c r="I15" s="41">
        <f t="shared" ref="I15:I16" si="16">+F15*G15*H15</f>
        <v>36</v>
      </c>
      <c r="J15" s="41"/>
      <c r="K15" s="41"/>
      <c r="L15" s="41"/>
      <c r="M15" s="41" t="str">
        <f t="shared" si="3"/>
        <v/>
      </c>
      <c r="N15" s="49"/>
      <c r="O15" s="50"/>
      <c r="P15" s="51"/>
      <c r="W15" s="28"/>
      <c r="X15" s="28"/>
      <c r="AA15" s="22"/>
      <c r="AB15" s="46"/>
    </row>
    <row r="16" spans="1:28" x14ac:dyDescent="0.25">
      <c r="A16" s="47"/>
      <c r="B16" s="47"/>
      <c r="C16" s="70" t="s">
        <v>63</v>
      </c>
      <c r="D16" s="39"/>
      <c r="E16" s="40" t="s">
        <v>38</v>
      </c>
      <c r="F16" s="71">
        <v>3</v>
      </c>
      <c r="G16" s="41">
        <v>40</v>
      </c>
      <c r="H16" s="41">
        <v>1</v>
      </c>
      <c r="I16" s="41">
        <f t="shared" si="16"/>
        <v>120</v>
      </c>
      <c r="J16" s="41"/>
      <c r="K16" s="41"/>
      <c r="L16" s="41"/>
      <c r="M16" s="41" t="str">
        <f t="shared" si="3"/>
        <v/>
      </c>
      <c r="N16" s="49"/>
      <c r="O16" s="50"/>
      <c r="P16" s="51"/>
      <c r="W16" s="28"/>
      <c r="X16" s="28"/>
      <c r="AA16" s="22"/>
      <c r="AB16" s="46"/>
    </row>
    <row r="17" spans="1:28" x14ac:dyDescent="0.25">
      <c r="A17" s="47"/>
      <c r="B17" s="47"/>
      <c r="C17" s="70"/>
      <c r="D17" s="39"/>
      <c r="E17" s="40"/>
      <c r="F17" s="71"/>
      <c r="G17" s="41"/>
      <c r="H17" s="41"/>
      <c r="I17" s="41"/>
      <c r="J17" s="41"/>
      <c r="K17" s="41"/>
      <c r="L17" s="41"/>
      <c r="M17" s="41"/>
      <c r="N17" s="49"/>
      <c r="O17" s="50"/>
      <c r="P17" s="51"/>
      <c r="W17" s="28"/>
      <c r="X17" s="28"/>
      <c r="AA17" s="22"/>
      <c r="AB17" s="46"/>
    </row>
    <row r="18" spans="1:28" x14ac:dyDescent="0.25">
      <c r="A18" s="47">
        <v>1</v>
      </c>
      <c r="B18" s="47"/>
      <c r="C18" s="67" t="s">
        <v>62</v>
      </c>
      <c r="D18" s="39">
        <v>1</v>
      </c>
      <c r="E18" s="40"/>
      <c r="F18" s="40"/>
      <c r="G18" s="41"/>
      <c r="H18" s="41"/>
      <c r="I18" s="41"/>
      <c r="J18" s="41">
        <f>+SUM(I19:I19)</f>
        <v>60</v>
      </c>
      <c r="K18" s="41">
        <v>1</v>
      </c>
      <c r="L18" s="41">
        <f t="shared" ref="L18" si="17">+J18*K18</f>
        <v>60</v>
      </c>
      <c r="M18" s="41">
        <f t="shared" ref="M18:M19" si="18">+IF(D18=1,L18/(220*0.8),IF(D18=3,L18/(1.73*380*0.8),""))</f>
        <v>0.34090909090909088</v>
      </c>
      <c r="N18" s="49">
        <f t="shared" ref="N18" si="19">+Q18</f>
        <v>60</v>
      </c>
      <c r="O18" s="50">
        <f t="shared" ref="O18" si="20">+R18</f>
        <v>0</v>
      </c>
      <c r="P18" s="51">
        <f t="shared" ref="P18" si="21">+S18</f>
        <v>0</v>
      </c>
      <c r="Q18" s="26">
        <f t="shared" ref="Q18" si="22">+L18*T18*W18</f>
        <v>60</v>
      </c>
      <c r="R18" s="26">
        <f t="shared" ref="R18" si="23">+L18*U18*X18</f>
        <v>0</v>
      </c>
      <c r="S18" s="26">
        <f t="shared" ref="S18" si="24">+L18*V18*Y18</f>
        <v>0</v>
      </c>
      <c r="T18" s="26">
        <f t="shared" ref="T18:V18" si="25">+IF($D18=1,1,IF($D18=3,1/3,0))</f>
        <v>1</v>
      </c>
      <c r="U18" s="26">
        <f t="shared" si="25"/>
        <v>1</v>
      </c>
      <c r="V18" s="26">
        <f t="shared" si="25"/>
        <v>1</v>
      </c>
      <c r="W18" s="28">
        <f t="shared" ref="W18" si="26">+IF(OR(A18&lt;0,A18&gt;0),IF($D18=1,IF(MOD(A18+2,3)=0,1,0),IF($D18=3,1,0)),0)</f>
        <v>1</v>
      </c>
      <c r="X18" s="28">
        <f t="shared" ref="X18" si="27">+IF(OR(A18&lt;0,A18&gt;0),IF(D18=1,IF(MOD(A18+1,3)=0,1,0),IF(D18=3,1,0)),0)</f>
        <v>0</v>
      </c>
      <c r="Y18" s="28">
        <f t="shared" ref="Y18" si="28">+IF(OR(A18&lt;0,A18&gt;0),IF(D18=1,IF(MOD(A18,3)=0,1,0),IF(D18=3,1,0)),0)</f>
        <v>0</v>
      </c>
      <c r="Z18" s="21" t="str">
        <f t="shared" ref="Z18" si="29">+IF(ABS(SUM(N18:P18)-L18)&gt;0,"Error","")</f>
        <v/>
      </c>
      <c r="AA18" s="68">
        <f t="shared" ref="AA18" si="30">L18*0.75</f>
        <v>45</v>
      </c>
      <c r="AB18" s="69" t="s">
        <v>74</v>
      </c>
    </row>
    <row r="19" spans="1:28" x14ac:dyDescent="0.25">
      <c r="A19" s="47"/>
      <c r="B19" s="47"/>
      <c r="C19" s="70" t="s">
        <v>61</v>
      </c>
      <c r="D19" s="39"/>
      <c r="E19" s="40" t="s">
        <v>38</v>
      </c>
      <c r="F19" s="71">
        <v>3</v>
      </c>
      <c r="G19" s="41">
        <v>20</v>
      </c>
      <c r="H19" s="41">
        <v>1</v>
      </c>
      <c r="I19" s="41">
        <f t="shared" ref="I19" si="31">+F19*G19*H19</f>
        <v>60</v>
      </c>
      <c r="J19" s="41"/>
      <c r="K19" s="41"/>
      <c r="L19" s="41"/>
      <c r="M19" s="41" t="str">
        <f t="shared" si="18"/>
        <v/>
      </c>
      <c r="N19" s="49"/>
      <c r="O19" s="50"/>
      <c r="P19" s="51"/>
      <c r="W19" s="28"/>
      <c r="X19" s="28"/>
      <c r="AA19" s="22"/>
      <c r="AB19" s="46"/>
    </row>
    <row r="20" spans="1:28" x14ac:dyDescent="0.25">
      <c r="A20" s="47"/>
      <c r="B20" s="47"/>
      <c r="C20" s="70"/>
      <c r="D20" s="39"/>
      <c r="E20" s="40"/>
      <c r="F20" s="71"/>
      <c r="G20" s="41"/>
      <c r="H20" s="41"/>
      <c r="I20" s="41"/>
      <c r="J20" s="41"/>
      <c r="K20" s="41"/>
      <c r="L20" s="41"/>
      <c r="M20" s="41"/>
      <c r="N20" s="49"/>
      <c r="O20" s="50"/>
      <c r="P20" s="51"/>
      <c r="W20" s="28"/>
      <c r="X20" s="28"/>
      <c r="AA20" s="22"/>
      <c r="AB20" s="46"/>
    </row>
    <row r="21" spans="1:28" x14ac:dyDescent="0.25">
      <c r="A21" s="95" t="s">
        <v>13</v>
      </c>
      <c r="B21" s="47">
        <v>2</v>
      </c>
      <c r="C21" s="66" t="s">
        <v>64</v>
      </c>
      <c r="D21" s="39"/>
      <c r="E21" s="40"/>
      <c r="F21" s="40"/>
      <c r="G21" s="41"/>
      <c r="H21" s="41"/>
      <c r="I21" s="41"/>
      <c r="J21" s="41"/>
      <c r="K21" s="41"/>
      <c r="L21" s="41"/>
      <c r="M21" s="41"/>
      <c r="N21" s="49"/>
      <c r="O21" s="50"/>
      <c r="P21" s="51"/>
      <c r="W21" s="28"/>
      <c r="X21" s="28"/>
      <c r="AA21" s="76"/>
      <c r="AB21" s="46"/>
    </row>
    <row r="22" spans="1:28" x14ac:dyDescent="0.25">
      <c r="A22" s="95"/>
      <c r="B22" s="47"/>
      <c r="C22" s="66"/>
      <c r="D22" s="39"/>
      <c r="E22" s="40"/>
      <c r="F22" s="40"/>
      <c r="G22" s="41"/>
      <c r="H22" s="41"/>
      <c r="I22" s="41"/>
      <c r="J22" s="41"/>
      <c r="K22" s="41"/>
      <c r="L22" s="41"/>
      <c r="M22" s="41"/>
      <c r="N22" s="49"/>
      <c r="O22" s="50"/>
      <c r="P22" s="51"/>
      <c r="W22" s="28"/>
      <c r="X22" s="28"/>
      <c r="AA22" s="76"/>
      <c r="AB22" s="46"/>
    </row>
    <row r="23" spans="1:28" x14ac:dyDescent="0.25">
      <c r="A23" s="47">
        <v>1</v>
      </c>
      <c r="B23" s="47"/>
      <c r="C23" s="67" t="s">
        <v>65</v>
      </c>
      <c r="D23" s="39">
        <v>1</v>
      </c>
      <c r="E23" s="40"/>
      <c r="F23" s="40"/>
      <c r="G23" s="41"/>
      <c r="H23" s="41"/>
      <c r="I23" s="41" t="s">
        <v>34</v>
      </c>
      <c r="J23" s="41">
        <f>SUM(I24:I25)</f>
        <v>1800</v>
      </c>
      <c r="K23" s="41">
        <v>0.8</v>
      </c>
      <c r="L23" s="41">
        <f>+J23*K23</f>
        <v>1440</v>
      </c>
      <c r="M23" s="41">
        <f>+IF(D23=1,L23/(220*0.8),IF(D23=3,L23/(1.73*380*0.8),""))</f>
        <v>8.1818181818181817</v>
      </c>
      <c r="N23" s="49">
        <f t="shared" ref="N23:P23" si="32">+Q23</f>
        <v>1440</v>
      </c>
      <c r="O23" s="77">
        <f t="shared" si="32"/>
        <v>0</v>
      </c>
      <c r="P23" s="78">
        <f t="shared" si="32"/>
        <v>0</v>
      </c>
      <c r="Q23" s="26">
        <f t="shared" ref="Q23" si="33">+L23*T23*W23</f>
        <v>1440</v>
      </c>
      <c r="R23" s="26">
        <f t="shared" ref="R23" si="34">+L23*U23*X23</f>
        <v>0</v>
      </c>
      <c r="S23" s="26">
        <f t="shared" ref="S23" si="35">+L23*V23*Y23</f>
        <v>0</v>
      </c>
      <c r="T23" s="26">
        <f t="shared" ref="T23:V23" si="36">+IF($D23=1,1,IF($D23=3,1/3,0))</f>
        <v>1</v>
      </c>
      <c r="U23" s="26">
        <f t="shared" si="36"/>
        <v>1</v>
      </c>
      <c r="V23" s="26">
        <f t="shared" si="36"/>
        <v>1</v>
      </c>
      <c r="W23" s="28">
        <f t="shared" ref="W23" si="37">+IF(OR(A23&lt;0,A23&gt;0),IF($D23=1,IF(MOD(A23+2,3)=0,1,0),IF($D23=3,1,0)),0)</f>
        <v>1</v>
      </c>
      <c r="X23" s="28">
        <f t="shared" ref="X23" si="38">+IF(OR(A23&lt;0,A23&gt;0),IF(D23=1,IF(MOD(A23+1,3)=0,1,0),IF(D23=3,1,0)),0)</f>
        <v>0</v>
      </c>
      <c r="Y23" s="28">
        <f t="shared" ref="Y23" si="39">+IF(OR(A23&lt;0,A23&gt;0),IF(D23=1,IF(MOD(A23,3)=0,1,0),IF(D23=3,1,0)),0)</f>
        <v>0</v>
      </c>
      <c r="Z23" s="21" t="str">
        <f t="shared" ref="Z23" si="40">+IF(ABS(SUM(N23:P23)-L23)&gt;0,"Error","")</f>
        <v/>
      </c>
      <c r="AA23" s="76">
        <f t="shared" ref="AA23" si="41">J23*0.75</f>
        <v>1350</v>
      </c>
      <c r="AB23" s="46"/>
    </row>
    <row r="24" spans="1:28" x14ac:dyDescent="0.25">
      <c r="A24" s="47"/>
      <c r="B24" s="47"/>
      <c r="C24" s="70" t="s">
        <v>39</v>
      </c>
      <c r="D24" s="39"/>
      <c r="E24" s="40" t="s">
        <v>38</v>
      </c>
      <c r="F24" s="71">
        <v>4</v>
      </c>
      <c r="G24" s="41">
        <v>300</v>
      </c>
      <c r="H24" s="41">
        <v>1</v>
      </c>
      <c r="I24" s="41">
        <f>+F24*G24*H24</f>
        <v>1200</v>
      </c>
      <c r="J24" s="41"/>
      <c r="K24" s="41"/>
      <c r="L24" s="41"/>
      <c r="M24" s="41"/>
      <c r="N24" s="73"/>
      <c r="O24" s="74"/>
      <c r="P24" s="75"/>
      <c r="W24" s="28"/>
      <c r="X24" s="28"/>
      <c r="AA24" s="22"/>
      <c r="AB24" s="46"/>
    </row>
    <row r="25" spans="1:28" x14ac:dyDescent="0.25">
      <c r="A25" s="47"/>
      <c r="B25" s="47"/>
      <c r="C25" s="70" t="s">
        <v>66</v>
      </c>
      <c r="D25" s="39"/>
      <c r="E25" s="40" t="s">
        <v>38</v>
      </c>
      <c r="F25" s="71">
        <v>4</v>
      </c>
      <c r="G25" s="41">
        <v>150</v>
      </c>
      <c r="H25" s="41">
        <v>1</v>
      </c>
      <c r="I25" s="41">
        <f>+F25*G25*H25</f>
        <v>600</v>
      </c>
      <c r="J25" s="41"/>
      <c r="K25" s="41"/>
      <c r="L25" s="41"/>
      <c r="M25" s="41"/>
      <c r="N25" s="49"/>
      <c r="O25" s="77"/>
      <c r="P25" s="78"/>
      <c r="W25" s="28"/>
      <c r="X25" s="28"/>
      <c r="AA25" s="76"/>
      <c r="AB25" s="69"/>
    </row>
    <row r="26" spans="1:28" x14ac:dyDescent="0.25">
      <c r="A26" s="47"/>
      <c r="B26" s="47"/>
      <c r="C26" s="70"/>
      <c r="D26" s="39"/>
      <c r="E26" s="40"/>
      <c r="F26" s="71"/>
      <c r="G26" s="41"/>
      <c r="H26" s="41"/>
      <c r="I26" s="41"/>
      <c r="J26" s="41"/>
      <c r="K26" s="41"/>
      <c r="L26" s="41"/>
      <c r="M26" s="41"/>
      <c r="N26" s="49"/>
      <c r="O26" s="50"/>
      <c r="P26" s="51"/>
      <c r="W26" s="28"/>
      <c r="X26" s="28"/>
      <c r="AA26" s="76"/>
      <c r="AB26" s="46"/>
    </row>
    <row r="27" spans="1:28" x14ac:dyDescent="0.25">
      <c r="A27" s="47">
        <v>1</v>
      </c>
      <c r="B27" s="47"/>
      <c r="C27" s="67" t="s">
        <v>67</v>
      </c>
      <c r="D27" s="39">
        <v>1</v>
      </c>
      <c r="E27" s="40"/>
      <c r="F27" s="40"/>
      <c r="G27" s="41"/>
      <c r="H27" s="41"/>
      <c r="I27" s="41" t="s">
        <v>34</v>
      </c>
      <c r="J27" s="41">
        <f>SUM(I28)</f>
        <v>750</v>
      </c>
      <c r="K27" s="41">
        <v>0.8</v>
      </c>
      <c r="L27" s="41">
        <f>+J27*K27</f>
        <v>600</v>
      </c>
      <c r="M27" s="41">
        <f>+IF(D27=1,L27/(220*0.8),IF(D27=3,L27/(1.73*380*0.8),""))</f>
        <v>3.4090909090909092</v>
      </c>
      <c r="N27" s="49">
        <f t="shared" ref="N27:P27" si="42">+Q27</f>
        <v>600</v>
      </c>
      <c r="O27" s="77">
        <f>+R27</f>
        <v>0</v>
      </c>
      <c r="P27" s="78">
        <f t="shared" si="42"/>
        <v>0</v>
      </c>
      <c r="Q27" s="26">
        <f t="shared" ref="Q27" si="43">+L27*T27*W27</f>
        <v>600</v>
      </c>
      <c r="R27" s="26">
        <f t="shared" ref="R27" si="44">+L27*U27*X27</f>
        <v>0</v>
      </c>
      <c r="S27" s="26">
        <f t="shared" ref="S27" si="45">+L27*V27*Y27</f>
        <v>0</v>
      </c>
      <c r="T27" s="26">
        <f t="shared" ref="T27:V30" si="46">+IF($D27=1,1,IF($D27=3,1/3,0))</f>
        <v>1</v>
      </c>
      <c r="U27" s="26">
        <f t="shared" si="46"/>
        <v>1</v>
      </c>
      <c r="V27" s="26">
        <f t="shared" si="46"/>
        <v>1</v>
      </c>
      <c r="W27" s="28">
        <f t="shared" ref="W27" si="47">+IF(OR(A27&lt;0,A27&gt;0),IF($D27=1,IF(MOD(A27+2,3)=0,1,0),IF($D27=3,1,0)),0)</f>
        <v>1</v>
      </c>
      <c r="X27" s="28">
        <f t="shared" ref="X27" si="48">+IF(OR(A27&lt;0,A27&gt;0),IF(D27=1,IF(MOD(A27+1,3)=0,1,0),IF(D27=3,1,0)),0)</f>
        <v>0</v>
      </c>
      <c r="Y27" s="28">
        <f t="shared" ref="Y27" si="49">+IF(OR(A27&lt;0,A27&gt;0),IF(D27=1,IF(MOD(A27,3)=0,1,0),IF(D27=3,1,0)),0)</f>
        <v>0</v>
      </c>
      <c r="Z27" s="21" t="str">
        <f t="shared" ref="Z27" si="50">+IF(ABS(SUM(N27:P27)-L27)&gt;0,"Error","")</f>
        <v/>
      </c>
      <c r="AA27" s="76">
        <f t="shared" ref="AA27" si="51">J27*0.75</f>
        <v>562.5</v>
      </c>
      <c r="AB27" s="46"/>
    </row>
    <row r="28" spans="1:28" x14ac:dyDescent="0.25">
      <c r="A28" s="47"/>
      <c r="B28" s="47"/>
      <c r="C28" s="70" t="s">
        <v>66</v>
      </c>
      <c r="D28" s="39"/>
      <c r="E28" s="40" t="s">
        <v>38</v>
      </c>
      <c r="F28" s="71">
        <v>5</v>
      </c>
      <c r="G28" s="41">
        <v>150</v>
      </c>
      <c r="H28" s="41">
        <v>1</v>
      </c>
      <c r="I28" s="41">
        <f>+F28*G28*H28</f>
        <v>750</v>
      </c>
      <c r="J28" s="41"/>
      <c r="K28" s="41"/>
      <c r="L28" s="41"/>
      <c r="M28" s="41"/>
      <c r="N28" s="73"/>
      <c r="O28" s="74"/>
      <c r="P28" s="75"/>
      <c r="W28" s="28"/>
      <c r="X28" s="28"/>
      <c r="AA28" s="22"/>
      <c r="AB28" s="46"/>
    </row>
    <row r="29" spans="1:28" x14ac:dyDescent="0.25">
      <c r="A29" s="47"/>
      <c r="B29" s="47"/>
      <c r="C29" s="70"/>
      <c r="D29" s="39"/>
      <c r="E29" s="40"/>
      <c r="F29" s="71"/>
      <c r="G29" s="41"/>
      <c r="H29" s="41"/>
      <c r="I29" s="41"/>
      <c r="J29" s="41"/>
      <c r="K29" s="41"/>
      <c r="L29" s="41"/>
      <c r="M29" s="41"/>
      <c r="N29" s="73"/>
      <c r="O29" s="74"/>
      <c r="P29" s="75"/>
      <c r="W29" s="28"/>
      <c r="X29" s="28"/>
      <c r="AA29" s="22"/>
      <c r="AB29" s="46"/>
    </row>
    <row r="30" spans="1:28" x14ac:dyDescent="0.25">
      <c r="A30" s="47">
        <v>1</v>
      </c>
      <c r="B30" s="47"/>
      <c r="C30" s="67" t="s">
        <v>68</v>
      </c>
      <c r="D30" s="39">
        <v>1</v>
      </c>
      <c r="E30" s="40"/>
      <c r="F30" s="40"/>
      <c r="G30" s="41"/>
      <c r="H30" s="41"/>
      <c r="I30" s="41" t="s">
        <v>34</v>
      </c>
      <c r="J30" s="41">
        <f>SUM(I31)</f>
        <v>1050</v>
      </c>
      <c r="K30" s="41">
        <v>0.8</v>
      </c>
      <c r="L30" s="41">
        <f>+J30*K30</f>
        <v>840</v>
      </c>
      <c r="M30" s="41">
        <f>+IF(D30=1,L30/(220*0.8),IF(D30=3,L30/(1.73*380*0.8),""))</f>
        <v>4.7727272727272725</v>
      </c>
      <c r="N30" s="49">
        <f t="shared" ref="N30" si="52">+Q30</f>
        <v>840</v>
      </c>
      <c r="O30" s="77">
        <f>+R30</f>
        <v>0</v>
      </c>
      <c r="P30" s="78">
        <f t="shared" ref="P30" si="53">+S30</f>
        <v>0</v>
      </c>
      <c r="Q30" s="26">
        <f t="shared" ref="Q30" si="54">+L30*T30*W30</f>
        <v>840</v>
      </c>
      <c r="R30" s="26">
        <f t="shared" ref="R30" si="55">+L30*U30*X30</f>
        <v>0</v>
      </c>
      <c r="S30" s="26">
        <f t="shared" ref="S30" si="56">+L30*V30*Y30</f>
        <v>0</v>
      </c>
      <c r="T30" s="26">
        <f t="shared" si="46"/>
        <v>1</v>
      </c>
      <c r="U30" s="26">
        <f t="shared" si="46"/>
        <v>1</v>
      </c>
      <c r="V30" s="26">
        <f t="shared" si="46"/>
        <v>1</v>
      </c>
      <c r="W30" s="28">
        <f t="shared" ref="W30" si="57">+IF(OR(A30&lt;0,A30&gt;0),IF($D30=1,IF(MOD(A30+2,3)=0,1,0),IF($D30=3,1,0)),0)</f>
        <v>1</v>
      </c>
      <c r="X30" s="28">
        <f t="shared" ref="X30" si="58">+IF(OR(A30&lt;0,A30&gt;0),IF(D30=1,IF(MOD(A30+1,3)=0,1,0),IF(D30=3,1,0)),0)</f>
        <v>0</v>
      </c>
      <c r="Y30" s="28">
        <f t="shared" ref="Y30" si="59">+IF(OR(A30&lt;0,A30&gt;0),IF(D30=1,IF(MOD(A30,3)=0,1,0),IF(D30=3,1,0)),0)</f>
        <v>0</v>
      </c>
      <c r="Z30" s="21" t="str">
        <f t="shared" ref="Z30" si="60">+IF(ABS(SUM(N30:P30)-L30)&gt;0,"Error","")</f>
        <v/>
      </c>
      <c r="AA30" s="76">
        <f t="shared" ref="AA30" si="61">J30*0.75</f>
        <v>787.5</v>
      </c>
      <c r="AB30" s="46"/>
    </row>
    <row r="31" spans="1:28" x14ac:dyDescent="0.25">
      <c r="A31" s="47"/>
      <c r="B31" s="47"/>
      <c r="C31" s="70" t="s">
        <v>66</v>
      </c>
      <c r="D31" s="39"/>
      <c r="E31" s="40" t="s">
        <v>38</v>
      </c>
      <c r="F31" s="71">
        <v>7</v>
      </c>
      <c r="G31" s="41">
        <v>150</v>
      </c>
      <c r="H31" s="41">
        <v>1</v>
      </c>
      <c r="I31" s="41">
        <f>+F31*G31*H31</f>
        <v>1050</v>
      </c>
      <c r="J31" s="41"/>
      <c r="K31" s="41"/>
      <c r="L31" s="41"/>
      <c r="M31" s="41"/>
      <c r="N31" s="73"/>
      <c r="O31" s="74"/>
      <c r="P31" s="75"/>
      <c r="W31" s="28"/>
      <c r="X31" s="28"/>
      <c r="AA31" s="22"/>
      <c r="AB31" s="46"/>
    </row>
    <row r="32" spans="1:28" x14ac:dyDescent="0.25">
      <c r="A32" s="47"/>
      <c r="B32" s="47"/>
      <c r="C32" s="67"/>
      <c r="D32" s="39"/>
      <c r="E32" s="40"/>
      <c r="F32" s="40"/>
      <c r="G32" s="41"/>
      <c r="H32" s="41"/>
      <c r="I32" s="41"/>
      <c r="J32" s="41"/>
      <c r="K32" s="41"/>
      <c r="L32" s="41"/>
      <c r="M32" s="41"/>
      <c r="N32" s="49"/>
      <c r="O32" s="77"/>
      <c r="P32" s="78"/>
      <c r="W32" s="28"/>
      <c r="X32" s="28"/>
      <c r="AA32" s="76"/>
      <c r="AB32" s="46"/>
    </row>
    <row r="33" spans="1:28" x14ac:dyDescent="0.25">
      <c r="A33" s="95" t="s">
        <v>40</v>
      </c>
      <c r="B33" s="47">
        <v>2</v>
      </c>
      <c r="C33" s="66" t="s">
        <v>41</v>
      </c>
      <c r="D33" s="39"/>
      <c r="E33" s="40"/>
      <c r="F33" s="40"/>
      <c r="G33" s="41"/>
      <c r="H33" s="41"/>
      <c r="I33" s="41"/>
      <c r="J33" s="41"/>
      <c r="K33" s="41"/>
      <c r="L33" s="41"/>
      <c r="M33" s="41"/>
      <c r="N33" s="49"/>
      <c r="O33" s="50"/>
      <c r="P33" s="51"/>
      <c r="W33" s="28"/>
      <c r="X33" s="28"/>
      <c r="AA33" s="76"/>
      <c r="AB33" s="46"/>
    </row>
    <row r="34" spans="1:28" x14ac:dyDescent="0.25">
      <c r="A34" s="47"/>
      <c r="B34" s="47"/>
      <c r="C34" s="72"/>
      <c r="D34" s="79"/>
      <c r="E34" s="40"/>
      <c r="F34" s="71"/>
      <c r="G34" s="41"/>
      <c r="H34" s="41"/>
      <c r="I34" s="41"/>
      <c r="J34" s="41"/>
      <c r="K34" s="41"/>
      <c r="L34" s="41"/>
      <c r="M34" s="41"/>
      <c r="N34" s="49"/>
      <c r="O34" s="77"/>
      <c r="P34" s="78"/>
      <c r="W34" s="28"/>
      <c r="X34" s="28"/>
      <c r="AA34" s="80"/>
      <c r="AB34" s="69"/>
    </row>
    <row r="35" spans="1:28" x14ac:dyDescent="0.25">
      <c r="A35" s="47">
        <v>1</v>
      </c>
      <c r="B35" s="47"/>
      <c r="C35" s="67" t="s">
        <v>69</v>
      </c>
      <c r="D35" s="39">
        <v>1</v>
      </c>
      <c r="E35" s="40"/>
      <c r="F35" s="40"/>
      <c r="G35" s="41"/>
      <c r="H35" s="41"/>
      <c r="I35" s="41" t="s">
        <v>34</v>
      </c>
      <c r="J35" s="41">
        <f>SUM(I36)</f>
        <v>1440</v>
      </c>
      <c r="K35" s="41">
        <v>1</v>
      </c>
      <c r="L35" s="41">
        <f>+J35*K35</f>
        <v>1440</v>
      </c>
      <c r="M35" s="41">
        <f>+IF(D35=1,L35/(220*0.8),IF(D35=3,L35/(1.73*380*0.8),""))</f>
        <v>8.1818181818181817</v>
      </c>
      <c r="N35" s="49">
        <f t="shared" ref="N35:P35" si="62">+Q35</f>
        <v>1440</v>
      </c>
      <c r="O35" s="77">
        <f t="shared" si="62"/>
        <v>0</v>
      </c>
      <c r="P35" s="78">
        <f t="shared" si="62"/>
        <v>0</v>
      </c>
      <c r="Q35" s="26">
        <f t="shared" ref="Q35" si="63">+L35*T35*W35</f>
        <v>1440</v>
      </c>
      <c r="R35" s="26">
        <f t="shared" ref="R35" si="64">+L35*U35*X35</f>
        <v>0</v>
      </c>
      <c r="S35" s="26">
        <f t="shared" ref="S35" si="65">+L35*V35*Y35</f>
        <v>0</v>
      </c>
      <c r="T35" s="26">
        <f t="shared" ref="T35:V35" si="66">+IF($D35=1,1,IF($D35=3,1/3,0))</f>
        <v>1</v>
      </c>
      <c r="U35" s="26">
        <f t="shared" si="66"/>
        <v>1</v>
      </c>
      <c r="V35" s="26">
        <f t="shared" si="66"/>
        <v>1</v>
      </c>
      <c r="W35" s="28">
        <f t="shared" ref="W35" si="67">+IF(OR(A35&lt;0,A35&gt;0),IF($D35=1,IF(MOD(A35+2,3)=0,1,0),IF($D35=3,1,0)),0)</f>
        <v>1</v>
      </c>
      <c r="X35" s="28">
        <f t="shared" ref="X35" si="68">+IF(OR(A35&lt;0,A35&gt;0),IF(D35=1,IF(MOD(A35+1,3)=0,1,0),IF(D35=3,1,0)),0)</f>
        <v>0</v>
      </c>
      <c r="Y35" s="28">
        <f t="shared" ref="Y35" si="69">+IF(OR(A35&lt;0,A35&gt;0),IF(D35=1,IF(MOD(A35,3)=0,1,0),IF(D35=3,1,0)),0)</f>
        <v>0</v>
      </c>
      <c r="Z35" s="21" t="str">
        <f t="shared" ref="Z35" si="70">+IF(ABS(SUM(N35:P35)-L35)&gt;0,"Error","")</f>
        <v/>
      </c>
      <c r="AA35" s="76">
        <f t="shared" ref="AA35" si="71">J35*0.75</f>
        <v>1080</v>
      </c>
      <c r="AB35" s="46"/>
    </row>
    <row r="36" spans="1:28" x14ac:dyDescent="0.25">
      <c r="A36" s="47"/>
      <c r="B36" s="47"/>
      <c r="C36" s="72" t="s">
        <v>42</v>
      </c>
      <c r="D36" s="39"/>
      <c r="E36" s="40" t="s">
        <v>38</v>
      </c>
      <c r="F36" s="71">
        <v>1</v>
      </c>
      <c r="G36" s="41">
        <v>1800</v>
      </c>
      <c r="H36" s="41">
        <v>0.8</v>
      </c>
      <c r="I36" s="41">
        <f>+F36*G36*H36</f>
        <v>1440</v>
      </c>
      <c r="J36" s="41"/>
      <c r="K36" s="41"/>
      <c r="L36" s="41"/>
      <c r="M36" s="41"/>
      <c r="N36" s="73"/>
      <c r="O36" s="74"/>
      <c r="P36" s="75"/>
      <c r="W36" s="28"/>
      <c r="X36" s="28"/>
      <c r="AA36" s="22"/>
      <c r="AB36" s="46"/>
    </row>
    <row r="37" spans="1:28" x14ac:dyDescent="0.25">
      <c r="A37" s="47"/>
      <c r="B37" s="47"/>
      <c r="C37" s="72"/>
      <c r="D37" s="39"/>
      <c r="E37" s="40"/>
      <c r="F37" s="71"/>
      <c r="G37" s="41"/>
      <c r="H37" s="41"/>
      <c r="I37" s="41"/>
      <c r="J37" s="41"/>
      <c r="K37" s="41"/>
      <c r="L37" s="41"/>
      <c r="M37" s="41"/>
      <c r="N37" s="73"/>
      <c r="O37" s="74"/>
      <c r="P37" s="75"/>
      <c r="W37" s="28"/>
      <c r="X37" s="28"/>
      <c r="AA37" s="22"/>
      <c r="AB37" s="46"/>
    </row>
    <row r="38" spans="1:28" x14ac:dyDescent="0.25">
      <c r="A38" s="47">
        <v>1</v>
      </c>
      <c r="B38" s="47"/>
      <c r="C38" s="67" t="s">
        <v>70</v>
      </c>
      <c r="D38" s="39">
        <v>1</v>
      </c>
      <c r="E38" s="40"/>
      <c r="F38" s="40"/>
      <c r="G38" s="41"/>
      <c r="H38" s="41"/>
      <c r="I38" s="41" t="s">
        <v>34</v>
      </c>
      <c r="J38" s="41">
        <f>SUM(I39)</f>
        <v>1440</v>
      </c>
      <c r="K38" s="41">
        <v>1</v>
      </c>
      <c r="L38" s="41">
        <f t="shared" ref="L38" si="72">+J38*K38</f>
        <v>1440</v>
      </c>
      <c r="M38" s="41">
        <f t="shared" ref="M38" si="73">+IF(D38=1,L38/(220*0.8),IF(D38=3,L38/(1.73*380*0.8),""))</f>
        <v>8.1818181818181817</v>
      </c>
      <c r="N38" s="49">
        <f t="shared" ref="N38" si="74">+Q38</f>
        <v>1440</v>
      </c>
      <c r="O38" s="77">
        <f t="shared" ref="O38" si="75">+R38</f>
        <v>0</v>
      </c>
      <c r="P38" s="78">
        <f t="shared" ref="P38" si="76">+S38</f>
        <v>0</v>
      </c>
      <c r="Q38" s="26">
        <f t="shared" ref="Q38" si="77">+L38*T38*W38</f>
        <v>1440</v>
      </c>
      <c r="R38" s="26">
        <f t="shared" ref="R38" si="78">+L38*U38*X38</f>
        <v>0</v>
      </c>
      <c r="S38" s="26">
        <f t="shared" ref="S38" si="79">+L38*V38*Y38</f>
        <v>0</v>
      </c>
      <c r="T38" s="26">
        <f t="shared" ref="T38:V41" si="80">+IF($D38=1,1,IF($D38=3,1/3,0))</f>
        <v>1</v>
      </c>
      <c r="U38" s="26">
        <f t="shared" si="80"/>
        <v>1</v>
      </c>
      <c r="V38" s="26">
        <f t="shared" si="80"/>
        <v>1</v>
      </c>
      <c r="W38" s="28">
        <f t="shared" ref="W38" si="81">+IF(OR(A38&lt;0,A38&gt;0),IF($D38=1,IF(MOD(A38+2,3)=0,1,0),IF($D38=3,1,0)),0)</f>
        <v>1</v>
      </c>
      <c r="X38" s="28">
        <f t="shared" ref="X38" si="82">+IF(OR(A38&lt;0,A38&gt;0),IF(D38=1,IF(MOD(A38+1,3)=0,1,0),IF(D38=3,1,0)),0)</f>
        <v>0</v>
      </c>
      <c r="Y38" s="28">
        <f t="shared" ref="Y38" si="83">+IF(OR(A38&lt;0,A38&gt;0),IF(D38=1,IF(MOD(A38,3)=0,1,0),IF(D38=3,1,0)),0)</f>
        <v>0</v>
      </c>
      <c r="Z38" s="21" t="str">
        <f t="shared" ref="Z38" si="84">+IF(ABS(SUM(N38:P38)-L38)&gt;0,"Error","")</f>
        <v/>
      </c>
      <c r="AA38" s="76">
        <f t="shared" ref="AA38" si="85">J38*0.75</f>
        <v>1080</v>
      </c>
      <c r="AB38" s="46"/>
    </row>
    <row r="39" spans="1:28" x14ac:dyDescent="0.25">
      <c r="A39" s="47"/>
      <c r="B39" s="47"/>
      <c r="C39" s="72" t="s">
        <v>42</v>
      </c>
      <c r="D39" s="39"/>
      <c r="E39" s="40" t="s">
        <v>38</v>
      </c>
      <c r="F39" s="71">
        <v>1</v>
      </c>
      <c r="G39" s="41">
        <v>1800</v>
      </c>
      <c r="H39" s="41">
        <v>0.8</v>
      </c>
      <c r="I39" s="41">
        <f t="shared" ref="I39" si="86">+F39*G39*H39</f>
        <v>1440</v>
      </c>
      <c r="J39" s="41"/>
      <c r="K39" s="41"/>
      <c r="L39" s="41"/>
      <c r="M39" s="41"/>
      <c r="N39" s="73"/>
      <c r="O39" s="74"/>
      <c r="P39" s="75"/>
      <c r="W39" s="28"/>
      <c r="X39" s="28"/>
      <c r="AA39" s="22"/>
      <c r="AB39" s="46"/>
    </row>
    <row r="40" spans="1:28" x14ac:dyDescent="0.25">
      <c r="A40" s="47"/>
      <c r="B40" s="47"/>
      <c r="C40" s="72"/>
      <c r="D40" s="39"/>
      <c r="E40" s="40"/>
      <c r="F40" s="71"/>
      <c r="G40" s="41"/>
      <c r="H40" s="41"/>
      <c r="I40" s="41"/>
      <c r="J40" s="41"/>
      <c r="K40" s="41"/>
      <c r="L40" s="41"/>
      <c r="M40" s="41"/>
      <c r="N40" s="73"/>
      <c r="O40" s="74"/>
      <c r="P40" s="75"/>
      <c r="W40" s="28"/>
      <c r="X40" s="28"/>
      <c r="AA40" s="22"/>
      <c r="AB40" s="46"/>
    </row>
    <row r="41" spans="1:28" x14ac:dyDescent="0.25">
      <c r="A41" s="47">
        <v>1</v>
      </c>
      <c r="B41" s="47"/>
      <c r="C41" s="67" t="s">
        <v>71</v>
      </c>
      <c r="D41" s="39">
        <v>1</v>
      </c>
      <c r="E41" s="40"/>
      <c r="F41" s="40"/>
      <c r="G41" s="41"/>
      <c r="H41" s="41"/>
      <c r="I41" s="41" t="s">
        <v>34</v>
      </c>
      <c r="J41" s="41">
        <f>SUM(I42)</f>
        <v>1440</v>
      </c>
      <c r="K41" s="41">
        <v>1</v>
      </c>
      <c r="L41" s="41">
        <f t="shared" ref="L41" si="87">+J41*K41</f>
        <v>1440</v>
      </c>
      <c r="M41" s="41">
        <f t="shared" ref="M41" si="88">+IF(D41=1,L41/(220*0.8),IF(D41=3,L41/(1.73*380*0.8),""))</f>
        <v>8.1818181818181817</v>
      </c>
      <c r="N41" s="49">
        <f t="shared" ref="N41" si="89">+Q41</f>
        <v>1440</v>
      </c>
      <c r="O41" s="77">
        <f t="shared" ref="O41" si="90">+R41</f>
        <v>0</v>
      </c>
      <c r="P41" s="78">
        <f t="shared" ref="P41" si="91">+S41</f>
        <v>0</v>
      </c>
      <c r="Q41" s="26">
        <f t="shared" ref="Q41" si="92">+L41*T41*W41</f>
        <v>1440</v>
      </c>
      <c r="R41" s="26">
        <f t="shared" ref="R41" si="93">+L41*U41*X41</f>
        <v>0</v>
      </c>
      <c r="S41" s="26">
        <f t="shared" ref="S41" si="94">+L41*V41*Y41</f>
        <v>0</v>
      </c>
      <c r="T41" s="26">
        <f t="shared" si="80"/>
        <v>1</v>
      </c>
      <c r="U41" s="26">
        <f t="shared" si="80"/>
        <v>1</v>
      </c>
      <c r="V41" s="26">
        <f t="shared" si="80"/>
        <v>1</v>
      </c>
      <c r="W41" s="28">
        <f t="shared" ref="W41" si="95">+IF(OR(A41&lt;0,A41&gt;0),IF($D41=1,IF(MOD(A41+2,3)=0,1,0),IF($D41=3,1,0)),0)</f>
        <v>1</v>
      </c>
      <c r="X41" s="28">
        <f t="shared" ref="X41" si="96">+IF(OR(A41&lt;0,A41&gt;0),IF(D41=1,IF(MOD(A41+1,3)=0,1,0),IF(D41=3,1,0)),0)</f>
        <v>0</v>
      </c>
      <c r="Y41" s="28">
        <f t="shared" ref="Y41" si="97">+IF(OR(A41&lt;0,A41&gt;0),IF(D41=1,IF(MOD(A41,3)=0,1,0),IF(D41=3,1,0)),0)</f>
        <v>0</v>
      </c>
      <c r="Z41" s="21" t="str">
        <f t="shared" ref="Z41" si="98">+IF(ABS(SUM(N41:P41)-L41)&gt;0,"Error","")</f>
        <v/>
      </c>
      <c r="AA41" s="76">
        <f t="shared" ref="AA41" si="99">J41*0.75</f>
        <v>1080</v>
      </c>
      <c r="AB41" s="46"/>
    </row>
    <row r="42" spans="1:28" x14ac:dyDescent="0.25">
      <c r="A42" s="47"/>
      <c r="B42" s="47"/>
      <c r="C42" s="72" t="s">
        <v>42</v>
      </c>
      <c r="D42" s="39"/>
      <c r="E42" s="40" t="s">
        <v>38</v>
      </c>
      <c r="F42" s="71">
        <v>1</v>
      </c>
      <c r="G42" s="41">
        <v>1800</v>
      </c>
      <c r="H42" s="41">
        <v>0.8</v>
      </c>
      <c r="I42" s="41">
        <f t="shared" ref="I42" si="100">+F42*G42*H42</f>
        <v>1440</v>
      </c>
      <c r="J42" s="41"/>
      <c r="K42" s="41"/>
      <c r="L42" s="41"/>
      <c r="M42" s="41"/>
      <c r="N42" s="73"/>
      <c r="O42" s="74"/>
      <c r="P42" s="75"/>
      <c r="W42" s="28"/>
      <c r="X42" s="28"/>
      <c r="AA42" s="22"/>
      <c r="AB42" s="46"/>
    </row>
    <row r="43" spans="1:28" x14ac:dyDescent="0.25">
      <c r="A43" s="47"/>
      <c r="B43" s="47"/>
      <c r="C43" s="72"/>
      <c r="D43" s="39"/>
      <c r="E43" s="40"/>
      <c r="F43" s="71"/>
      <c r="G43" s="41"/>
      <c r="H43" s="41"/>
      <c r="I43" s="41"/>
      <c r="J43" s="41"/>
      <c r="K43" s="41"/>
      <c r="L43" s="41"/>
      <c r="M43" s="41"/>
      <c r="N43" s="73"/>
      <c r="O43" s="74"/>
      <c r="P43" s="75"/>
      <c r="W43" s="28"/>
      <c r="X43" s="28"/>
      <c r="AA43" s="22"/>
      <c r="AB43" s="46"/>
    </row>
    <row r="44" spans="1:28" ht="16.5" thickBot="1" x14ac:dyDescent="0.3">
      <c r="A44" s="119" t="s">
        <v>43</v>
      </c>
      <c r="B44" s="119"/>
      <c r="C44" s="119"/>
      <c r="D44" s="119"/>
      <c r="E44" s="119"/>
      <c r="F44" s="119"/>
      <c r="G44" s="119"/>
      <c r="H44" s="119"/>
      <c r="I44" s="119"/>
      <c r="J44" s="119"/>
      <c r="K44" s="119"/>
      <c r="L44" s="100">
        <f>+SUM(L6:L43)</f>
        <v>7616</v>
      </c>
      <c r="M44" s="120">
        <f>+IF(L47=1,L46/(220*L48),IF(L47=3,L46/(1.73*380*L48),""))</f>
        <v>36.016468231890507</v>
      </c>
      <c r="N44" s="96">
        <f>+SUM(N6:N43)</f>
        <v>7616</v>
      </c>
      <c r="O44" s="81">
        <f>+SUM(O6:O43)</f>
        <v>0</v>
      </c>
      <c r="P44" s="82">
        <f>+SUM(P6:P43)</f>
        <v>0</v>
      </c>
    </row>
    <row r="45" spans="1:28" ht="16.5" thickBot="1" x14ac:dyDescent="0.3">
      <c r="A45" s="123" t="s">
        <v>44</v>
      </c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97">
        <v>0.85</v>
      </c>
      <c r="M45" s="121"/>
      <c r="N45" s="124" t="str">
        <f>+IF(OR(ABS(N44-N54)&gt;N53,ABS(O44-N54)&gt;N53,ABS(P44-N54)&gt;N53),"Re-arange load againt!", "Aragement Completed")</f>
        <v>Re-arange load againt!</v>
      </c>
      <c r="O45" s="125"/>
      <c r="P45" s="126"/>
    </row>
    <row r="46" spans="1:28" ht="16.5" thickBot="1" x14ac:dyDescent="0.3">
      <c r="A46" s="123" t="s">
        <v>45</v>
      </c>
      <c r="B46" s="123"/>
      <c r="C46" s="123"/>
      <c r="D46" s="123"/>
      <c r="E46" s="123"/>
      <c r="F46" s="123"/>
      <c r="G46" s="123"/>
      <c r="H46" s="123"/>
      <c r="I46" s="123"/>
      <c r="J46" s="123"/>
      <c r="K46" s="123"/>
      <c r="L46" s="97">
        <f>+L44*L45</f>
        <v>6473.5999999999995</v>
      </c>
      <c r="M46" s="121"/>
      <c r="N46" s="124"/>
      <c r="O46" s="125"/>
      <c r="P46" s="126"/>
    </row>
    <row r="47" spans="1:28" ht="16.5" thickBot="1" x14ac:dyDescent="0.3">
      <c r="A47" s="123" t="s">
        <v>46</v>
      </c>
      <c r="B47" s="123"/>
      <c r="C47" s="123"/>
      <c r="D47" s="123"/>
      <c r="E47" s="123"/>
      <c r="F47" s="123"/>
      <c r="G47" s="123"/>
      <c r="H47" s="123"/>
      <c r="I47" s="123"/>
      <c r="J47" s="123"/>
      <c r="K47" s="123"/>
      <c r="L47" s="98">
        <v>1</v>
      </c>
      <c r="M47" s="121"/>
      <c r="N47" s="124"/>
      <c r="O47" s="125"/>
      <c r="P47" s="126"/>
    </row>
    <row r="48" spans="1:28" ht="16.5" thickBot="1" x14ac:dyDescent="0.3">
      <c r="A48" s="123" t="s">
        <v>53</v>
      </c>
      <c r="B48" s="123"/>
      <c r="C48" s="123"/>
      <c r="D48" s="123"/>
      <c r="E48" s="123"/>
      <c r="F48" s="123"/>
      <c r="G48" s="123"/>
      <c r="H48" s="123"/>
      <c r="I48" s="123"/>
      <c r="J48" s="123"/>
      <c r="K48" s="123"/>
      <c r="L48" s="99">
        <v>0.81699999999999995</v>
      </c>
      <c r="M48" s="121"/>
      <c r="N48" s="124"/>
      <c r="O48" s="125"/>
      <c r="P48" s="126"/>
    </row>
    <row r="49" spans="1:32" ht="16.5" thickBot="1" x14ac:dyDescent="0.3">
      <c r="A49" s="123" t="s">
        <v>47</v>
      </c>
      <c r="B49" s="123"/>
      <c r="C49" s="123"/>
      <c r="D49" s="123"/>
      <c r="E49" s="123"/>
      <c r="F49" s="123"/>
      <c r="G49" s="123"/>
      <c r="H49" s="123"/>
      <c r="I49" s="123"/>
      <c r="J49" s="123"/>
      <c r="K49" s="123"/>
      <c r="L49" s="97">
        <f>7921</f>
        <v>7921</v>
      </c>
      <c r="M49" s="122"/>
      <c r="N49" s="127"/>
      <c r="O49" s="128"/>
      <c r="P49" s="129"/>
    </row>
    <row r="50" spans="1:32" ht="16.5" hidden="1" thickBot="1" x14ac:dyDescent="0.3">
      <c r="A50" s="21"/>
      <c r="W50" s="28"/>
      <c r="X50" s="28"/>
      <c r="AA50" s="83"/>
      <c r="AB50" s="84"/>
    </row>
    <row r="51" spans="1:32" ht="16.5" hidden="1" thickBot="1" x14ac:dyDescent="0.3">
      <c r="A51" s="21"/>
      <c r="L51" s="85" t="s">
        <v>48</v>
      </c>
      <c r="N51" s="25">
        <f>N44-$N$54</f>
        <v>5077.3333333333339</v>
      </c>
      <c r="O51" s="25">
        <f t="shared" ref="O51:P51" si="101">O44-$N$54</f>
        <v>-2538.6666666666665</v>
      </c>
      <c r="P51" s="25">
        <f t="shared" si="101"/>
        <v>-2538.6666666666665</v>
      </c>
      <c r="W51" s="28"/>
      <c r="X51" s="28"/>
      <c r="AA51" s="68"/>
      <c r="AB51" s="69"/>
      <c r="AD51" s="25"/>
      <c r="AE51" s="25"/>
      <c r="AF51" s="25"/>
    </row>
    <row r="52" spans="1:32" ht="16.5" hidden="1" thickBot="1" x14ac:dyDescent="0.3">
      <c r="A52" s="21"/>
      <c r="L52" s="85"/>
      <c r="W52" s="28"/>
      <c r="X52" s="28"/>
      <c r="AA52" s="83"/>
      <c r="AB52" s="84"/>
      <c r="AD52" s="25"/>
      <c r="AE52" s="25"/>
      <c r="AF52" s="25"/>
    </row>
    <row r="53" spans="1:32" ht="16.5" hidden="1" thickBot="1" x14ac:dyDescent="0.3">
      <c r="A53" s="21"/>
      <c r="J53" s="130" t="s">
        <v>49</v>
      </c>
      <c r="K53" s="131"/>
      <c r="L53" s="132"/>
      <c r="M53" s="86"/>
      <c r="N53" s="74">
        <v>500</v>
      </c>
      <c r="O53" s="87" t="s">
        <v>50</v>
      </c>
      <c r="W53" s="28"/>
      <c r="AA53" s="83"/>
      <c r="AB53" s="84"/>
    </row>
    <row r="54" spans="1:32" ht="16.5" hidden="1" thickBot="1" x14ac:dyDescent="0.3">
      <c r="A54" s="21"/>
      <c r="J54" s="130" t="s">
        <v>51</v>
      </c>
      <c r="K54" s="131"/>
      <c r="L54" s="132"/>
      <c r="M54" s="86"/>
      <c r="N54" s="74">
        <f>+SUM(N44:P44)/3</f>
        <v>2538.6666666666665</v>
      </c>
      <c r="O54" s="87" t="s">
        <v>50</v>
      </c>
      <c r="W54" s="26"/>
      <c r="X54" s="26"/>
      <c r="Y54" s="26"/>
      <c r="AA54" s="88"/>
      <c r="AB54" s="89"/>
    </row>
    <row r="55" spans="1:32" ht="16.5" hidden="1" thickBot="1" x14ac:dyDescent="0.3">
      <c r="A55" s="21"/>
      <c r="W55" s="26"/>
      <c r="X55" s="26"/>
      <c r="Y55" s="26"/>
      <c r="AA55" s="90"/>
    </row>
    <row r="56" spans="1:32" ht="16.5" thickBot="1" x14ac:dyDescent="0.3">
      <c r="A56" s="21"/>
      <c r="W56" s="26"/>
      <c r="X56" s="26"/>
      <c r="Y56" s="26"/>
      <c r="AA56" s="91"/>
    </row>
    <row r="57" spans="1:32" x14ac:dyDescent="0.25">
      <c r="I57" s="24" t="s">
        <v>52</v>
      </c>
    </row>
  </sheetData>
  <mergeCells count="14">
    <mergeCell ref="J53:L53"/>
    <mergeCell ref="J54:L54"/>
    <mergeCell ref="N4:P4"/>
    <mergeCell ref="Q4:S4"/>
    <mergeCell ref="T4:V4"/>
    <mergeCell ref="W4:Y4"/>
    <mergeCell ref="A44:K44"/>
    <mergeCell ref="M44:M49"/>
    <mergeCell ref="A45:K45"/>
    <mergeCell ref="N45:P49"/>
    <mergeCell ref="A46:K46"/>
    <mergeCell ref="A47:K47"/>
    <mergeCell ref="A48:K48"/>
    <mergeCell ref="A49:K49"/>
  </mergeCells>
  <phoneticPr fontId="25" type="noConversion"/>
  <conditionalFormatting sqref="N44:P44">
    <cfRule type="expression" dxfId="0" priority="1">
      <formula>ABS(N$44-$N$54&gt;$N$53)</formula>
    </cfRule>
  </conditionalFormatting>
  <pageMargins left="0.25" right="0.25" top="0.75" bottom="0.75" header="0.3" footer="0.3"/>
  <pageSetup paperSize="9" scale="6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3F346-F042-45C7-B876-83294A5AA7EC}">
  <dimension ref="A1:F14"/>
  <sheetViews>
    <sheetView workbookViewId="0">
      <selection activeCell="D18" sqref="D18"/>
    </sheetView>
  </sheetViews>
  <sheetFormatPr defaultRowHeight="16.5" x14ac:dyDescent="0.3"/>
  <cols>
    <col min="1" max="16384" width="9.140625" style="107"/>
  </cols>
  <sheetData>
    <row r="1" spans="1:6" x14ac:dyDescent="0.3">
      <c r="A1" s="137" t="s">
        <v>78</v>
      </c>
      <c r="B1" s="137" t="s">
        <v>79</v>
      </c>
      <c r="C1" s="137"/>
      <c r="D1" s="137" t="s">
        <v>10</v>
      </c>
      <c r="E1" s="137" t="s">
        <v>80</v>
      </c>
      <c r="F1" s="137" t="s">
        <v>81</v>
      </c>
    </row>
    <row r="2" spans="1:6" x14ac:dyDescent="0.3">
      <c r="A2" s="137"/>
      <c r="B2" s="106" t="s">
        <v>0</v>
      </c>
      <c r="C2" s="106" t="s">
        <v>1</v>
      </c>
      <c r="D2" s="137"/>
      <c r="E2" s="137"/>
      <c r="F2" s="137"/>
    </row>
    <row r="3" spans="1:6" x14ac:dyDescent="0.3">
      <c r="A3" s="106">
        <v>1</v>
      </c>
      <c r="B3" s="106">
        <v>137</v>
      </c>
      <c r="C3" s="106">
        <v>419</v>
      </c>
      <c r="D3" s="106">
        <v>1</v>
      </c>
      <c r="E3" s="106">
        <v>1.8</v>
      </c>
      <c r="F3" s="106">
        <v>0.59</v>
      </c>
    </row>
    <row r="4" spans="1:6" x14ac:dyDescent="0.3">
      <c r="A4" s="106">
        <v>2</v>
      </c>
      <c r="B4" s="106">
        <v>151</v>
      </c>
      <c r="C4" s="106">
        <v>411</v>
      </c>
      <c r="D4" s="106">
        <v>1</v>
      </c>
      <c r="E4" s="106">
        <v>2.2999999999999998</v>
      </c>
      <c r="F4" s="106">
        <v>0.76</v>
      </c>
    </row>
    <row r="5" spans="1:6" x14ac:dyDescent="0.3">
      <c r="A5" s="106">
        <v>3</v>
      </c>
      <c r="B5" s="106">
        <v>164</v>
      </c>
      <c r="C5" s="106">
        <v>419</v>
      </c>
      <c r="D5" s="106">
        <v>1</v>
      </c>
      <c r="E5" s="106">
        <v>1.7</v>
      </c>
      <c r="F5" s="106">
        <v>0.56000000000000005</v>
      </c>
    </row>
    <row r="6" spans="1:6" x14ac:dyDescent="0.3">
      <c r="A6" s="106">
        <v>4</v>
      </c>
      <c r="B6" s="106">
        <v>164</v>
      </c>
      <c r="C6" s="106">
        <v>426</v>
      </c>
      <c r="D6" s="106">
        <v>1</v>
      </c>
      <c r="E6" s="106">
        <v>1.3</v>
      </c>
      <c r="F6" s="106">
        <v>0.43</v>
      </c>
    </row>
    <row r="7" spans="1:6" x14ac:dyDescent="0.3">
      <c r="A7" s="106">
        <v>5</v>
      </c>
      <c r="B7" s="106">
        <v>164</v>
      </c>
      <c r="C7" s="106">
        <v>418</v>
      </c>
      <c r="D7" s="106">
        <v>1</v>
      </c>
      <c r="E7" s="106">
        <v>1.5</v>
      </c>
      <c r="F7" s="106">
        <v>0.49</v>
      </c>
    </row>
    <row r="8" spans="1:6" x14ac:dyDescent="0.3">
      <c r="A8" s="106">
        <v>6</v>
      </c>
      <c r="B8" s="106">
        <v>164</v>
      </c>
      <c r="C8" s="106">
        <v>412</v>
      </c>
      <c r="D8" s="106">
        <v>1</v>
      </c>
      <c r="E8" s="106">
        <v>1.2</v>
      </c>
      <c r="F8" s="106">
        <v>0.39</v>
      </c>
    </row>
    <row r="9" spans="1:6" x14ac:dyDescent="0.3">
      <c r="A9" s="106">
        <v>7</v>
      </c>
      <c r="B9" s="106">
        <v>164</v>
      </c>
      <c r="C9" s="106">
        <v>406</v>
      </c>
      <c r="D9" s="106">
        <v>1</v>
      </c>
      <c r="E9" s="106">
        <v>1.1000000000000001</v>
      </c>
      <c r="F9" s="106">
        <v>0.36</v>
      </c>
    </row>
    <row r="10" spans="1:6" x14ac:dyDescent="0.3">
      <c r="A10" s="106">
        <v>8</v>
      </c>
      <c r="B10" s="106">
        <v>164</v>
      </c>
      <c r="C10" s="106">
        <v>399</v>
      </c>
      <c r="D10" s="106">
        <v>1</v>
      </c>
      <c r="E10" s="106">
        <v>0.46400000000000002</v>
      </c>
      <c r="F10" s="106">
        <v>0.15</v>
      </c>
    </row>
    <row r="11" spans="1:6" x14ac:dyDescent="0.3">
      <c r="C11" s="138" t="s">
        <v>82</v>
      </c>
      <c r="D11" s="138"/>
      <c r="E11" s="107">
        <f>SUM(E3:E10)</f>
        <v>11.363999999999999</v>
      </c>
      <c r="F11" s="107">
        <f>SUM(F3:F10)</f>
        <v>3.73</v>
      </c>
    </row>
    <row r="12" spans="1:6" x14ac:dyDescent="0.3">
      <c r="C12" s="139" t="s">
        <v>83</v>
      </c>
      <c r="D12" s="139"/>
      <c r="E12" s="107">
        <f>E11*(1+0.025)^10</f>
        <v>14.546880760247401</v>
      </c>
      <c r="F12" s="107">
        <f>F11*(1+0.025)^10</f>
        <v>4.7747153498524115</v>
      </c>
    </row>
    <row r="13" spans="1:6" x14ac:dyDescent="0.3">
      <c r="C13" s="139" t="s">
        <v>84</v>
      </c>
      <c r="D13" s="139"/>
      <c r="E13" s="107">
        <f>E12*1000/(SQRT(3)*400*0.95)</f>
        <v>22.101698744205855</v>
      </c>
    </row>
    <row r="14" spans="1:6" x14ac:dyDescent="0.3">
      <c r="C14" s="139" t="s">
        <v>85</v>
      </c>
      <c r="D14" s="139"/>
      <c r="E14" s="107">
        <f>E13/0.96</f>
        <v>23.022602858547767</v>
      </c>
    </row>
  </sheetData>
  <mergeCells count="9">
    <mergeCell ref="A1:A2"/>
    <mergeCell ref="B1:C1"/>
    <mergeCell ref="D1:D2"/>
    <mergeCell ref="E1:E2"/>
    <mergeCell ref="F1:F2"/>
    <mergeCell ref="C11:D11"/>
    <mergeCell ref="C12:D12"/>
    <mergeCell ref="C13:D13"/>
    <mergeCell ref="C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Load Estimation</vt:lpstr>
      <vt:lpstr>Feeder01</vt:lpstr>
      <vt:lpstr>'Load Estimation'!Print_Area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Kimsrang IET</dc:creator>
  <cp:lastModifiedBy>Kimsrang IET</cp:lastModifiedBy>
  <cp:lastPrinted>2025-07-04T00:13:23Z</cp:lastPrinted>
  <dcterms:created xsi:type="dcterms:W3CDTF">2025-06-14T12:38:32Z</dcterms:created>
  <dcterms:modified xsi:type="dcterms:W3CDTF">2025-07-25T22:52:27Z</dcterms:modified>
</cp:coreProperties>
</file>