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Статистика\"/>
    </mc:Choice>
  </mc:AlternateContent>
  <xr:revisionPtr revIDLastSave="0" documentId="13_ncr:1_{25701129-0E00-4A96-8028-3CCF7AC210CB}" xr6:coauthVersionLast="47" xr6:coauthVersionMax="47" xr10:uidLastSave="{00000000-0000-0000-0000-000000000000}"/>
  <bookViews>
    <workbookView xWindow="-108" yWindow="-108" windowWidth="30936" windowHeight="18816" activeTab="3" xr2:uid="{39CDB773-07D1-4F9B-AD31-BC337F6CF9FF}"/>
  </bookViews>
  <sheets>
    <sheet name="Задание 1" sheetId="1" r:id="rId1"/>
    <sheet name="Парабола" sheetId="2" r:id="rId2"/>
    <sheet name="Степенная" sheetId="3" r:id="rId3"/>
    <sheet name="Полулогарифмическая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4" l="1"/>
  <c r="B70" i="4"/>
  <c r="B67" i="4"/>
  <c r="B62" i="3"/>
  <c r="D35" i="3"/>
  <c r="B32" i="3"/>
  <c r="B31" i="3"/>
  <c r="B30" i="3"/>
  <c r="B93" i="2"/>
  <c r="D66" i="2"/>
  <c r="B94" i="2"/>
  <c r="B92" i="2"/>
  <c r="B90" i="2"/>
  <c r="B91" i="2" s="1"/>
  <c r="J53" i="2"/>
  <c r="J52" i="2"/>
  <c r="J51" i="2"/>
  <c r="C53" i="2"/>
  <c r="C52" i="2"/>
  <c r="C51" i="2"/>
  <c r="H46" i="2"/>
  <c r="H45" i="2"/>
  <c r="H44" i="2"/>
  <c r="I53" i="2"/>
  <c r="H53" i="2"/>
  <c r="I52" i="2"/>
  <c r="H52" i="2"/>
  <c r="I51" i="2"/>
  <c r="H51" i="2"/>
  <c r="D53" i="2"/>
  <c r="B53" i="2"/>
  <c r="D52" i="2"/>
  <c r="B52" i="2"/>
  <c r="D51" i="2"/>
  <c r="B51" i="2"/>
  <c r="J46" i="2"/>
  <c r="I46" i="2"/>
  <c r="J45" i="2"/>
  <c r="I45" i="2"/>
  <c r="J44" i="2"/>
  <c r="I44" i="2"/>
  <c r="D46" i="2"/>
  <c r="C46" i="2"/>
  <c r="B46" i="2"/>
  <c r="D45" i="2"/>
  <c r="C45" i="2"/>
  <c r="B45" i="2"/>
  <c r="D44" i="2"/>
  <c r="C44" i="2"/>
  <c r="B44" i="2"/>
  <c r="L38" i="2"/>
  <c r="L37" i="2"/>
  <c r="L36" i="2"/>
  <c r="J38" i="2"/>
  <c r="I38" i="2"/>
  <c r="H38" i="2"/>
  <c r="J37" i="2"/>
  <c r="I37" i="2"/>
  <c r="H37" i="2"/>
  <c r="J36" i="2"/>
  <c r="D17" i="2"/>
  <c r="E17" i="2"/>
  <c r="E28" i="2"/>
  <c r="D30" i="2"/>
  <c r="H30" i="2" s="1"/>
  <c r="E30" i="2"/>
  <c r="C30" i="2"/>
  <c r="F30" i="2" s="1"/>
  <c r="B30" i="2"/>
  <c r="G30" i="2" s="1"/>
  <c r="C29" i="2"/>
  <c r="D29" i="2" s="1"/>
  <c r="B29" i="2"/>
  <c r="G29" i="2" s="1"/>
  <c r="C28" i="2"/>
  <c r="F28" i="2" s="1"/>
  <c r="B28" i="2"/>
  <c r="G28" i="2" s="1"/>
  <c r="C27" i="2"/>
  <c r="F27" i="2" s="1"/>
  <c r="B27" i="2"/>
  <c r="C26" i="2"/>
  <c r="D26" i="2" s="1"/>
  <c r="B26" i="2"/>
  <c r="G26" i="2" s="1"/>
  <c r="C25" i="2"/>
  <c r="F25" i="2" s="1"/>
  <c r="B25" i="2"/>
  <c r="G25" i="2" s="1"/>
  <c r="C24" i="2"/>
  <c r="D24" i="2" s="1"/>
  <c r="B24" i="2"/>
  <c r="G24" i="2" s="1"/>
  <c r="C23" i="2"/>
  <c r="D23" i="2" s="1"/>
  <c r="B23" i="2"/>
  <c r="G23" i="2" s="1"/>
  <c r="C22" i="2"/>
  <c r="D22" i="2" s="1"/>
  <c r="B22" i="2"/>
  <c r="G22" i="2" s="1"/>
  <c r="C21" i="2"/>
  <c r="D21" i="2" s="1"/>
  <c r="B21" i="2"/>
  <c r="C20" i="2"/>
  <c r="D20" i="2" s="1"/>
  <c r="B20" i="2"/>
  <c r="G20" i="2" s="1"/>
  <c r="C19" i="2"/>
  <c r="F19" i="2" s="1"/>
  <c r="B19" i="2"/>
  <c r="G19" i="2" s="1"/>
  <c r="C18" i="2"/>
  <c r="D18" i="2" s="1"/>
  <c r="B18" i="2"/>
  <c r="C17" i="2"/>
  <c r="F17" i="2" s="1"/>
  <c r="B17" i="2"/>
  <c r="G17" i="2" s="1"/>
  <c r="C16" i="2"/>
  <c r="F16" i="2" s="1"/>
  <c r="B16" i="2"/>
  <c r="G16" i="2" s="1"/>
  <c r="C15" i="2"/>
  <c r="D15" i="2" s="1"/>
  <c r="B15" i="2"/>
  <c r="C14" i="2"/>
  <c r="D14" i="2" s="1"/>
  <c r="B14" i="2"/>
  <c r="G14" i="2" s="1"/>
  <c r="C13" i="2"/>
  <c r="D13" i="2" s="1"/>
  <c r="B13" i="2"/>
  <c r="G13" i="2" s="1"/>
  <c r="C12" i="2"/>
  <c r="D12" i="2" s="1"/>
  <c r="B12" i="2"/>
  <c r="C11" i="2"/>
  <c r="D11" i="2" s="1"/>
  <c r="B11" i="2"/>
  <c r="G11" i="2" s="1"/>
  <c r="C10" i="2"/>
  <c r="B10" i="2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F7" i="4"/>
  <c r="E7" i="4"/>
  <c r="B24" i="4"/>
  <c r="B25" i="4"/>
  <c r="B27" i="4"/>
  <c r="B26" i="4"/>
  <c r="B23" i="4"/>
  <c r="B17" i="4"/>
  <c r="B9" i="4"/>
  <c r="B14" i="4"/>
  <c r="B22" i="4"/>
  <c r="B12" i="4"/>
  <c r="B18" i="4"/>
  <c r="B19" i="4"/>
  <c r="B20" i="4"/>
  <c r="B15" i="4"/>
  <c r="B10" i="4"/>
  <c r="B13" i="4"/>
  <c r="B7" i="4"/>
  <c r="B16" i="4"/>
  <c r="B8" i="4"/>
  <c r="B11" i="4"/>
  <c r="B21" i="4"/>
  <c r="C24" i="4"/>
  <c r="C25" i="4"/>
  <c r="C27" i="4"/>
  <c r="C26" i="4"/>
  <c r="C23" i="4"/>
  <c r="C17" i="4"/>
  <c r="C9" i="4"/>
  <c r="C14" i="4"/>
  <c r="C22" i="4"/>
  <c r="C12" i="4"/>
  <c r="C18" i="4"/>
  <c r="C19" i="4"/>
  <c r="C20" i="4"/>
  <c r="C15" i="4"/>
  <c r="C10" i="4"/>
  <c r="C13" i="4"/>
  <c r="C7" i="4"/>
  <c r="C16" i="4"/>
  <c r="C8" i="4"/>
  <c r="C11" i="4"/>
  <c r="C21" i="4"/>
  <c r="H20" i="2" l="1"/>
  <c r="H18" i="2"/>
  <c r="H24" i="2"/>
  <c r="D19" i="2"/>
  <c r="H19" i="2" s="1"/>
  <c r="H15" i="2"/>
  <c r="H21" i="2"/>
  <c r="D28" i="2"/>
  <c r="H28" i="2" s="1"/>
  <c r="F14" i="2"/>
  <c r="E19" i="2"/>
  <c r="C31" i="2"/>
  <c r="E14" i="2"/>
  <c r="E25" i="2"/>
  <c r="F26" i="2"/>
  <c r="H11" i="2"/>
  <c r="H23" i="2"/>
  <c r="D25" i="2"/>
  <c r="H25" i="2" s="1"/>
  <c r="H26" i="2"/>
  <c r="G12" i="2"/>
  <c r="G18" i="2"/>
  <c r="F13" i="2"/>
  <c r="H13" i="2"/>
  <c r="E11" i="2"/>
  <c r="H22" i="2"/>
  <c r="F22" i="2"/>
  <c r="G27" i="2"/>
  <c r="E22" i="2"/>
  <c r="F11" i="2"/>
  <c r="H29" i="2"/>
  <c r="E27" i="2"/>
  <c r="F24" i="2"/>
  <c r="G21" i="2"/>
  <c r="E16" i="2"/>
  <c r="D27" i="2"/>
  <c r="H27" i="2" s="1"/>
  <c r="E24" i="2"/>
  <c r="F21" i="2"/>
  <c r="D16" i="2"/>
  <c r="H16" i="2" s="1"/>
  <c r="E13" i="2"/>
  <c r="B31" i="2"/>
  <c r="F29" i="2"/>
  <c r="E21" i="2"/>
  <c r="F18" i="2"/>
  <c r="G15" i="2"/>
  <c r="D10" i="2"/>
  <c r="E29" i="2"/>
  <c r="E18" i="2"/>
  <c r="F15" i="2"/>
  <c r="H12" i="2"/>
  <c r="E10" i="2"/>
  <c r="E26" i="2"/>
  <c r="F23" i="2"/>
  <c r="E15" i="2"/>
  <c r="F10" i="2"/>
  <c r="E23" i="2"/>
  <c r="F20" i="2"/>
  <c r="H17" i="2"/>
  <c r="F12" i="2"/>
  <c r="G10" i="2"/>
  <c r="G31" i="2" s="1"/>
  <c r="E20" i="2"/>
  <c r="H14" i="2"/>
  <c r="E12" i="2"/>
  <c r="B71" i="4"/>
  <c r="B63" i="3"/>
  <c r="D31" i="2" l="1"/>
  <c r="F31" i="2"/>
  <c r="E31" i="2"/>
  <c r="H10" i="2"/>
  <c r="H31" i="2" s="1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E2" i="3"/>
  <c r="D16" i="4" l="1"/>
  <c r="E16" i="4" s="1"/>
  <c r="D21" i="4"/>
  <c r="E21" i="4" s="1"/>
  <c r="D25" i="4"/>
  <c r="E25" i="4" s="1"/>
  <c r="D17" i="4"/>
  <c r="E17" i="4" s="1"/>
  <c r="D23" i="4"/>
  <c r="E23" i="4" s="1"/>
  <c r="D27" i="4"/>
  <c r="E27" i="4" s="1"/>
  <c r="D18" i="4"/>
  <c r="E18" i="4" s="1"/>
  <c r="D9" i="4"/>
  <c r="E9" i="4" s="1"/>
  <c r="D19" i="4"/>
  <c r="E19" i="4" s="1"/>
  <c r="D22" i="4"/>
  <c r="E22" i="4" s="1"/>
  <c r="D13" i="4"/>
  <c r="E13" i="4" s="1"/>
  <c r="D26" i="4"/>
  <c r="E26" i="4" s="1"/>
  <c r="D8" i="4"/>
  <c r="E8" i="4" s="1"/>
  <c r="D20" i="4"/>
  <c r="E20" i="4" s="1"/>
  <c r="D10" i="4"/>
  <c r="E10" i="4" s="1"/>
  <c r="D12" i="4"/>
  <c r="E12" i="4" s="1"/>
  <c r="D14" i="4"/>
  <c r="E14" i="4" s="1"/>
  <c r="D11" i="4"/>
  <c r="E11" i="4" s="1"/>
  <c r="D24" i="4"/>
  <c r="E24" i="4" s="1"/>
  <c r="D15" i="4"/>
  <c r="E15" i="4" s="1"/>
  <c r="C64" i="4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D2" i="3"/>
  <c r="C2" i="3"/>
  <c r="B2" i="3"/>
  <c r="H3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V5" i="1"/>
  <c r="U5" i="1"/>
  <c r="T5" i="1"/>
  <c r="S5" i="1"/>
  <c r="R5" i="1"/>
  <c r="Q5" i="1"/>
  <c r="V2" i="1"/>
  <c r="U2" i="1"/>
  <c r="T2" i="1"/>
  <c r="S2" i="1"/>
  <c r="R2" i="1"/>
  <c r="Q2" i="1"/>
  <c r="N5" i="1"/>
  <c r="P5" i="1"/>
  <c r="O5" i="1"/>
  <c r="M5" i="1"/>
  <c r="L5" i="1"/>
  <c r="K5" i="1"/>
  <c r="J5" i="1"/>
  <c r="I5" i="1"/>
  <c r="H5" i="1"/>
  <c r="G5" i="1"/>
  <c r="F5" i="1"/>
  <c r="E5" i="1"/>
  <c r="D5" i="1"/>
  <c r="C5" i="1"/>
  <c r="B5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F18" i="4" l="1"/>
  <c r="F17" i="4"/>
  <c r="F14" i="4"/>
  <c r="F25" i="4"/>
  <c r="F13" i="4"/>
  <c r="F15" i="4"/>
  <c r="F24" i="4"/>
  <c r="F12" i="4"/>
  <c r="F23" i="4"/>
  <c r="F11" i="4"/>
  <c r="F19" i="4"/>
  <c r="D7" i="4"/>
  <c r="C28" i="4"/>
  <c r="F20" i="4"/>
  <c r="F8" i="4"/>
  <c r="F16" i="4"/>
  <c r="F9" i="4"/>
  <c r="F22" i="4"/>
  <c r="F21" i="4"/>
  <c r="F27" i="4"/>
  <c r="F10" i="4"/>
  <c r="F26" i="4"/>
  <c r="B28" i="4"/>
  <c r="B87" i="2"/>
  <c r="F66" i="2" s="1"/>
  <c r="D9" i="3"/>
  <c r="V6" i="2"/>
  <c r="V3" i="2"/>
  <c r="B64" i="4" l="1"/>
  <c r="F28" i="4"/>
  <c r="E28" i="4"/>
  <c r="D28" i="4"/>
  <c r="G30" i="4"/>
  <c r="C36" i="4"/>
  <c r="F85" i="2"/>
  <c r="F79" i="2"/>
  <c r="F67" i="2"/>
  <c r="F80" i="2"/>
  <c r="F68" i="2"/>
  <c r="F81" i="2"/>
  <c r="F72" i="2"/>
  <c r="F86" i="2"/>
  <c r="F73" i="2"/>
  <c r="F69" i="2"/>
  <c r="F70" i="2"/>
  <c r="F71" i="2"/>
  <c r="F74" i="2"/>
  <c r="F75" i="2"/>
  <c r="F82" i="2"/>
  <c r="F76" i="2"/>
  <c r="F83" i="2"/>
  <c r="F77" i="2"/>
  <c r="F78" i="2"/>
  <c r="F84" i="2"/>
  <c r="D17" i="3"/>
  <c r="E13" i="3"/>
  <c r="D21" i="3"/>
  <c r="E16" i="3"/>
  <c r="F16" i="3" s="1"/>
  <c r="D15" i="3"/>
  <c r="D22" i="3"/>
  <c r="E11" i="3"/>
  <c r="F11" i="3" s="1"/>
  <c r="E15" i="3"/>
  <c r="F15" i="3" s="1"/>
  <c r="D23" i="3"/>
  <c r="E25" i="3"/>
  <c r="F25" i="3" s="1"/>
  <c r="E17" i="3"/>
  <c r="F17" i="3" s="1"/>
  <c r="E27" i="3"/>
  <c r="F27" i="3" s="1"/>
  <c r="D10" i="3"/>
  <c r="D20" i="3"/>
  <c r="D27" i="3"/>
  <c r="E14" i="3"/>
  <c r="F14" i="3" s="1"/>
  <c r="D8" i="3"/>
  <c r="E9" i="3"/>
  <c r="G9" i="3" s="1"/>
  <c r="E22" i="3"/>
  <c r="E20" i="3"/>
  <c r="F20" i="3" s="1"/>
  <c r="D25" i="3"/>
  <c r="D13" i="3"/>
  <c r="D18" i="3"/>
  <c r="E21" i="3"/>
  <c r="F21" i="3" s="1"/>
  <c r="D14" i="3"/>
  <c r="E24" i="3"/>
  <c r="F24" i="3" s="1"/>
  <c r="E10" i="3"/>
  <c r="D12" i="3"/>
  <c r="D26" i="3"/>
  <c r="E26" i="3"/>
  <c r="G26" i="3" s="1"/>
  <c r="E8" i="3"/>
  <c r="G8" i="3" s="1"/>
  <c r="D19" i="3"/>
  <c r="E18" i="3"/>
  <c r="D11" i="3"/>
  <c r="E12" i="3"/>
  <c r="F12" i="3" s="1"/>
  <c r="D24" i="3"/>
  <c r="E19" i="3"/>
  <c r="F19" i="3" s="1"/>
  <c r="D16" i="3"/>
  <c r="E23" i="3"/>
  <c r="F13" i="3"/>
  <c r="C28" i="3"/>
  <c r="E7" i="3"/>
  <c r="I36" i="2"/>
  <c r="F88" i="2" l="1"/>
  <c r="G13" i="3"/>
  <c r="H30" i="4"/>
  <c r="B31" i="4"/>
  <c r="C30" i="4"/>
  <c r="B37" i="4"/>
  <c r="G31" i="4"/>
  <c r="C37" i="4"/>
  <c r="H31" i="4"/>
  <c r="C31" i="4"/>
  <c r="F48" i="4"/>
  <c r="F60" i="4"/>
  <c r="F55" i="4"/>
  <c r="F47" i="4"/>
  <c r="F44" i="4"/>
  <c r="F50" i="4"/>
  <c r="F53" i="4"/>
  <c r="F56" i="4"/>
  <c r="F54" i="4"/>
  <c r="F49" i="4"/>
  <c r="F59" i="4"/>
  <c r="F45" i="4"/>
  <c r="F57" i="4"/>
  <c r="F58" i="4"/>
  <c r="F51" i="4"/>
  <c r="F63" i="4"/>
  <c r="F46" i="4"/>
  <c r="F62" i="4"/>
  <c r="F52" i="4"/>
  <c r="F61" i="4"/>
  <c r="H33" i="4"/>
  <c r="F43" i="4"/>
  <c r="G27" i="3"/>
  <c r="D7" i="3"/>
  <c r="D28" i="3" s="1"/>
  <c r="B28" i="3"/>
  <c r="B56" i="3"/>
  <c r="G21" i="3"/>
  <c r="F7" i="3"/>
  <c r="E28" i="3"/>
  <c r="G22" i="3"/>
  <c r="G10" i="3"/>
  <c r="G15" i="3"/>
  <c r="F9" i="3"/>
  <c r="F8" i="3"/>
  <c r="G18" i="3"/>
  <c r="G19" i="3"/>
  <c r="G23" i="3"/>
  <c r="G20" i="3"/>
  <c r="F22" i="3"/>
  <c r="G11" i="3"/>
  <c r="G12" i="3"/>
  <c r="G16" i="3"/>
  <c r="G14" i="3"/>
  <c r="G25" i="3"/>
  <c r="F18" i="3"/>
  <c r="G17" i="3"/>
  <c r="F26" i="3"/>
  <c r="G24" i="3"/>
  <c r="F10" i="3"/>
  <c r="F23" i="3"/>
  <c r="G7" i="3"/>
  <c r="I48" i="2"/>
  <c r="I55" i="2"/>
  <c r="C39" i="4" l="1"/>
  <c r="C33" i="4"/>
  <c r="F65" i="4"/>
  <c r="F50" i="3"/>
  <c r="F52" i="3"/>
  <c r="F36" i="3"/>
  <c r="F48" i="3"/>
  <c r="F41" i="3"/>
  <c r="F39" i="3"/>
  <c r="F47" i="3"/>
  <c r="F54" i="3"/>
  <c r="F38" i="3"/>
  <c r="F42" i="3"/>
  <c r="F44" i="3"/>
  <c r="F53" i="3"/>
  <c r="F43" i="3"/>
  <c r="F49" i="3"/>
  <c r="F51" i="3"/>
  <c r="F45" i="3"/>
  <c r="F40" i="3"/>
  <c r="F55" i="3"/>
  <c r="F46" i="3"/>
  <c r="F37" i="3"/>
  <c r="F35" i="3"/>
  <c r="F57" i="3" s="1"/>
  <c r="C55" i="2"/>
  <c r="C48" i="2"/>
  <c r="F28" i="3"/>
  <c r="G28" i="3"/>
  <c r="C61" i="2" l="1"/>
  <c r="C60" i="2"/>
  <c r="C62" i="2"/>
  <c r="D73" i="2" s="1"/>
  <c r="G37" i="4"/>
  <c r="G36" i="4"/>
  <c r="D77" i="2"/>
  <c r="D75" i="2"/>
  <c r="D67" i="2"/>
  <c r="D78" i="2"/>
  <c r="D74" i="2" l="1"/>
  <c r="D79" i="2"/>
  <c r="D85" i="2"/>
  <c r="D83" i="2"/>
  <c r="E83" i="2" s="1"/>
  <c r="D71" i="2"/>
  <c r="D84" i="2"/>
  <c r="D82" i="2"/>
  <c r="G82" i="2" s="1"/>
  <c r="D70" i="2"/>
  <c r="G70" i="2" s="1"/>
  <c r="D81" i="2"/>
  <c r="G81" i="2" s="1"/>
  <c r="D69" i="2"/>
  <c r="G69" i="2" s="1"/>
  <c r="D76" i="2"/>
  <c r="G76" i="2" s="1"/>
  <c r="D72" i="2"/>
  <c r="G72" i="2" s="1"/>
  <c r="D68" i="2"/>
  <c r="E68" i="2" s="1"/>
  <c r="D80" i="2"/>
  <c r="E80" i="2" s="1"/>
  <c r="D86" i="2"/>
  <c r="D43" i="4"/>
  <c r="D50" i="4"/>
  <c r="D62" i="4"/>
  <c r="D46" i="4"/>
  <c r="D49" i="4"/>
  <c r="D51" i="4"/>
  <c r="D63" i="4"/>
  <c r="D47" i="4"/>
  <c r="D52" i="4"/>
  <c r="D53" i="4"/>
  <c r="D44" i="4"/>
  <c r="D58" i="4"/>
  <c r="D59" i="4"/>
  <c r="D54" i="4"/>
  <c r="D55" i="4"/>
  <c r="D56" i="4"/>
  <c r="D60" i="4"/>
  <c r="D45" i="4"/>
  <c r="D57" i="4"/>
  <c r="D48" i="4"/>
  <c r="D61" i="4"/>
  <c r="D38" i="3"/>
  <c r="D50" i="3"/>
  <c r="D54" i="3"/>
  <c r="D55" i="3"/>
  <c r="D47" i="3"/>
  <c r="D39" i="3"/>
  <c r="D51" i="3"/>
  <c r="D42" i="3"/>
  <c r="D43" i="3"/>
  <c r="D45" i="3"/>
  <c r="D46" i="3"/>
  <c r="D36" i="3"/>
  <c r="D48" i="3"/>
  <c r="D40" i="3"/>
  <c r="D52" i="3"/>
  <c r="D44" i="3"/>
  <c r="D37" i="3"/>
  <c r="D49" i="3"/>
  <c r="D41" i="3"/>
  <c r="D53" i="3"/>
  <c r="G85" i="2"/>
  <c r="E85" i="2"/>
  <c r="G83" i="2"/>
  <c r="E66" i="2"/>
  <c r="G66" i="2"/>
  <c r="G75" i="2"/>
  <c r="E75" i="2"/>
  <c r="G74" i="2"/>
  <c r="E74" i="2"/>
  <c r="E73" i="2"/>
  <c r="G73" i="2"/>
  <c r="E71" i="2"/>
  <c r="G71" i="2"/>
  <c r="E78" i="2"/>
  <c r="G78" i="2"/>
  <c r="G67" i="2"/>
  <c r="E67" i="2"/>
  <c r="E77" i="2"/>
  <c r="G77" i="2"/>
  <c r="E86" i="2"/>
  <c r="G86" i="2"/>
  <c r="E79" i="2"/>
  <c r="G79" i="2"/>
  <c r="G84" i="2"/>
  <c r="E84" i="2"/>
  <c r="E82" i="2"/>
  <c r="E81" i="2" l="1"/>
  <c r="E76" i="2"/>
  <c r="E70" i="2"/>
  <c r="E69" i="2"/>
  <c r="G68" i="2"/>
  <c r="E72" i="2"/>
  <c r="G80" i="2"/>
  <c r="G61" i="4"/>
  <c r="E61" i="4"/>
  <c r="G63" i="4"/>
  <c r="E63" i="4"/>
  <c r="E45" i="4"/>
  <c r="G45" i="4"/>
  <c r="G51" i="4"/>
  <c r="E51" i="4"/>
  <c r="G44" i="4"/>
  <c r="E44" i="4"/>
  <c r="E52" i="4"/>
  <c r="G52" i="4"/>
  <c r="G49" i="4"/>
  <c r="E49" i="4"/>
  <c r="G58" i="4"/>
  <c r="E58" i="4"/>
  <c r="G47" i="4"/>
  <c r="E47" i="4"/>
  <c r="G60" i="4"/>
  <c r="E60" i="4"/>
  <c r="G56" i="4"/>
  <c r="E56" i="4"/>
  <c r="G46" i="4"/>
  <c r="E46" i="4"/>
  <c r="G57" i="4"/>
  <c r="E57" i="4"/>
  <c r="G55" i="4"/>
  <c r="E55" i="4"/>
  <c r="G62" i="4"/>
  <c r="E62" i="4"/>
  <c r="E53" i="4"/>
  <c r="G53" i="4"/>
  <c r="E48" i="4"/>
  <c r="G48" i="4"/>
  <c r="E54" i="4"/>
  <c r="G54" i="4"/>
  <c r="G50" i="4"/>
  <c r="E50" i="4"/>
  <c r="E59" i="4"/>
  <c r="G59" i="4"/>
  <c r="E43" i="4"/>
  <c r="G43" i="4"/>
  <c r="E45" i="3"/>
  <c r="G45" i="3"/>
  <c r="G43" i="3"/>
  <c r="E43" i="3"/>
  <c r="E41" i="3"/>
  <c r="G41" i="3"/>
  <c r="E55" i="3"/>
  <c r="G55" i="3"/>
  <c r="G53" i="3"/>
  <c r="E53" i="3"/>
  <c r="E49" i="3"/>
  <c r="G49" i="3"/>
  <c r="E37" i="3"/>
  <c r="G37" i="3"/>
  <c r="G44" i="3"/>
  <c r="E44" i="3"/>
  <c r="E52" i="3"/>
  <c r="G52" i="3"/>
  <c r="G54" i="3"/>
  <c r="E54" i="3"/>
  <c r="E46" i="3"/>
  <c r="G46" i="3"/>
  <c r="G42" i="3"/>
  <c r="E42" i="3"/>
  <c r="G39" i="3"/>
  <c r="E39" i="3"/>
  <c r="G40" i="3"/>
  <c r="E40" i="3"/>
  <c r="E50" i="3"/>
  <c r="G50" i="3"/>
  <c r="E36" i="3"/>
  <c r="G36" i="3"/>
  <c r="E35" i="3"/>
  <c r="G35" i="3"/>
  <c r="E51" i="3"/>
  <c r="G51" i="3"/>
  <c r="E47" i="3"/>
  <c r="G47" i="3"/>
  <c r="G48" i="3"/>
  <c r="E48" i="3"/>
  <c r="E38" i="3"/>
  <c r="G38" i="3"/>
  <c r="E88" i="2"/>
  <c r="G87" i="2" l="1"/>
  <c r="G64" i="4"/>
  <c r="B69" i="4" s="1"/>
  <c r="E65" i="4"/>
  <c r="E57" i="3"/>
  <c r="B59" i="3" s="1"/>
  <c r="B60" i="3" s="1"/>
  <c r="G56" i="3"/>
  <c r="B61" i="3" s="1"/>
</calcChain>
</file>

<file path=xl/sharedStrings.xml><?xml version="1.0" encoding="utf-8"?>
<sst xmlns="http://schemas.openxmlformats.org/spreadsheetml/2006/main" count="173" uniqueCount="80">
  <si>
    <t>x:</t>
  </si>
  <si>
    <t>y:</t>
  </si>
  <si>
    <t>x^2:</t>
  </si>
  <si>
    <t>x^3:</t>
  </si>
  <si>
    <t>x^4:</t>
  </si>
  <si>
    <t>y*(x^2):</t>
  </si>
  <si>
    <t>y*x:</t>
  </si>
  <si>
    <t>для</t>
  </si>
  <si>
    <t>дельта</t>
  </si>
  <si>
    <t>Сумма:</t>
  </si>
  <si>
    <t>-личный</t>
  </si>
  <si>
    <t>вариант</t>
  </si>
  <si>
    <t>a</t>
  </si>
  <si>
    <t>дельта a</t>
  </si>
  <si>
    <t>дельта c</t>
  </si>
  <si>
    <t>c</t>
  </si>
  <si>
    <t>b</t>
  </si>
  <si>
    <t>дельта b</t>
  </si>
  <si>
    <t>a=</t>
  </si>
  <si>
    <t>b=</t>
  </si>
  <si>
    <t>c=</t>
  </si>
  <si>
    <t>(y-~y)^2:</t>
  </si>
  <si>
    <t>~y</t>
  </si>
  <si>
    <t>(y-yсред.)^2:</t>
  </si>
  <si>
    <t>|(y-~y)/y|*100</t>
  </si>
  <si>
    <t>Среднее</t>
  </si>
  <si>
    <t xml:space="preserve">Aсред = </t>
  </si>
  <si>
    <t>%</t>
  </si>
  <si>
    <t>R=</t>
  </si>
  <si>
    <t>Сумма</t>
  </si>
  <si>
    <t>R^2=</t>
  </si>
  <si>
    <t>F=</t>
  </si>
  <si>
    <t>Fтабл=</t>
  </si>
  <si>
    <t>XY</t>
  </si>
  <si>
    <t>Y(ln y):</t>
  </si>
  <si>
    <t>X(ln x):</t>
  </si>
  <si>
    <t>X^2:</t>
  </si>
  <si>
    <t>A=</t>
  </si>
  <si>
    <t>~y:</t>
  </si>
  <si>
    <t>|(y-~y)/y|*100:</t>
  </si>
  <si>
    <t>ln x:</t>
  </si>
  <si>
    <t>(ln x)^2:</t>
  </si>
  <si>
    <t>y*ln x:</t>
  </si>
  <si>
    <t>Для</t>
  </si>
  <si>
    <t>а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</si>
  <si>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</si>
  <si>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</si>
  <si>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</si>
  <si>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</si>
  <si>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</si>
  <si>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</si>
  <si>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</si>
  <si>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</si>
  <si>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</si>
  <si>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</si>
  <si>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Счет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</si>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</sst>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00"/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NumberFormat="1"/>
    <xf numFmtId="2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166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Поле корреляции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1'!$B$2:$V$2</c:f>
              <c:numCache>
                <c:formatCode>0.00</c:formatCode>
                <c:ptCount val="21"/>
                <c:pt idx="0">
                  <c:v>19.8</c:v>
                </c:pt>
                <c:pt idx="1">
                  <c:v>19.399999999999999</c:v>
                </c:pt>
                <c:pt idx="2">
                  <c:v>19.100000000000001</c:v>
                </c:pt>
                <c:pt idx="3">
                  <c:v>19.600000000000001</c:v>
                </c:pt>
                <c:pt idx="4">
                  <c:v>18.7</c:v>
                </c:pt>
                <c:pt idx="5">
                  <c:v>19.5</c:v>
                </c:pt>
                <c:pt idx="6">
                  <c:v>19.399999999999999</c:v>
                </c:pt>
                <c:pt idx="7">
                  <c:v>19.600000000000001</c:v>
                </c:pt>
                <c:pt idx="8">
                  <c:v>19.8</c:v>
                </c:pt>
                <c:pt idx="9">
                  <c:v>19.600000000000001</c:v>
                </c:pt>
                <c:pt idx="10">
                  <c:v>19.600000000000001</c:v>
                </c:pt>
                <c:pt idx="11">
                  <c:v>19.5</c:v>
                </c:pt>
                <c:pt idx="12">
                  <c:v>19.899999999999999</c:v>
                </c:pt>
                <c:pt idx="13">
                  <c:v>19.600000000000001</c:v>
                </c:pt>
                <c:pt idx="14">
                  <c:v>19.2</c:v>
                </c:pt>
                <c:pt idx="15">
                  <c:v>19.600000000000001</c:v>
                </c:pt>
                <c:pt idx="16">
                  <c:v>20.3</c:v>
                </c:pt>
                <c:pt idx="17">
                  <c:v>20.9</c:v>
                </c:pt>
                <c:pt idx="18">
                  <c:v>21</c:v>
                </c:pt>
                <c:pt idx="19">
                  <c:v>20.7</c:v>
                </c:pt>
                <c:pt idx="20">
                  <c:v>20.399999999999999</c:v>
                </c:pt>
              </c:numCache>
            </c:numRef>
          </c:xVal>
          <c:yVal>
            <c:numRef>
              <c:f>'Задание 1'!$B$5:$V$5</c:f>
              <c:numCache>
                <c:formatCode>0.00</c:formatCode>
                <c:ptCount val="21"/>
                <c:pt idx="0">
                  <c:v>45</c:v>
                </c:pt>
                <c:pt idx="1">
                  <c:v>38.299999999999997</c:v>
                </c:pt>
                <c:pt idx="2">
                  <c:v>38</c:v>
                </c:pt>
                <c:pt idx="3">
                  <c:v>40.299999999999997</c:v>
                </c:pt>
                <c:pt idx="4">
                  <c:v>32.799999999999997</c:v>
                </c:pt>
                <c:pt idx="5">
                  <c:v>38.9</c:v>
                </c:pt>
                <c:pt idx="6">
                  <c:v>37</c:v>
                </c:pt>
                <c:pt idx="7">
                  <c:v>39</c:v>
                </c:pt>
                <c:pt idx="8">
                  <c:v>40.9</c:v>
                </c:pt>
                <c:pt idx="9">
                  <c:v>43</c:v>
                </c:pt>
                <c:pt idx="10">
                  <c:v>41.6</c:v>
                </c:pt>
                <c:pt idx="11">
                  <c:v>38</c:v>
                </c:pt>
                <c:pt idx="12">
                  <c:v>44</c:v>
                </c:pt>
                <c:pt idx="13">
                  <c:v>38</c:v>
                </c:pt>
                <c:pt idx="14">
                  <c:v>41</c:v>
                </c:pt>
                <c:pt idx="15">
                  <c:v>41</c:v>
                </c:pt>
                <c:pt idx="16">
                  <c:v>48.9</c:v>
                </c:pt>
                <c:pt idx="17">
                  <c:v>50</c:v>
                </c:pt>
                <c:pt idx="18">
                  <c:v>52.4</c:v>
                </c:pt>
                <c:pt idx="19">
                  <c:v>51</c:v>
                </c:pt>
                <c:pt idx="2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B-412F-991E-27094CD6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38639"/>
        <c:axId val="1665837807"/>
      </c:scatterChart>
      <c:valAx>
        <c:axId val="16658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37807"/>
        <c:crosses val="autoZero"/>
        <c:crossBetween val="midCat"/>
      </c:valAx>
      <c:valAx>
        <c:axId val="16658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3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розничной продажи</a:t>
            </a:r>
            <a:r>
              <a:rPr lang="ru-RU" baseline="0"/>
              <a:t> телевизоров от среднедушевого денежного дохода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Параболическая регрессия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Парабола!$C$66:$C$86</c15:sqref>
                  </c15:fullRef>
                </c:ext>
              </c:extLst>
              <c:f>(Парабола!$C$66:$C$69,Парабола!$C$71,Парабола!$C$73,Парабола!$C$79,Парабола!$C$81:$C$86)</c:f>
              <c:numCache>
                <c:formatCode>0.00</c:formatCode>
                <c:ptCount val="13"/>
                <c:pt idx="0">
                  <c:v>18.7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19.399999999999999</c:v>
                </c:pt>
                <c:pt idx="4">
                  <c:v>19.5</c:v>
                </c:pt>
                <c:pt idx="5">
                  <c:v>19.600000000000001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20.3</c:v>
                </c:pt>
                <c:pt idx="9">
                  <c:v>20.399999999999999</c:v>
                </c:pt>
                <c:pt idx="10">
                  <c:v>20.7</c:v>
                </c:pt>
                <c:pt idx="11">
                  <c:v>20.9</c:v>
                </c:pt>
                <c:pt idx="12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Парабола!$D$66:$D$86</c15:sqref>
                  </c15:fullRef>
                </c:ext>
              </c:extLst>
              <c:f>(Парабола!$D$66:$D$69,Парабола!$D$71,Парабола!$D$73,Парабола!$D$79,Парабола!$D$81:$D$86)</c:f>
              <c:numCache>
                <c:formatCode>0.00</c:formatCode>
                <c:ptCount val="13"/>
                <c:pt idx="0">
                  <c:v>33.147157830291874</c:v>
                </c:pt>
                <c:pt idx="1">
                  <c:v>36.569489233021841</c:v>
                </c:pt>
                <c:pt idx="2">
                  <c:v>37.421666403908887</c:v>
                </c:pt>
                <c:pt idx="3">
                  <c:v>39.121933929928538</c:v>
                </c:pt>
                <c:pt idx="4">
                  <c:v>39.970024285061115</c:v>
                </c:pt>
                <c:pt idx="5">
                  <c:v>40.816752368275544</c:v>
                </c:pt>
                <c:pt idx="6">
                  <c:v>42.506121718949871</c:v>
                </c:pt>
                <c:pt idx="7">
                  <c:v>43.348762986409753</c:v>
                </c:pt>
                <c:pt idx="8">
                  <c:v>46.705705337067769</c:v>
                </c:pt>
                <c:pt idx="9">
                  <c:v>47.541535244936831</c:v>
                </c:pt>
                <c:pt idx="10">
                  <c:v>50.040851337035079</c:v>
                </c:pt>
                <c:pt idx="11">
                  <c:v>51.70025070550976</c:v>
                </c:pt>
                <c:pt idx="12">
                  <c:v>52.527906981869876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7-4971-9D98-037D1A7C7586}"/>
            </c:ext>
          </c:extLst>
        </c:ser>
        <c:ser>
          <c:idx val="1"/>
          <c:order val="1"/>
          <c:tx>
            <c:v>Поле корреляции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Парабола!$C$66:$C$86</c15:sqref>
                  </c15:fullRef>
                </c:ext>
              </c:extLst>
              <c:f>(Парабола!$C$66:$C$69,Парабола!$C$71,Парабола!$C$73,Парабола!$C$79,Парабола!$C$81:$C$86)</c:f>
              <c:numCache>
                <c:formatCode>0.00</c:formatCode>
                <c:ptCount val="13"/>
                <c:pt idx="0">
                  <c:v>18.7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19.399999999999999</c:v>
                </c:pt>
                <c:pt idx="4">
                  <c:v>19.5</c:v>
                </c:pt>
                <c:pt idx="5">
                  <c:v>19.600000000000001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20.3</c:v>
                </c:pt>
                <c:pt idx="9">
                  <c:v>20.399999999999999</c:v>
                </c:pt>
                <c:pt idx="10">
                  <c:v>20.7</c:v>
                </c:pt>
                <c:pt idx="11">
                  <c:v>20.9</c:v>
                </c:pt>
                <c:pt idx="12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Парабола!$B$66:$B$86</c15:sqref>
                  </c15:fullRef>
                </c:ext>
              </c:extLst>
              <c:f>(Парабола!$B$66:$B$69,Парабола!$B$71,Парабола!$B$73,Парабола!$B$79,Парабола!$B$81:$B$86)</c:f>
              <c:numCache>
                <c:formatCode>0.00</c:formatCode>
                <c:ptCount val="13"/>
                <c:pt idx="0">
                  <c:v>32.799999999999997</c:v>
                </c:pt>
                <c:pt idx="1">
                  <c:v>38</c:v>
                </c:pt>
                <c:pt idx="2">
                  <c:v>41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40.9</c:v>
                </c:pt>
                <c:pt idx="7">
                  <c:v>44</c:v>
                </c:pt>
                <c:pt idx="8">
                  <c:v>48.9</c:v>
                </c:pt>
                <c:pt idx="9">
                  <c:v>48</c:v>
                </c:pt>
                <c:pt idx="10">
                  <c:v>51</c:v>
                </c:pt>
                <c:pt idx="11">
                  <c:v>50</c:v>
                </c:pt>
                <c:pt idx="12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87-4971-9D98-037D1A7C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53167"/>
        <c:axId val="1359659407"/>
      </c:lineChart>
      <c:catAx>
        <c:axId val="135965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Среднедушевой</a:t>
                </a:r>
                <a:r>
                  <a:rPr lang="ru-RU" baseline="0"/>
                  <a:t> денежный доход,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9407"/>
        <c:crosses val="autoZero"/>
        <c:auto val="1"/>
        <c:lblAlgn val="ctr"/>
        <c:lblOffset val="100"/>
        <c:noMultiLvlLbl val="0"/>
      </c:catAx>
      <c:valAx>
        <c:axId val="13596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Розничная продажа телевизоров, тыс.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розничной продажи телевизоров от среднедушевого денежного дохода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8"/>
          <c:y val="6.4814814814814811E-2"/>
          <c:w val="0.87122462817147861"/>
          <c:h val="0.79757764654418195"/>
        </c:manualLayout>
      </c:layout>
      <c:lineChart>
        <c:grouping val="standard"/>
        <c:varyColors val="0"/>
        <c:ser>
          <c:idx val="0"/>
          <c:order val="0"/>
          <c:tx>
            <c:v>Степенная регрессия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Степенная!$C$35:$C$55</c15:sqref>
                  </c15:fullRef>
                </c:ext>
              </c:extLst>
              <c:f>(Степенная!$C$35:$C$38,Степенная!$C$40,Степенная!$C$42,Степенная!$C$48,Степенная!$C$50:$C$55)</c:f>
              <c:numCache>
                <c:formatCode>0.00</c:formatCode>
                <c:ptCount val="13"/>
                <c:pt idx="0">
                  <c:v>18.7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19.399999999999999</c:v>
                </c:pt>
                <c:pt idx="4">
                  <c:v>19.5</c:v>
                </c:pt>
                <c:pt idx="5">
                  <c:v>19.600000000000001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20.3</c:v>
                </c:pt>
                <c:pt idx="9">
                  <c:v>20.399999999999999</c:v>
                </c:pt>
                <c:pt idx="10">
                  <c:v>20.7</c:v>
                </c:pt>
                <c:pt idx="11">
                  <c:v>20.9</c:v>
                </c:pt>
                <c:pt idx="12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Степенная!$D$35:$D$55</c15:sqref>
                  </c15:fullRef>
                </c:ext>
              </c:extLst>
              <c:f>(Степенная!$D$35:$D$38,Степенная!$D$40,Степенная!$D$42,Степенная!$D$48,Степенная!$D$50:$D$55)</c:f>
              <c:numCache>
                <c:formatCode>0.00</c:formatCode>
                <c:ptCount val="13"/>
                <c:pt idx="0">
                  <c:v>33.841067146899817</c:v>
                </c:pt>
                <c:pt idx="1">
                  <c:v>36.738378474783687</c:v>
                </c:pt>
                <c:pt idx="2">
                  <c:v>37.490585508928895</c:v>
                </c:pt>
                <c:pt idx="3">
                  <c:v>39.029231114279511</c:v>
                </c:pt>
                <c:pt idx="4">
                  <c:v>39.815893587367121</c:v>
                </c:pt>
                <c:pt idx="5">
                  <c:v>40.614265960340411</c:v>
                </c:pt>
                <c:pt idx="6">
                  <c:v>42.246593828236598</c:v>
                </c:pt>
                <c:pt idx="7">
                  <c:v>43.080777309664114</c:v>
                </c:pt>
                <c:pt idx="8">
                  <c:v>46.540325175403893</c:v>
                </c:pt>
                <c:pt idx="9">
                  <c:v>47.436495779477838</c:v>
                </c:pt>
                <c:pt idx="10">
                  <c:v>50.201963112310771</c:v>
                </c:pt>
                <c:pt idx="11">
                  <c:v>52.110922038606709</c:v>
                </c:pt>
                <c:pt idx="12">
                  <c:v>53.085353706452679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6-4BD5-93FA-F24E90BB2BC9}"/>
            </c:ext>
          </c:extLst>
        </c:ser>
        <c:ser>
          <c:idx val="1"/>
          <c:order val="1"/>
          <c:tx>
            <c:v>Поле корреляции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3"/>
              <c:pt idx="0">
                <c:v>18.70</c:v>
              </c:pt>
              <c:pt idx="1">
                <c:v>19.10</c:v>
              </c:pt>
              <c:pt idx="2">
                <c:v>19.20</c:v>
              </c:pt>
              <c:pt idx="3">
                <c:v>19.40</c:v>
              </c:pt>
              <c:pt idx="4">
                <c:v>19.50</c:v>
              </c:pt>
              <c:pt idx="5">
                <c:v>19.60</c:v>
              </c:pt>
              <c:pt idx="6">
                <c:v>19.80</c:v>
              </c:pt>
              <c:pt idx="7">
                <c:v>19.90</c:v>
              </c:pt>
              <c:pt idx="8">
                <c:v>20.30</c:v>
              </c:pt>
              <c:pt idx="9">
                <c:v>20.40</c:v>
              </c:pt>
              <c:pt idx="10">
                <c:v>20.70</c:v>
              </c:pt>
              <c:pt idx="11">
                <c:v>20.90</c:v>
              </c:pt>
              <c:pt idx="12">
                <c:v>21.00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Степенная!$B$35:$B$55</c15:sqref>
                  </c15:fullRef>
                </c:ext>
              </c:extLst>
              <c:f>(Степенная!$B$35:$B$38,Степенная!$B$40,Степенная!$B$42,Степенная!$B$48,Степенная!$B$50:$B$55)</c:f>
              <c:numCache>
                <c:formatCode>0.00</c:formatCode>
                <c:ptCount val="13"/>
                <c:pt idx="0">
                  <c:v>32.799999999999997</c:v>
                </c:pt>
                <c:pt idx="1">
                  <c:v>38</c:v>
                </c:pt>
                <c:pt idx="2">
                  <c:v>41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40.9</c:v>
                </c:pt>
                <c:pt idx="7">
                  <c:v>44</c:v>
                </c:pt>
                <c:pt idx="8">
                  <c:v>48.9</c:v>
                </c:pt>
                <c:pt idx="9">
                  <c:v>48</c:v>
                </c:pt>
                <c:pt idx="10">
                  <c:v>51</c:v>
                </c:pt>
                <c:pt idx="11">
                  <c:v>50</c:v>
                </c:pt>
                <c:pt idx="12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6-4BD5-93FA-F24E90BB2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69807"/>
        <c:axId val="1359660655"/>
      </c:lineChart>
      <c:catAx>
        <c:axId val="13596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Среднедушевой денежный</a:t>
                </a:r>
                <a:r>
                  <a:rPr lang="ru-RU" baseline="0"/>
                  <a:t> доход,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60655"/>
        <c:crosses val="autoZero"/>
        <c:auto val="1"/>
        <c:lblAlgn val="ctr"/>
        <c:lblOffset val="100"/>
        <c:noMultiLvlLbl val="0"/>
      </c:catAx>
      <c:valAx>
        <c:axId val="13596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Розничная</a:t>
                </a:r>
                <a:r>
                  <a:rPr lang="ru-RU" baseline="0"/>
                  <a:t> продажа телевизоров, тыс.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Поле корреляции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Полулогарифмическая!$C$7:$C$27</c:f>
              <c:numCache>
                <c:formatCode>0.00</c:formatCode>
                <c:ptCount val="21"/>
                <c:pt idx="0">
                  <c:v>18.7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19.399999999999999</c:v>
                </c:pt>
                <c:pt idx="4">
                  <c:v>19.399999999999999</c:v>
                </c:pt>
                <c:pt idx="5">
                  <c:v>19.5</c:v>
                </c:pt>
                <c:pt idx="6">
                  <c:v>19.5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19.600000000000001</c:v>
                </c:pt>
                <c:pt idx="10">
                  <c:v>19.600000000000001</c:v>
                </c:pt>
                <c:pt idx="11">
                  <c:v>19.600000000000001</c:v>
                </c:pt>
                <c:pt idx="12">
                  <c:v>19.600000000000001</c:v>
                </c:pt>
                <c:pt idx="13">
                  <c:v>19.8</c:v>
                </c:pt>
                <c:pt idx="14">
                  <c:v>19.8</c:v>
                </c:pt>
                <c:pt idx="15">
                  <c:v>19.899999999999999</c:v>
                </c:pt>
                <c:pt idx="16">
                  <c:v>20.3</c:v>
                </c:pt>
                <c:pt idx="17">
                  <c:v>20.399999999999999</c:v>
                </c:pt>
                <c:pt idx="18">
                  <c:v>20.7</c:v>
                </c:pt>
                <c:pt idx="19">
                  <c:v>20.9</c:v>
                </c:pt>
                <c:pt idx="20">
                  <c:v>21</c:v>
                </c:pt>
              </c:numCache>
            </c:numRef>
          </c:xVal>
          <c:yVal>
            <c:numRef>
              <c:f>Полулогарифмическая!$B$7:$B$27</c:f>
              <c:numCache>
                <c:formatCode>0.00</c:formatCode>
                <c:ptCount val="21"/>
                <c:pt idx="0">
                  <c:v>32.799999999999997</c:v>
                </c:pt>
                <c:pt idx="1">
                  <c:v>38</c:v>
                </c:pt>
                <c:pt idx="2">
                  <c:v>41</c:v>
                </c:pt>
                <c:pt idx="3">
                  <c:v>37</c:v>
                </c:pt>
                <c:pt idx="4">
                  <c:v>38.299999999999997</c:v>
                </c:pt>
                <c:pt idx="5">
                  <c:v>38</c:v>
                </c:pt>
                <c:pt idx="6">
                  <c:v>38.9</c:v>
                </c:pt>
                <c:pt idx="7">
                  <c:v>38</c:v>
                </c:pt>
                <c:pt idx="8">
                  <c:v>39</c:v>
                </c:pt>
                <c:pt idx="9">
                  <c:v>40.299999999999997</c:v>
                </c:pt>
                <c:pt idx="10">
                  <c:v>41</c:v>
                </c:pt>
                <c:pt idx="11">
                  <c:v>41.6</c:v>
                </c:pt>
                <c:pt idx="12">
                  <c:v>43</c:v>
                </c:pt>
                <c:pt idx="13">
                  <c:v>40.9</c:v>
                </c:pt>
                <c:pt idx="14">
                  <c:v>45</c:v>
                </c:pt>
                <c:pt idx="15">
                  <c:v>44</c:v>
                </c:pt>
                <c:pt idx="16">
                  <c:v>48.9</c:v>
                </c:pt>
                <c:pt idx="17">
                  <c:v>48</c:v>
                </c:pt>
                <c:pt idx="18">
                  <c:v>51</c:v>
                </c:pt>
                <c:pt idx="19">
                  <c:v>50</c:v>
                </c:pt>
                <c:pt idx="20">
                  <c:v>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9-40D4-AF4D-1F945417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70639"/>
        <c:axId val="1359658575"/>
      </c:scatterChart>
      <c:valAx>
        <c:axId val="13596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8575"/>
        <c:crosses val="autoZero"/>
        <c:crossBetween val="midCat"/>
      </c:valAx>
      <c:valAx>
        <c:axId val="13596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7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розничной продажи</a:t>
            </a:r>
            <a:r>
              <a:rPr lang="ru-RU" baseline="0"/>
              <a:t> телевизоров от среднедушевого денежного дохода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Полулогарифмическая регрессия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Парабола!$C$66:$C$86</c15:sqref>
                  </c15:fullRef>
                </c:ext>
              </c:extLst>
              <c:f>(Парабола!$C$66:$C$69,Парабола!$C$71,Парабола!$C$73,Парабола!$C$79,Парабола!$C$81:$C$86)</c:f>
              <c:numCache>
                <c:formatCode>0.00</c:formatCode>
                <c:ptCount val="13"/>
                <c:pt idx="0">
                  <c:v>18.7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19.399999999999999</c:v>
                </c:pt>
                <c:pt idx="4">
                  <c:v>19.5</c:v>
                </c:pt>
                <c:pt idx="5">
                  <c:v>19.600000000000001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20.3</c:v>
                </c:pt>
                <c:pt idx="9">
                  <c:v>20.399999999999999</c:v>
                </c:pt>
                <c:pt idx="10">
                  <c:v>20.7</c:v>
                </c:pt>
                <c:pt idx="11">
                  <c:v>20.9</c:v>
                </c:pt>
                <c:pt idx="12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Полулогарифмическая!$D$43:$D$63</c15:sqref>
                  </c15:fullRef>
                </c:ext>
              </c:extLst>
              <c:f>(Полулогарифмическая!$D$43:$D$46,Полулогарифмическая!$D$48,Полулогарифмическая!$D$50,Полулогарифмическая!$D$56,Полулогарифмическая!$D$58:$D$63)</c:f>
              <c:numCache>
                <c:formatCode>0.00</c:formatCode>
                <c:ptCount val="13"/>
                <c:pt idx="0">
                  <c:v>32.966853490844755</c:v>
                </c:pt>
                <c:pt idx="1">
                  <c:v>36.516954590658429</c:v>
                </c:pt>
                <c:pt idx="2">
                  <c:v>37.392862667628265</c:v>
                </c:pt>
                <c:pt idx="3">
                  <c:v>39.131075275253977</c:v>
                </c:pt>
                <c:pt idx="4">
                  <c:v>39.993473141948812</c:v>
                </c:pt>
                <c:pt idx="5">
                  <c:v>40.85145974707325</c:v>
                </c:pt>
                <c:pt idx="6">
                  <c:v>42.554378085115275</c:v>
                </c:pt>
                <c:pt idx="7">
                  <c:v>43.399397583002838</c:v>
                </c:pt>
                <c:pt idx="8">
                  <c:v>46.737537913588483</c:v>
                </c:pt>
                <c:pt idx="9">
                  <c:v>47.56179517703913</c:v>
                </c:pt>
                <c:pt idx="10">
                  <c:v>50.010539624165517</c:v>
                </c:pt>
                <c:pt idx="11">
                  <c:v>51.623398354364497</c:v>
                </c:pt>
                <c:pt idx="12">
                  <c:v>52.424049113578405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9-45A9-B83A-F73FE046089F}"/>
            </c:ext>
          </c:extLst>
        </c:ser>
        <c:ser>
          <c:idx val="1"/>
          <c:order val="1"/>
          <c:tx>
            <c:v>Поле корреляции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Парабола!$C$66:$C$86</c15:sqref>
                  </c15:fullRef>
                </c:ext>
              </c:extLst>
              <c:f>(Парабола!$C$66:$C$69,Парабола!$C$71,Парабола!$C$73,Парабола!$C$79,Парабола!$C$81:$C$86)</c:f>
              <c:numCache>
                <c:formatCode>0.00</c:formatCode>
                <c:ptCount val="13"/>
                <c:pt idx="0">
                  <c:v>18.7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19.399999999999999</c:v>
                </c:pt>
                <c:pt idx="4">
                  <c:v>19.5</c:v>
                </c:pt>
                <c:pt idx="5">
                  <c:v>19.600000000000001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20.3</c:v>
                </c:pt>
                <c:pt idx="9">
                  <c:v>20.399999999999999</c:v>
                </c:pt>
                <c:pt idx="10">
                  <c:v>20.7</c:v>
                </c:pt>
                <c:pt idx="11">
                  <c:v>20.9</c:v>
                </c:pt>
                <c:pt idx="12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Полулогарифмическая!$B$43:$B$63</c15:sqref>
                  </c15:fullRef>
                </c:ext>
              </c:extLst>
              <c:f>(Полулогарифмическая!$B$43:$B$46,Полулогарифмическая!$B$48,Полулогарифмическая!$B$50,Полулогарифмическая!$B$56,Полулогарифмическая!$B$58:$B$63)</c:f>
              <c:numCache>
                <c:formatCode>0.00</c:formatCode>
                <c:ptCount val="13"/>
                <c:pt idx="0">
                  <c:v>32.799999999999997</c:v>
                </c:pt>
                <c:pt idx="1">
                  <c:v>38</c:v>
                </c:pt>
                <c:pt idx="2">
                  <c:v>41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40.9</c:v>
                </c:pt>
                <c:pt idx="7">
                  <c:v>44</c:v>
                </c:pt>
                <c:pt idx="8">
                  <c:v>48.9</c:v>
                </c:pt>
                <c:pt idx="9">
                  <c:v>48</c:v>
                </c:pt>
                <c:pt idx="10">
                  <c:v>51</c:v>
                </c:pt>
                <c:pt idx="11">
                  <c:v>50</c:v>
                </c:pt>
                <c:pt idx="12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9-45A9-B83A-F73FE046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53167"/>
        <c:axId val="1359659407"/>
      </c:lineChart>
      <c:catAx>
        <c:axId val="135965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Среднедушевой</a:t>
                </a:r>
                <a:r>
                  <a:rPr lang="ru-RU" baseline="0"/>
                  <a:t> денежный доход,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9407"/>
        <c:crosses val="autoZero"/>
        <c:auto val="1"/>
        <c:lblAlgn val="ctr"/>
        <c:lblOffset val="100"/>
        <c:noMultiLvlLbl val="0"/>
      </c:catAx>
      <c:valAx>
        <c:axId val="13596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Розничная продажа телевизоров, тыс.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174170</xdr:colOff>
      <xdr:row>9</xdr:row>
      <xdr:rowOff>92530</xdr:rowOff>
    </xdr:from>
    <xdr:to>
      <xdr:col>8</xdr:col>
      <xdr:colOff>315685</xdr:colOff>
      <xdr:row>24</xdr:row>
      <xdr:rowOff>59873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A25D59-1231-B3A8-29D5-B905BBC34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116541</xdr:colOff>
      <xdr:row>34</xdr:row>
      <xdr:rowOff>116541</xdr:rowOff>
    </xdr:from>
    <xdr:to>
      <xdr:col>4</xdr:col>
      <xdr:colOff>500434</xdr:colOff>
      <xdr:row>40</xdr:row>
      <xdr:rowOff>145830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9B18BF-7617-49AF-9911-F482FF549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41" y="3957021"/>
          <a:ext cx="3520067" cy="1126569"/>
        </a:xfrm>
        <a:prstGeom prst="rect">
          <a:avLst/>
        </a:prstGeom>
      </xdr:spPr>
    </xdr:pic>
    <xdr:clientData/>
  </xdr:twoCellAnchor>
  <xdr:twoCellAnchor>
    <xdr:from>
      <xdr:col>8</xdr:col>
      <xdr:colOff>394447</xdr:colOff>
      <xdr:row>59</xdr:row>
      <xdr:rowOff>44822</xdr:rowOff>
    </xdr:from>
    <xdr:to>
      <xdr:col>21</xdr:col>
      <xdr:colOff>618564</xdr:colOff>
      <xdr:row>89</xdr:row>
      <xdr:rowOff>35858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269FBD-50E7-4F18-90E9-B3DDE2583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58271</xdr:colOff>
      <xdr:row>24</xdr:row>
      <xdr:rowOff>156882</xdr:rowOff>
    </xdr:from>
    <xdr:to>
      <xdr:col>26</xdr:col>
      <xdr:colOff>179295</xdr:colOff>
      <xdr:row>55</xdr:row>
      <xdr:rowOff>98612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0859F1-10C2-49BD-9D05-61ACE48BF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431450</xdr:colOff>
      <xdr:row>25</xdr:row>
      <xdr:rowOff>146094</xdr:rowOff>
    </xdr:from>
    <xdr:to>
      <xdr:col>23</xdr:col>
      <xdr:colOff>125862</xdr:colOff>
      <xdr:row>40</xdr:row>
      <xdr:rowOff>130328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3B8D5-307C-41B9-BE31-E4068CB9C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25</xdr:col>
      <xdr:colOff>365388</xdr:colOff>
      <xdr:row>74</xdr:row>
      <xdr:rowOff>35859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82AB2C0-1B8B-4487-8345-5D0EBCADB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6336-4983-4E82-88EA-8DC9DE7FB7F5}">
  <dimension ref="A1:V35"/>
  <sheetViews>
    <sheetView zoomScale="70" zoomScaleNormal="70" workbookViewId="0">
      <selection activeCell="J17" sqref="J17"/>
    </sheetView>
  </sheetViews>
  <sheetFormatPr defaultRowHeight="14.4" x14ac:dyDescent="0.3"/>
  <cols>
    <col min="1" max="1" width="8.33203125" style="1" customWidth="1"/>
    <col min="2" max="3" width="10.5546875" style="1" bestFit="1" customWidth="1"/>
    <col min="4" max="4" width="11.44140625" style="1" customWidth="1"/>
    <col min="5" max="9" width="10.5546875" style="1" bestFit="1" customWidth="1"/>
    <col min="10" max="10" width="11.33203125" style="1" customWidth="1"/>
    <col min="11" max="16" width="10.5546875" style="1" bestFit="1" customWidth="1"/>
    <col min="17" max="21" width="10.6640625" style="1" customWidth="1"/>
    <col min="22" max="22" width="11.44140625" style="1" customWidth="1"/>
    <col min="23" max="16384" width="8.88671875" style="1"/>
  </cols>
  <sheetData>
    <row r="1" spans="1:22" x14ac:dyDescent="0.3">
      <c r="A1" s="2">
        <v>17</v>
      </c>
      <c r="B1" s="3" t="s">
        <v>10</v>
      </c>
      <c r="C1" s="1" t="s">
        <v>11</v>
      </c>
      <c r="E1" s="1">
        <v>21</v>
      </c>
    </row>
    <row r="2" spans="1:22" x14ac:dyDescent="0.3">
      <c r="A2" s="1" t="s">
        <v>0</v>
      </c>
      <c r="B2" s="1">
        <f>$A$1+2.8</f>
        <v>19.8</v>
      </c>
      <c r="C2" s="1">
        <f>$A$1+2.4</f>
        <v>19.399999999999999</v>
      </c>
      <c r="D2" s="1">
        <f>$A$1+2.1</f>
        <v>19.100000000000001</v>
      </c>
      <c r="E2" s="1">
        <f>$A$1+2.6</f>
        <v>19.600000000000001</v>
      </c>
      <c r="F2" s="1">
        <f>$A$1+1.7</f>
        <v>18.7</v>
      </c>
      <c r="G2" s="1">
        <f>$A$1+2.5</f>
        <v>19.5</v>
      </c>
      <c r="H2" s="1">
        <f>$A$1+2.4</f>
        <v>19.399999999999999</v>
      </c>
      <c r="I2" s="1">
        <f>$A$1+2.6</f>
        <v>19.600000000000001</v>
      </c>
      <c r="J2" s="1">
        <f>$A$1+2.8</f>
        <v>19.8</v>
      </c>
      <c r="K2" s="1">
        <f>$A$1+2.6</f>
        <v>19.600000000000001</v>
      </c>
      <c r="L2" s="1">
        <f>$A$1+2.6</f>
        <v>19.600000000000001</v>
      </c>
      <c r="M2" s="1">
        <f>$A$1+2.5</f>
        <v>19.5</v>
      </c>
      <c r="N2" s="1">
        <f>$A$1+2.9</f>
        <v>19.899999999999999</v>
      </c>
      <c r="O2" s="1">
        <f>$A$1+2.6</f>
        <v>19.600000000000001</v>
      </c>
      <c r="P2" s="1">
        <f>$A$1+2.2</f>
        <v>19.2</v>
      </c>
      <c r="Q2" s="1">
        <f>$A$1+2.6</f>
        <v>19.600000000000001</v>
      </c>
      <c r="R2" s="1">
        <f>$A$1+3.3</f>
        <v>20.3</v>
      </c>
      <c r="S2" s="1">
        <f>$A$1+3.9</f>
        <v>20.9</v>
      </c>
      <c r="T2" s="1">
        <f>$A$1+4</f>
        <v>21</v>
      </c>
      <c r="U2" s="1">
        <f>$A$1+3.7</f>
        <v>20.7</v>
      </c>
      <c r="V2" s="1">
        <f>$A$1+3.4</f>
        <v>20.399999999999999</v>
      </c>
    </row>
    <row r="5" spans="1:22" x14ac:dyDescent="0.3">
      <c r="A5" s="1" t="s">
        <v>1</v>
      </c>
      <c r="B5" s="1">
        <f>$A$1+28</f>
        <v>45</v>
      </c>
      <c r="C5" s="1">
        <f>$A$1+21.3</f>
        <v>38.299999999999997</v>
      </c>
      <c r="D5" s="1">
        <f>$A$1+21</f>
        <v>38</v>
      </c>
      <c r="E5" s="1">
        <f>$A$1+23.3</f>
        <v>40.299999999999997</v>
      </c>
      <c r="F5" s="1">
        <f>$A$1+15.8</f>
        <v>32.799999999999997</v>
      </c>
      <c r="G5" s="1">
        <f>$A$1+21.9</f>
        <v>38.9</v>
      </c>
      <c r="H5" s="1">
        <f>$A$1+20</f>
        <v>37</v>
      </c>
      <c r="I5" s="1">
        <f>$A$1+22</f>
        <v>39</v>
      </c>
      <c r="J5" s="1">
        <f>$A$1+23.9</f>
        <v>40.9</v>
      </c>
      <c r="K5" s="1">
        <f>$A$1+26</f>
        <v>43</v>
      </c>
      <c r="L5" s="1">
        <f>$A$1+24.6</f>
        <v>41.6</v>
      </c>
      <c r="M5" s="1">
        <f>$A$1+21</f>
        <v>38</v>
      </c>
      <c r="N5" s="1">
        <f>$A$1 + 27</f>
        <v>44</v>
      </c>
      <c r="O5" s="1">
        <f>$A$1+21</f>
        <v>38</v>
      </c>
      <c r="P5" s="1">
        <f>$A$1+24</f>
        <v>41</v>
      </c>
      <c r="Q5" s="1">
        <f>$A$1+24</f>
        <v>41</v>
      </c>
      <c r="R5" s="1">
        <f>$A$1+31.9</f>
        <v>48.9</v>
      </c>
      <c r="S5" s="1">
        <f>$A$1+33</f>
        <v>50</v>
      </c>
      <c r="T5" s="1">
        <f>$A$1+35.4</f>
        <v>52.4</v>
      </c>
      <c r="U5" s="1">
        <f>$A$1+34</f>
        <v>51</v>
      </c>
      <c r="V5" s="1">
        <f>$A$1+31</f>
        <v>48</v>
      </c>
    </row>
    <row r="35" spans="8:8" x14ac:dyDescent="0.3">
      <c r="H35"/>
    </row>
  </sheetData>
  <pageMargins left="0.7" right="0.7" top="0.75" bottom="0.75" header="0.3" footer="0.3"/>
  <ignoredErrors>
    <ignoredError sqref="J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5310-DA40-4000-8254-98409218D182}">
  <dimension ref="A1:V94"/>
  <sheetViews>
    <sheetView topLeftCell="A47" zoomScale="85" zoomScaleNormal="85" workbookViewId="0">
      <selection activeCell="G87" sqref="G87"/>
    </sheetView>
  </sheetViews>
  <sheetFormatPr defaultRowHeight="14.4" x14ac:dyDescent="0.3"/>
  <cols>
    <col min="1" max="1" width="8.33203125" style="1" customWidth="1"/>
    <col min="2" max="2" width="10.5546875" style="1" bestFit="1" customWidth="1"/>
    <col min="3" max="3" width="15.5546875" style="1" customWidth="1"/>
    <col min="4" max="4" width="11.44140625" style="1" customWidth="1"/>
    <col min="5" max="5" width="10.5546875" style="1" bestFit="1" customWidth="1"/>
    <col min="6" max="6" width="12.44140625" style="1" customWidth="1"/>
    <col min="7" max="7" width="13.77734375" style="1" customWidth="1"/>
    <col min="8" max="8" width="10.5546875" style="1" bestFit="1" customWidth="1"/>
    <col min="9" max="9" width="15.5546875" style="1" customWidth="1"/>
    <col min="10" max="10" width="11.33203125" style="1" customWidth="1"/>
    <col min="11" max="16" width="10.5546875" style="1" bestFit="1" customWidth="1"/>
    <col min="17" max="21" width="10.6640625" style="1" customWidth="1"/>
    <col min="22" max="22" width="11.44140625" style="1" customWidth="1"/>
    <col min="23" max="16384" width="8.88671875" style="1"/>
  </cols>
  <sheetData>
    <row r="1" spans="1:22" x14ac:dyDescent="0.3">
      <c r="A1" s="1">
        <v>17</v>
      </c>
      <c r="B1" s="3" t="s">
        <v>10</v>
      </c>
      <c r="C1" s="1" t="s">
        <v>11</v>
      </c>
      <c r="E1" s="1">
        <v>21</v>
      </c>
    </row>
    <row r="2" spans="1:22" x14ac:dyDescent="0.3">
      <c r="A2" s="1" t="s">
        <v>0</v>
      </c>
      <c r="B2" s="1">
        <f>$A$1+2.8</f>
        <v>19.8</v>
      </c>
      <c r="C2" s="1">
        <f>$A$1+2.4</f>
        <v>19.399999999999999</v>
      </c>
      <c r="D2" s="1">
        <f>$A$1+2.1</f>
        <v>19.100000000000001</v>
      </c>
      <c r="E2" s="1">
        <f>$A$1+2.6</f>
        <v>19.600000000000001</v>
      </c>
      <c r="F2" s="1">
        <f>$A$1+1.7</f>
        <v>18.7</v>
      </c>
      <c r="G2" s="1">
        <f>$A$1+2.5</f>
        <v>19.5</v>
      </c>
      <c r="H2" s="1">
        <f>$A$1+2.4</f>
        <v>19.399999999999999</v>
      </c>
      <c r="I2" s="1">
        <f>$A$1+2.6</f>
        <v>19.600000000000001</v>
      </c>
      <c r="J2" s="1">
        <f>$A$1+2.8</f>
        <v>19.8</v>
      </c>
      <c r="K2" s="1">
        <f>$A$1+2.6</f>
        <v>19.600000000000001</v>
      </c>
      <c r="L2" s="1">
        <f>$A$1+2.6</f>
        <v>19.600000000000001</v>
      </c>
      <c r="M2" s="1">
        <f>$A$1+2.5</f>
        <v>19.5</v>
      </c>
      <c r="N2" s="1">
        <f>$A$1+2.9</f>
        <v>19.899999999999999</v>
      </c>
      <c r="O2" s="1">
        <f>$A$1+2.6</f>
        <v>19.600000000000001</v>
      </c>
      <c r="P2" s="1">
        <f>$A$1+2.2</f>
        <v>19.2</v>
      </c>
      <c r="Q2" s="1">
        <f>$A$1+2.6</f>
        <v>19.600000000000001</v>
      </c>
      <c r="R2" s="1">
        <f>$A$1+3.3</f>
        <v>20.3</v>
      </c>
      <c r="S2" s="1">
        <f>$A$1+3.9</f>
        <v>20.9</v>
      </c>
      <c r="T2" s="1">
        <f>$A$1+4</f>
        <v>21</v>
      </c>
      <c r="U2" s="1">
        <f>$A$1+3.7</f>
        <v>20.7</v>
      </c>
      <c r="V2" s="1">
        <f>$A$1+3.4</f>
        <v>20.399999999999999</v>
      </c>
    </row>
    <row r="3" spans="1:22" x14ac:dyDescent="0.3">
      <c r="T3" s="1" t="s">
        <v>0</v>
      </c>
      <c r="U3" s="1" t="s">
        <v>9</v>
      </c>
      <c r="V3" s="1">
        <f>SUM(B2:V2)</f>
        <v>415.2</v>
      </c>
    </row>
    <row r="5" spans="1:22" x14ac:dyDescent="0.3">
      <c r="A5" s="1" t="s">
        <v>1</v>
      </c>
      <c r="B5" s="1">
        <f>$A$1+28</f>
        <v>45</v>
      </c>
      <c r="C5" s="1">
        <f>$A$1+21.3</f>
        <v>38.299999999999997</v>
      </c>
      <c r="D5" s="1">
        <f>$A$1+21</f>
        <v>38</v>
      </c>
      <c r="E5" s="1">
        <f>$A$1+23.3</f>
        <v>40.299999999999997</v>
      </c>
      <c r="F5" s="1">
        <f>$A$1+15.8</f>
        <v>32.799999999999997</v>
      </c>
      <c r="G5" s="1">
        <f>$A$1+21.9</f>
        <v>38.9</v>
      </c>
      <c r="H5" s="1">
        <f>$A$1+20</f>
        <v>37</v>
      </c>
      <c r="I5" s="1">
        <f>$A$1+22</f>
        <v>39</v>
      </c>
      <c r="J5" s="1">
        <f>$A$1+23.9</f>
        <v>40.9</v>
      </c>
      <c r="K5" s="1">
        <f>$A$1+26</f>
        <v>43</v>
      </c>
      <c r="L5" s="1">
        <f>$A$1+24.6</f>
        <v>41.6</v>
      </c>
      <c r="M5" s="1">
        <f>$A$1+21</f>
        <v>38</v>
      </c>
      <c r="N5" s="1">
        <f>$A$1 + 27</f>
        <v>44</v>
      </c>
      <c r="O5" s="1">
        <f>$A$1+21</f>
        <v>38</v>
      </c>
      <c r="P5" s="1">
        <f>$A$1+24</f>
        <v>41</v>
      </c>
      <c r="Q5" s="1">
        <f>$A$1+24</f>
        <v>41</v>
      </c>
      <c r="R5" s="1">
        <f>$A$1+31.9</f>
        <v>48.9</v>
      </c>
      <c r="S5" s="1">
        <f>$A$1+33</f>
        <v>50</v>
      </c>
      <c r="T5" s="1">
        <f>$A$1+35.4</f>
        <v>52.4</v>
      </c>
      <c r="U5" s="1">
        <f>$A$1+34</f>
        <v>51</v>
      </c>
      <c r="V5" s="1">
        <f>$A$1+31</f>
        <v>48</v>
      </c>
    </row>
    <row r="6" spans="1:22" x14ac:dyDescent="0.3">
      <c r="T6" s="1" t="s">
        <v>1</v>
      </c>
      <c r="U6" s="1" t="s">
        <v>9</v>
      </c>
      <c r="V6" s="1">
        <f>SUM(B5:V5)</f>
        <v>887.09999999999991</v>
      </c>
    </row>
    <row r="9" spans="1:22" x14ac:dyDescent="0.3">
      <c r="B9" s="1" t="s">
        <v>1</v>
      </c>
      <c r="C9" s="1" t="s">
        <v>0</v>
      </c>
      <c r="D9" s="1" t="s">
        <v>2</v>
      </c>
      <c r="E9" s="1" t="s">
        <v>3</v>
      </c>
      <c r="F9" s="1" t="s">
        <v>4</v>
      </c>
      <c r="G9" s="1" t="s">
        <v>6</v>
      </c>
      <c r="H9" s="1" t="s">
        <v>5</v>
      </c>
    </row>
    <row r="10" spans="1:22" x14ac:dyDescent="0.3">
      <c r="B10" s="1">
        <f>$A$1+15.8</f>
        <v>32.799999999999997</v>
      </c>
      <c r="C10" s="1">
        <f>$A$1+1.7</f>
        <v>18.7</v>
      </c>
      <c r="D10" s="1">
        <f>C10*C10</f>
        <v>349.69</v>
      </c>
      <c r="E10" s="1">
        <f>C10*C10*C10</f>
        <v>6539.2029999999995</v>
      </c>
      <c r="F10" s="1">
        <f>C10*C10*C10*C10</f>
        <v>122283.09609999998</v>
      </c>
      <c r="G10" s="1">
        <f>B10*C10</f>
        <v>613.3599999999999</v>
      </c>
      <c r="H10" s="1">
        <f>B10*D10</f>
        <v>11469.831999999999</v>
      </c>
    </row>
    <row r="11" spans="1:22" x14ac:dyDescent="0.3">
      <c r="B11" s="1">
        <f>$A$1+21</f>
        <v>38</v>
      </c>
      <c r="C11" s="1">
        <f>$A$1+2.1</f>
        <v>19.100000000000001</v>
      </c>
      <c r="D11" s="1">
        <f t="shared" ref="D11:D30" si="0">C11*C11</f>
        <v>364.81000000000006</v>
      </c>
      <c r="E11" s="1">
        <f t="shared" ref="E11:E30" si="1">C11*C11*C11</f>
        <v>6967.8710000000019</v>
      </c>
      <c r="F11" s="1">
        <f t="shared" ref="F11:F30" si="2">C11*C11*C11*C11</f>
        <v>133086.33610000004</v>
      </c>
      <c r="G11" s="1">
        <f t="shared" ref="G11:G30" si="3">B11*C11</f>
        <v>725.80000000000007</v>
      </c>
      <c r="H11" s="1">
        <f t="shared" ref="H11:H30" si="4">B11*D11</f>
        <v>13862.780000000002</v>
      </c>
    </row>
    <row r="12" spans="1:22" x14ac:dyDescent="0.3">
      <c r="B12" s="1">
        <f>$A$1+24</f>
        <v>41</v>
      </c>
      <c r="C12" s="1">
        <f>$A$1+2.2</f>
        <v>19.2</v>
      </c>
      <c r="D12" s="1">
        <f t="shared" si="0"/>
        <v>368.64</v>
      </c>
      <c r="E12" s="1">
        <f t="shared" si="1"/>
        <v>7077.8879999999999</v>
      </c>
      <c r="F12" s="1">
        <f t="shared" si="2"/>
        <v>135895.44959999999</v>
      </c>
      <c r="G12" s="1">
        <f t="shared" si="3"/>
        <v>787.19999999999993</v>
      </c>
      <c r="H12" s="1">
        <f t="shared" si="4"/>
        <v>15114.24</v>
      </c>
    </row>
    <row r="13" spans="1:22" x14ac:dyDescent="0.3">
      <c r="B13" s="1">
        <f>$A$1+20</f>
        <v>37</v>
      </c>
      <c r="C13" s="1">
        <f>$A$1+2.4</f>
        <v>19.399999999999999</v>
      </c>
      <c r="D13" s="1">
        <f t="shared" si="0"/>
        <v>376.35999999999996</v>
      </c>
      <c r="E13" s="1">
        <f t="shared" si="1"/>
        <v>7301.3839999999982</v>
      </c>
      <c r="F13" s="1">
        <f t="shared" si="2"/>
        <v>141646.84959999996</v>
      </c>
      <c r="G13" s="1">
        <f t="shared" si="3"/>
        <v>717.8</v>
      </c>
      <c r="H13" s="1">
        <f t="shared" si="4"/>
        <v>13925.319999999998</v>
      </c>
    </row>
    <row r="14" spans="1:22" x14ac:dyDescent="0.3">
      <c r="B14" s="1">
        <f>$A$1+21.3</f>
        <v>38.299999999999997</v>
      </c>
      <c r="C14" s="1">
        <f>$A$1+2.4</f>
        <v>19.399999999999999</v>
      </c>
      <c r="D14" s="1">
        <f t="shared" si="0"/>
        <v>376.35999999999996</v>
      </c>
      <c r="E14" s="1">
        <f t="shared" si="1"/>
        <v>7301.3839999999982</v>
      </c>
      <c r="F14" s="1">
        <f t="shared" si="2"/>
        <v>141646.84959999996</v>
      </c>
      <c r="G14" s="1">
        <f t="shared" si="3"/>
        <v>743.01999999999987</v>
      </c>
      <c r="H14" s="1">
        <f t="shared" si="4"/>
        <v>14414.587999999998</v>
      </c>
    </row>
    <row r="15" spans="1:22" x14ac:dyDescent="0.3">
      <c r="B15" s="1">
        <f>$A$1+21</f>
        <v>38</v>
      </c>
      <c r="C15" s="1">
        <f>$A$1+2.5</f>
        <v>19.5</v>
      </c>
      <c r="D15" s="1">
        <f t="shared" si="0"/>
        <v>380.25</v>
      </c>
      <c r="E15" s="1">
        <f t="shared" si="1"/>
        <v>7414.875</v>
      </c>
      <c r="F15" s="1">
        <f t="shared" si="2"/>
        <v>144590.0625</v>
      </c>
      <c r="G15" s="1">
        <f t="shared" si="3"/>
        <v>741</v>
      </c>
      <c r="H15" s="1">
        <f t="shared" si="4"/>
        <v>14449.5</v>
      </c>
    </row>
    <row r="16" spans="1:22" x14ac:dyDescent="0.3">
      <c r="B16" s="1">
        <f>$A$1+21.9</f>
        <v>38.9</v>
      </c>
      <c r="C16" s="1">
        <f>$A$1+2.5</f>
        <v>19.5</v>
      </c>
      <c r="D16" s="1">
        <f t="shared" si="0"/>
        <v>380.25</v>
      </c>
      <c r="E16" s="1">
        <f t="shared" si="1"/>
        <v>7414.875</v>
      </c>
      <c r="F16" s="1">
        <f t="shared" si="2"/>
        <v>144590.0625</v>
      </c>
      <c r="G16" s="1">
        <f t="shared" si="3"/>
        <v>758.55</v>
      </c>
      <c r="H16" s="1">
        <f t="shared" si="4"/>
        <v>14791.725</v>
      </c>
    </row>
    <row r="17" spans="1:8" x14ac:dyDescent="0.3">
      <c r="B17" s="1">
        <f>$A$1+21</f>
        <v>38</v>
      </c>
      <c r="C17" s="1">
        <f>$A$1+2.6</f>
        <v>19.600000000000001</v>
      </c>
      <c r="D17" s="1">
        <f t="shared" si="0"/>
        <v>384.16000000000008</v>
      </c>
      <c r="E17" s="1">
        <f t="shared" si="1"/>
        <v>7529.5360000000019</v>
      </c>
      <c r="F17" s="1">
        <f t="shared" si="2"/>
        <v>147578.90560000006</v>
      </c>
      <c r="G17" s="1">
        <f t="shared" si="3"/>
        <v>744.80000000000007</v>
      </c>
      <c r="H17" s="1">
        <f t="shared" si="4"/>
        <v>14598.080000000004</v>
      </c>
    </row>
    <row r="18" spans="1:8" x14ac:dyDescent="0.3">
      <c r="B18" s="1">
        <f>$A$1+22</f>
        <v>39</v>
      </c>
      <c r="C18" s="1">
        <f>$A$1+2.6</f>
        <v>19.600000000000001</v>
      </c>
      <c r="D18" s="1">
        <f t="shared" si="0"/>
        <v>384.16000000000008</v>
      </c>
      <c r="E18" s="1">
        <f t="shared" si="1"/>
        <v>7529.5360000000019</v>
      </c>
      <c r="F18" s="1">
        <f t="shared" si="2"/>
        <v>147578.90560000006</v>
      </c>
      <c r="G18" s="1">
        <f t="shared" si="3"/>
        <v>764.40000000000009</v>
      </c>
      <c r="H18" s="1">
        <f t="shared" si="4"/>
        <v>14982.240000000003</v>
      </c>
    </row>
    <row r="19" spans="1:8" x14ac:dyDescent="0.3">
      <c r="B19" s="1">
        <f>$A$1+23.3</f>
        <v>40.299999999999997</v>
      </c>
      <c r="C19" s="1">
        <f>$A$1+2.6</f>
        <v>19.600000000000001</v>
      </c>
      <c r="D19" s="1">
        <f t="shared" si="0"/>
        <v>384.16000000000008</v>
      </c>
      <c r="E19" s="1">
        <f t="shared" si="1"/>
        <v>7529.5360000000019</v>
      </c>
      <c r="F19" s="1">
        <f t="shared" si="2"/>
        <v>147578.90560000006</v>
      </c>
      <c r="G19" s="1">
        <f t="shared" si="3"/>
        <v>789.88</v>
      </c>
      <c r="H19" s="1">
        <f t="shared" si="4"/>
        <v>15481.648000000003</v>
      </c>
    </row>
    <row r="20" spans="1:8" x14ac:dyDescent="0.3">
      <c r="B20" s="1">
        <f>$A$1+24</f>
        <v>41</v>
      </c>
      <c r="C20" s="1">
        <f>$A$1+2.6</f>
        <v>19.600000000000001</v>
      </c>
      <c r="D20" s="1">
        <f t="shared" si="0"/>
        <v>384.16000000000008</v>
      </c>
      <c r="E20" s="1">
        <f t="shared" si="1"/>
        <v>7529.5360000000019</v>
      </c>
      <c r="F20" s="1">
        <f t="shared" si="2"/>
        <v>147578.90560000006</v>
      </c>
      <c r="G20" s="1">
        <f t="shared" si="3"/>
        <v>803.6</v>
      </c>
      <c r="H20" s="1">
        <f t="shared" si="4"/>
        <v>15750.560000000003</v>
      </c>
    </row>
    <row r="21" spans="1:8" x14ac:dyDescent="0.3">
      <c r="B21" s="1">
        <f>$A$1+24.6</f>
        <v>41.6</v>
      </c>
      <c r="C21" s="1">
        <f>$A$1+2.6</f>
        <v>19.600000000000001</v>
      </c>
      <c r="D21" s="1">
        <f t="shared" si="0"/>
        <v>384.16000000000008</v>
      </c>
      <c r="E21" s="1">
        <f t="shared" si="1"/>
        <v>7529.5360000000019</v>
      </c>
      <c r="F21" s="1">
        <f t="shared" si="2"/>
        <v>147578.90560000006</v>
      </c>
      <c r="G21" s="1">
        <f t="shared" si="3"/>
        <v>815.36000000000013</v>
      </c>
      <c r="H21" s="1">
        <f t="shared" si="4"/>
        <v>15981.056000000004</v>
      </c>
    </row>
    <row r="22" spans="1:8" x14ac:dyDescent="0.3">
      <c r="B22" s="1">
        <f>$A$1+26</f>
        <v>43</v>
      </c>
      <c r="C22" s="1">
        <f>$A$1+2.6</f>
        <v>19.600000000000001</v>
      </c>
      <c r="D22" s="1">
        <f t="shared" si="0"/>
        <v>384.16000000000008</v>
      </c>
      <c r="E22" s="1">
        <f t="shared" si="1"/>
        <v>7529.5360000000019</v>
      </c>
      <c r="F22" s="1">
        <f t="shared" si="2"/>
        <v>147578.90560000006</v>
      </c>
      <c r="G22" s="1">
        <f t="shared" si="3"/>
        <v>842.80000000000007</v>
      </c>
      <c r="H22" s="1">
        <f t="shared" si="4"/>
        <v>16518.880000000005</v>
      </c>
    </row>
    <row r="23" spans="1:8" x14ac:dyDescent="0.3">
      <c r="B23" s="1">
        <f>$A$1+23.9</f>
        <v>40.9</v>
      </c>
      <c r="C23" s="1">
        <f>$A$1+2.8</f>
        <v>19.8</v>
      </c>
      <c r="D23" s="1">
        <f t="shared" si="0"/>
        <v>392.04</v>
      </c>
      <c r="E23" s="1">
        <f t="shared" si="1"/>
        <v>7762.3920000000007</v>
      </c>
      <c r="F23" s="1">
        <f t="shared" si="2"/>
        <v>153695.36160000003</v>
      </c>
      <c r="G23" s="1">
        <f t="shared" si="3"/>
        <v>809.82</v>
      </c>
      <c r="H23" s="1">
        <f t="shared" si="4"/>
        <v>16034.436</v>
      </c>
    </row>
    <row r="24" spans="1:8" x14ac:dyDescent="0.3">
      <c r="B24" s="1">
        <f>$A$1+28</f>
        <v>45</v>
      </c>
      <c r="C24" s="1">
        <f>$A$1+2.8</f>
        <v>19.8</v>
      </c>
      <c r="D24" s="1">
        <f t="shared" si="0"/>
        <v>392.04</v>
      </c>
      <c r="E24" s="1">
        <f t="shared" si="1"/>
        <v>7762.3920000000007</v>
      </c>
      <c r="F24" s="1">
        <f t="shared" si="2"/>
        <v>153695.36160000003</v>
      </c>
      <c r="G24" s="1">
        <f t="shared" si="3"/>
        <v>891</v>
      </c>
      <c r="H24" s="1">
        <f t="shared" si="4"/>
        <v>17641.8</v>
      </c>
    </row>
    <row r="25" spans="1:8" x14ac:dyDescent="0.3">
      <c r="B25" s="1">
        <f>$A$1 + 27</f>
        <v>44</v>
      </c>
      <c r="C25" s="1">
        <f>$A$1+2.9</f>
        <v>19.899999999999999</v>
      </c>
      <c r="D25" s="1">
        <f t="shared" si="0"/>
        <v>396.00999999999993</v>
      </c>
      <c r="E25" s="1">
        <f t="shared" si="1"/>
        <v>7880.5989999999983</v>
      </c>
      <c r="F25" s="1">
        <f t="shared" si="2"/>
        <v>156823.92009999996</v>
      </c>
      <c r="G25" s="1">
        <f t="shared" si="3"/>
        <v>875.59999999999991</v>
      </c>
      <c r="H25" s="1">
        <f t="shared" si="4"/>
        <v>17424.439999999999</v>
      </c>
    </row>
    <row r="26" spans="1:8" x14ac:dyDescent="0.3">
      <c r="B26" s="1">
        <f>$A$1+31.9</f>
        <v>48.9</v>
      </c>
      <c r="C26" s="1">
        <f>$A$1+3.3</f>
        <v>20.3</v>
      </c>
      <c r="D26" s="1">
        <f t="shared" si="0"/>
        <v>412.09000000000003</v>
      </c>
      <c r="E26" s="1">
        <f t="shared" si="1"/>
        <v>8365.4270000000015</v>
      </c>
      <c r="F26" s="1">
        <f t="shared" si="2"/>
        <v>169818.16810000004</v>
      </c>
      <c r="G26" s="1">
        <f t="shared" si="3"/>
        <v>992.67</v>
      </c>
      <c r="H26" s="1">
        <f t="shared" si="4"/>
        <v>20151.201000000001</v>
      </c>
    </row>
    <row r="27" spans="1:8" x14ac:dyDescent="0.3">
      <c r="B27" s="1">
        <f>$A$1+31</f>
        <v>48</v>
      </c>
      <c r="C27" s="1">
        <f>$A$1+3.4</f>
        <v>20.399999999999999</v>
      </c>
      <c r="D27" s="1">
        <f t="shared" si="0"/>
        <v>416.15999999999997</v>
      </c>
      <c r="E27" s="1">
        <f t="shared" si="1"/>
        <v>8489.6639999999989</v>
      </c>
      <c r="F27" s="1">
        <f t="shared" si="2"/>
        <v>173189.14559999996</v>
      </c>
      <c r="G27" s="1">
        <f t="shared" si="3"/>
        <v>979.19999999999993</v>
      </c>
      <c r="H27" s="1">
        <f t="shared" si="4"/>
        <v>19975.68</v>
      </c>
    </row>
    <row r="28" spans="1:8" x14ac:dyDescent="0.3">
      <c r="B28" s="1">
        <f>$A$1+34</f>
        <v>51</v>
      </c>
      <c r="C28" s="1">
        <f>$A$1+3.7</f>
        <v>20.7</v>
      </c>
      <c r="D28" s="1">
        <f t="shared" si="0"/>
        <v>428.48999999999995</v>
      </c>
      <c r="E28" s="1">
        <f t="shared" si="1"/>
        <v>8869.7429999999986</v>
      </c>
      <c r="F28" s="1">
        <f t="shared" si="2"/>
        <v>183603.68009999997</v>
      </c>
      <c r="G28" s="1">
        <f t="shared" si="3"/>
        <v>1055.7</v>
      </c>
      <c r="H28" s="1">
        <f t="shared" si="4"/>
        <v>21852.989999999998</v>
      </c>
    </row>
    <row r="29" spans="1:8" x14ac:dyDescent="0.3">
      <c r="B29" s="1">
        <f>$A$1+33</f>
        <v>50</v>
      </c>
      <c r="C29" s="1">
        <f>$A$1+3.9</f>
        <v>20.9</v>
      </c>
      <c r="D29" s="1">
        <f t="shared" si="0"/>
        <v>436.80999999999995</v>
      </c>
      <c r="E29" s="1">
        <f t="shared" si="1"/>
        <v>9129.3289999999979</v>
      </c>
      <c r="F29" s="1">
        <f t="shared" si="2"/>
        <v>190802.97609999994</v>
      </c>
      <c r="G29" s="1">
        <f t="shared" si="3"/>
        <v>1045</v>
      </c>
      <c r="H29" s="1">
        <f t="shared" si="4"/>
        <v>21840.499999999996</v>
      </c>
    </row>
    <row r="30" spans="1:8" x14ac:dyDescent="0.3">
      <c r="B30" s="1">
        <f>$A$1+35.4</f>
        <v>52.4</v>
      </c>
      <c r="C30" s="1">
        <f>$A$1+4</f>
        <v>21</v>
      </c>
      <c r="D30" s="1">
        <f t="shared" si="0"/>
        <v>441</v>
      </c>
      <c r="E30" s="1">
        <f t="shared" si="1"/>
        <v>9261</v>
      </c>
      <c r="F30" s="1">
        <f t="shared" si="2"/>
        <v>194481</v>
      </c>
      <c r="G30" s="1">
        <f t="shared" si="3"/>
        <v>1100.3999999999999</v>
      </c>
      <c r="H30" s="1">
        <f t="shared" si="4"/>
        <v>23108.399999999998</v>
      </c>
    </row>
    <row r="31" spans="1:8" x14ac:dyDescent="0.3">
      <c r="A31" s="1" t="s">
        <v>9</v>
      </c>
      <c r="B31" s="1">
        <f>SUM(B10:B30)</f>
        <v>887.1</v>
      </c>
      <c r="C31" s="1">
        <f t="shared" ref="C31:H31" si="5">SUM(C10:C30)</f>
        <v>415.19999999999993</v>
      </c>
      <c r="D31" s="1">
        <f t="shared" si="5"/>
        <v>8215.9599999999991</v>
      </c>
      <c r="E31" s="1">
        <f t="shared" si="5"/>
        <v>162715.24200000003</v>
      </c>
      <c r="F31" s="1">
        <f t="shared" si="5"/>
        <v>3225321.7528000004</v>
      </c>
      <c r="G31" s="1">
        <f t="shared" si="5"/>
        <v>17596.960000000003</v>
      </c>
      <c r="H31" s="1">
        <f t="shared" si="5"/>
        <v>349369.89600000001</v>
      </c>
    </row>
    <row r="36" spans="1:12" x14ac:dyDescent="0.3">
      <c r="H36" s="1">
        <f>$E$1</f>
        <v>21</v>
      </c>
      <c r="I36" s="1">
        <f>$V$3</f>
        <v>415.2</v>
      </c>
      <c r="J36" s="1">
        <f>$D$31</f>
        <v>8215.9599999999991</v>
      </c>
      <c r="L36" s="1">
        <f>$B$31</f>
        <v>887.1</v>
      </c>
    </row>
    <row r="37" spans="1:12" x14ac:dyDescent="0.3">
      <c r="H37" s="1">
        <f>$V$3</f>
        <v>415.2</v>
      </c>
      <c r="I37" s="1">
        <f>$D$31</f>
        <v>8215.9599999999991</v>
      </c>
      <c r="J37" s="1">
        <f>$E$31</f>
        <v>162715.24200000003</v>
      </c>
      <c r="L37" s="1">
        <f>$G$31</f>
        <v>17596.960000000003</v>
      </c>
    </row>
    <row r="38" spans="1:12" x14ac:dyDescent="0.3">
      <c r="H38" s="1">
        <f>$D$31</f>
        <v>8215.9599999999991</v>
      </c>
      <c r="I38" s="1">
        <f>$E$31</f>
        <v>162715.24200000003</v>
      </c>
      <c r="J38" s="1">
        <f>$F$31</f>
        <v>3225321.7528000004</v>
      </c>
      <c r="L38" s="1">
        <f>$H$31</f>
        <v>349369.89600000001</v>
      </c>
    </row>
    <row r="44" spans="1:12" x14ac:dyDescent="0.3">
      <c r="A44" s="1" t="s">
        <v>7</v>
      </c>
      <c r="B44" s="1">
        <f>$E$1</f>
        <v>21</v>
      </c>
      <c r="C44" s="1">
        <f>$V$3</f>
        <v>415.2</v>
      </c>
      <c r="D44" s="1">
        <f>$D$31</f>
        <v>8215.9599999999991</v>
      </c>
      <c r="G44" s="1" t="s">
        <v>7</v>
      </c>
      <c r="H44" s="1">
        <f>$B$31</f>
        <v>887.1</v>
      </c>
      <c r="I44" s="1">
        <f>$V$3</f>
        <v>415.2</v>
      </c>
      <c r="J44" s="1">
        <f>$D$31</f>
        <v>8215.9599999999991</v>
      </c>
    </row>
    <row r="45" spans="1:12" x14ac:dyDescent="0.3">
      <c r="A45" s="1" t="s">
        <v>8</v>
      </c>
      <c r="B45" s="1">
        <f>$V$3</f>
        <v>415.2</v>
      </c>
      <c r="C45" s="1">
        <f>$D$31</f>
        <v>8215.9599999999991</v>
      </c>
      <c r="D45" s="1">
        <f>$E$31</f>
        <v>162715.24200000003</v>
      </c>
      <c r="G45" s="1" t="s">
        <v>8</v>
      </c>
      <c r="H45" s="1">
        <f>$G$31</f>
        <v>17596.960000000003</v>
      </c>
      <c r="I45" s="1">
        <f>$D$31</f>
        <v>8215.9599999999991</v>
      </c>
      <c r="J45" s="1">
        <f>$E$31</f>
        <v>162715.24200000003</v>
      </c>
    </row>
    <row r="46" spans="1:12" x14ac:dyDescent="0.3">
      <c r="B46" s="1">
        <f>$D$31</f>
        <v>8215.9599999999991</v>
      </c>
      <c r="C46" s="1">
        <f>$E$31</f>
        <v>162715.24200000003</v>
      </c>
      <c r="D46" s="1">
        <f>$F$31</f>
        <v>3225321.7528000004</v>
      </c>
      <c r="G46" s="1" t="s">
        <v>12</v>
      </c>
      <c r="H46" s="1">
        <f>$H$31</f>
        <v>349369.89600000001</v>
      </c>
      <c r="I46" s="1">
        <f>$E$31</f>
        <v>162715.24200000003</v>
      </c>
      <c r="J46" s="1">
        <f>$F$31</f>
        <v>3225321.7528000004</v>
      </c>
    </row>
    <row r="48" spans="1:12" x14ac:dyDescent="0.3">
      <c r="B48" s="1" t="s">
        <v>8</v>
      </c>
      <c r="C48" s="1">
        <f>MDETERM(B44:D46)</f>
        <v>480.39748356361304</v>
      </c>
      <c r="H48" s="1" t="s">
        <v>13</v>
      </c>
      <c r="I48" s="1">
        <f>MDETERM(H44:J46)</f>
        <v>-72624.074348117894</v>
      </c>
    </row>
    <row r="51" spans="1:10" x14ac:dyDescent="0.3">
      <c r="A51" s="1" t="s">
        <v>7</v>
      </c>
      <c r="B51" s="1">
        <f>$E$1</f>
        <v>21</v>
      </c>
      <c r="C51" s="1">
        <f>$B$31</f>
        <v>887.1</v>
      </c>
      <c r="D51" s="1">
        <f>$D$31</f>
        <v>8215.9599999999991</v>
      </c>
      <c r="G51" s="1" t="s">
        <v>7</v>
      </c>
      <c r="H51" s="1">
        <f>$E$1</f>
        <v>21</v>
      </c>
      <c r="I51" s="1">
        <f>$V$3</f>
        <v>415.2</v>
      </c>
      <c r="J51" s="1">
        <f>$B$31</f>
        <v>887.1</v>
      </c>
    </row>
    <row r="52" spans="1:10" x14ac:dyDescent="0.3">
      <c r="A52" s="1" t="s">
        <v>8</v>
      </c>
      <c r="B52" s="1">
        <f>$V$3</f>
        <v>415.2</v>
      </c>
      <c r="C52" s="1">
        <f>$G$31</f>
        <v>17596.960000000003</v>
      </c>
      <c r="D52" s="1">
        <f>$E$31</f>
        <v>162715.24200000003</v>
      </c>
      <c r="G52" s="1" t="s">
        <v>8</v>
      </c>
      <c r="H52" s="1">
        <f>$V$3</f>
        <v>415.2</v>
      </c>
      <c r="I52" s="1">
        <f>$D$31</f>
        <v>8215.9599999999991</v>
      </c>
      <c r="J52" s="1">
        <f>$G$31</f>
        <v>17596.960000000003</v>
      </c>
    </row>
    <row r="53" spans="1:10" x14ac:dyDescent="0.3">
      <c r="A53" s="1" t="s">
        <v>16</v>
      </c>
      <c r="B53" s="1">
        <f>$D$31</f>
        <v>8215.9599999999991</v>
      </c>
      <c r="C53" s="1">
        <f>$H$31</f>
        <v>349369.89600000001</v>
      </c>
      <c r="D53" s="1">
        <f>$F$31</f>
        <v>3225321.7528000004</v>
      </c>
      <c r="G53" s="1" t="s">
        <v>15</v>
      </c>
      <c r="H53" s="1">
        <f>$D$31</f>
        <v>8215.9599999999991</v>
      </c>
      <c r="I53" s="1">
        <f>$E$31</f>
        <v>162715.24200000003</v>
      </c>
      <c r="J53" s="1">
        <f>$H$31</f>
        <v>349369.89600000001</v>
      </c>
    </row>
    <row r="55" spans="1:10" x14ac:dyDescent="0.3">
      <c r="B55" s="1" t="s">
        <v>17</v>
      </c>
      <c r="C55" s="1">
        <f>MDETERM(B51:D53)</f>
        <v>5347.0749671570729</v>
      </c>
      <c r="H55" s="1" t="s">
        <v>14</v>
      </c>
      <c r="I55" s="1">
        <f>MDETERM(H51:J53)</f>
        <v>-32.721600070809082</v>
      </c>
    </row>
    <row r="60" spans="1:10" x14ac:dyDescent="0.3">
      <c r="B60" s="1" t="s">
        <v>18</v>
      </c>
      <c r="C60" s="5">
        <f>I48/C48</f>
        <v>-151.17496829789533</v>
      </c>
    </row>
    <row r="61" spans="1:10" x14ac:dyDescent="0.3">
      <c r="B61" s="1" t="s">
        <v>19</v>
      </c>
      <c r="C61" s="1">
        <f>C55/C48</f>
        <v>11.130522432158049</v>
      </c>
    </row>
    <row r="62" spans="1:10" x14ac:dyDescent="0.3">
      <c r="B62" s="1" t="s">
        <v>20</v>
      </c>
      <c r="C62" s="1">
        <f>I55/C48</f>
        <v>-6.8113595908285335E-2</v>
      </c>
    </row>
    <row r="65" spans="2:7" x14ac:dyDescent="0.3">
      <c r="B65" s="1" t="s">
        <v>1</v>
      </c>
      <c r="C65" s="1" t="s">
        <v>0</v>
      </c>
      <c r="D65" s="1" t="s">
        <v>22</v>
      </c>
      <c r="E65" s="1" t="s">
        <v>21</v>
      </c>
      <c r="F65" s="1" t="s">
        <v>23</v>
      </c>
      <c r="G65" s="1" t="s">
        <v>24</v>
      </c>
    </row>
    <row r="66" spans="2:7" x14ac:dyDescent="0.3">
      <c r="B66" s="1">
        <f>$A$1+15.8</f>
        <v>32.799999999999997</v>
      </c>
      <c r="C66" s="1">
        <f>$A$1+1.7</f>
        <v>18.7</v>
      </c>
      <c r="D66" s="1">
        <f>$C$60+$C$61*C66+$C$62*C66*C66</f>
        <v>33.147157830291874</v>
      </c>
      <c r="E66" s="1">
        <f>(B66-D66)*(B66-D66)</f>
        <v>0.1205185591329638</v>
      </c>
      <c r="F66" s="1">
        <f>(B66-$B$87)*(B66-$B$87)</f>
        <v>0</v>
      </c>
      <c r="G66" s="1">
        <f>ABS((B66-D66)/B66)*100</f>
        <v>1.0584080191825525</v>
      </c>
    </row>
    <row r="67" spans="2:7" x14ac:dyDescent="0.3">
      <c r="B67" s="1">
        <f>$A$1+21</f>
        <v>38</v>
      </c>
      <c r="C67" s="1">
        <f>$A$1+2.1</f>
        <v>19.100000000000001</v>
      </c>
      <c r="D67" s="1">
        <f>$C$60+$C$61*C67+$C$62*C67*C67</f>
        <v>36.569489233021841</v>
      </c>
      <c r="E67" s="1">
        <f t="shared" ref="E67:E86" si="6">(B67-D67)*(B67-D67)</f>
        <v>2.0463610544404411</v>
      </c>
      <c r="F67" s="1">
        <f>(B67-$B$87)*(B67-$B$87)</f>
        <v>27.040000000000031</v>
      </c>
      <c r="G67" s="1">
        <f t="shared" ref="G67:G86" si="7">ABS((B67-D67)/B67)*100</f>
        <v>3.7645020183635767</v>
      </c>
    </row>
    <row r="68" spans="2:7" x14ac:dyDescent="0.3">
      <c r="B68" s="1">
        <f>$A$1+24</f>
        <v>41</v>
      </c>
      <c r="C68" s="1">
        <f>$A$1+2.2</f>
        <v>19.2</v>
      </c>
      <c r="D68" s="1">
        <f>$C$60+$C$61*C68+$C$62*C68*C68</f>
        <v>37.421666403908887</v>
      </c>
      <c r="E68" s="1">
        <f t="shared" si="6"/>
        <v>12.804471324914358</v>
      </c>
      <c r="F68" s="1">
        <f>(B68-$B$87)*(B68-$B$87)</f>
        <v>67.240000000000052</v>
      </c>
      <c r="G68" s="1">
        <f t="shared" si="7"/>
        <v>8.7276429172953982</v>
      </c>
    </row>
    <row r="69" spans="2:7" x14ac:dyDescent="0.3">
      <c r="B69" s="1">
        <f>$A$1+20</f>
        <v>37</v>
      </c>
      <c r="C69" s="1">
        <f>$A$1+2.4</f>
        <v>19.399999999999999</v>
      </c>
      <c r="D69" s="1">
        <f>$C$60+$C$61*C69+$C$62*C69*C69</f>
        <v>39.121933929928538</v>
      </c>
      <c r="E69" s="1">
        <f t="shared" si="6"/>
        <v>4.5026036029819698</v>
      </c>
      <c r="F69" s="1">
        <f>(B69-$B$87)*(B69-$B$87)</f>
        <v>17.640000000000025</v>
      </c>
      <c r="G69" s="1">
        <f t="shared" si="7"/>
        <v>5.7349565673744269</v>
      </c>
    </row>
    <row r="70" spans="2:7" x14ac:dyDescent="0.3">
      <c r="B70" s="1">
        <f>$A$1+21.3</f>
        <v>38.299999999999997</v>
      </c>
      <c r="C70" s="1">
        <f>$A$1+2.4</f>
        <v>19.399999999999999</v>
      </c>
      <c r="D70" s="1">
        <f>$C$60+$C$61*C70+$C$62*C70*C70</f>
        <v>39.121933929928538</v>
      </c>
      <c r="E70" s="1">
        <f t="shared" si="6"/>
        <v>0.67557538516777549</v>
      </c>
      <c r="F70" s="1">
        <f>(B70-$B$87)*(B70-$B$87)</f>
        <v>30.25</v>
      </c>
      <c r="G70" s="1">
        <f t="shared" si="7"/>
        <v>2.1460415925027179</v>
      </c>
    </row>
    <row r="71" spans="2:7" x14ac:dyDescent="0.3">
      <c r="B71" s="1">
        <f>$A$1+21</f>
        <v>38</v>
      </c>
      <c r="C71" s="1">
        <f>$A$1+2.5</f>
        <v>19.5</v>
      </c>
      <c r="D71" s="1">
        <f>$C$60+$C$61*C71+$C$62*C71*C71</f>
        <v>39.970024285061115</v>
      </c>
      <c r="E71" s="1">
        <f t="shared" si="6"/>
        <v>3.8809956837305561</v>
      </c>
      <c r="F71" s="1">
        <f>(B71-$B$87)*(B71-$B$87)</f>
        <v>27.040000000000031</v>
      </c>
      <c r="G71" s="1">
        <f t="shared" si="7"/>
        <v>5.1842744343713543</v>
      </c>
    </row>
    <row r="72" spans="2:7" x14ac:dyDescent="0.3">
      <c r="B72" s="1">
        <f>$A$1+21.9</f>
        <v>38.9</v>
      </c>
      <c r="C72" s="1">
        <f>$A$1+2.5</f>
        <v>19.5</v>
      </c>
      <c r="D72" s="1">
        <f>$C$60+$C$61*C72+$C$62*C72*C72</f>
        <v>39.970024285061115</v>
      </c>
      <c r="E72" s="1">
        <f t="shared" si="6"/>
        <v>1.1449519706205527</v>
      </c>
      <c r="F72" s="1">
        <f>(B72-$B$87)*(B72-$B$87)</f>
        <v>37.210000000000015</v>
      </c>
      <c r="G72" s="1">
        <f t="shared" si="7"/>
        <v>2.7507051029848748</v>
      </c>
    </row>
    <row r="73" spans="2:7" x14ac:dyDescent="0.3">
      <c r="B73" s="1">
        <f>$A$1+21</f>
        <v>38</v>
      </c>
      <c r="C73" s="1">
        <f>$A$1+2.6</f>
        <v>19.600000000000001</v>
      </c>
      <c r="D73" s="1">
        <f>$C$60+$C$61*C73+$C$62*C73*C73</f>
        <v>40.816752368275544</v>
      </c>
      <c r="E73" s="1">
        <f t="shared" si="6"/>
        <v>7.9340939041858887</v>
      </c>
      <c r="F73" s="1">
        <f>(B73-$B$87)*(B73-$B$87)</f>
        <v>27.040000000000031</v>
      </c>
      <c r="G73" s="1">
        <f t="shared" si="7"/>
        <v>7.4125062323040645</v>
      </c>
    </row>
    <row r="74" spans="2:7" x14ac:dyDescent="0.3">
      <c r="B74" s="1">
        <f>$A$1+22</f>
        <v>39</v>
      </c>
      <c r="C74" s="1">
        <f>$A$1+2.6</f>
        <v>19.600000000000001</v>
      </c>
      <c r="D74" s="1">
        <f>$C$60+$C$61*C74+$C$62*C74*C74</f>
        <v>40.816752368275544</v>
      </c>
      <c r="E74" s="1">
        <f t="shared" si="6"/>
        <v>3.3005891676347994</v>
      </c>
      <c r="F74" s="1">
        <f>(B74-$B$87)*(B74-$B$87)</f>
        <v>38.440000000000033</v>
      </c>
      <c r="G74" s="1">
        <f t="shared" si="7"/>
        <v>4.6583394058347292</v>
      </c>
    </row>
    <row r="75" spans="2:7" x14ac:dyDescent="0.3">
      <c r="B75" s="1">
        <f>$A$1+23.3</f>
        <v>40.299999999999997</v>
      </c>
      <c r="C75" s="1">
        <f>$A$1+2.6</f>
        <v>19.600000000000001</v>
      </c>
      <c r="D75" s="1">
        <f>$C$60+$C$61*C75+$C$62*C75*C75</f>
        <v>40.816752368275544</v>
      </c>
      <c r="E75" s="1">
        <f>(B75-D75)*(B75-D75)</f>
        <v>0.26703301011838682</v>
      </c>
      <c r="F75" s="1">
        <f>(B75-$B$87)*(B75-$B$87)</f>
        <v>56.25</v>
      </c>
      <c r="G75" s="1">
        <f>ABS((B75-D75)/B75)*100</f>
        <v>1.2822639411303902</v>
      </c>
    </row>
    <row r="76" spans="2:7" x14ac:dyDescent="0.3">
      <c r="B76" s="1">
        <f>$A$1+24</f>
        <v>41</v>
      </c>
      <c r="C76" s="1">
        <f>$A$1+2.6</f>
        <v>19.600000000000001</v>
      </c>
      <c r="D76" s="1">
        <f>$C$60+$C$61*C76+$C$62*C76*C76</f>
        <v>40.816752368275544</v>
      </c>
      <c r="E76" s="1">
        <f t="shared" si="6"/>
        <v>3.3579694532621697E-2</v>
      </c>
      <c r="F76" s="1">
        <f>(B76-$B$87)*(B76-$B$87)</f>
        <v>67.240000000000052</v>
      </c>
      <c r="G76" s="1">
        <f t="shared" si="7"/>
        <v>0.44694544323037944</v>
      </c>
    </row>
    <row r="77" spans="2:7" x14ac:dyDescent="0.3">
      <c r="B77" s="1">
        <f>$A$1+24.6</f>
        <v>41.6</v>
      </c>
      <c r="C77" s="1">
        <f>$A$1+2.6</f>
        <v>19.600000000000001</v>
      </c>
      <c r="D77" s="1">
        <f>$C$60+$C$61*C77+$C$62*C77*C77</f>
        <v>40.816752368275544</v>
      </c>
      <c r="E77" s="1">
        <f t="shared" si="6"/>
        <v>0.6134768526019706</v>
      </c>
      <c r="F77" s="1">
        <f>(B77-$B$87)*(B77-$B$87)</f>
        <v>77.440000000000069</v>
      </c>
      <c r="G77" s="1">
        <f t="shared" si="7"/>
        <v>1.8828068070299446</v>
      </c>
    </row>
    <row r="78" spans="2:7" x14ac:dyDescent="0.3">
      <c r="B78" s="1">
        <f>$A$1+26</f>
        <v>43</v>
      </c>
      <c r="C78" s="1">
        <f>$A$1+2.6</f>
        <v>19.600000000000001</v>
      </c>
      <c r="D78" s="1">
        <f>$C$60+$C$61*C78+$C$62*C78*C78</f>
        <v>40.816752368275544</v>
      </c>
      <c r="E78" s="1">
        <f t="shared" si="6"/>
        <v>4.7665702214304444</v>
      </c>
      <c r="F78" s="1">
        <f>(B78-$B$87)*(B78-$B$87)</f>
        <v>104.04000000000006</v>
      </c>
      <c r="G78" s="1">
        <f t="shared" si="7"/>
        <v>5.0773200737778037</v>
      </c>
    </row>
    <row r="79" spans="2:7" x14ac:dyDescent="0.3">
      <c r="B79" s="1">
        <f>$A$1+23.9</f>
        <v>40.9</v>
      </c>
      <c r="C79" s="1">
        <f>$A$1+2.8</f>
        <v>19.8</v>
      </c>
      <c r="D79" s="1">
        <f>$C$60+$C$61*C79+$C$62*C79*C79</f>
        <v>42.506121718949871</v>
      </c>
      <c r="E79" s="1">
        <f t="shared" si="6"/>
        <v>2.5796269760824915</v>
      </c>
      <c r="F79" s="1">
        <f>(B79-$B$87)*(B79-$B$87)</f>
        <v>65.610000000000028</v>
      </c>
      <c r="G79" s="1">
        <f t="shared" si="7"/>
        <v>3.9269479680925965</v>
      </c>
    </row>
    <row r="80" spans="2:7" x14ac:dyDescent="0.3">
      <c r="B80" s="1">
        <f>$A$1+28</f>
        <v>45</v>
      </c>
      <c r="C80" s="1">
        <f>$A$1+2.8</f>
        <v>19.8</v>
      </c>
      <c r="D80" s="1">
        <f>$C$60+$C$61*C80+$C$62*C80*C80</f>
        <v>42.506121718949871</v>
      </c>
      <c r="E80" s="1">
        <f t="shared" si="6"/>
        <v>6.219428880693548</v>
      </c>
      <c r="F80" s="1">
        <f>(B80-$B$87)*(B80-$B$87)</f>
        <v>148.84000000000006</v>
      </c>
      <c r="G80" s="1">
        <f t="shared" si="7"/>
        <v>5.5419517356669541</v>
      </c>
    </row>
    <row r="81" spans="1:7" x14ac:dyDescent="0.3">
      <c r="B81" s="1">
        <f>$A$1 + 27</f>
        <v>44</v>
      </c>
      <c r="C81" s="1">
        <f>$A$1+2.9</f>
        <v>19.899999999999999</v>
      </c>
      <c r="D81" s="1">
        <f>$C$60+$C$61*C81+$C$62*C81*C81</f>
        <v>43.348762986409753</v>
      </c>
      <c r="E81" s="1">
        <f t="shared" si="6"/>
        <v>0.42410964786994382</v>
      </c>
      <c r="F81" s="1">
        <f>(B81-$B$87)*(B81-$B$87)</f>
        <v>125.44000000000007</v>
      </c>
      <c r="G81" s="1">
        <f t="shared" si="7"/>
        <v>1.4800841217960163</v>
      </c>
    </row>
    <row r="82" spans="1:7" x14ac:dyDescent="0.3">
      <c r="B82" s="1">
        <f>$A$1+31.9</f>
        <v>48.9</v>
      </c>
      <c r="C82" s="1">
        <f>$A$1+3.3</f>
        <v>20.3</v>
      </c>
      <c r="D82" s="1">
        <f>$C$60+$C$61*C82+$C$62*C82*C82</f>
        <v>46.705705337067769</v>
      </c>
      <c r="E82" s="1">
        <f t="shared" si="6"/>
        <v>4.8149290677728658</v>
      </c>
      <c r="F82" s="1">
        <f>(B82-$B$87)*(B82-$B$87)</f>
        <v>259.21000000000004</v>
      </c>
      <c r="G82" s="1">
        <f t="shared" si="7"/>
        <v>4.4873101491456628</v>
      </c>
    </row>
    <row r="83" spans="1:7" x14ac:dyDescent="0.3">
      <c r="B83" s="1">
        <f>$A$1+31</f>
        <v>48</v>
      </c>
      <c r="C83" s="1">
        <f>$A$1+3.4</f>
        <v>20.399999999999999</v>
      </c>
      <c r="D83" s="1">
        <f>$C$60+$C$61*C83+$C$62*C83*C83</f>
        <v>47.541535244936831</v>
      </c>
      <c r="E83" s="1">
        <f t="shared" si="6"/>
        <v>0.21018993163513122</v>
      </c>
      <c r="F83" s="1">
        <f>(B83-$B$87)*(B83-$B$87)</f>
        <v>231.04000000000008</v>
      </c>
      <c r="G83" s="1">
        <f t="shared" si="7"/>
        <v>0.95513490638160137</v>
      </c>
    </row>
    <row r="84" spans="1:7" x14ac:dyDescent="0.3">
      <c r="B84" s="1">
        <f>$A$1+34</f>
        <v>51</v>
      </c>
      <c r="C84" s="1">
        <f>$A$1+3.7</f>
        <v>20.7</v>
      </c>
      <c r="D84" s="1">
        <f>$C$60+$C$61*C84+$C$62*C84*C84</f>
        <v>50.040851337035079</v>
      </c>
      <c r="E84" s="1">
        <f t="shared" si="6"/>
        <v>0.91996615766739576</v>
      </c>
      <c r="F84" s="1">
        <f>(B84-$B$87)*(B84-$B$87)</f>
        <v>331.24000000000012</v>
      </c>
      <c r="G84" s="1">
        <f t="shared" si="7"/>
        <v>1.8806836528723943</v>
      </c>
    </row>
    <row r="85" spans="1:7" x14ac:dyDescent="0.3">
      <c r="B85" s="1">
        <f>$A$1+33</f>
        <v>50</v>
      </c>
      <c r="C85" s="1">
        <f>$A$1+3.9</f>
        <v>20.9</v>
      </c>
      <c r="D85" s="1">
        <f>$C$60+$C$61*C85+$C$62*C85*C85</f>
        <v>51.70025070550976</v>
      </c>
      <c r="E85" s="1">
        <f t="shared" si="6"/>
        <v>2.8908524615864351</v>
      </c>
      <c r="F85" s="1">
        <f>(B85-$B$87)*(B85-$B$87)</f>
        <v>295.84000000000009</v>
      </c>
      <c r="G85" s="1">
        <f t="shared" si="7"/>
        <v>3.4005014110195195</v>
      </c>
    </row>
    <row r="86" spans="1:7" x14ac:dyDescent="0.3">
      <c r="B86" s="1">
        <f>$A$1+35.4</f>
        <v>52.4</v>
      </c>
      <c r="C86" s="1">
        <f>$A$1+4</f>
        <v>21</v>
      </c>
      <c r="D86" s="1">
        <f>$C$60+$C$61*C86+$C$62*C86*C86</f>
        <v>52.527906981869876</v>
      </c>
      <c r="E86" s="1">
        <f t="shared" si="6"/>
        <v>1.6360196011061111E-2</v>
      </c>
      <c r="F86" s="1">
        <f>(B86-$B$87)*(B86-$B$87)</f>
        <v>384.16000000000008</v>
      </c>
      <c r="G86" s="1">
        <f t="shared" si="7"/>
        <v>0.24409729364480393</v>
      </c>
    </row>
    <row r="87" spans="1:7" x14ac:dyDescent="0.3">
      <c r="A87" s="1" t="s">
        <v>25</v>
      </c>
      <c r="B87" s="1">
        <f>AVERAGE(_xlfn.ANCHORARRAY(B66))</f>
        <v>32.799999999999997</v>
      </c>
      <c r="G87" s="1">
        <f>AVERAGE(G66:G86)</f>
        <v>3.4306392282857976</v>
      </c>
    </row>
    <row r="88" spans="1:7" x14ac:dyDescent="0.3">
      <c r="A88" s="1" t="s">
        <v>29</v>
      </c>
      <c r="E88" s="1">
        <f>SUM(E66:E86)</f>
        <v>60.166283750811594</v>
      </c>
      <c r="F88" s="1">
        <f>SUM(F66:F86)</f>
        <v>2418.2500000000009</v>
      </c>
    </row>
    <row r="90" spans="1:7" x14ac:dyDescent="0.3">
      <c r="A90" s="1" t="s">
        <v>28</v>
      </c>
      <c r="B90" s="1">
        <f>SQRT(1 - (E88/F88))</f>
        <v>0.98748159854960216</v>
      </c>
    </row>
    <row r="91" spans="1:7" x14ac:dyDescent="0.3">
      <c r="A91" s="1" t="s">
        <v>30</v>
      </c>
      <c r="B91" s="12">
        <f>B90*B90</f>
        <v>0.97511990747407762</v>
      </c>
    </row>
    <row r="92" spans="1:7" x14ac:dyDescent="0.3">
      <c r="A92" s="1" t="s">
        <v>26</v>
      </c>
      <c r="B92" s="1">
        <f>G87</f>
        <v>3.4306392282857976</v>
      </c>
      <c r="C92" s="1" t="s">
        <v>27</v>
      </c>
    </row>
    <row r="93" spans="1:7" x14ac:dyDescent="0.3">
      <c r="A93" s="1" t="s">
        <v>31</v>
      </c>
      <c r="B93" s="1">
        <f>0.9801 / (1 -0.9801) * (21 - 2 -1) / 2</f>
        <v>443.26130653266262</v>
      </c>
    </row>
    <row r="94" spans="1:7" x14ac:dyDescent="0.3">
      <c r="A94" s="1" t="s">
        <v>32</v>
      </c>
      <c r="B94" s="1">
        <f>FINV(0.05,  2, 18)</f>
        <v>3.5545571456617879</v>
      </c>
    </row>
  </sheetData>
  <sortState xmlns:xlrd2="http://schemas.microsoft.com/office/spreadsheetml/2017/richdata2" ref="B10:C30">
    <sortCondition ref="C10:C30"/>
    <sortCondition ref="B10:B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81BA-3852-4E74-9C6C-21DA45053950}">
  <dimension ref="A1:V63"/>
  <sheetViews>
    <sheetView topLeftCell="A16" zoomScale="85" zoomScaleNormal="85" workbookViewId="0">
      <selection activeCell="B61" sqref="B61"/>
    </sheetView>
  </sheetViews>
  <sheetFormatPr defaultRowHeight="14.4" x14ac:dyDescent="0.3"/>
  <cols>
    <col min="1" max="1" width="8.88671875" style="1"/>
    <col min="2" max="2" width="10.44140625" style="1" customWidth="1"/>
    <col min="3" max="3" width="8.88671875" style="1"/>
    <col min="4" max="4" width="9.44140625" style="1" customWidth="1"/>
    <col min="5" max="5" width="8.88671875" style="1"/>
    <col min="6" max="6" width="12.6640625" style="1" customWidth="1"/>
    <col min="7" max="7" width="14.6640625" style="1" customWidth="1"/>
    <col min="8" max="16384" width="8.88671875" style="1"/>
  </cols>
  <sheetData>
    <row r="1" spans="1:22" x14ac:dyDescent="0.3">
      <c r="A1" s="1">
        <v>17</v>
      </c>
      <c r="B1" s="3" t="s">
        <v>10</v>
      </c>
      <c r="C1" s="1" t="s">
        <v>11</v>
      </c>
    </row>
    <row r="2" spans="1:22" x14ac:dyDescent="0.3">
      <c r="A2" s="1" t="s">
        <v>0</v>
      </c>
      <c r="B2" s="1">
        <f>$A$1+2.8</f>
        <v>19.8</v>
      </c>
      <c r="C2" s="1">
        <f>$A$1+2.4</f>
        <v>19.399999999999999</v>
      </c>
      <c r="D2" s="1">
        <f>$A$1+2.1</f>
        <v>19.100000000000001</v>
      </c>
      <c r="E2" s="1">
        <f>$A$1+2.6</f>
        <v>19.600000000000001</v>
      </c>
      <c r="F2" s="1">
        <f>$A$1+1.7</f>
        <v>18.7</v>
      </c>
      <c r="G2" s="1">
        <f>$A$1+2.5</f>
        <v>19.5</v>
      </c>
      <c r="H2" s="1">
        <f>$A$1+2.4</f>
        <v>19.399999999999999</v>
      </c>
      <c r="I2" s="1">
        <f>$A$1+2.6</f>
        <v>19.600000000000001</v>
      </c>
      <c r="J2" s="1">
        <f>$A$1+2.8</f>
        <v>19.8</v>
      </c>
      <c r="K2" s="1">
        <f>$A$1+2.6</f>
        <v>19.600000000000001</v>
      </c>
      <c r="L2" s="1">
        <f>$A$1+2.6</f>
        <v>19.600000000000001</v>
      </c>
      <c r="M2" s="1">
        <f>$A$1+2.5</f>
        <v>19.5</v>
      </c>
      <c r="N2" s="1">
        <f>$A$1+2.9</f>
        <v>19.899999999999999</v>
      </c>
      <c r="O2" s="1">
        <f>$A$1+2.6</f>
        <v>19.600000000000001</v>
      </c>
      <c r="P2" s="1">
        <f>$A$1+2.2</f>
        <v>19.2</v>
      </c>
      <c r="Q2" s="1">
        <f>$A$1+2.6</f>
        <v>19.600000000000001</v>
      </c>
      <c r="R2" s="1">
        <f>$A$1+3.3</f>
        <v>20.3</v>
      </c>
      <c r="S2" s="1">
        <f>$A$1+3.9</f>
        <v>20.9</v>
      </c>
      <c r="T2" s="1">
        <f>$A$1+4</f>
        <v>21</v>
      </c>
      <c r="U2" s="1">
        <f>$A$1+3.7</f>
        <v>20.7</v>
      </c>
      <c r="V2" s="1">
        <f>$A$1+3.4</f>
        <v>20.399999999999999</v>
      </c>
    </row>
    <row r="4" spans="1:22" x14ac:dyDescent="0.3">
      <c r="A4" s="1" t="s">
        <v>1</v>
      </c>
      <c r="B4" s="1">
        <f>$A$1+28</f>
        <v>45</v>
      </c>
      <c r="C4" s="1">
        <f>$A$1+21.3</f>
        <v>38.299999999999997</v>
      </c>
      <c r="D4" s="1">
        <f>$A$1+21</f>
        <v>38</v>
      </c>
      <c r="E4" s="1">
        <f>$A$1+23.3</f>
        <v>40.299999999999997</v>
      </c>
      <c r="F4" s="1">
        <f>$A$1+15.8</f>
        <v>32.799999999999997</v>
      </c>
      <c r="G4" s="1">
        <f>$A$1+21.9</f>
        <v>38.9</v>
      </c>
      <c r="H4" s="1">
        <f>$A$1+20</f>
        <v>37</v>
      </c>
      <c r="I4" s="1">
        <f>$A$1+22</f>
        <v>39</v>
      </c>
      <c r="J4" s="1">
        <f>$A$1+23.9</f>
        <v>40.9</v>
      </c>
      <c r="K4" s="1">
        <f>$A$1+26</f>
        <v>43</v>
      </c>
      <c r="L4" s="1">
        <f>$A$1+24.6</f>
        <v>41.6</v>
      </c>
      <c r="M4" s="1">
        <f>$A$1+21</f>
        <v>38</v>
      </c>
      <c r="N4" s="1">
        <f>$A$1 + 27</f>
        <v>44</v>
      </c>
      <c r="O4" s="1">
        <f>$A$1+21</f>
        <v>38</v>
      </c>
      <c r="P4" s="1">
        <f>$A$1+24</f>
        <v>41</v>
      </c>
      <c r="Q4" s="1">
        <f>$A$1+24</f>
        <v>41</v>
      </c>
      <c r="R4" s="1">
        <f>$A$1+31.9</f>
        <v>48.9</v>
      </c>
      <c r="S4" s="1">
        <f>$A$1+33</f>
        <v>50</v>
      </c>
      <c r="T4" s="1">
        <f>$A$1+35.4</f>
        <v>52.4</v>
      </c>
      <c r="U4" s="1">
        <f>$A$1+34</f>
        <v>51</v>
      </c>
      <c r="V4" s="1">
        <f>$A$1+31</f>
        <v>48</v>
      </c>
    </row>
    <row r="6" spans="1:22" x14ac:dyDescent="0.3">
      <c r="B6" s="1" t="s">
        <v>1</v>
      </c>
      <c r="C6" s="1" t="s">
        <v>0</v>
      </c>
      <c r="D6" s="1" t="s">
        <v>34</v>
      </c>
      <c r="E6" s="1" t="s">
        <v>35</v>
      </c>
      <c r="F6" s="1" t="s">
        <v>36</v>
      </c>
      <c r="G6" s="1" t="s">
        <v>33</v>
      </c>
    </row>
    <row r="7" spans="1:22" x14ac:dyDescent="0.3">
      <c r="B7" s="1">
        <f>$A$1+15.8</f>
        <v>32.799999999999997</v>
      </c>
      <c r="C7" s="1">
        <f>$A$1+1.7</f>
        <v>18.7</v>
      </c>
      <c r="D7" s="1">
        <f>LN(B7)</f>
        <v>3.4904285153900978</v>
      </c>
      <c r="E7" s="1">
        <f>LN(C7)</f>
        <v>2.9285235238605409</v>
      </c>
      <c r="F7" s="1">
        <f>E7*E7</f>
        <v>8.5762500298045605</v>
      </c>
      <c r="G7" s="1">
        <f>E7*D7</f>
        <v>10.221802015673525</v>
      </c>
    </row>
    <row r="8" spans="1:22" x14ac:dyDescent="0.3">
      <c r="B8" s="1">
        <f>$A$1+21</f>
        <v>38</v>
      </c>
      <c r="C8" s="1">
        <f>$A$1+2.1</f>
        <v>19.100000000000001</v>
      </c>
      <c r="D8" s="1">
        <f t="shared" ref="D8:D27" si="0">LN(B8)</f>
        <v>3.6375861597263857</v>
      </c>
      <c r="E8" s="1">
        <f t="shared" ref="E8:E27" si="1">LN(C8)</f>
        <v>2.9496883350525844</v>
      </c>
      <c r="F8" s="1">
        <f t="shared" ref="F8:F27" si="2">E8*E8</f>
        <v>8.700661273945288</v>
      </c>
      <c r="G8" s="1">
        <f t="shared" ref="G8:G27" si="3">E8*D8</f>
        <v>10.729745463093646</v>
      </c>
    </row>
    <row r="9" spans="1:22" x14ac:dyDescent="0.3">
      <c r="B9" s="1">
        <f>$A$1+24</f>
        <v>41</v>
      </c>
      <c r="C9" s="1">
        <f>$A$1+2.2</f>
        <v>19.2</v>
      </c>
      <c r="D9" s="1">
        <f t="shared" si="0"/>
        <v>3.713572066704308</v>
      </c>
      <c r="E9" s="1">
        <f t="shared" si="1"/>
        <v>2.954910279033736</v>
      </c>
      <c r="F9" s="1">
        <f t="shared" si="2"/>
        <v>8.731494757139231</v>
      </c>
      <c r="G9" s="1">
        <f t="shared" si="3"/>
        <v>10.973272271837114</v>
      </c>
    </row>
    <row r="10" spans="1:22" x14ac:dyDescent="0.3">
      <c r="B10" s="1">
        <f>$A$1+20</f>
        <v>37</v>
      </c>
      <c r="C10" s="1">
        <f>$A$1+2.4</f>
        <v>19.399999999999999</v>
      </c>
      <c r="D10" s="1">
        <f>LN(B10)</f>
        <v>3.6109179126442243</v>
      </c>
      <c r="E10" s="1">
        <f>LN(C10)</f>
        <v>2.9652730660692823</v>
      </c>
      <c r="F10" s="1">
        <f>E10*E10</f>
        <v>8.7928443563559231</v>
      </c>
      <c r="G10" s="1">
        <f t="shared" si="3"/>
        <v>10.707357630151032</v>
      </c>
    </row>
    <row r="11" spans="1:22" x14ac:dyDescent="0.3">
      <c r="B11" s="1">
        <f>$A$1+21.3</f>
        <v>38.299999999999997</v>
      </c>
      <c r="C11" s="1">
        <f>$A$1+2.4</f>
        <v>19.399999999999999</v>
      </c>
      <c r="D11" s="1">
        <f t="shared" si="0"/>
        <v>3.6454498961866002</v>
      </c>
      <c r="E11" s="1">
        <f t="shared" si="1"/>
        <v>2.9652730660692823</v>
      </c>
      <c r="F11" s="1">
        <f t="shared" si="2"/>
        <v>8.7928443563559231</v>
      </c>
      <c r="G11" s="1">
        <f t="shared" si="3"/>
        <v>10.809754390867187</v>
      </c>
    </row>
    <row r="12" spans="1:22" x14ac:dyDescent="0.3">
      <c r="B12" s="1">
        <f>$A$1+21</f>
        <v>38</v>
      </c>
      <c r="C12" s="1">
        <f>$A$1+2.5</f>
        <v>19.5</v>
      </c>
      <c r="D12" s="1">
        <f t="shared" si="0"/>
        <v>3.6375861597263857</v>
      </c>
      <c r="E12" s="1">
        <f t="shared" si="1"/>
        <v>2.9704144655697009</v>
      </c>
      <c r="F12" s="1">
        <f t="shared" si="2"/>
        <v>8.823362097265731</v>
      </c>
      <c r="G12" s="1">
        <f t="shared" si="3"/>
        <v>10.805138548607392</v>
      </c>
    </row>
    <row r="13" spans="1:22" x14ac:dyDescent="0.3">
      <c r="B13" s="1">
        <f>$A$1+21.9</f>
        <v>38.9</v>
      </c>
      <c r="C13" s="1">
        <f>$A$1+2.5</f>
        <v>19.5</v>
      </c>
      <c r="D13" s="1">
        <f t="shared" si="0"/>
        <v>3.6609942506244004</v>
      </c>
      <c r="E13" s="1">
        <f t="shared" si="1"/>
        <v>2.9704144655697009</v>
      </c>
      <c r="F13" s="1">
        <f t="shared" si="2"/>
        <v>8.823362097265731</v>
      </c>
      <c r="G13" s="1">
        <f t="shared" si="3"/>
        <v>10.874670280422226</v>
      </c>
    </row>
    <row r="14" spans="1:22" x14ac:dyDescent="0.3">
      <c r="B14" s="1">
        <f>$A$1+21</f>
        <v>38</v>
      </c>
      <c r="C14" s="1">
        <f>$A$1+2.6</f>
        <v>19.600000000000001</v>
      </c>
      <c r="D14" s="1">
        <f t="shared" si="0"/>
        <v>3.6375861597263857</v>
      </c>
      <c r="E14" s="1">
        <f t="shared" si="1"/>
        <v>2.9755295662364718</v>
      </c>
      <c r="F14" s="1">
        <f t="shared" si="2"/>
        <v>8.853776199547406</v>
      </c>
      <c r="G14" s="1">
        <f t="shared" si="3"/>
        <v>10.823745167998446</v>
      </c>
    </row>
    <row r="15" spans="1:22" x14ac:dyDescent="0.3">
      <c r="B15" s="1">
        <f>$A$1+22</f>
        <v>39</v>
      </c>
      <c r="C15" s="1">
        <f>$A$1+2.6</f>
        <v>19.600000000000001</v>
      </c>
      <c r="D15" s="1">
        <f t="shared" si="0"/>
        <v>3.6635616461296463</v>
      </c>
      <c r="E15" s="1">
        <f t="shared" si="1"/>
        <v>2.9755295662364718</v>
      </c>
      <c r="F15" s="1">
        <f t="shared" si="2"/>
        <v>8.853776199547406</v>
      </c>
      <c r="G15" s="1">
        <f t="shared" si="3"/>
        <v>10.901035995788721</v>
      </c>
    </row>
    <row r="16" spans="1:22" x14ac:dyDescent="0.3">
      <c r="B16" s="1">
        <f>$A$1+23.3</f>
        <v>40.299999999999997</v>
      </c>
      <c r="C16" s="1">
        <f>$A$1+2.6</f>
        <v>19.600000000000001</v>
      </c>
      <c r="D16" s="1">
        <f t="shared" si="0"/>
        <v>3.6963514689526371</v>
      </c>
      <c r="E16" s="1">
        <f t="shared" si="1"/>
        <v>2.9755295662364718</v>
      </c>
      <c r="F16" s="1">
        <f t="shared" si="2"/>
        <v>8.853776199547406</v>
      </c>
      <c r="G16" s="1">
        <f t="shared" si="3"/>
        <v>10.998603083070186</v>
      </c>
    </row>
    <row r="17" spans="1:7" x14ac:dyDescent="0.3">
      <c r="B17" s="1">
        <f>$A$1+24</f>
        <v>41</v>
      </c>
      <c r="C17" s="1">
        <f>$A$1+2.6</f>
        <v>19.600000000000001</v>
      </c>
      <c r="D17" s="1">
        <f t="shared" si="0"/>
        <v>3.713572066704308</v>
      </c>
      <c r="E17" s="1">
        <f t="shared" si="1"/>
        <v>2.9755295662364718</v>
      </c>
      <c r="F17" s="1">
        <f t="shared" si="2"/>
        <v>8.853776199547406</v>
      </c>
      <c r="G17" s="1">
        <f>E17*D17</f>
        <v>11.049843480828548</v>
      </c>
    </row>
    <row r="18" spans="1:7" x14ac:dyDescent="0.3">
      <c r="B18" s="1">
        <f>$A$1+24.6</f>
        <v>41.6</v>
      </c>
      <c r="C18" s="1">
        <f>$A$1+2.6</f>
        <v>19.600000000000001</v>
      </c>
      <c r="D18" s="1">
        <f t="shared" si="0"/>
        <v>3.7281001672672178</v>
      </c>
      <c r="E18" s="1">
        <f t="shared" si="1"/>
        <v>2.9755295662364718</v>
      </c>
      <c r="F18" s="1">
        <f t="shared" si="2"/>
        <v>8.853776199547406</v>
      </c>
      <c r="G18" s="1">
        <f t="shared" si="3"/>
        <v>11.093072273594743</v>
      </c>
    </row>
    <row r="19" spans="1:7" x14ac:dyDescent="0.3">
      <c r="B19" s="1">
        <f>$A$1+26</f>
        <v>43</v>
      </c>
      <c r="C19" s="1">
        <f>$A$1+2.6</f>
        <v>19.600000000000001</v>
      </c>
      <c r="D19" s="1">
        <f t="shared" si="0"/>
        <v>3.7612001156935624</v>
      </c>
      <c r="E19" s="1">
        <f t="shared" si="1"/>
        <v>2.9755295662364718</v>
      </c>
      <c r="F19" s="1">
        <f t="shared" si="2"/>
        <v>8.853776199547406</v>
      </c>
      <c r="G19" s="1">
        <f t="shared" si="3"/>
        <v>11.191562148778234</v>
      </c>
    </row>
    <row r="20" spans="1:7" x14ac:dyDescent="0.3">
      <c r="B20" s="1">
        <f>$A$1+23.9</f>
        <v>40.9</v>
      </c>
      <c r="C20" s="1">
        <f>$A$1+2.8</f>
        <v>19.8</v>
      </c>
      <c r="D20" s="1">
        <f t="shared" si="0"/>
        <v>3.7111300630487558</v>
      </c>
      <c r="E20" s="1">
        <f t="shared" si="1"/>
        <v>2.9856819377004897</v>
      </c>
      <c r="F20" s="1">
        <f t="shared" si="2"/>
        <v>8.9142966331109506</v>
      </c>
      <c r="G20" s="1">
        <f t="shared" si="3"/>
        <v>11.08025399770195</v>
      </c>
    </row>
    <row r="21" spans="1:7" x14ac:dyDescent="0.3">
      <c r="B21" s="1">
        <f>$A$1+28</f>
        <v>45</v>
      </c>
      <c r="C21" s="1">
        <f>$A$1+2.8</f>
        <v>19.8</v>
      </c>
      <c r="D21" s="1">
        <f t="shared" si="0"/>
        <v>3.8066624897703196</v>
      </c>
      <c r="E21" s="1">
        <f t="shared" si="1"/>
        <v>2.9856819377004897</v>
      </c>
      <c r="F21" s="1">
        <f t="shared" si="2"/>
        <v>8.9142966331109506</v>
      </c>
      <c r="G21" s="1">
        <f t="shared" si="3"/>
        <v>11.365483438629219</v>
      </c>
    </row>
    <row r="22" spans="1:7" x14ac:dyDescent="0.3">
      <c r="B22" s="1">
        <f>$A$1 + 27</f>
        <v>44</v>
      </c>
      <c r="C22" s="1">
        <f>$A$1+2.9</f>
        <v>19.899999999999999</v>
      </c>
      <c r="D22" s="1">
        <f t="shared" si="0"/>
        <v>3.784189633918261</v>
      </c>
      <c r="E22" s="1">
        <f t="shared" si="1"/>
        <v>2.9907197317304468</v>
      </c>
      <c r="F22" s="1">
        <f t="shared" si="2"/>
        <v>8.9444045137618353</v>
      </c>
      <c r="G22" s="1">
        <f t="shared" si="3"/>
        <v>11.317450606769158</v>
      </c>
    </row>
    <row r="23" spans="1:7" x14ac:dyDescent="0.3">
      <c r="B23" s="1">
        <f>$A$1+31.9</f>
        <v>48.9</v>
      </c>
      <c r="C23" s="1">
        <f>$A$1+3.3</f>
        <v>20.3</v>
      </c>
      <c r="D23" s="1">
        <f t="shared" si="0"/>
        <v>3.8897773964808264</v>
      </c>
      <c r="E23" s="1">
        <f t="shared" si="1"/>
        <v>3.0106208860477417</v>
      </c>
      <c r="F23" s="1">
        <f t="shared" si="2"/>
        <v>9.0638381195068884</v>
      </c>
      <c r="G23" s="1">
        <f t="shared" si="3"/>
        <v>11.710645071921583</v>
      </c>
    </row>
    <row r="24" spans="1:7" x14ac:dyDescent="0.3">
      <c r="B24" s="1">
        <f>$A$1+31</f>
        <v>48</v>
      </c>
      <c r="C24" s="1">
        <f>$A$1+3.4</f>
        <v>20.399999999999999</v>
      </c>
      <c r="D24" s="1">
        <f t="shared" si="0"/>
        <v>3.8712010109078911</v>
      </c>
      <c r="E24" s="1">
        <f t="shared" si="1"/>
        <v>3.0155349008501706</v>
      </c>
      <c r="F24" s="1">
        <f t="shared" si="2"/>
        <v>9.0934507382454477</v>
      </c>
      <c r="G24" s="1">
        <f t="shared" si="3"/>
        <v>11.673741756599208</v>
      </c>
    </row>
    <row r="25" spans="1:7" x14ac:dyDescent="0.3">
      <c r="B25" s="1">
        <f>$A$1+34</f>
        <v>51</v>
      </c>
      <c r="C25" s="1">
        <f>$A$1+3.7</f>
        <v>20.7</v>
      </c>
      <c r="D25" s="1">
        <f t="shared" si="0"/>
        <v>3.9318256327243257</v>
      </c>
      <c r="E25" s="1">
        <f t="shared" si="1"/>
        <v>3.0301337002713233</v>
      </c>
      <c r="F25" s="1">
        <f t="shared" si="2"/>
        <v>9.1817102415199816</v>
      </c>
      <c r="G25" s="1">
        <f t="shared" si="3"/>
        <v>11.913957353308598</v>
      </c>
    </row>
    <row r="26" spans="1:7" x14ac:dyDescent="0.3">
      <c r="B26" s="1">
        <f>$A$1+33</f>
        <v>50</v>
      </c>
      <c r="C26" s="1">
        <f>$A$1+3.9</f>
        <v>20.9</v>
      </c>
      <c r="D26" s="1">
        <f t="shared" si="0"/>
        <v>3.912023005428146</v>
      </c>
      <c r="E26" s="1">
        <f t="shared" si="1"/>
        <v>3.039749158970765</v>
      </c>
      <c r="F26" s="1">
        <f t="shared" si="2"/>
        <v>9.2400749494634731</v>
      </c>
      <c r="G26" s="1">
        <f t="shared" si="3"/>
        <v>11.891568640624492</v>
      </c>
    </row>
    <row r="27" spans="1:7" x14ac:dyDescent="0.3">
      <c r="B27" s="1">
        <f>$A$1+35.4</f>
        <v>52.4</v>
      </c>
      <c r="C27" s="1">
        <f>$A$1+4</f>
        <v>21</v>
      </c>
      <c r="D27" s="1">
        <f t="shared" si="0"/>
        <v>3.9589065913269965</v>
      </c>
      <c r="E27" s="1">
        <f t="shared" si="1"/>
        <v>3.044522437723423</v>
      </c>
      <c r="F27" s="1">
        <f t="shared" si="2"/>
        <v>9.2691168738013747</v>
      </c>
      <c r="G27" s="1">
        <f t="shared" si="3"/>
        <v>12.052979946146195</v>
      </c>
    </row>
    <row r="28" spans="1:7" x14ac:dyDescent="0.3">
      <c r="A28" s="1" t="s">
        <v>25</v>
      </c>
      <c r="B28" s="1">
        <f>AVERAGE(_xlfn.ANCHORARRAY(B7))</f>
        <v>32.799999999999997</v>
      </c>
      <c r="C28" s="1">
        <f>AVERAGE(_xlfn.ANCHORARRAY(C7))</f>
        <v>18.7</v>
      </c>
      <c r="D28" s="1">
        <f>AVERAGE(D7:D27)</f>
        <v>3.7363153528134125</v>
      </c>
      <c r="E28" s="1">
        <f>AVERAGE(E7:E27)</f>
        <v>2.9838247280780243</v>
      </c>
      <c r="F28" s="1">
        <f>AVERAGE(F7:F27)</f>
        <v>8.9040316603779885</v>
      </c>
      <c r="G28" s="1">
        <f>AVERAGE(G7:G27)</f>
        <v>11.151699217257688</v>
      </c>
    </row>
    <row r="30" spans="1:7" x14ac:dyDescent="0.3">
      <c r="A30" s="1" t="s">
        <v>19</v>
      </c>
      <c r="B30" s="1">
        <f>(G28-E28*D28)/(F28-E28*E28)</f>
        <v>3.881294929033023</v>
      </c>
    </row>
    <row r="31" spans="1:7" x14ac:dyDescent="0.3">
      <c r="A31" s="1" t="s">
        <v>37</v>
      </c>
      <c r="B31" s="1">
        <f>D28 - B30*E28</f>
        <v>-7.8447884333991622</v>
      </c>
    </row>
    <row r="32" spans="1:7" x14ac:dyDescent="0.3">
      <c r="A32" s="1" t="s">
        <v>18</v>
      </c>
      <c r="B32" s="4">
        <f>EXP(B31)</f>
        <v>3.9178848871472733E-4</v>
      </c>
    </row>
    <row r="34" spans="2:7" x14ac:dyDescent="0.3">
      <c r="B34" s="1" t="s">
        <v>1</v>
      </c>
      <c r="C34" s="1" t="s">
        <v>0</v>
      </c>
      <c r="D34" s="1" t="s">
        <v>38</v>
      </c>
      <c r="E34" s="1" t="s">
        <v>21</v>
      </c>
      <c r="F34" s="1" t="s">
        <v>23</v>
      </c>
      <c r="G34" s="1" t="s">
        <v>39</v>
      </c>
    </row>
    <row r="35" spans="2:7" x14ac:dyDescent="0.3">
      <c r="B35" s="1">
        <f>$A$1+15.8</f>
        <v>32.799999999999997</v>
      </c>
      <c r="C35" s="1">
        <f>$A$1+1.7</f>
        <v>18.7</v>
      </c>
      <c r="D35" s="1">
        <f>$B$32*POWER(C35, $B$30)</f>
        <v>33.841067146899817</v>
      </c>
      <c r="E35" s="1">
        <f>(B35-D35)*(B35-D35)</f>
        <v>1.083820804354132</v>
      </c>
      <c r="F35" s="1">
        <f>(B35-$B$56)*(B35-$B$56)</f>
        <v>0</v>
      </c>
      <c r="G35" s="1">
        <f>ABS((B35-D35)/B35)*100</f>
        <v>3.1739852039628667</v>
      </c>
    </row>
    <row r="36" spans="2:7" x14ac:dyDescent="0.3">
      <c r="B36" s="1">
        <f>$A$1+21</f>
        <v>38</v>
      </c>
      <c r="C36" s="1">
        <f>$A$1+2.1</f>
        <v>19.100000000000001</v>
      </c>
      <c r="D36" s="1">
        <f t="shared" ref="D36:D55" si="4">$B$32*POWER(C36, $B$30)</f>
        <v>36.738378474783687</v>
      </c>
      <c r="E36" s="1">
        <f t="shared" ref="E36:E55" si="5">(B36-D36)*(B36-D36)</f>
        <v>1.5916888728891359</v>
      </c>
      <c r="F36" s="1">
        <f t="shared" ref="F36:F54" si="6">(B36-$B$56)*(B36-$B$56)</f>
        <v>27.040000000000031</v>
      </c>
      <c r="G36" s="1">
        <f t="shared" ref="G36:G55" si="7">ABS((B36-D36)/B36)*100</f>
        <v>3.3200566453060869</v>
      </c>
    </row>
    <row r="37" spans="2:7" x14ac:dyDescent="0.3">
      <c r="B37" s="1">
        <f>$A$1+24</f>
        <v>41</v>
      </c>
      <c r="C37" s="1">
        <f>$A$1+2.2</f>
        <v>19.2</v>
      </c>
      <c r="D37" s="1">
        <f t="shared" si="4"/>
        <v>37.490585508928895</v>
      </c>
      <c r="E37" s="1">
        <f t="shared" si="5"/>
        <v>12.315990070139865</v>
      </c>
      <c r="F37" s="1">
        <f t="shared" si="6"/>
        <v>67.240000000000052</v>
      </c>
      <c r="G37" s="1">
        <f t="shared" si="7"/>
        <v>8.5595475391978173</v>
      </c>
    </row>
    <row r="38" spans="2:7" x14ac:dyDescent="0.3">
      <c r="B38" s="1">
        <f>$A$1+20</f>
        <v>37</v>
      </c>
      <c r="C38" s="1">
        <f>$A$1+2.4</f>
        <v>19.399999999999999</v>
      </c>
      <c r="D38" s="1">
        <f t="shared" si="4"/>
        <v>39.029231114279511</v>
      </c>
      <c r="E38" s="1">
        <f t="shared" si="5"/>
        <v>4.1177789151600672</v>
      </c>
      <c r="F38" s="1">
        <f t="shared" si="6"/>
        <v>17.640000000000025</v>
      </c>
      <c r="G38" s="1">
        <f t="shared" si="7"/>
        <v>5.4844084169716529</v>
      </c>
    </row>
    <row r="39" spans="2:7" x14ac:dyDescent="0.3">
      <c r="B39" s="1">
        <f>$A$1+21.3</f>
        <v>38.299999999999997</v>
      </c>
      <c r="C39" s="1">
        <f>$A$1+2.4</f>
        <v>19.399999999999999</v>
      </c>
      <c r="D39" s="1">
        <f t="shared" si="4"/>
        <v>39.029231114279511</v>
      </c>
      <c r="E39" s="1">
        <f t="shared" si="5"/>
        <v>0.53177801803334201</v>
      </c>
      <c r="F39" s="1">
        <f t="shared" si="6"/>
        <v>30.25</v>
      </c>
      <c r="G39" s="1">
        <f t="shared" si="7"/>
        <v>1.9039976874138755</v>
      </c>
    </row>
    <row r="40" spans="2:7" x14ac:dyDescent="0.3">
      <c r="B40" s="1">
        <f>$A$1+21</f>
        <v>38</v>
      </c>
      <c r="C40" s="1">
        <f>$A$1+2.5</f>
        <v>19.5</v>
      </c>
      <c r="D40" s="1">
        <f t="shared" si="4"/>
        <v>39.815893587367121</v>
      </c>
      <c r="E40" s="1">
        <f t="shared" si="5"/>
        <v>3.2974695206410325</v>
      </c>
      <c r="F40" s="1">
        <f t="shared" si="6"/>
        <v>27.040000000000031</v>
      </c>
      <c r="G40" s="1">
        <f t="shared" si="7"/>
        <v>4.7786673351766344</v>
      </c>
    </row>
    <row r="41" spans="2:7" x14ac:dyDescent="0.3">
      <c r="B41" s="1">
        <f>$A$1+21.9</f>
        <v>38.9</v>
      </c>
      <c r="C41" s="1">
        <f>$A$1+2.5</f>
        <v>19.5</v>
      </c>
      <c r="D41" s="1">
        <f t="shared" si="4"/>
        <v>39.815893587367121</v>
      </c>
      <c r="E41" s="1">
        <f t="shared" si="5"/>
        <v>0.83886106338021693</v>
      </c>
      <c r="F41" s="1">
        <f t="shared" si="6"/>
        <v>37.210000000000015</v>
      </c>
      <c r="G41" s="1">
        <f t="shared" si="7"/>
        <v>2.3544822297355337</v>
      </c>
    </row>
    <row r="42" spans="2:7" x14ac:dyDescent="0.3">
      <c r="B42" s="1">
        <f>$A$1+21</f>
        <v>38</v>
      </c>
      <c r="C42" s="1">
        <f>$A$1+2.6</f>
        <v>19.600000000000001</v>
      </c>
      <c r="D42" s="1">
        <f t="shared" si="4"/>
        <v>40.614265960340411</v>
      </c>
      <c r="E42" s="1">
        <f t="shared" si="5"/>
        <v>6.8343865113945723</v>
      </c>
      <c r="F42" s="1">
        <f t="shared" si="6"/>
        <v>27.040000000000031</v>
      </c>
      <c r="G42" s="1">
        <f t="shared" si="7"/>
        <v>6.8796472640537134</v>
      </c>
    </row>
    <row r="43" spans="2:7" x14ac:dyDescent="0.3">
      <c r="B43" s="1">
        <f>$A$1+22</f>
        <v>39</v>
      </c>
      <c r="C43" s="1">
        <f>$A$1+2.6</f>
        <v>19.600000000000001</v>
      </c>
      <c r="D43" s="1">
        <f t="shared" si="4"/>
        <v>40.614265960340411</v>
      </c>
      <c r="E43" s="1">
        <f t="shared" si="5"/>
        <v>2.6058545907137503</v>
      </c>
      <c r="F43" s="1">
        <f t="shared" si="6"/>
        <v>38.440000000000033</v>
      </c>
      <c r="G43" s="1">
        <f t="shared" si="7"/>
        <v>4.139143488052337</v>
      </c>
    </row>
    <row r="44" spans="2:7" x14ac:dyDescent="0.3">
      <c r="B44" s="1">
        <f>$A$1+23.3</f>
        <v>40.299999999999997</v>
      </c>
      <c r="C44" s="1">
        <f>$A$1+2.6</f>
        <v>19.600000000000001</v>
      </c>
      <c r="D44" s="1">
        <f t="shared" si="4"/>
        <v>40.614265960340411</v>
      </c>
      <c r="E44" s="1">
        <f t="shared" si="5"/>
        <v>9.876309382868273E-2</v>
      </c>
      <c r="F44" s="1">
        <f t="shared" si="6"/>
        <v>56.25</v>
      </c>
      <c r="G44" s="1">
        <f t="shared" si="7"/>
        <v>0.77981627876033277</v>
      </c>
    </row>
    <row r="45" spans="2:7" x14ac:dyDescent="0.3">
      <c r="B45" s="1">
        <f>$A$1+24</f>
        <v>41</v>
      </c>
      <c r="C45" s="1">
        <f>$A$1+2.6</f>
        <v>19.600000000000001</v>
      </c>
      <c r="D45" s="1">
        <f t="shared" si="4"/>
        <v>40.614265960340411</v>
      </c>
      <c r="E45" s="1">
        <f t="shared" si="5"/>
        <v>0.14879074935210518</v>
      </c>
      <c r="F45" s="1">
        <f t="shared" si="6"/>
        <v>67.240000000000052</v>
      </c>
      <c r="G45" s="1">
        <f t="shared" si="7"/>
        <v>0.9408147308770457</v>
      </c>
    </row>
    <row r="46" spans="2:7" x14ac:dyDescent="0.3">
      <c r="B46" s="1">
        <f>$A$1+24.6</f>
        <v>41.6</v>
      </c>
      <c r="C46" s="1">
        <f>$A$1+2.6</f>
        <v>19.600000000000001</v>
      </c>
      <c r="D46" s="1">
        <f t="shared" si="4"/>
        <v>40.614265960340411</v>
      </c>
      <c r="E46" s="1">
        <f t="shared" si="5"/>
        <v>0.97167159694361449</v>
      </c>
      <c r="F46" s="1">
        <f t="shared" si="6"/>
        <v>77.440000000000069</v>
      </c>
      <c r="G46" s="1">
        <f t="shared" si="7"/>
        <v>2.3695529799509378</v>
      </c>
    </row>
    <row r="47" spans="2:7" x14ac:dyDescent="0.3">
      <c r="B47" s="1">
        <f>$A$1+26</f>
        <v>43</v>
      </c>
      <c r="C47" s="1">
        <f>$A$1+2.6</f>
        <v>19.600000000000001</v>
      </c>
      <c r="D47" s="1">
        <f t="shared" si="4"/>
        <v>40.614265960340411</v>
      </c>
      <c r="E47" s="1">
        <f t="shared" si="5"/>
        <v>5.6917269079904598</v>
      </c>
      <c r="F47" s="1">
        <f t="shared" si="6"/>
        <v>104.04000000000006</v>
      </c>
      <c r="G47" s="1">
        <f t="shared" si="7"/>
        <v>5.5482186968827643</v>
      </c>
    </row>
    <row r="48" spans="2:7" x14ac:dyDescent="0.3">
      <c r="B48" s="1">
        <f>$A$1+23.9</f>
        <v>40.9</v>
      </c>
      <c r="C48" s="1">
        <f>$A$1+2.8</f>
        <v>19.8</v>
      </c>
      <c r="D48" s="1">
        <f t="shared" si="4"/>
        <v>42.246593828236598</v>
      </c>
      <c r="E48" s="1">
        <f t="shared" si="5"/>
        <v>1.813314938244901</v>
      </c>
      <c r="F48" s="1">
        <f t="shared" si="6"/>
        <v>65.610000000000028</v>
      </c>
      <c r="G48" s="1">
        <f t="shared" si="7"/>
        <v>3.2924054480112463</v>
      </c>
    </row>
    <row r="49" spans="1:7" x14ac:dyDescent="0.3">
      <c r="B49" s="1">
        <f>$A$1+28</f>
        <v>45</v>
      </c>
      <c r="C49" s="1">
        <f>$A$1+2.8</f>
        <v>19.8</v>
      </c>
      <c r="D49" s="1">
        <f t="shared" si="4"/>
        <v>42.246593828236598</v>
      </c>
      <c r="E49" s="1">
        <f t="shared" si="5"/>
        <v>7.5812455467047917</v>
      </c>
      <c r="F49" s="1">
        <f t="shared" si="6"/>
        <v>148.84000000000006</v>
      </c>
      <c r="G49" s="1">
        <f t="shared" si="7"/>
        <v>6.1186803816964481</v>
      </c>
    </row>
    <row r="50" spans="1:7" x14ac:dyDescent="0.3">
      <c r="B50" s="1">
        <f>$A$1 + 27</f>
        <v>44</v>
      </c>
      <c r="C50" s="1">
        <f>$A$1+2.9</f>
        <v>19.899999999999999</v>
      </c>
      <c r="D50" s="1">
        <f t="shared" si="4"/>
        <v>43.080777309664114</v>
      </c>
      <c r="E50" s="1">
        <f t="shared" si="5"/>
        <v>0.84497035442834378</v>
      </c>
      <c r="F50" s="1">
        <f t="shared" si="6"/>
        <v>125.44000000000007</v>
      </c>
      <c r="G50" s="1">
        <f t="shared" si="7"/>
        <v>2.0891424780361043</v>
      </c>
    </row>
    <row r="51" spans="1:7" x14ac:dyDescent="0.3">
      <c r="B51" s="1">
        <f>$A$1+31.9</f>
        <v>48.9</v>
      </c>
      <c r="C51" s="1">
        <f>$A$1+3.3</f>
        <v>20.3</v>
      </c>
      <c r="D51" s="1">
        <f t="shared" si="4"/>
        <v>46.540325175403893</v>
      </c>
      <c r="E51" s="1">
        <f t="shared" si="5"/>
        <v>5.5680652778326598</v>
      </c>
      <c r="F51" s="1">
        <f t="shared" si="6"/>
        <v>259.21000000000004</v>
      </c>
      <c r="G51" s="1">
        <f t="shared" si="7"/>
        <v>4.8255108887445912</v>
      </c>
    </row>
    <row r="52" spans="1:7" x14ac:dyDescent="0.3">
      <c r="B52" s="1">
        <f>$A$1+31</f>
        <v>48</v>
      </c>
      <c r="C52" s="1">
        <f>$A$1+3.4</f>
        <v>20.399999999999999</v>
      </c>
      <c r="D52" s="1">
        <f t="shared" si="4"/>
        <v>47.436495779477838</v>
      </c>
      <c r="E52" s="1">
        <f t="shared" si="5"/>
        <v>0.31753700654628975</v>
      </c>
      <c r="F52" s="1">
        <f t="shared" si="6"/>
        <v>231.04000000000008</v>
      </c>
      <c r="G52" s="1">
        <f t="shared" si="7"/>
        <v>1.1739671260878382</v>
      </c>
    </row>
    <row r="53" spans="1:7" x14ac:dyDescent="0.3">
      <c r="B53" s="1">
        <f>$A$1+34</f>
        <v>51</v>
      </c>
      <c r="C53" s="1">
        <f>$A$1+3.7</f>
        <v>20.7</v>
      </c>
      <c r="D53" s="1">
        <f t="shared" si="4"/>
        <v>50.201963112310771</v>
      </c>
      <c r="E53" s="1">
        <f t="shared" si="5"/>
        <v>0.63686287411271036</v>
      </c>
      <c r="F53" s="1">
        <f t="shared" si="6"/>
        <v>331.24000000000012</v>
      </c>
      <c r="G53" s="1">
        <f t="shared" si="7"/>
        <v>1.5647782111553501</v>
      </c>
    </row>
    <row r="54" spans="1:7" x14ac:dyDescent="0.3">
      <c r="B54" s="1">
        <f>$A$1+33</f>
        <v>50</v>
      </c>
      <c r="C54" s="1">
        <f>$A$1+3.9</f>
        <v>20.9</v>
      </c>
      <c r="D54" s="1">
        <f t="shared" si="4"/>
        <v>52.110922038606709</v>
      </c>
      <c r="E54" s="1">
        <f t="shared" si="5"/>
        <v>4.4559918530755054</v>
      </c>
      <c r="F54" s="1">
        <f t="shared" si="6"/>
        <v>295.84000000000009</v>
      </c>
      <c r="G54" s="1">
        <f t="shared" si="7"/>
        <v>4.2218440772134187</v>
      </c>
    </row>
    <row r="55" spans="1:7" x14ac:dyDescent="0.3">
      <c r="B55" s="1">
        <f>$A$1+35.4</f>
        <v>52.4</v>
      </c>
      <c r="C55" s="1">
        <f>$A$1+4</f>
        <v>21</v>
      </c>
      <c r="D55" s="1">
        <f t="shared" si="4"/>
        <v>53.085353706452679</v>
      </c>
      <c r="E55" s="1">
        <f t="shared" si="5"/>
        <v>0.4697097029484269</v>
      </c>
      <c r="F55" s="1">
        <f>(B55-$B$56)*(B55-$B$56)</f>
        <v>384.16000000000008</v>
      </c>
      <c r="G55" s="1">
        <f t="shared" si="7"/>
        <v>1.3079269207112223</v>
      </c>
    </row>
    <row r="56" spans="1:7" x14ac:dyDescent="0.3">
      <c r="A56" s="1" t="s">
        <v>25</v>
      </c>
      <c r="B56" s="1">
        <f>AVERAGE(_xlfn.ANCHORARRAY(B35))</f>
        <v>32.799999999999997</v>
      </c>
      <c r="G56" s="1">
        <f>AVERAGE(G35:G55)</f>
        <v>3.5631711441903722</v>
      </c>
    </row>
    <row r="57" spans="1:7" x14ac:dyDescent="0.3">
      <c r="A57" s="1" t="s">
        <v>29</v>
      </c>
      <c r="E57" s="1">
        <f>SUM(E35:E55)</f>
        <v>61.816278268714591</v>
      </c>
      <c r="F57" s="1">
        <f>SUM(F35:F55)</f>
        <v>2418.2500000000009</v>
      </c>
    </row>
    <row r="59" spans="1:7" x14ac:dyDescent="0.3">
      <c r="A59" s="1" t="s">
        <v>28</v>
      </c>
      <c r="B59" s="1">
        <f>SQRT(1 - (E57/F57))</f>
        <v>0.98713605858163611</v>
      </c>
    </row>
    <row r="60" spans="1:7" x14ac:dyDescent="0.3">
      <c r="A60" s="1" t="s">
        <v>30</v>
      </c>
      <c r="B60" s="12">
        <f>B59*B59</f>
        <v>0.9744375981520873</v>
      </c>
    </row>
    <row r="61" spans="1:7" x14ac:dyDescent="0.3">
      <c r="A61" s="1" t="s">
        <v>26</v>
      </c>
      <c r="B61" s="1">
        <f>G56</f>
        <v>3.5631711441903722</v>
      </c>
      <c r="C61" s="1" t="s">
        <v>27</v>
      </c>
    </row>
    <row r="62" spans="1:7" x14ac:dyDescent="0.3">
      <c r="A62" s="1" t="s">
        <v>31</v>
      </c>
      <c r="B62" s="1">
        <f>(0.9744/(1-0.9744))*9.5</f>
        <v>361.59375000000063</v>
      </c>
    </row>
    <row r="63" spans="1:7" x14ac:dyDescent="0.3">
      <c r="A63" s="1" t="s">
        <v>32</v>
      </c>
      <c r="B63" s="1">
        <f>FINV(0.05, 1, 19)</f>
        <v>4.3807496923317979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02BD-FCB3-4B69-86AE-021499B9A291}">
  <dimension ref="A1:V104"/>
  <sheetViews>
    <sheetView tabSelected="1" topLeftCell="D31" zoomScaleNormal="100" workbookViewId="0">
      <selection activeCell="N42" sqref="N42"/>
    </sheetView>
  </sheetViews>
  <sheetFormatPr defaultRowHeight="14.4" x14ac:dyDescent="0.3"/>
  <cols>
    <col min="1" max="5" width="8.88671875" style="1"/>
    <col min="6" max="6" width="12.44140625" style="1" customWidth="1"/>
    <col min="7" max="7" width="14.77734375" style="1" customWidth="1"/>
    <col min="8" max="14" width="8.88671875" style="1"/>
    <col min="15" max="15" width="17.5546875" style="1" customWidth="1"/>
    <col min="16" max="16384" width="8.88671875" style="1"/>
  </cols>
  <sheetData>
    <row r="1" spans="1:22" x14ac:dyDescent="0.3">
      <c r="A1" s="1">
        <v>17</v>
      </c>
      <c r="B1" s="3" t="s">
        <v>10</v>
      </c>
      <c r="C1" s="1" t="s">
        <v>11</v>
      </c>
    </row>
    <row r="2" spans="1:22" x14ac:dyDescent="0.3">
      <c r="A2" s="1" t="s">
        <v>0</v>
      </c>
      <c r="B2" s="1">
        <f>$A$1+2.8</f>
        <v>19.8</v>
      </c>
      <c r="C2" s="1">
        <f>$A$1+2.4</f>
        <v>19.399999999999999</v>
      </c>
      <c r="D2" s="1">
        <f>$A$1+2.1</f>
        <v>19.100000000000001</v>
      </c>
      <c r="E2" s="1">
        <f>$A$1+2.6</f>
        <v>19.600000000000001</v>
      </c>
      <c r="F2" s="1">
        <f>$A$1+1.7</f>
        <v>18.7</v>
      </c>
      <c r="G2" s="1">
        <f>$A$1+2.5</f>
        <v>19.5</v>
      </c>
      <c r="H2" s="1">
        <f>$A$1+2.4</f>
        <v>19.399999999999999</v>
      </c>
      <c r="I2" s="1">
        <f>$A$1+2.6</f>
        <v>19.600000000000001</v>
      </c>
      <c r="J2" s="1">
        <f>$A$1+2.8</f>
        <v>19.8</v>
      </c>
      <c r="K2" s="1">
        <f>$A$1+2.6</f>
        <v>19.600000000000001</v>
      </c>
      <c r="L2" s="1">
        <f>$A$1+2.6</f>
        <v>19.600000000000001</v>
      </c>
      <c r="M2" s="1">
        <f>$A$1+2.5</f>
        <v>19.5</v>
      </c>
      <c r="N2" s="1">
        <f>$A$1+2.9</f>
        <v>19.899999999999999</v>
      </c>
      <c r="O2" s="1">
        <f>$A$1+2.6</f>
        <v>19.600000000000001</v>
      </c>
      <c r="P2" s="1">
        <f>$A$1+2.2</f>
        <v>19.2</v>
      </c>
      <c r="Q2" s="1">
        <f>$A$1+2.6</f>
        <v>19.600000000000001</v>
      </c>
      <c r="R2" s="1">
        <f>$A$1+3.3</f>
        <v>20.3</v>
      </c>
      <c r="S2" s="1">
        <f>$A$1+3.9</f>
        <v>20.9</v>
      </c>
      <c r="T2" s="1">
        <f>$A$1+4</f>
        <v>21</v>
      </c>
      <c r="U2" s="1">
        <f>$A$1+3.7</f>
        <v>20.7</v>
      </c>
      <c r="V2" s="1">
        <f>$A$1+3.4</f>
        <v>20.399999999999999</v>
      </c>
    </row>
    <row r="4" spans="1:22" x14ac:dyDescent="0.3">
      <c r="A4" s="1" t="s">
        <v>1</v>
      </c>
      <c r="B4" s="1">
        <f>$A$1+28</f>
        <v>45</v>
      </c>
      <c r="C4" s="1">
        <f>$A$1+21.3</f>
        <v>38.299999999999997</v>
      </c>
      <c r="D4" s="1">
        <f>$A$1+21</f>
        <v>38</v>
      </c>
      <c r="E4" s="1">
        <f>$A$1+23.3</f>
        <v>40.299999999999997</v>
      </c>
      <c r="F4" s="1">
        <f>$A$1+15.8</f>
        <v>32.799999999999997</v>
      </c>
      <c r="G4" s="1">
        <f>$A$1+21.9</f>
        <v>38.9</v>
      </c>
      <c r="H4" s="1">
        <f>$A$1+20</f>
        <v>37</v>
      </c>
      <c r="I4" s="1">
        <f>$A$1+22</f>
        <v>39</v>
      </c>
      <c r="J4" s="1">
        <f>$A$1+23.9</f>
        <v>40.9</v>
      </c>
      <c r="K4" s="1">
        <f>$A$1+26</f>
        <v>43</v>
      </c>
      <c r="L4" s="1">
        <f>$A$1+24.6</f>
        <v>41.6</v>
      </c>
      <c r="M4" s="1">
        <f>$A$1+21</f>
        <v>38</v>
      </c>
      <c r="N4" s="1">
        <f>$A$1 + 27</f>
        <v>44</v>
      </c>
      <c r="O4" s="1">
        <f>$A$1+21</f>
        <v>38</v>
      </c>
      <c r="P4" s="1">
        <f>$A$1+24</f>
        <v>41</v>
      </c>
      <c r="Q4" s="1">
        <f>$A$1+24</f>
        <v>41</v>
      </c>
      <c r="R4" s="1">
        <f>$A$1+31.9</f>
        <v>48.9</v>
      </c>
      <c r="S4" s="1">
        <f>$A$1+33</f>
        <v>50</v>
      </c>
      <c r="T4" s="1">
        <f>$A$1+35.4</f>
        <v>52.4</v>
      </c>
      <c r="U4" s="1">
        <f>$A$1+34</f>
        <v>51</v>
      </c>
      <c r="V4" s="1">
        <f>$A$1+31</f>
        <v>48</v>
      </c>
    </row>
    <row r="6" spans="1:22" x14ac:dyDescent="0.3">
      <c r="B6" s="1" t="s">
        <v>1</v>
      </c>
      <c r="C6" s="1" t="s">
        <v>0</v>
      </c>
      <c r="D6" s="1" t="s">
        <v>40</v>
      </c>
      <c r="E6" s="1" t="s">
        <v>41</v>
      </c>
      <c r="F6" s="1" t="s">
        <v>42</v>
      </c>
    </row>
    <row r="7" spans="1:22" x14ac:dyDescent="0.3">
      <c r="B7" s="1">
        <f>$A$1+15.8</f>
        <v>32.799999999999997</v>
      </c>
      <c r="C7" s="1">
        <f>$A$1+1.7</f>
        <v>18.7</v>
      </c>
      <c r="D7" s="1">
        <f>LN(C7)</f>
        <v>2.9285235238605409</v>
      </c>
      <c r="E7" s="1">
        <f>D7*D7</f>
        <v>8.5762500298045605</v>
      </c>
      <c r="F7" s="1">
        <f>B7*D7</f>
        <v>96.055571582625731</v>
      </c>
    </row>
    <row r="8" spans="1:22" x14ac:dyDescent="0.3">
      <c r="B8" s="1">
        <f>$A$1+21</f>
        <v>38</v>
      </c>
      <c r="C8" s="1">
        <f>$A$1+2.1</f>
        <v>19.100000000000001</v>
      </c>
      <c r="D8" s="1">
        <f t="shared" ref="D8:D27" si="0">LN(C8)</f>
        <v>2.9496883350525844</v>
      </c>
      <c r="E8" s="1">
        <f t="shared" ref="E8:E27" si="1">D8*D8</f>
        <v>8.700661273945288</v>
      </c>
      <c r="F8" s="1">
        <f t="shared" ref="F8:F27" si="2">B8*D8</f>
        <v>112.08815673199821</v>
      </c>
    </row>
    <row r="9" spans="1:22" x14ac:dyDescent="0.3">
      <c r="B9" s="1">
        <f>$A$1+24</f>
        <v>41</v>
      </c>
      <c r="C9" s="1">
        <f>$A$1+2.2</f>
        <v>19.2</v>
      </c>
      <c r="D9" s="1">
        <f t="shared" si="0"/>
        <v>2.954910279033736</v>
      </c>
      <c r="E9" s="1">
        <f t="shared" si="1"/>
        <v>8.731494757139231</v>
      </c>
      <c r="F9" s="1">
        <f t="shared" si="2"/>
        <v>121.15132144038317</v>
      </c>
    </row>
    <row r="10" spans="1:22" x14ac:dyDescent="0.3">
      <c r="B10" s="1">
        <f>$A$1+20</f>
        <v>37</v>
      </c>
      <c r="C10" s="1">
        <f>$A$1+2.4</f>
        <v>19.399999999999999</v>
      </c>
      <c r="D10" s="1">
        <f t="shared" si="0"/>
        <v>2.9652730660692823</v>
      </c>
      <c r="E10" s="1">
        <f t="shared" si="1"/>
        <v>8.7928443563559231</v>
      </c>
      <c r="F10" s="1">
        <f t="shared" si="2"/>
        <v>109.71510344456344</v>
      </c>
    </row>
    <row r="11" spans="1:22" x14ac:dyDescent="0.3">
      <c r="B11" s="1">
        <f>$A$1+21.3</f>
        <v>38.299999999999997</v>
      </c>
      <c r="C11" s="1">
        <f>$A$1+2.4</f>
        <v>19.399999999999999</v>
      </c>
      <c r="D11" s="1">
        <f t="shared" si="0"/>
        <v>2.9652730660692823</v>
      </c>
      <c r="E11" s="1">
        <f t="shared" si="1"/>
        <v>8.7928443563559231</v>
      </c>
      <c r="F11" s="1">
        <f t="shared" si="2"/>
        <v>113.56995843045351</v>
      </c>
    </row>
    <row r="12" spans="1:22" x14ac:dyDescent="0.3">
      <c r="B12" s="1">
        <f>$A$1+21</f>
        <v>38</v>
      </c>
      <c r="C12" s="1">
        <f>$A$1+2.5</f>
        <v>19.5</v>
      </c>
      <c r="D12" s="1">
        <f t="shared" si="0"/>
        <v>2.9704144655697009</v>
      </c>
      <c r="E12" s="1">
        <f t="shared" si="1"/>
        <v>8.823362097265731</v>
      </c>
      <c r="F12" s="1">
        <f t="shared" si="2"/>
        <v>112.87574969164864</v>
      </c>
    </row>
    <row r="13" spans="1:22" x14ac:dyDescent="0.3">
      <c r="B13" s="1">
        <f>$A$1+21.9</f>
        <v>38.9</v>
      </c>
      <c r="C13" s="1">
        <f>$A$1+2.5</f>
        <v>19.5</v>
      </c>
      <c r="D13" s="1">
        <f t="shared" si="0"/>
        <v>2.9704144655697009</v>
      </c>
      <c r="E13" s="1">
        <f t="shared" si="1"/>
        <v>8.823362097265731</v>
      </c>
      <c r="F13" s="1">
        <f t="shared" si="2"/>
        <v>115.54912271066136</v>
      </c>
    </row>
    <row r="14" spans="1:22" x14ac:dyDescent="0.3">
      <c r="B14" s="1">
        <f>$A$1+21</f>
        <v>38</v>
      </c>
      <c r="C14" s="1">
        <f>$A$1+2.6</f>
        <v>19.600000000000001</v>
      </c>
      <c r="D14" s="1">
        <f t="shared" si="0"/>
        <v>2.9755295662364718</v>
      </c>
      <c r="E14" s="1">
        <f t="shared" si="1"/>
        <v>8.853776199547406</v>
      </c>
      <c r="F14" s="1">
        <f t="shared" si="2"/>
        <v>113.07012351698593</v>
      </c>
    </row>
    <row r="15" spans="1:22" x14ac:dyDescent="0.3">
      <c r="B15" s="1">
        <f>$A$1+22</f>
        <v>39</v>
      </c>
      <c r="C15" s="1">
        <f>$A$1+2.6</f>
        <v>19.600000000000001</v>
      </c>
      <c r="D15" s="1">
        <f t="shared" si="0"/>
        <v>2.9755295662364718</v>
      </c>
      <c r="E15" s="1">
        <f t="shared" si="1"/>
        <v>8.853776199547406</v>
      </c>
      <c r="F15" s="1">
        <f t="shared" si="2"/>
        <v>116.0456530832224</v>
      </c>
    </row>
    <row r="16" spans="1:22" x14ac:dyDescent="0.3">
      <c r="B16" s="1">
        <f>$A$1+23.3</f>
        <v>40.299999999999997</v>
      </c>
      <c r="C16" s="1">
        <f>$A$1+2.6</f>
        <v>19.600000000000001</v>
      </c>
      <c r="D16" s="1">
        <f t="shared" si="0"/>
        <v>2.9755295662364718</v>
      </c>
      <c r="E16" s="1">
        <f t="shared" si="1"/>
        <v>8.853776199547406</v>
      </c>
      <c r="F16" s="1">
        <f t="shared" si="2"/>
        <v>119.91384151932981</v>
      </c>
    </row>
    <row r="17" spans="1:8" x14ac:dyDescent="0.3">
      <c r="B17" s="1">
        <f>$A$1+24</f>
        <v>41</v>
      </c>
      <c r="C17" s="1">
        <f>$A$1+2.6</f>
        <v>19.600000000000001</v>
      </c>
      <c r="D17" s="1">
        <f t="shared" si="0"/>
        <v>2.9755295662364718</v>
      </c>
      <c r="E17" s="1">
        <f t="shared" si="1"/>
        <v>8.853776199547406</v>
      </c>
      <c r="F17" s="1">
        <f t="shared" si="2"/>
        <v>121.99671221569534</v>
      </c>
    </row>
    <row r="18" spans="1:8" x14ac:dyDescent="0.3">
      <c r="B18" s="1">
        <f>$A$1+24.6</f>
        <v>41.6</v>
      </c>
      <c r="C18" s="1">
        <f>$A$1+2.6</f>
        <v>19.600000000000001</v>
      </c>
      <c r="D18" s="1">
        <f t="shared" si="0"/>
        <v>2.9755295662364718</v>
      </c>
      <c r="E18" s="1">
        <f t="shared" si="1"/>
        <v>8.853776199547406</v>
      </c>
      <c r="F18" s="1">
        <f t="shared" si="2"/>
        <v>123.78202995543722</v>
      </c>
    </row>
    <row r="19" spans="1:8" x14ac:dyDescent="0.3">
      <c r="B19" s="1">
        <f>$A$1+26</f>
        <v>43</v>
      </c>
      <c r="C19" s="1">
        <f>$A$1+2.6</f>
        <v>19.600000000000001</v>
      </c>
      <c r="D19" s="1">
        <f t="shared" si="0"/>
        <v>2.9755295662364718</v>
      </c>
      <c r="E19" s="1">
        <f t="shared" si="1"/>
        <v>8.853776199547406</v>
      </c>
      <c r="F19" s="1">
        <f t="shared" si="2"/>
        <v>127.94777134816829</v>
      </c>
    </row>
    <row r="20" spans="1:8" x14ac:dyDescent="0.3">
      <c r="B20" s="1">
        <f>$A$1+23.9</f>
        <v>40.9</v>
      </c>
      <c r="C20" s="1">
        <f>$A$1+2.8</f>
        <v>19.8</v>
      </c>
      <c r="D20" s="1">
        <f t="shared" si="0"/>
        <v>2.9856819377004897</v>
      </c>
      <c r="E20" s="1">
        <f t="shared" si="1"/>
        <v>8.9142966331109506</v>
      </c>
      <c r="F20" s="1">
        <f t="shared" si="2"/>
        <v>122.11439125195002</v>
      </c>
    </row>
    <row r="21" spans="1:8" x14ac:dyDescent="0.3">
      <c r="B21" s="1">
        <f>$A$1+28</f>
        <v>45</v>
      </c>
      <c r="C21" s="1">
        <f>$A$1+2.8</f>
        <v>19.8</v>
      </c>
      <c r="D21" s="1">
        <f t="shared" si="0"/>
        <v>2.9856819377004897</v>
      </c>
      <c r="E21" s="1">
        <f t="shared" si="1"/>
        <v>8.9142966331109506</v>
      </c>
      <c r="F21" s="1">
        <f t="shared" si="2"/>
        <v>134.35568719652204</v>
      </c>
    </row>
    <row r="22" spans="1:8" x14ac:dyDescent="0.3">
      <c r="B22" s="1">
        <f>$A$1 + 27</f>
        <v>44</v>
      </c>
      <c r="C22" s="1">
        <f>$A$1+2.9</f>
        <v>19.899999999999999</v>
      </c>
      <c r="D22" s="1">
        <f t="shared" si="0"/>
        <v>2.9907197317304468</v>
      </c>
      <c r="E22" s="1">
        <f t="shared" si="1"/>
        <v>8.9444045137618353</v>
      </c>
      <c r="F22" s="1">
        <f t="shared" si="2"/>
        <v>131.59166819613966</v>
      </c>
    </row>
    <row r="23" spans="1:8" x14ac:dyDescent="0.3">
      <c r="B23" s="1">
        <f>$A$1+31.9</f>
        <v>48.9</v>
      </c>
      <c r="C23" s="1">
        <f>$A$1+3.3</f>
        <v>20.3</v>
      </c>
      <c r="D23" s="1">
        <f t="shared" si="0"/>
        <v>3.0106208860477417</v>
      </c>
      <c r="E23" s="1">
        <f t="shared" si="1"/>
        <v>9.0638381195068884</v>
      </c>
      <c r="F23" s="1">
        <f t="shared" si="2"/>
        <v>147.21936132773456</v>
      </c>
    </row>
    <row r="24" spans="1:8" x14ac:dyDescent="0.3">
      <c r="B24" s="1">
        <f>$A$1+31</f>
        <v>48</v>
      </c>
      <c r="C24" s="1">
        <f>$A$1+3.4</f>
        <v>20.399999999999999</v>
      </c>
      <c r="D24" s="1">
        <f t="shared" si="0"/>
        <v>3.0155349008501706</v>
      </c>
      <c r="E24" s="1">
        <f t="shared" si="1"/>
        <v>9.0934507382454477</v>
      </c>
      <c r="F24" s="1">
        <f t="shared" si="2"/>
        <v>144.7456752408082</v>
      </c>
    </row>
    <row r="25" spans="1:8" x14ac:dyDescent="0.3">
      <c r="B25" s="1">
        <f>$A$1+34</f>
        <v>51</v>
      </c>
      <c r="C25" s="1">
        <f>$A$1+3.7</f>
        <v>20.7</v>
      </c>
      <c r="D25" s="1">
        <f t="shared" si="0"/>
        <v>3.0301337002713233</v>
      </c>
      <c r="E25" s="1">
        <f t="shared" si="1"/>
        <v>9.1817102415199816</v>
      </c>
      <c r="F25" s="1">
        <f t="shared" si="2"/>
        <v>154.53681871383748</v>
      </c>
    </row>
    <row r="26" spans="1:8" x14ac:dyDescent="0.3">
      <c r="B26" s="1">
        <f>$A$1+33</f>
        <v>50</v>
      </c>
      <c r="C26" s="1">
        <f>$A$1+3.9</f>
        <v>20.9</v>
      </c>
      <c r="D26" s="1">
        <f t="shared" si="0"/>
        <v>3.039749158970765</v>
      </c>
      <c r="E26" s="1">
        <f t="shared" si="1"/>
        <v>9.2400749494634731</v>
      </c>
      <c r="F26" s="1">
        <f t="shared" si="2"/>
        <v>151.98745794853826</v>
      </c>
    </row>
    <row r="27" spans="1:8" x14ac:dyDescent="0.3">
      <c r="B27" s="1">
        <f>$A$1+35.4</f>
        <v>52.4</v>
      </c>
      <c r="C27" s="1">
        <f>$A$1+4</f>
        <v>21</v>
      </c>
      <c r="D27" s="1">
        <f t="shared" si="0"/>
        <v>3.044522437723423</v>
      </c>
      <c r="E27" s="1">
        <f t="shared" si="1"/>
        <v>9.2691168738013747</v>
      </c>
      <c r="F27" s="1">
        <f t="shared" si="2"/>
        <v>159.53297573670736</v>
      </c>
    </row>
    <row r="28" spans="1:8" x14ac:dyDescent="0.3">
      <c r="A28" s="1" t="s">
        <v>29</v>
      </c>
      <c r="B28" s="1">
        <f>SUM(B7:B27)</f>
        <v>887.1</v>
      </c>
      <c r="C28" s="1">
        <f t="shared" ref="C28:F28" si="3">SUM(C7:C27)</f>
        <v>415.19999999999993</v>
      </c>
      <c r="D28" s="1">
        <f t="shared" si="3"/>
        <v>62.660319289638508</v>
      </c>
      <c r="E28" s="1">
        <f t="shared" si="3"/>
        <v>186.98466486793777</v>
      </c>
      <c r="F28" s="1">
        <f t="shared" si="3"/>
        <v>2649.8451512834104</v>
      </c>
    </row>
    <row r="30" spans="1:8" x14ac:dyDescent="0.3">
      <c r="A30" s="1" t="s">
        <v>43</v>
      </c>
      <c r="B30" s="1">
        <v>21</v>
      </c>
      <c r="C30" s="1">
        <f>$D$28</f>
        <v>62.660319289638508</v>
      </c>
      <c r="F30" s="1" t="s">
        <v>43</v>
      </c>
      <c r="G30" s="1">
        <f>$B$28</f>
        <v>887.1</v>
      </c>
      <c r="H30" s="1">
        <f>$D$28</f>
        <v>62.660319289638508</v>
      </c>
    </row>
    <row r="31" spans="1:8" x14ac:dyDescent="0.3">
      <c r="A31" s="1" t="s">
        <v>8</v>
      </c>
      <c r="B31" s="1">
        <f>$D$28</f>
        <v>62.660319289638508</v>
      </c>
      <c r="C31" s="1">
        <f>$E$28</f>
        <v>186.98466486793777</v>
      </c>
      <c r="F31" s="1" t="s">
        <v>8</v>
      </c>
      <c r="G31" s="1">
        <f>$F$28</f>
        <v>2649.8451512834104</v>
      </c>
      <c r="H31" s="1">
        <f>$E$28</f>
        <v>186.98466486793777</v>
      </c>
    </row>
    <row r="32" spans="1:8" x14ac:dyDescent="0.3">
      <c r="F32" s="1" t="s">
        <v>44</v>
      </c>
    </row>
    <row r="33" spans="1:8" x14ac:dyDescent="0.3">
      <c r="B33" s="1" t="s">
        <v>8</v>
      </c>
      <c r="C33" s="1">
        <f>MDETERM(B30:C31)</f>
        <v>0.36234874724947974</v>
      </c>
      <c r="G33" s="1" t="s">
        <v>13</v>
      </c>
      <c r="H33" s="1">
        <f>MDETERM(G30:H31)</f>
        <v>-166.04704317133343</v>
      </c>
    </row>
    <row r="36" spans="1:8" x14ac:dyDescent="0.3">
      <c r="A36" s="1" t="s">
        <v>43</v>
      </c>
      <c r="B36" s="1">
        <v>21</v>
      </c>
      <c r="C36" s="1">
        <f>$B$28</f>
        <v>887.1</v>
      </c>
      <c r="F36" s="1" t="s">
        <v>18</v>
      </c>
      <c r="G36" s="1">
        <f>H33/C33</f>
        <v>-458.25201392792133</v>
      </c>
    </row>
    <row r="37" spans="1:8" x14ac:dyDescent="0.3">
      <c r="A37" s="1" t="s">
        <v>8</v>
      </c>
      <c r="B37" s="1">
        <f>$D$28</f>
        <v>62.660319289638508</v>
      </c>
      <c r="C37" s="1">
        <f>$F$28</f>
        <v>2649.8451512834104</v>
      </c>
      <c r="F37" s="1" t="s">
        <v>19</v>
      </c>
      <c r="G37" s="1">
        <f>C39/C33</f>
        <v>167.7360155779846</v>
      </c>
    </row>
    <row r="38" spans="1:8" x14ac:dyDescent="0.3">
      <c r="A38" s="1" t="s">
        <v>16</v>
      </c>
    </row>
    <row r="39" spans="1:8" x14ac:dyDescent="0.3">
      <c r="B39" s="1" t="s">
        <v>17</v>
      </c>
      <c r="C39" s="1">
        <f>MDETERM(B36:C37)</f>
        <v>60.778935113301941</v>
      </c>
    </row>
    <row r="42" spans="1:8" x14ac:dyDescent="0.3">
      <c r="B42" s="1" t="s">
        <v>1</v>
      </c>
      <c r="C42" s="1" t="s">
        <v>0</v>
      </c>
      <c r="D42" s="1" t="s">
        <v>22</v>
      </c>
      <c r="E42" s="1" t="s">
        <v>21</v>
      </c>
      <c r="F42" s="1" t="s">
        <v>23</v>
      </c>
      <c r="G42" s="1" t="s">
        <v>39</v>
      </c>
    </row>
    <row r="43" spans="1:8" x14ac:dyDescent="0.3">
      <c r="B43" s="1">
        <f>$A$1+15.8</f>
        <v>32.799999999999997</v>
      </c>
      <c r="C43" s="1">
        <f>$A$1+1.7</f>
        <v>18.7</v>
      </c>
      <c r="D43" s="1">
        <f>$G$36+$G$37*LN(C43)</f>
        <v>32.966853490844755</v>
      </c>
      <c r="E43" s="1">
        <f>(B43-D43)*(B43-D43)</f>
        <v>2.7840087407081847E-2</v>
      </c>
      <c r="F43" s="1">
        <f>(B43-$B$64)*(B43-$B$64)</f>
        <v>0</v>
      </c>
      <c r="G43" s="1">
        <f>ABS((B43-D43)/B43)*100</f>
        <v>0.50869966720962911</v>
      </c>
    </row>
    <row r="44" spans="1:8" x14ac:dyDescent="0.3">
      <c r="B44" s="1">
        <f>$A$1+21</f>
        <v>38</v>
      </c>
      <c r="C44" s="1">
        <f>$A$1+2.1</f>
        <v>19.100000000000001</v>
      </c>
      <c r="D44" s="1">
        <f t="shared" ref="D44:D63" si="4">$G$36+$G$37*LN(C44)</f>
        <v>36.516954590658429</v>
      </c>
      <c r="E44" s="1">
        <f t="shared" ref="E44:E63" si="5">(B44-D44)*(B44-D44)</f>
        <v>2.1994236861691081</v>
      </c>
      <c r="F44" s="1">
        <f t="shared" ref="F44:F63" si="6">(B44-$B$64)*(B44-$B$64)</f>
        <v>27.040000000000031</v>
      </c>
      <c r="G44" s="1">
        <f t="shared" ref="G44:G63" si="7">ABS((B44-D44)/B44)*100</f>
        <v>3.9027510772146603</v>
      </c>
    </row>
    <row r="45" spans="1:8" x14ac:dyDescent="0.3">
      <c r="B45" s="1">
        <f>$A$1+24</f>
        <v>41</v>
      </c>
      <c r="C45" s="1">
        <f>$A$1+2.2</f>
        <v>19.2</v>
      </c>
      <c r="D45" s="1">
        <f t="shared" si="4"/>
        <v>37.392862667628265</v>
      </c>
      <c r="E45" s="1">
        <f t="shared" si="5"/>
        <v>13.011439734589878</v>
      </c>
      <c r="F45" s="1">
        <f t="shared" si="6"/>
        <v>67.240000000000052</v>
      </c>
      <c r="G45" s="1">
        <f t="shared" si="7"/>
        <v>8.7978959326139883</v>
      </c>
    </row>
    <row r="46" spans="1:8" x14ac:dyDescent="0.3">
      <c r="B46" s="1">
        <f>$A$1+20</f>
        <v>37</v>
      </c>
      <c r="C46" s="1">
        <f>$A$1+2.4</f>
        <v>19.399999999999999</v>
      </c>
      <c r="D46" s="1">
        <f t="shared" si="4"/>
        <v>39.131075275253977</v>
      </c>
      <c r="E46" s="1">
        <f t="shared" si="5"/>
        <v>4.5414818287988137</v>
      </c>
      <c r="F46" s="1">
        <f t="shared" si="6"/>
        <v>17.640000000000025</v>
      </c>
      <c r="G46" s="1">
        <f t="shared" si="7"/>
        <v>5.7596629060918296</v>
      </c>
    </row>
    <row r="47" spans="1:8" x14ac:dyDescent="0.3">
      <c r="B47" s="1">
        <f>$A$1+21.3</f>
        <v>38.299999999999997</v>
      </c>
      <c r="C47" s="1">
        <f>$A$1+2.4</f>
        <v>19.399999999999999</v>
      </c>
      <c r="D47" s="1">
        <f t="shared" si="4"/>
        <v>39.131075275253977</v>
      </c>
      <c r="E47" s="1">
        <f t="shared" si="5"/>
        <v>0.69068611313847839</v>
      </c>
      <c r="F47" s="1">
        <f t="shared" si="6"/>
        <v>30.25</v>
      </c>
      <c r="G47" s="1">
        <f t="shared" si="7"/>
        <v>2.1699093348667882</v>
      </c>
    </row>
    <row r="48" spans="1:8" x14ac:dyDescent="0.3">
      <c r="B48" s="1">
        <f>$A$1+21</f>
        <v>38</v>
      </c>
      <c r="C48" s="1">
        <f>$A$1+2.5</f>
        <v>19.5</v>
      </c>
      <c r="D48" s="1">
        <f t="shared" si="4"/>
        <v>39.993473141948812</v>
      </c>
      <c r="E48" s="1">
        <f t="shared" si="5"/>
        <v>3.9739351676712671</v>
      </c>
      <c r="F48" s="1">
        <f t="shared" si="6"/>
        <v>27.040000000000031</v>
      </c>
      <c r="G48" s="1">
        <f t="shared" si="7"/>
        <v>5.2459819524968729</v>
      </c>
    </row>
    <row r="49" spans="1:7" x14ac:dyDescent="0.3">
      <c r="B49" s="1">
        <f>$A$1+21.9</f>
        <v>38.9</v>
      </c>
      <c r="C49" s="1">
        <f>$A$1+2.5</f>
        <v>19.5</v>
      </c>
      <c r="D49" s="1">
        <f t="shared" si="4"/>
        <v>39.993473141948812</v>
      </c>
      <c r="E49" s="1">
        <f t="shared" si="5"/>
        <v>1.1956835121634091</v>
      </c>
      <c r="F49" s="1">
        <f t="shared" si="6"/>
        <v>37.210000000000015</v>
      </c>
      <c r="G49" s="1">
        <f t="shared" si="7"/>
        <v>2.8109849407424505</v>
      </c>
    </row>
    <row r="50" spans="1:7" x14ac:dyDescent="0.3">
      <c r="B50" s="1">
        <f>$A$1+21</f>
        <v>38</v>
      </c>
      <c r="C50" s="1">
        <f>$A$1+2.6</f>
        <v>19.600000000000001</v>
      </c>
      <c r="D50" s="1">
        <f t="shared" si="4"/>
        <v>40.85145974707325</v>
      </c>
      <c r="E50" s="1">
        <f t="shared" si="5"/>
        <v>8.1308226891790412</v>
      </c>
      <c r="F50" s="1">
        <f t="shared" si="6"/>
        <v>27.040000000000031</v>
      </c>
      <c r="G50" s="1">
        <f t="shared" si="7"/>
        <v>7.5038414396664459</v>
      </c>
    </row>
    <row r="51" spans="1:7" x14ac:dyDescent="0.3">
      <c r="B51" s="1">
        <f>$A$1+22</f>
        <v>39</v>
      </c>
      <c r="C51" s="1">
        <f>$A$1+2.6</f>
        <v>19.600000000000001</v>
      </c>
      <c r="D51" s="1">
        <f t="shared" si="4"/>
        <v>40.85145974707325</v>
      </c>
      <c r="E51" s="1">
        <f t="shared" si="5"/>
        <v>3.4279031950325418</v>
      </c>
      <c r="F51" s="1">
        <f t="shared" si="6"/>
        <v>38.440000000000033</v>
      </c>
      <c r="G51" s="1">
        <f t="shared" si="7"/>
        <v>4.7473326848032045</v>
      </c>
    </row>
    <row r="52" spans="1:7" x14ac:dyDescent="0.3">
      <c r="B52" s="1">
        <f>$A$1+23.3</f>
        <v>40.299999999999997</v>
      </c>
      <c r="C52" s="1">
        <f>$A$1+2.6</f>
        <v>19.600000000000001</v>
      </c>
      <c r="D52" s="1">
        <f t="shared" si="4"/>
        <v>40.85145974707325</v>
      </c>
      <c r="E52" s="1">
        <f t="shared" si="5"/>
        <v>0.30410785264209561</v>
      </c>
      <c r="F52" s="1">
        <f t="shared" si="6"/>
        <v>56.25</v>
      </c>
      <c r="G52" s="1">
        <f t="shared" si="7"/>
        <v>1.3683864691643983</v>
      </c>
    </row>
    <row r="53" spans="1:7" x14ac:dyDescent="0.3">
      <c r="B53" s="1">
        <f>$A$1+24</f>
        <v>41</v>
      </c>
      <c r="C53" s="1">
        <f>$A$1+2.6</f>
        <v>19.600000000000001</v>
      </c>
      <c r="D53" s="1">
        <f t="shared" si="4"/>
        <v>40.85145974707325</v>
      </c>
      <c r="E53" s="1">
        <f t="shared" si="5"/>
        <v>2.2064206739542958E-2</v>
      </c>
      <c r="F53" s="1">
        <f t="shared" si="6"/>
        <v>67.240000000000052</v>
      </c>
      <c r="G53" s="1">
        <f t="shared" si="7"/>
        <v>0.36229329982134229</v>
      </c>
    </row>
    <row r="54" spans="1:7" x14ac:dyDescent="0.3">
      <c r="B54" s="1">
        <f>$A$1+24.6</f>
        <v>41.6</v>
      </c>
      <c r="C54" s="1">
        <f>$A$1+2.6</f>
        <v>19.600000000000001</v>
      </c>
      <c r="D54" s="1">
        <f t="shared" si="4"/>
        <v>40.85145974707325</v>
      </c>
      <c r="E54" s="1">
        <f t="shared" si="5"/>
        <v>0.56031251025164552</v>
      </c>
      <c r="F54" s="1">
        <f t="shared" si="6"/>
        <v>77.440000000000069</v>
      </c>
      <c r="G54" s="1">
        <f t="shared" si="7"/>
        <v>1.7993756079969991</v>
      </c>
    </row>
    <row r="55" spans="1:7" x14ac:dyDescent="0.3">
      <c r="B55" s="1">
        <f>$A$1+26</f>
        <v>43</v>
      </c>
      <c r="C55" s="1">
        <f>$A$1+2.6</f>
        <v>19.600000000000001</v>
      </c>
      <c r="D55" s="1">
        <f t="shared" si="4"/>
        <v>40.85145974707325</v>
      </c>
      <c r="E55" s="1">
        <f t="shared" si="5"/>
        <v>4.6162252184465444</v>
      </c>
      <c r="F55" s="1">
        <f t="shared" si="6"/>
        <v>104.04000000000006</v>
      </c>
      <c r="G55" s="1">
        <f t="shared" si="7"/>
        <v>4.9966052393645359</v>
      </c>
    </row>
    <row r="56" spans="1:7" x14ac:dyDescent="0.3">
      <c r="B56" s="1">
        <f>$A$1+23.9</f>
        <v>40.9</v>
      </c>
      <c r="C56" s="1">
        <f>$A$1+2.8</f>
        <v>19.8</v>
      </c>
      <c r="D56" s="1">
        <f t="shared" si="4"/>
        <v>42.554378085115275</v>
      </c>
      <c r="E56" s="1">
        <f t="shared" si="5"/>
        <v>2.7369668485096876</v>
      </c>
      <c r="F56" s="1">
        <f t="shared" si="6"/>
        <v>65.610000000000028</v>
      </c>
      <c r="G56" s="1">
        <f t="shared" si="7"/>
        <v>4.0449341934358829</v>
      </c>
    </row>
    <row r="57" spans="1:7" x14ac:dyDescent="0.3">
      <c r="B57" s="1">
        <f>$A$1+28</f>
        <v>45</v>
      </c>
      <c r="C57" s="1">
        <f>$A$1+2.8</f>
        <v>19.8</v>
      </c>
      <c r="D57" s="1">
        <f t="shared" si="4"/>
        <v>42.554378085115275</v>
      </c>
      <c r="E57" s="1">
        <f t="shared" si="5"/>
        <v>5.9810665505644307</v>
      </c>
      <c r="F57" s="1">
        <f t="shared" si="6"/>
        <v>148.84000000000006</v>
      </c>
      <c r="G57" s="1">
        <f t="shared" si="7"/>
        <v>5.4347153664105008</v>
      </c>
    </row>
    <row r="58" spans="1:7" x14ac:dyDescent="0.3">
      <c r="B58" s="1">
        <f>$A$1 + 27</f>
        <v>44</v>
      </c>
      <c r="C58" s="1">
        <f>$A$1+2.9</f>
        <v>19.899999999999999</v>
      </c>
      <c r="D58" s="1">
        <f t="shared" si="4"/>
        <v>43.399397583002838</v>
      </c>
      <c r="E58" s="1">
        <f t="shared" si="5"/>
        <v>0.36072326330283339</v>
      </c>
      <c r="F58" s="1">
        <f t="shared" si="6"/>
        <v>125.44000000000007</v>
      </c>
      <c r="G58" s="1">
        <f t="shared" si="7"/>
        <v>1.3650054931753692</v>
      </c>
    </row>
    <row r="59" spans="1:7" x14ac:dyDescent="0.3">
      <c r="B59" s="1">
        <f>$A$1+31.9</f>
        <v>48.9</v>
      </c>
      <c r="C59" s="1">
        <f>$A$1+3.3</f>
        <v>20.3</v>
      </c>
      <c r="D59" s="1">
        <f t="shared" si="4"/>
        <v>46.737537913588483</v>
      </c>
      <c r="E59" s="1">
        <f t="shared" si="5"/>
        <v>4.6762422751672466</v>
      </c>
      <c r="F59" s="1">
        <f t="shared" si="6"/>
        <v>259.21000000000004</v>
      </c>
      <c r="G59" s="1">
        <f t="shared" si="7"/>
        <v>4.4222128556472713</v>
      </c>
    </row>
    <row r="60" spans="1:7" x14ac:dyDescent="0.3">
      <c r="B60" s="1">
        <f>$A$1+31</f>
        <v>48</v>
      </c>
      <c r="C60" s="1">
        <f>$A$1+3.4</f>
        <v>20.399999999999999</v>
      </c>
      <c r="D60" s="1">
        <f t="shared" si="4"/>
        <v>47.56179517703913</v>
      </c>
      <c r="E60" s="1">
        <f t="shared" si="5"/>
        <v>0.19202346686616736</v>
      </c>
      <c r="F60" s="1">
        <f t="shared" si="6"/>
        <v>231.04000000000008</v>
      </c>
      <c r="G60" s="1">
        <f t="shared" si="7"/>
        <v>0.9129267145018124</v>
      </c>
    </row>
    <row r="61" spans="1:7" x14ac:dyDescent="0.3">
      <c r="B61" s="1">
        <f>$A$1+34</f>
        <v>51</v>
      </c>
      <c r="C61" s="1">
        <f>$A$1+3.7</f>
        <v>20.7</v>
      </c>
      <c r="D61" s="1">
        <f t="shared" si="4"/>
        <v>50.010539624165517</v>
      </c>
      <c r="E61" s="1">
        <f t="shared" si="5"/>
        <v>0.97903183534651606</v>
      </c>
      <c r="F61" s="1">
        <f t="shared" si="6"/>
        <v>331.24000000000012</v>
      </c>
      <c r="G61" s="1">
        <f t="shared" si="7"/>
        <v>1.9401183839891822</v>
      </c>
    </row>
    <row r="62" spans="1:7" x14ac:dyDescent="0.3">
      <c r="B62" s="1">
        <f>$A$1+33</f>
        <v>50</v>
      </c>
      <c r="C62" s="1">
        <f>$A$1+3.9</f>
        <v>20.9</v>
      </c>
      <c r="D62" s="1">
        <f t="shared" si="4"/>
        <v>51.623398354364497</v>
      </c>
      <c r="E62" s="1">
        <f t="shared" si="5"/>
        <v>2.6354222169533563</v>
      </c>
      <c r="F62" s="1">
        <f t="shared" si="6"/>
        <v>295.84000000000009</v>
      </c>
      <c r="G62" s="1">
        <f t="shared" si="7"/>
        <v>3.2467967087289931</v>
      </c>
    </row>
    <row r="63" spans="1:7" x14ac:dyDescent="0.3">
      <c r="B63" s="1">
        <f>$A$1+35.4</f>
        <v>52.4</v>
      </c>
      <c r="C63" s="1">
        <f>$A$1+4</f>
        <v>21</v>
      </c>
      <c r="D63" s="1">
        <f t="shared" si="4"/>
        <v>52.424049113578405</v>
      </c>
      <c r="E63" s="1">
        <f t="shared" si="5"/>
        <v>5.7835986390711454E-4</v>
      </c>
      <c r="F63" s="1">
        <f t="shared" si="6"/>
        <v>384.16000000000008</v>
      </c>
      <c r="G63" s="1">
        <f t="shared" si="7"/>
        <v>4.5895254920623837E-2</v>
      </c>
    </row>
    <row r="64" spans="1:7" x14ac:dyDescent="0.3">
      <c r="A64" s="1" t="s">
        <v>25</v>
      </c>
      <c r="B64" s="1">
        <f>AVERAGE(_xlfn.ANCHORARRAY(B43))</f>
        <v>32.799999999999997</v>
      </c>
      <c r="C64" s="1">
        <f>AVERAGE(_xlfn.ANCHORARRAY(C43))</f>
        <v>18.7</v>
      </c>
      <c r="G64" s="1">
        <f>AVERAGE(G43:G63)</f>
        <v>3.3993488344220375</v>
      </c>
    </row>
    <row r="65" spans="1:6" x14ac:dyDescent="0.3">
      <c r="A65" s="1" t="s">
        <v>29</v>
      </c>
      <c r="E65" s="1">
        <f>SUM(E43:E63)</f>
        <v>60.263980618803608</v>
      </c>
      <c r="F65" s="1">
        <f>SUM(F43:F63)</f>
        <v>2418.2500000000009</v>
      </c>
    </row>
    <row r="67" spans="1:6" x14ac:dyDescent="0.3">
      <c r="A67" s="1" t="s">
        <v>28</v>
      </c>
      <c r="B67" s="11">
        <f>SQRT(1 - (E65/F65))</f>
        <v>0.98746114235078764</v>
      </c>
    </row>
    <row r="68" spans="1:6" x14ac:dyDescent="0.3">
      <c r="A68" s="1" t="s">
        <v>30</v>
      </c>
      <c r="B68" s="12">
        <f>B67*B67</f>
        <v>0.97507950765272244</v>
      </c>
    </row>
    <row r="69" spans="1:6" x14ac:dyDescent="0.3">
      <c r="A69" s="1" t="s">
        <v>26</v>
      </c>
      <c r="B69" s="1">
        <f>G64</f>
        <v>3.3993488344220375</v>
      </c>
      <c r="C69" s="1" t="s">
        <v>27</v>
      </c>
    </row>
    <row r="70" spans="1:6" x14ac:dyDescent="0.3">
      <c r="A70" s="1" t="s">
        <v>31</v>
      </c>
      <c r="B70" s="1">
        <f>(0.987/(1-0.987))*9.5</f>
        <v>721.26923076923003</v>
      </c>
    </row>
    <row r="71" spans="1:6" x14ac:dyDescent="0.3">
      <c r="A71" s="1" t="s">
        <v>32</v>
      </c>
      <c r="B71" s="1">
        <f>FINV(0.05, 1, 19)</f>
        <v>4.3807496923317979</v>
      </c>
    </row>
    <row r="83" spans="2:16" ht="15" thickBot="1" x14ac:dyDescent="0.35">
      <c r="B83" t="s">
        <v>1</v>
      </c>
      <c r="C83"/>
      <c r="D83" t="s">
        <v>0</v>
      </c>
      <c r="E83"/>
    </row>
    <row r="84" spans="2:16" x14ac:dyDescent="0.3">
      <c r="B84" t="s">
        <v>56</v>
      </c>
      <c r="C84"/>
      <c r="D84"/>
      <c r="E84"/>
      <c r="F84"/>
      <c r="G84"/>
      <c r="H84"/>
      <c r="I84"/>
      <c r="J84"/>
      <c r="M84" s="8" t="s">
        <v>1</v>
      </c>
      <c r="N84" s="8"/>
      <c r="O84" s="8" t="s">
        <v>0</v>
      </c>
      <c r="P84" s="8"/>
    </row>
    <row r="85" spans="2:16" ht="15" thickBot="1" x14ac:dyDescent="0.35">
      <c r="B85"/>
      <c r="C85"/>
      <c r="D85"/>
      <c r="E85"/>
      <c r="F85"/>
      <c r="G85"/>
      <c r="H85"/>
      <c r="I85"/>
      <c r="J85"/>
      <c r="M85" s="6"/>
      <c r="N85" s="6"/>
      <c r="O85" s="6"/>
      <c r="P85" s="6"/>
    </row>
    <row r="86" spans="2:16" x14ac:dyDescent="0.3">
      <c r="B86" s="9" t="s">
        <v>57</v>
      </c>
      <c r="C86" s="9"/>
      <c r="D86"/>
      <c r="E86"/>
      <c r="F86"/>
      <c r="G86"/>
      <c r="H86"/>
      <c r="I86"/>
      <c r="J86"/>
      <c r="M86" s="6" t="s">
        <v>25</v>
      </c>
      <c r="N86" s="6">
        <v>42.24285714285714</v>
      </c>
      <c r="O86" s="10" t="s">
        <v>25</v>
      </c>
      <c r="P86" s="10">
        <v>19.771428571428572</v>
      </c>
    </row>
    <row r="87" spans="2:16" x14ac:dyDescent="0.3">
      <c r="B87" s="6" t="s">
        <v>58</v>
      </c>
      <c r="C87" s="6">
        <v>0.94325117183013074</v>
      </c>
      <c r="D87"/>
      <c r="E87"/>
      <c r="F87"/>
      <c r="G87"/>
      <c r="H87"/>
      <c r="I87"/>
      <c r="J87"/>
      <c r="M87" s="6" t="s">
        <v>45</v>
      </c>
      <c r="N87" s="6">
        <v>1.1398949706958503</v>
      </c>
      <c r="O87" s="6" t="s">
        <v>45</v>
      </c>
      <c r="P87" s="6">
        <v>0.12782854162675</v>
      </c>
    </row>
    <row r="88" spans="2:16" x14ac:dyDescent="0.3">
      <c r="B88" s="6" t="s">
        <v>59</v>
      </c>
      <c r="C88" s="6">
        <v>0.8897227731589149</v>
      </c>
      <c r="D88"/>
      <c r="E88"/>
      <c r="F88"/>
      <c r="G88"/>
      <c r="H88"/>
      <c r="I88"/>
      <c r="J88"/>
      <c r="M88" s="6" t="s">
        <v>46</v>
      </c>
      <c r="N88" s="6">
        <v>41</v>
      </c>
      <c r="O88" s="6" t="s">
        <v>46</v>
      </c>
      <c r="P88" s="6">
        <v>19.600000000000001</v>
      </c>
    </row>
    <row r="89" spans="2:16" x14ac:dyDescent="0.3">
      <c r="B89" s="6" t="s">
        <v>60</v>
      </c>
      <c r="C89" s="6">
        <v>0.88391870858833155</v>
      </c>
      <c r="D89"/>
      <c r="E89"/>
      <c r="F89"/>
      <c r="G89"/>
      <c r="H89"/>
      <c r="I89"/>
      <c r="J89"/>
      <c r="M89" s="6" t="s">
        <v>47</v>
      </c>
      <c r="N89" s="6">
        <v>38</v>
      </c>
      <c r="O89" s="6" t="s">
        <v>47</v>
      </c>
      <c r="P89" s="6">
        <v>19.600000000000001</v>
      </c>
    </row>
    <row r="90" spans="2:16" x14ac:dyDescent="0.3">
      <c r="B90" s="6" t="s">
        <v>45</v>
      </c>
      <c r="C90" s="6">
        <v>1.7797360617870588</v>
      </c>
      <c r="D90"/>
      <c r="E90"/>
      <c r="F90"/>
      <c r="G90"/>
      <c r="H90"/>
      <c r="I90"/>
      <c r="J90"/>
      <c r="M90" s="6" t="s">
        <v>48</v>
      </c>
      <c r="N90" s="6">
        <v>5.2236549875132026</v>
      </c>
      <c r="O90" s="6" t="s">
        <v>48</v>
      </c>
      <c r="P90" s="6">
        <v>0.58578396798039534</v>
      </c>
    </row>
    <row r="91" spans="2:16" ht="15" thickBot="1" x14ac:dyDescent="0.35">
      <c r="B91" s="7" t="s">
        <v>61</v>
      </c>
      <c r="C91" s="7">
        <v>21</v>
      </c>
      <c r="D91"/>
      <c r="E91"/>
      <c r="F91"/>
      <c r="G91"/>
      <c r="H91"/>
      <c r="I91"/>
      <c r="J91"/>
      <c r="M91" s="6" t="s">
        <v>49</v>
      </c>
      <c r="N91" s="6">
        <v>27.286571428571552</v>
      </c>
      <c r="O91" s="10" t="s">
        <v>49</v>
      </c>
      <c r="P91" s="10">
        <v>0.34314285714285686</v>
      </c>
    </row>
    <row r="92" spans="2:16" x14ac:dyDescent="0.3">
      <c r="B92"/>
      <c r="C92"/>
      <c r="D92"/>
      <c r="E92"/>
      <c r="F92"/>
      <c r="G92"/>
      <c r="H92"/>
      <c r="I92"/>
      <c r="J92"/>
      <c r="M92" s="6" t="s">
        <v>50</v>
      </c>
      <c r="N92" s="6">
        <v>-0.47394739748865344</v>
      </c>
      <c r="O92" s="6" t="s">
        <v>50</v>
      </c>
      <c r="P92" s="6">
        <v>0.25437399048226572</v>
      </c>
    </row>
    <row r="93" spans="2:16" ht="15" thickBot="1" x14ac:dyDescent="0.35">
      <c r="B93" t="s">
        <v>62</v>
      </c>
      <c r="C93"/>
      <c r="D93"/>
      <c r="E93"/>
      <c r="F93"/>
      <c r="G93"/>
      <c r="H93"/>
      <c r="I93"/>
      <c r="J93"/>
      <c r="M93" s="6" t="s">
        <v>51</v>
      </c>
      <c r="N93" s="6">
        <v>0.51838533388837249</v>
      </c>
      <c r="O93" s="6" t="s">
        <v>51</v>
      </c>
      <c r="P93" s="6">
        <v>0.71447197434603948</v>
      </c>
    </row>
    <row r="94" spans="2:16" x14ac:dyDescent="0.3">
      <c r="B94" s="8"/>
      <c r="C94" s="8" t="s">
        <v>67</v>
      </c>
      <c r="D94" s="8" t="s">
        <v>68</v>
      </c>
      <c r="E94" s="8" t="s">
        <v>69</v>
      </c>
      <c r="F94" s="8" t="s">
        <v>70</v>
      </c>
      <c r="G94" s="8" t="s">
        <v>71</v>
      </c>
      <c r="H94"/>
      <c r="I94"/>
      <c r="J94"/>
      <c r="M94" s="6" t="s">
        <v>52</v>
      </c>
      <c r="N94" s="6">
        <v>19.600000000000001</v>
      </c>
      <c r="O94" s="6" t="s">
        <v>52</v>
      </c>
      <c r="P94" s="6">
        <v>2.3000000000000007</v>
      </c>
    </row>
    <row r="95" spans="2:16" x14ac:dyDescent="0.3">
      <c r="B95" s="6" t="s">
        <v>63</v>
      </c>
      <c r="C95" s="6">
        <v>1</v>
      </c>
      <c r="D95" s="6">
        <v>485.54968002854787</v>
      </c>
      <c r="E95" s="6">
        <v>485.54968002854787</v>
      </c>
      <c r="F95" s="6">
        <v>153.29305219453818</v>
      </c>
      <c r="G95" s="6">
        <v>1.5251388667251079E-10</v>
      </c>
      <c r="H95"/>
      <c r="I95"/>
      <c r="J95"/>
      <c r="M95" s="6" t="s">
        <v>53</v>
      </c>
      <c r="N95" s="6">
        <v>32.799999999999997</v>
      </c>
      <c r="O95" s="6" t="s">
        <v>53</v>
      </c>
      <c r="P95" s="6">
        <v>18.7</v>
      </c>
    </row>
    <row r="96" spans="2:16" x14ac:dyDescent="0.3">
      <c r="B96" s="6" t="s">
        <v>64</v>
      </c>
      <c r="C96" s="6">
        <v>19</v>
      </c>
      <c r="D96" s="10">
        <v>60.181748542880875</v>
      </c>
      <c r="E96" s="6">
        <v>3.1674604496253091</v>
      </c>
      <c r="F96" s="6"/>
      <c r="G96" s="6"/>
      <c r="H96"/>
      <c r="I96"/>
      <c r="J96"/>
      <c r="M96" s="6" t="s">
        <v>54</v>
      </c>
      <c r="N96" s="6">
        <v>52.4</v>
      </c>
      <c r="O96" s="6" t="s">
        <v>54</v>
      </c>
      <c r="P96" s="6">
        <v>21</v>
      </c>
    </row>
    <row r="97" spans="2:16" ht="15" thickBot="1" x14ac:dyDescent="0.35">
      <c r="B97" s="7" t="s">
        <v>65</v>
      </c>
      <c r="C97" s="7">
        <v>20</v>
      </c>
      <c r="D97" s="7">
        <v>545.73142857142875</v>
      </c>
      <c r="E97" s="7"/>
      <c r="F97" s="7"/>
      <c r="G97" s="7"/>
      <c r="H97"/>
      <c r="I97"/>
      <c r="J97"/>
      <c r="M97" s="6" t="s">
        <v>29</v>
      </c>
      <c r="N97" s="6">
        <v>887.09999999999991</v>
      </c>
      <c r="O97" s="6" t="s">
        <v>29</v>
      </c>
      <c r="P97" s="6">
        <v>415.2</v>
      </c>
    </row>
    <row r="98" spans="2:16" ht="15" thickBot="1" x14ac:dyDescent="0.35">
      <c r="B98"/>
      <c r="C98"/>
      <c r="D98"/>
      <c r="E98"/>
      <c r="F98"/>
      <c r="G98"/>
      <c r="H98"/>
      <c r="I98"/>
      <c r="J98"/>
      <c r="M98" s="7" t="s">
        <v>55</v>
      </c>
      <c r="N98" s="7">
        <v>21</v>
      </c>
      <c r="O98" s="7" t="s">
        <v>55</v>
      </c>
      <c r="P98" s="7">
        <v>21</v>
      </c>
    </row>
    <row r="99" spans="2:16" x14ac:dyDescent="0.3">
      <c r="B99" s="8"/>
      <c r="C99" s="8" t="s">
        <v>72</v>
      </c>
      <c r="D99" s="8" t="s">
        <v>45</v>
      </c>
      <c r="E99" s="8" t="s">
        <v>73</v>
      </c>
      <c r="F99" s="8" t="s">
        <v>74</v>
      </c>
      <c r="G99" s="8" t="s">
        <v>75</v>
      </c>
      <c r="H99" s="8" t="s">
        <v>76</v>
      </c>
      <c r="I99" s="8" t="s">
        <v>77</v>
      </c>
      <c r="J99" s="8" t="s">
        <v>78</v>
      </c>
    </row>
    <row r="100" spans="2:16" x14ac:dyDescent="0.3">
      <c r="B100" s="6" t="s">
        <v>66</v>
      </c>
      <c r="C100" s="6">
        <v>-124.0610324729393</v>
      </c>
      <c r="D100" s="6">
        <v>13.437628545223204</v>
      </c>
      <c r="E100" s="6">
        <v>-9.2323606100155526</v>
      </c>
      <c r="F100" s="6">
        <v>1.8750609769899445E-8</v>
      </c>
      <c r="G100" s="6">
        <v>-152.18631225229521</v>
      </c>
      <c r="H100" s="6">
        <v>-95.935752693583396</v>
      </c>
      <c r="I100" s="6">
        <v>-152.18631225229521</v>
      </c>
      <c r="J100" s="6">
        <v>-95.935752693583396</v>
      </c>
    </row>
    <row r="101" spans="2:16" ht="15" thickBot="1" x14ac:dyDescent="0.35">
      <c r="B101" s="7" t="s">
        <v>79</v>
      </c>
      <c r="C101" s="7">
        <v>8.4113238967527089</v>
      </c>
      <c r="D101" s="7">
        <v>0.67936492524438896</v>
      </c>
      <c r="E101" s="7">
        <v>12.381157142793162</v>
      </c>
      <c r="F101" s="7">
        <v>1.5251388667251079E-10</v>
      </c>
      <c r="G101" s="7">
        <v>6.9893967664948997</v>
      </c>
      <c r="H101" s="7">
        <v>9.8332510270105189</v>
      </c>
      <c r="I101" s="7">
        <v>6.9893967664948997</v>
      </c>
      <c r="J101" s="7">
        <v>9.8332510270105189</v>
      </c>
    </row>
    <row r="102" spans="2:16" x14ac:dyDescent="0.3">
      <c r="B102"/>
      <c r="C102"/>
      <c r="D102"/>
      <c r="E102"/>
      <c r="F102"/>
      <c r="G102"/>
      <c r="H102"/>
      <c r="I102"/>
      <c r="J102"/>
    </row>
    <row r="103" spans="2:16" x14ac:dyDescent="0.3">
      <c r="B103"/>
      <c r="C103"/>
      <c r="D103"/>
      <c r="E103"/>
      <c r="F103"/>
      <c r="G103"/>
      <c r="H103"/>
      <c r="I103"/>
      <c r="J103"/>
    </row>
    <row r="104" spans="2:16" x14ac:dyDescent="0.3">
      <c r="B104"/>
      <c r="C104"/>
      <c r="D104"/>
      <c r="E104"/>
      <c r="F104"/>
      <c r="G104"/>
      <c r="H104"/>
      <c r="I104"/>
      <c r="J104"/>
    </row>
  </sheetData>
  <sortState xmlns:xlrd2="http://schemas.microsoft.com/office/spreadsheetml/2017/richdata2" ref="B7:C27">
    <sortCondition ref="C7:C27"/>
    <sortCondition ref="B7:B27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Парабола</vt:lpstr>
      <vt:lpstr>Степенная</vt:lpstr>
      <vt:lpstr>Полулогарифмическая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2024-03-12T09:42:43Z</dcterms:created>
  <dcterms:modified xsi:type="dcterms:W3CDTF">2024-03-26T17:26:35Z</dcterms:modified>
</cp:coreProperties>
</file>