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Статистика\"/>
    </mc:Choice>
  </mc:AlternateContent>
  <xr:revisionPtr revIDLastSave="0" documentId="13_ncr:1_{59E7C540-75A0-4F63-BB5A-75D490435CC4}" xr6:coauthVersionLast="47" xr6:coauthVersionMax="47" xr10:uidLastSave="{00000000-0000-0000-0000-000000000000}"/>
  <bookViews>
    <workbookView xWindow="-7284" yWindow="6876" windowWidth="14760" windowHeight="13152" xr2:uid="{39CDB773-07D1-4F9B-AD31-BC337F6CF9FF}"/>
  </bookViews>
  <sheets>
    <sheet name="Лист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5" l="1"/>
  <c r="K56" i="5"/>
  <c r="E111" i="5" l="1"/>
  <c r="D112" i="5"/>
  <c r="E112" i="5"/>
  <c r="F111" i="5"/>
  <c r="D113" i="5"/>
  <c r="E113" i="5"/>
  <c r="F112" i="5"/>
  <c r="F113" i="5"/>
  <c r="D108" i="5"/>
  <c r="D109" i="5"/>
  <c r="G108" i="5" a="1"/>
  <c r="G108" i="5" s="1"/>
  <c r="C96" i="5"/>
  <c r="I111" i="5" a="1"/>
  <c r="I111" i="5" s="1"/>
  <c r="D115" i="5" s="1" a="1"/>
  <c r="D115" i="5" s="1"/>
  <c r="D119" i="5" s="1" a="1"/>
  <c r="D119" i="5" s="1"/>
  <c r="D111" i="5"/>
  <c r="D67" i="5"/>
  <c r="C67" i="5"/>
  <c r="G104" i="5"/>
  <c r="J103" i="5" s="1"/>
  <c r="G103" i="5"/>
  <c r="D104" i="5"/>
  <c r="D103" i="5"/>
  <c r="E123" i="5" l="1" a="1"/>
  <c r="E123" i="5" s="1"/>
  <c r="F126" i="5" s="1" a="1"/>
  <c r="F126" i="5" s="1"/>
  <c r="D130" i="5" s="1"/>
  <c r="G98" i="5"/>
  <c r="G99" i="5"/>
  <c r="C60" i="5"/>
  <c r="C95" i="5"/>
  <c r="H78" i="5"/>
  <c r="B78" i="5"/>
  <c r="B72" i="5"/>
  <c r="B67" i="5"/>
  <c r="J61" i="5"/>
  <c r="C59" i="5" l="1"/>
  <c r="N38" i="5" l="1"/>
  <c r="H38" i="5"/>
  <c r="B38" i="5"/>
  <c r="B31" i="5"/>
  <c r="B23" i="5"/>
  <c r="B17" i="5" l="1"/>
  <c r="O17" i="5" s="1"/>
  <c r="B16" i="5"/>
  <c r="O16" i="5" s="1"/>
  <c r="B15" i="5"/>
  <c r="O15" i="5" s="1"/>
  <c r="B14" i="5"/>
  <c r="O14" i="5" s="1"/>
  <c r="B13" i="5"/>
  <c r="O13" i="5" s="1"/>
  <c r="B12" i="5"/>
  <c r="O12" i="5" s="1"/>
  <c r="B11" i="5"/>
  <c r="O11" i="5" s="1"/>
  <c r="B10" i="5"/>
  <c r="O10" i="5" s="1"/>
  <c r="B9" i="5"/>
  <c r="O9" i="5" s="1"/>
  <c r="B8" i="5"/>
  <c r="O8" i="5" s="1"/>
  <c r="B7" i="5"/>
  <c r="O7" i="5" s="1"/>
  <c r="B6" i="5"/>
  <c r="O6" i="5" s="1"/>
  <c r="B5" i="5"/>
  <c r="O5" i="5" s="1"/>
  <c r="B4" i="5"/>
  <c r="E17" i="5"/>
  <c r="K17" i="5" s="1"/>
  <c r="E16" i="5"/>
  <c r="K16" i="5" s="1"/>
  <c r="E15" i="5"/>
  <c r="K15" i="5" s="1"/>
  <c r="E14" i="5"/>
  <c r="K14" i="5" s="1"/>
  <c r="E13" i="5"/>
  <c r="K13" i="5" s="1"/>
  <c r="E12" i="5"/>
  <c r="K12" i="5" s="1"/>
  <c r="E11" i="5"/>
  <c r="K11" i="5" s="1"/>
  <c r="E10" i="5"/>
  <c r="K10" i="5" s="1"/>
  <c r="E9" i="5"/>
  <c r="K9" i="5" s="1"/>
  <c r="E8" i="5"/>
  <c r="K8" i="5" s="1"/>
  <c r="E7" i="5"/>
  <c r="K7" i="5" s="1"/>
  <c r="E6" i="5"/>
  <c r="K6" i="5" s="1"/>
  <c r="E5" i="5"/>
  <c r="K5" i="5" s="1"/>
  <c r="E4" i="5"/>
  <c r="D17" i="5"/>
  <c r="D16" i="5"/>
  <c r="D15" i="5"/>
  <c r="D14" i="5"/>
  <c r="D13" i="5"/>
  <c r="H13" i="5" s="1"/>
  <c r="D12" i="5"/>
  <c r="H12" i="5" s="1"/>
  <c r="D11" i="5"/>
  <c r="H11" i="5" s="1"/>
  <c r="D10" i="5"/>
  <c r="H10" i="5" s="1"/>
  <c r="D9" i="5"/>
  <c r="D8" i="5"/>
  <c r="D7" i="5"/>
  <c r="H7" i="5" s="1"/>
  <c r="D6" i="5"/>
  <c r="D5" i="5"/>
  <c r="D4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H14" i="5" l="1"/>
  <c r="H6" i="5"/>
  <c r="H8" i="5"/>
  <c r="H15" i="5"/>
  <c r="E18" i="5"/>
  <c r="H9" i="5"/>
  <c r="B18" i="5"/>
  <c r="O4" i="5"/>
  <c r="C18" i="5"/>
  <c r="D18" i="5"/>
  <c r="I9" i="5"/>
  <c r="F9" i="5"/>
  <c r="G9" i="5"/>
  <c r="M4" i="5"/>
  <c r="N4" i="5"/>
  <c r="L4" i="5"/>
  <c r="I10" i="5"/>
  <c r="G10" i="5"/>
  <c r="F10" i="5"/>
  <c r="I13" i="5"/>
  <c r="G13" i="5"/>
  <c r="F13" i="5"/>
  <c r="L9" i="5"/>
  <c r="M9" i="5"/>
  <c r="N9" i="5"/>
  <c r="I8" i="5"/>
  <c r="G8" i="5"/>
  <c r="F8" i="5"/>
  <c r="I12" i="5"/>
  <c r="G12" i="5"/>
  <c r="F12" i="5"/>
  <c r="L7" i="5"/>
  <c r="M7" i="5"/>
  <c r="N7" i="5"/>
  <c r="G4" i="5"/>
  <c r="F4" i="5"/>
  <c r="L10" i="5"/>
  <c r="M10" i="5"/>
  <c r="N10" i="5"/>
  <c r="L8" i="5"/>
  <c r="M8" i="5"/>
  <c r="N8" i="5"/>
  <c r="L11" i="5"/>
  <c r="M11" i="5"/>
  <c r="N11" i="5"/>
  <c r="L16" i="5"/>
  <c r="M16" i="5"/>
  <c r="N16" i="5"/>
  <c r="L5" i="5"/>
  <c r="M5" i="5"/>
  <c r="N5" i="5"/>
  <c r="I17" i="5"/>
  <c r="G17" i="5"/>
  <c r="F17" i="5"/>
  <c r="I6" i="5"/>
  <c r="G6" i="5"/>
  <c r="F6" i="5"/>
  <c r="H16" i="5"/>
  <c r="L12" i="5"/>
  <c r="M12" i="5"/>
  <c r="N12" i="5"/>
  <c r="L14" i="5"/>
  <c r="M14" i="5"/>
  <c r="N14" i="5"/>
  <c r="L15" i="5"/>
  <c r="M15" i="5"/>
  <c r="N15" i="5"/>
  <c r="I11" i="5"/>
  <c r="G11" i="5"/>
  <c r="F11" i="5"/>
  <c r="L17" i="5"/>
  <c r="M17" i="5"/>
  <c r="N17" i="5"/>
  <c r="L6" i="5"/>
  <c r="M6" i="5"/>
  <c r="N6" i="5"/>
  <c r="I14" i="5"/>
  <c r="G14" i="5"/>
  <c r="F14" i="5"/>
  <c r="I15" i="5"/>
  <c r="G15" i="5"/>
  <c r="F15" i="5"/>
  <c r="I16" i="5"/>
  <c r="G16" i="5"/>
  <c r="F16" i="5"/>
  <c r="I5" i="5"/>
  <c r="G5" i="5"/>
  <c r="F5" i="5"/>
  <c r="H4" i="5"/>
  <c r="I7" i="5"/>
  <c r="G7" i="5"/>
  <c r="F7" i="5"/>
  <c r="H5" i="5"/>
  <c r="H17" i="5"/>
  <c r="L13" i="5"/>
  <c r="M13" i="5"/>
  <c r="N13" i="5"/>
  <c r="J7" i="5"/>
  <c r="J8" i="5"/>
  <c r="J12" i="5"/>
  <c r="J13" i="5"/>
  <c r="J14" i="5"/>
  <c r="J6" i="5"/>
  <c r="J10" i="5"/>
  <c r="J15" i="5"/>
  <c r="J9" i="5"/>
  <c r="J16" i="5"/>
  <c r="J11" i="5"/>
  <c r="J5" i="5"/>
  <c r="J17" i="5"/>
  <c r="B19" i="5"/>
  <c r="E19" i="5"/>
  <c r="K4" i="5"/>
  <c r="K18" i="5" s="1"/>
  <c r="C19" i="5"/>
  <c r="I4" i="5"/>
  <c r="D19" i="5"/>
  <c r="J4" i="5"/>
  <c r="D23" i="5" l="1"/>
  <c r="D78" i="5"/>
  <c r="B69" i="5"/>
  <c r="B74" i="5"/>
  <c r="J72" i="5"/>
  <c r="H80" i="5"/>
  <c r="B80" i="5"/>
  <c r="D72" i="5"/>
  <c r="I78" i="5"/>
  <c r="B79" i="5"/>
  <c r="B68" i="5"/>
  <c r="H79" i="5"/>
  <c r="I72" i="5"/>
  <c r="C72" i="5"/>
  <c r="B73" i="5"/>
  <c r="J78" i="5"/>
  <c r="C78" i="5"/>
  <c r="H72" i="5"/>
  <c r="G67" i="5"/>
  <c r="G49" i="5"/>
  <c r="M58" i="5" s="1"/>
  <c r="H18" i="5"/>
  <c r="L18" i="5"/>
  <c r="N18" i="5"/>
  <c r="M18" i="5"/>
  <c r="F18" i="5"/>
  <c r="G18" i="5"/>
  <c r="J18" i="5"/>
  <c r="O18" i="5"/>
  <c r="O19" i="5"/>
  <c r="I18" i="5"/>
  <c r="I19" i="5"/>
  <c r="C31" i="5"/>
  <c r="H39" i="5"/>
  <c r="I38" i="5"/>
  <c r="B32" i="5"/>
  <c r="B39" i="5"/>
  <c r="O38" i="5"/>
  <c r="I31" i="5"/>
  <c r="N39" i="5"/>
  <c r="K19" i="5"/>
  <c r="E26" i="5" s="1"/>
  <c r="E31" i="5"/>
  <c r="H41" i="5"/>
  <c r="B34" i="5"/>
  <c r="K38" i="5"/>
  <c r="N41" i="5"/>
  <c r="B41" i="5"/>
  <c r="K31" i="5"/>
  <c r="E38" i="5"/>
  <c r="G23" i="5"/>
  <c r="J38" i="5"/>
  <c r="Q38" i="5"/>
  <c r="C38" i="5"/>
  <c r="H31" i="5"/>
  <c r="H40" i="5"/>
  <c r="D31" i="5"/>
  <c r="J31" i="5"/>
  <c r="N40" i="5"/>
  <c r="B40" i="5"/>
  <c r="P38" i="5"/>
  <c r="D38" i="5"/>
  <c r="B33" i="5"/>
  <c r="M19" i="5"/>
  <c r="N19" i="5"/>
  <c r="B24" i="5"/>
  <c r="C23" i="5"/>
  <c r="B25" i="5"/>
  <c r="E23" i="5"/>
  <c r="B26" i="5"/>
  <c r="L19" i="5"/>
  <c r="J19" i="5"/>
  <c r="F19" i="5"/>
  <c r="H19" i="5"/>
  <c r="J34" i="5" s="1"/>
  <c r="G19" i="5"/>
  <c r="G85" i="5" l="1"/>
  <c r="G50" i="5"/>
  <c r="J49" i="5" s="1"/>
  <c r="G87" i="5"/>
  <c r="J85" i="5" s="1"/>
  <c r="C69" i="5"/>
  <c r="I74" i="5"/>
  <c r="C74" i="5"/>
  <c r="J73" i="5"/>
  <c r="D68" i="5"/>
  <c r="I80" i="5"/>
  <c r="D79" i="5"/>
  <c r="D73" i="5"/>
  <c r="C24" i="5"/>
  <c r="I79" i="5"/>
  <c r="I73" i="5"/>
  <c r="C68" i="5"/>
  <c r="C73" i="5"/>
  <c r="D25" i="5"/>
  <c r="D69" i="5"/>
  <c r="J74" i="5"/>
  <c r="D74" i="5"/>
  <c r="D80" i="5"/>
  <c r="G86" i="5"/>
  <c r="J80" i="5"/>
  <c r="C80" i="5"/>
  <c r="G69" i="5"/>
  <c r="H74" i="5"/>
  <c r="J79" i="5"/>
  <c r="C79" i="5"/>
  <c r="G68" i="5"/>
  <c r="H73" i="5"/>
  <c r="I76" i="5" s="1"/>
  <c r="G48" i="5"/>
  <c r="P53" i="5"/>
  <c r="G47" i="5"/>
  <c r="K93" i="5" s="1"/>
  <c r="G24" i="5"/>
  <c r="C39" i="5"/>
  <c r="Q39" i="5"/>
  <c r="H32" i="5"/>
  <c r="J39" i="5"/>
  <c r="G26" i="5"/>
  <c r="C41" i="5"/>
  <c r="Q41" i="5"/>
  <c r="H34" i="5"/>
  <c r="J41" i="5"/>
  <c r="I34" i="5"/>
  <c r="E39" i="5"/>
  <c r="E32" i="5"/>
  <c r="O41" i="5"/>
  <c r="I41" i="5"/>
  <c r="C34" i="5"/>
  <c r="K39" i="5"/>
  <c r="K32" i="5"/>
  <c r="G25" i="5"/>
  <c r="C40" i="5"/>
  <c r="Q40" i="5"/>
  <c r="H33" i="5"/>
  <c r="J40" i="5"/>
  <c r="P41" i="5"/>
  <c r="D34" i="5"/>
  <c r="K40" i="5"/>
  <c r="D41" i="5"/>
  <c r="E40" i="5"/>
  <c r="E33" i="5"/>
  <c r="K33" i="5"/>
  <c r="O40" i="5"/>
  <c r="P39" i="5"/>
  <c r="D32" i="5"/>
  <c r="I40" i="5"/>
  <c r="D39" i="5"/>
  <c r="C33" i="5"/>
  <c r="J32" i="5"/>
  <c r="I33" i="5"/>
  <c r="J33" i="5"/>
  <c r="P40" i="5"/>
  <c r="D40" i="5"/>
  <c r="D33" i="5"/>
  <c r="K41" i="5"/>
  <c r="K34" i="5"/>
  <c r="E41" i="5"/>
  <c r="E34" i="5"/>
  <c r="O39" i="5"/>
  <c r="C32" i="5"/>
  <c r="I32" i="5"/>
  <c r="I39" i="5"/>
  <c r="D26" i="5"/>
  <c r="E25" i="5"/>
  <c r="C25" i="5"/>
  <c r="D24" i="5"/>
  <c r="E24" i="5"/>
  <c r="C26" i="5"/>
  <c r="J86" i="5" l="1"/>
  <c r="J48" i="5"/>
  <c r="C82" i="5"/>
  <c r="C86" i="5" s="1"/>
  <c r="C88" i="5" s="1"/>
  <c r="I82" i="5"/>
  <c r="L93" i="5"/>
  <c r="N94" i="5" s="1"/>
  <c r="C76" i="5"/>
  <c r="C85" i="5" s="1"/>
  <c r="M89" i="5"/>
  <c r="J43" i="5"/>
  <c r="J90" i="5"/>
  <c r="K94" i="5"/>
  <c r="L94" i="5"/>
  <c r="J89" i="5"/>
  <c r="M90" i="5"/>
  <c r="M53" i="5"/>
  <c r="J52" i="5"/>
  <c r="M57" i="5"/>
  <c r="L57" i="5"/>
  <c r="P52" i="5"/>
  <c r="D36" i="5"/>
  <c r="L58" i="5"/>
  <c r="M51" i="5"/>
  <c r="L56" i="5"/>
  <c r="J47" i="5"/>
  <c r="M56" i="5"/>
  <c r="J53" i="5"/>
  <c r="M52" i="5"/>
  <c r="J51" i="5"/>
  <c r="P51" i="5"/>
  <c r="K58" i="5"/>
  <c r="K57" i="5"/>
  <c r="D43" i="5"/>
  <c r="P43" i="5"/>
  <c r="J36" i="5"/>
  <c r="C47" i="5" l="1"/>
  <c r="C87" i="5"/>
  <c r="C89" i="5" s="1"/>
  <c r="C91" i="5" s="1"/>
  <c r="C92" i="5" s="1"/>
  <c r="C49" i="5"/>
  <c r="C52" i="5" s="1"/>
  <c r="C50" i="5"/>
  <c r="C53" i="5" s="1"/>
  <c r="C48" i="5"/>
  <c r="C51" i="5" s="1"/>
  <c r="O57" i="5"/>
  <c r="J60" i="5" s="1"/>
  <c r="C94" i="5" l="1"/>
  <c r="C93" i="5"/>
  <c r="C55" i="5"/>
  <c r="C56" i="5" s="1"/>
  <c r="C58" i="5" l="1"/>
  <c r="C57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<sst xmlns="http://schemas.openxmlformats.org/spreadsheetml/2006/main" count="195" uniqueCount="109">
  <si>
    <t>y:</t>
  </si>
  <si>
    <t>для</t>
  </si>
  <si>
    <t>дельта</t>
  </si>
  <si>
    <t>Сумма:</t>
  </si>
  <si>
    <t>вариант</t>
  </si>
  <si>
    <t>дельта a</t>
  </si>
  <si>
    <t>a=</t>
  </si>
  <si>
    <t>Стандартная ошибка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</si>
  <si>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</si>
  <si>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</si>
  <si>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</si>
  <si>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</si>
  <si>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</si>
  <si>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</si>
  <si>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</si>
  <si>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</si>
  <si>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</si>
  <si>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</si>
  <si>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</si>
  <si>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</si>
  <si>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</si>
  <si>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</si>
  <si>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</si>
  <si>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</si>
  <si>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</si>
  <si>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</si>
  <si>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</si>
  <si>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</si>
  <si>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- личный</t>
  </si>
  <si>
    <t>x1:</t>
  </si>
  <si>
    <t>x2:</t>
  </si>
  <si>
    <t>x3:</t>
  </si>
  <si>
    <t>Исходные</t>
  </si>
  <si>
    <t>данные:</t>
  </si>
  <si>
    <t>Нижние 95,0%</t>
  </si>
  <si>
    <t>Верхние 95,0%</t>
  </si>
  <si>
    <t>x1^2:</t>
  </si>
  <si>
    <t>x2^2:</t>
  </si>
  <si>
    <t>x3^2:</t>
  </si>
  <si>
    <t>y*x1:</t>
  </si>
  <si>
    <t>y*x2:</t>
  </si>
  <si>
    <t>y*x3:</t>
  </si>
  <si>
    <t>x1*x2:</t>
  </si>
  <si>
    <t>x1*x3:</t>
  </si>
  <si>
    <t>x2*x3:</t>
  </si>
  <si>
    <t>Коэфф</t>
  </si>
  <si>
    <t>ициенты</t>
  </si>
  <si>
    <t>уравнен</t>
  </si>
  <si>
    <t>ий</t>
  </si>
  <si>
    <t>Значения</t>
  </si>
  <si>
    <t>дельта b1</t>
  </si>
  <si>
    <t>дельта b2</t>
  </si>
  <si>
    <t>дельта b3</t>
  </si>
  <si>
    <t>Среднее:</t>
  </si>
  <si>
    <t>y^2:</t>
  </si>
  <si>
    <t>tкрит=</t>
  </si>
  <si>
    <t>a =</t>
  </si>
  <si>
    <t>b1 =</t>
  </si>
  <si>
    <t>b2 =</t>
  </si>
  <si>
    <t>b3 =</t>
  </si>
  <si>
    <r>
      <t>σ</t>
    </r>
    <r>
      <rPr>
        <vertAlign val="subscript"/>
        <sz val="12"/>
        <color rgb="FF333333"/>
        <rFont val="Calibri"/>
        <family val="2"/>
        <charset val="204"/>
      </rPr>
      <t xml:space="preserve">x1 </t>
    </r>
    <r>
      <rPr>
        <sz val="12"/>
        <color rgb="FF333333"/>
        <rFont val="Calibri"/>
        <family val="2"/>
        <charset val="204"/>
      </rPr>
      <t>=</t>
    </r>
  </si>
  <si>
    <r>
      <t>β</t>
    </r>
    <r>
      <rPr>
        <vertAlign val="subscript"/>
        <sz val="12"/>
        <color rgb="FF333333"/>
        <rFont val="Calibri"/>
        <family val="2"/>
        <charset val="204"/>
      </rPr>
      <t>1</t>
    </r>
    <r>
      <rPr>
        <sz val="12"/>
        <color rgb="FF333333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</si>
  <si>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yx1</t>
    </r>
    <r>
      <rPr>
        <sz val="12"/>
        <color theme="1"/>
        <rFont val="Calibri"/>
        <family val="2"/>
        <charset val="204"/>
      </rPr>
      <t xml:space="preserve"> =</t>
    </r>
  </si>
  <si>
    <r>
      <t>σ</t>
    </r>
    <r>
      <rPr>
        <vertAlign val="subscript"/>
        <sz val="12"/>
        <color rgb="FF333333"/>
        <rFont val="Calibri"/>
        <family val="2"/>
        <charset val="204"/>
      </rPr>
      <t xml:space="preserve">x2 </t>
    </r>
    <r>
      <rPr>
        <sz val="12"/>
        <color rgb="FF333333"/>
        <rFont val="Calibri"/>
        <family val="2"/>
        <charset val="204"/>
      </rPr>
      <t>=</t>
    </r>
  </si>
  <si>
    <r>
      <t>β</t>
    </r>
    <r>
      <rPr>
        <vertAlign val="subscript"/>
        <sz val="12"/>
        <color rgb="FF333333"/>
        <rFont val="Calibri"/>
        <family val="2"/>
        <charset val="204"/>
      </rPr>
      <t>2</t>
    </r>
    <r>
      <rPr>
        <sz val="12"/>
        <color rgb="FF333333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</si>
  <si>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yx2</t>
    </r>
    <r>
      <rPr>
        <sz val="12"/>
        <color theme="1"/>
        <rFont val="Calibri"/>
        <family val="2"/>
        <charset val="204"/>
      </rPr>
      <t xml:space="preserve"> =</t>
    </r>
  </si>
  <si>
    <r>
      <t>σ</t>
    </r>
    <r>
      <rPr>
        <vertAlign val="subscript"/>
        <sz val="12"/>
        <color rgb="FF333333"/>
        <rFont val="Calibri"/>
        <family val="2"/>
        <charset val="204"/>
      </rPr>
      <t xml:space="preserve">x3 </t>
    </r>
    <r>
      <rPr>
        <sz val="12"/>
        <color rgb="FF333333"/>
        <rFont val="Calibri"/>
        <family val="2"/>
        <charset val="204"/>
      </rPr>
      <t>=</t>
    </r>
  </si>
  <si>
    <r>
      <t>β</t>
    </r>
    <r>
      <rPr>
        <vertAlign val="subscript"/>
        <sz val="12"/>
        <color rgb="FF333333"/>
        <rFont val="Calibri"/>
        <family val="2"/>
        <charset val="204"/>
      </rPr>
      <t>3</t>
    </r>
    <r>
      <rPr>
        <sz val="12"/>
        <color rgb="FF333333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</si>
  <si>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yx3</t>
    </r>
    <r>
      <rPr>
        <sz val="12"/>
        <color theme="1"/>
        <rFont val="Calibri"/>
        <family val="2"/>
        <charset val="204"/>
      </rPr>
      <t xml:space="preserve"> =</t>
    </r>
  </si>
  <si>
    <r>
      <t>σ</t>
    </r>
    <r>
      <rPr>
        <vertAlign val="subscript"/>
        <sz val="12"/>
        <color rgb="FF333333"/>
        <rFont val="Calibri"/>
        <family val="2"/>
        <charset val="204"/>
      </rPr>
      <t>y</t>
    </r>
    <r>
      <rPr>
        <sz val="12"/>
        <color rgb="FF333333"/>
        <rFont val="Calibri"/>
        <family val="2"/>
        <charset val="204"/>
      </rPr>
      <t xml:space="preserve"> =</t>
    </r>
  </si>
  <si>
    <t>R^2 =</t>
  </si>
  <si>
    <t>Множ. R =</t>
  </si>
  <si>
    <t>Норм. R =</t>
  </si>
  <si>
    <t>F =</t>
  </si>
  <si>
    <t>Fкрит =</t>
  </si>
  <si>
    <r>
      <t>r</t>
    </r>
    <r>
      <rPr>
        <vertAlign val="subscript"/>
        <sz val="12"/>
        <color theme="1"/>
        <rFont val="Calibri"/>
        <family val="2"/>
        <charset val="204"/>
      </rPr>
      <t>x1x1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</si>
  <si>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x1x2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</si>
  <si>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x1x3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</si>
  <si>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x2x1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</si>
  <si>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x2x2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</si>
  <si>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x2x3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</si>
  <si>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x3x1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</si>
  <si>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x3x2</t>
    </r>
    <r>
      <rPr>
        <sz val="12"/>
        <color theme="1"/>
        <rFont val="Calibri"/>
        <family val="2"/>
        <charset val="204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</si>
  <si>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charset val="204"/>
      </rPr>
      <t>x3x3</t>
    </r>
    <r>
      <rPr>
        <sz val="12"/>
        <color theme="1"/>
        <rFont val="Calibri"/>
        <family val="2"/>
        <charset val="204"/>
      </rPr>
      <t xml:space="preserve"> =</t>
    </r>
  </si>
  <si>
    <t>=</t>
  </si>
  <si>
    <t>θ =</t>
  </si>
  <si>
    <t>χ2 =</t>
  </si>
  <si>
    <t>3 перем.</t>
  </si>
  <si>
    <t>2 перем.</t>
  </si>
  <si>
    <t>b1=</t>
  </si>
  <si>
    <t>b2=</t>
  </si>
  <si>
    <r>
      <t>Э</t>
    </r>
    <r>
      <rPr>
        <vertAlign val="subscript"/>
        <sz val="12"/>
        <color theme="1"/>
        <rFont val="Calibri"/>
        <family val="2"/>
        <charset val="204"/>
      </rPr>
      <t xml:space="preserve">1 </t>
    </r>
    <r>
      <rPr>
        <sz val="12"/>
        <color theme="1"/>
        <rFont val="Calibri"/>
        <family val="2"/>
        <charset val="204"/>
      </rPr>
      <t xml:space="preserve">= </t>
    </r>
  </si>
  <si>
    <r>
      <t>Э</t>
    </r>
    <r>
      <rPr>
        <vertAlign val="subscript"/>
        <sz val="12"/>
        <color theme="1"/>
        <rFont val="Calibri"/>
        <family val="2"/>
        <charset val="204"/>
      </rPr>
      <t xml:space="preserve">2 </t>
    </r>
    <r>
      <rPr>
        <sz val="12"/>
        <color theme="1"/>
        <rFont val="Calibri"/>
        <family val="2"/>
        <charset val="204"/>
      </rPr>
      <t xml:space="preserve">= </t>
    </r>
  </si>
  <si>
    <t>x1max=</t>
  </si>
  <si>
    <t>x2min=</t>
  </si>
  <si>
    <r>
      <t>x</t>
    </r>
    <r>
      <rPr>
        <vertAlign val="subscript"/>
        <sz val="14"/>
        <color theme="1"/>
        <rFont val="Times New Roman"/>
        <family val="1"/>
        <charset val="204"/>
      </rPr>
      <t xml:space="preserve">2прогн. </t>
    </r>
    <r>
      <rPr>
        <sz val="14"/>
        <color theme="1"/>
        <rFont val="Times New Roman"/>
        <family val="1"/>
        <charset val="204"/>
      </rPr>
      <t>=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</si>
  <si>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 xml:space="preserve">1прогн. </t>
    </r>
    <r>
      <rPr>
        <sz val="14"/>
        <color theme="1"/>
        <rFont val="Times New Roman"/>
        <family val="1"/>
        <charset val="204"/>
      </rPr>
      <t>=</t>
    </r>
  </si>
  <si>
    <r>
      <t>~y</t>
    </r>
    <r>
      <rPr>
        <vertAlign val="subscript"/>
        <sz val="14"/>
        <color theme="1"/>
        <rFont val="Times New Roman"/>
        <family val="1"/>
        <charset val="204"/>
      </rPr>
      <t>прогн.</t>
    </r>
    <r>
      <rPr>
        <sz val="14"/>
        <color theme="1"/>
        <rFont val="Times New Roman"/>
        <family val="1"/>
        <charset val="204"/>
      </rPr>
      <t xml:space="preserve"> = 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</si>
  <si>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 xml:space="preserve">0 </t>
    </r>
    <r>
      <rPr>
        <sz val="14"/>
        <color theme="1"/>
        <rFont val="Times New Roman"/>
        <family val="1"/>
        <charset val="204"/>
      </rPr>
      <t>=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</si>
  <si>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0</t>
    </r>
    <r>
      <rPr>
        <vertAlign val="superscript"/>
        <sz val="14"/>
        <color theme="1"/>
        <rFont val="Times New Roman"/>
        <family val="1"/>
        <charset val="204"/>
      </rPr>
      <t xml:space="preserve">T </t>
    </r>
    <r>
      <rPr>
        <sz val="14"/>
        <color theme="1"/>
        <rFont val="Times New Roman"/>
        <family val="1"/>
        <charset val="204"/>
      </rPr>
      <t>=</t>
    </r>
  </si>
  <si>
    <t>X=</t>
  </si>
  <si>
    <r>
      <t>X</t>
    </r>
    <r>
      <rPr>
        <vertAlign val="superscript"/>
        <sz val="14"/>
        <color theme="1"/>
        <rFont val="Times New Roman"/>
        <family val="1"/>
        <charset val="204"/>
      </rPr>
      <t>T</t>
    </r>
    <r>
      <rPr>
        <sz val="14"/>
        <color theme="1"/>
        <rFont val="Times New Roman"/>
        <family val="1"/>
        <charset val="204"/>
      </rPr>
      <t xml:space="preserve"> = </t>
    </r>
  </si>
  <si>
    <r>
      <t>X</t>
    </r>
    <r>
      <rPr>
        <vertAlign val="superscript"/>
        <sz val="14"/>
        <color theme="1"/>
        <rFont val="Times New Roman"/>
        <family val="1"/>
        <charset val="204"/>
      </rPr>
      <t>T</t>
    </r>
    <r>
      <rPr>
        <sz val="14"/>
        <color theme="1"/>
        <rFont val="Times New Roman"/>
        <family val="1"/>
        <charset val="204"/>
      </rPr>
      <t xml:space="preserve"> * Х= </t>
    </r>
  </si>
  <si>
    <r>
      <t>(XT * Х)</t>
    </r>
    <r>
      <rPr>
        <vertAlign val="superscript"/>
        <sz val="14"/>
        <color theme="1"/>
        <rFont val="Times New Roman"/>
        <family val="1"/>
        <charset val="204"/>
      </rPr>
      <t>-1</t>
    </r>
    <r>
      <rPr>
        <sz val="14"/>
        <color theme="1"/>
        <rFont val="Times New Roman"/>
        <family val="1"/>
        <charset val="204"/>
      </rPr>
      <t>=</t>
    </r>
  </si>
  <si>
    <r>
      <t>Х0T * (XT * Х)</t>
    </r>
    <r>
      <rPr>
        <vertAlign val="superscript"/>
        <sz val="14"/>
        <color theme="1"/>
        <rFont val="Times New Roman"/>
        <family val="1"/>
        <charset val="204"/>
      </rPr>
      <t>-1</t>
    </r>
    <r>
      <rPr>
        <sz val="14"/>
        <color theme="1"/>
        <rFont val="Times New Roman"/>
        <family val="1"/>
        <charset val="204"/>
      </rPr>
      <t>=</t>
    </r>
  </si>
  <si>
    <r>
      <t>Х0T * (XT * Х)</t>
    </r>
    <r>
      <rPr>
        <vertAlign val="superscript"/>
        <sz val="14"/>
        <color theme="1"/>
        <rFont val="Times New Roman"/>
        <family val="1"/>
        <charset val="204"/>
      </rPr>
      <t xml:space="preserve">-1 </t>
    </r>
    <r>
      <rPr>
        <sz val="14"/>
        <color theme="1"/>
        <rFont val="Times New Roman"/>
        <family val="1"/>
        <charset val="204"/>
      </rPr>
      <t xml:space="preserve">* X0 = </t>
    </r>
  </si>
  <si>
    <r>
      <t>m</t>
    </r>
    <r>
      <rPr>
        <vertAlign val="subscript"/>
        <sz val="14"/>
        <color theme="1"/>
        <rFont val="Times New Roman"/>
        <family val="1"/>
        <charset val="204"/>
      </rPr>
      <t xml:space="preserve">~y </t>
    </r>
    <r>
      <rPr>
        <sz val="14"/>
        <color theme="1"/>
        <rFont val="Times New Roman"/>
        <family val="1"/>
        <charset val="204"/>
      </rPr>
      <t>=</t>
    </r>
  </si>
  <si>
    <r>
      <t>Delta</t>
    </r>
    <r>
      <rPr>
        <vertAlign val="subscript"/>
        <sz val="14"/>
        <color theme="1"/>
        <rFont val="Times New Roman"/>
        <family val="1"/>
        <charset val="204"/>
      </rPr>
      <t xml:space="preserve">yпрогн. </t>
    </r>
    <r>
      <rPr>
        <sz val="14"/>
        <color theme="1"/>
        <rFont val="Times New Roman"/>
        <family val="1"/>
        <charset val="204"/>
      </rPr>
      <t xml:space="preserve">= </t>
    </r>
  </si>
  <si>
    <t>ВЫВОД ИТОГОВ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</si>
</sst>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</font>
    <font>
      <sz val="12"/>
      <color rgb="FF333333"/>
      <name val="Calibri"/>
      <family val="2"/>
      <charset val="204"/>
    </font>
    <font>
      <vertAlign val="subscript"/>
      <sz val="12"/>
      <color rgb="FF333333"/>
      <name val="Calibri"/>
      <family val="2"/>
      <charset val="204"/>
    </font>
    <font>
      <vertAlign val="subscript"/>
      <sz val="12"/>
      <color theme="1"/>
      <name val="Calibri"/>
      <family val="2"/>
      <charset val="204"/>
    </font>
    <font>
      <sz val="14"/>
      <color rgb="FF333333"/>
      <name val="Times New Roman"/>
      <family val="1"/>
      <charset val="204"/>
    </font>
    <font>
      <sz val="12"/>
      <color theme="1"/>
      <name val="Calibri"/>
      <family val="2"/>
      <scheme val="minor"/>
    </font>
    <font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4" fillId="0" borderId="0" xfId="0" applyFont="1" applyBorder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/>
    <xf numFmtId="164" fontId="4" fillId="0" borderId="0" xfId="0" applyNumberFormat="1" applyFont="1"/>
    <xf numFmtId="2" fontId="4" fillId="0" borderId="3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2" fontId="4" fillId="0" borderId="4" xfId="0" applyNumberFormat="1" applyFont="1" applyBorder="1"/>
    <xf numFmtId="166" fontId="4" fillId="0" borderId="0" xfId="0" applyNumberFormat="1" applyFont="1"/>
    <xf numFmtId="1" fontId="4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4" fillId="0" borderId="0" xfId="0" quotePrefix="1" applyFont="1" applyAlignment="1">
      <alignment horizontal="center"/>
    </xf>
    <xf numFmtId="167" fontId="4" fillId="0" borderId="0" xfId="0" applyNumberFormat="1" applyFont="1"/>
    <xf numFmtId="0" fontId="2" fillId="0" borderId="0" xfId="0" applyFont="1" applyAlignment="1">
      <alignment vertical="center"/>
    </xf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right" vertical="center"/>
    </xf>
    <xf numFmtId="1" fontId="4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2" fillId="0" borderId="0" xfId="0" applyNumberFormat="1" applyFont="1" applyBorder="1"/>
    <xf numFmtId="1" fontId="2" fillId="0" borderId="0" xfId="0" applyNumberFormat="1" applyFont="1"/>
    <xf numFmtId="1" fontId="2" fillId="0" borderId="0" xfId="0" applyNumberFormat="1" applyFont="1" applyAlignment="1">
      <alignment vertical="center"/>
    </xf>
    <xf numFmtId="2" fontId="1" fillId="0" borderId="2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2" fontId="0" fillId="0" borderId="0" xfId="0" applyNumberFormat="1"/>
    <xf numFmtId="2" fontId="1" fillId="0" borderId="2" xfId="0" applyNumberFormat="1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337457</xdr:colOff>
      <xdr:row>20</xdr:row>
      <xdr:rowOff>10887</xdr:rowOff>
    </xdr:from>
    <xdr:to>
      <xdr:col>15</xdr:col>
      <xdr:colOff>72246</xdr:colOff>
      <xdr:row>26</xdr:row>
      <xdr:rowOff>180421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AA6B70-74D9-44AB-9D1B-CF91055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9457" y="3744687"/>
          <a:ext cx="5373589" cy="1366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5935-A60A-4F54-8061-6E644CA25CBF}">
  <dimension ref="A1:AF130"/>
  <sheetViews>
    <sheetView tabSelected="1" topLeftCell="A87" zoomScale="70" zoomScaleNormal="70" workbookViewId="0">
      <selection activeCell="I113" sqref="I113"/>
    </sheetView>
  </sheetViews>
  <sheetFormatPr defaultRowHeight="15.6" x14ac:dyDescent="0.3"/>
  <cols>
    <col min="1" max="1" width="9.44140625" style="10" customWidth="1"/>
    <col min="2" max="2" width="10.6640625" style="10" customWidth="1"/>
    <col min="3" max="3" width="13.21875" style="10" customWidth="1"/>
    <col min="4" max="4" width="11.6640625" style="10" customWidth="1"/>
    <col min="5" max="5" width="12.44140625" style="10" customWidth="1"/>
    <col min="6" max="6" width="13.77734375" style="10" customWidth="1"/>
    <col min="7" max="7" width="9.88671875" style="10" customWidth="1"/>
    <col min="8" max="8" width="12.77734375" style="10" customWidth="1"/>
    <col min="9" max="11" width="9.44140625" style="10" customWidth="1"/>
    <col min="12" max="12" width="10.88671875" style="10" customWidth="1"/>
    <col min="13" max="14" width="9.44140625" style="10" customWidth="1"/>
    <col min="15" max="15" width="10.77734375" style="10" customWidth="1"/>
    <col min="16" max="19" width="9.44140625" style="10" customWidth="1"/>
    <col min="20" max="20" width="30.88671875" style="10" customWidth="1"/>
    <col min="21" max="21" width="17.21875" style="10" bestFit="1" customWidth="1"/>
    <col min="22" max="22" width="23.6640625" style="10" bestFit="1" customWidth="1"/>
    <col min="23" max="23" width="14.6640625" style="10" customWidth="1"/>
    <col min="24" max="24" width="12.44140625" style="10" customWidth="1"/>
    <col min="25" max="25" width="14.6640625" style="10" customWidth="1"/>
    <col min="26" max="26" width="12.44140625" style="10" customWidth="1"/>
    <col min="27" max="27" width="14" style="10" customWidth="1"/>
    <col min="28" max="28" width="14.5546875" style="10" customWidth="1"/>
    <col min="29" max="16384" width="8.88671875" style="10"/>
  </cols>
  <sheetData>
    <row r="1" spans="1:32" x14ac:dyDescent="0.3">
      <c r="A1" s="27">
        <v>17</v>
      </c>
      <c r="B1" s="11" t="s">
        <v>28</v>
      </c>
      <c r="C1" s="10" t="s">
        <v>4</v>
      </c>
    </row>
    <row r="2" spans="1:32" x14ac:dyDescent="0.3">
      <c r="A2" s="10" t="s">
        <v>32</v>
      </c>
      <c r="B2" s="10" t="s">
        <v>33</v>
      </c>
    </row>
    <row r="3" spans="1:32" x14ac:dyDescent="0.3">
      <c r="B3" s="10" t="s">
        <v>0</v>
      </c>
      <c r="C3" s="10" t="s">
        <v>29</v>
      </c>
      <c r="D3" s="10" t="s">
        <v>30</v>
      </c>
      <c r="E3" s="10" t="s">
        <v>31</v>
      </c>
      <c r="F3" s="10" t="s">
        <v>42</v>
      </c>
      <c r="G3" s="10" t="s">
        <v>43</v>
      </c>
      <c r="H3" s="10" t="s">
        <v>44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54</v>
      </c>
      <c r="T3" t="s">
        <v>108</v>
      </c>
      <c r="U3"/>
      <c r="V3"/>
      <c r="W3"/>
      <c r="X3"/>
      <c r="Y3"/>
      <c r="Z3"/>
      <c r="AA3"/>
      <c r="AB3"/>
    </row>
    <row r="4" spans="1:32" ht="16.2" thickBot="1" x14ac:dyDescent="0.35">
      <c r="B4" s="10">
        <f>$A$1+37</f>
        <v>54</v>
      </c>
      <c r="C4" s="10">
        <f>$A$1+52</f>
        <v>69</v>
      </c>
      <c r="D4" s="10">
        <f>$A$1+32</f>
        <v>49</v>
      </c>
      <c r="E4" s="10">
        <f>$A$1+52</f>
        <v>69</v>
      </c>
      <c r="F4" s="10">
        <f>C4*D4</f>
        <v>3381</v>
      </c>
      <c r="G4" s="10">
        <f>C4*E4</f>
        <v>4761</v>
      </c>
      <c r="H4" s="10">
        <f>D4*E4</f>
        <v>3381</v>
      </c>
      <c r="I4" s="10">
        <f t="shared" ref="I4:I17" si="0">C4*C4</f>
        <v>4761</v>
      </c>
      <c r="J4" s="10">
        <f t="shared" ref="J4:J17" si="1">D4*D4</f>
        <v>2401</v>
      </c>
      <c r="K4" s="10">
        <f t="shared" ref="K4:K17" si="2">E4*E4</f>
        <v>4761</v>
      </c>
      <c r="L4" s="10">
        <f>$B4*C4</f>
        <v>3726</v>
      </c>
      <c r="M4" s="10">
        <f t="shared" ref="M4:N4" si="3">$B4*D4</f>
        <v>2646</v>
      </c>
      <c r="N4" s="10">
        <f t="shared" si="3"/>
        <v>3726</v>
      </c>
      <c r="O4" s="10">
        <f>B4*B4</f>
        <v>2916</v>
      </c>
      <c r="T4"/>
      <c r="U4"/>
      <c r="V4"/>
      <c r="W4"/>
      <c r="X4"/>
      <c r="Y4"/>
      <c r="Z4"/>
      <c r="AA4"/>
      <c r="AB4"/>
    </row>
    <row r="5" spans="1:32" x14ac:dyDescent="0.3">
      <c r="B5" s="10">
        <f>$A$1+35</f>
        <v>52</v>
      </c>
      <c r="C5" s="10">
        <f>$A$1+57</f>
        <v>74</v>
      </c>
      <c r="D5" s="10">
        <f>$A$1+39</f>
        <v>56</v>
      </c>
      <c r="E5" s="10">
        <f>$A$1+56</f>
        <v>73</v>
      </c>
      <c r="F5" s="10">
        <f t="shared" ref="F5:F17" si="4">C5*D5</f>
        <v>4144</v>
      </c>
      <c r="G5" s="10">
        <f t="shared" ref="G5:G17" si="5">C5*E5</f>
        <v>5402</v>
      </c>
      <c r="H5" s="10">
        <f t="shared" ref="H5:H17" si="6">D5*E5</f>
        <v>4088</v>
      </c>
      <c r="I5" s="10">
        <f t="shared" si="0"/>
        <v>5476</v>
      </c>
      <c r="J5" s="10">
        <f t="shared" si="1"/>
        <v>3136</v>
      </c>
      <c r="K5" s="10">
        <f t="shared" si="2"/>
        <v>5329</v>
      </c>
      <c r="L5" s="10">
        <f t="shared" ref="L5:L17" si="7">$B5*C5</f>
        <v>3848</v>
      </c>
      <c r="M5" s="10">
        <f t="shared" ref="M5:M17" si="8">$B5*D5</f>
        <v>2912</v>
      </c>
      <c r="N5" s="10">
        <f t="shared" ref="N5:N17" si="9">$B5*E5</f>
        <v>3796</v>
      </c>
      <c r="O5" s="10">
        <f t="shared" ref="O5:O17" si="10">B5*B5</f>
        <v>2704</v>
      </c>
      <c r="T5" s="4" t="s">
        <v>8</v>
      </c>
      <c r="U5" s="4"/>
      <c r="V5"/>
      <c r="W5"/>
      <c r="X5"/>
      <c r="Y5"/>
      <c r="Z5"/>
      <c r="AA5"/>
      <c r="AB5"/>
    </row>
    <row r="6" spans="1:32" x14ac:dyDescent="0.3">
      <c r="B6" s="10">
        <f>$A$1+34</f>
        <v>51</v>
      </c>
      <c r="C6" s="10">
        <f>$A$1+51</f>
        <v>68</v>
      </c>
      <c r="D6" s="10">
        <f>$A$1+35</f>
        <v>52</v>
      </c>
      <c r="E6" s="10">
        <f>$A$1+50</f>
        <v>67</v>
      </c>
      <c r="F6" s="10">
        <f t="shared" si="4"/>
        <v>3536</v>
      </c>
      <c r="G6" s="10">
        <f t="shared" si="5"/>
        <v>4556</v>
      </c>
      <c r="H6" s="10">
        <f t="shared" si="6"/>
        <v>3484</v>
      </c>
      <c r="I6" s="10">
        <f t="shared" si="0"/>
        <v>4624</v>
      </c>
      <c r="J6" s="10">
        <f t="shared" si="1"/>
        <v>2704</v>
      </c>
      <c r="K6" s="10">
        <f t="shared" si="2"/>
        <v>4489</v>
      </c>
      <c r="L6" s="10">
        <f t="shared" si="7"/>
        <v>3468</v>
      </c>
      <c r="M6" s="10">
        <f t="shared" si="8"/>
        <v>2652</v>
      </c>
      <c r="N6" s="10">
        <f t="shared" si="9"/>
        <v>3417</v>
      </c>
      <c r="O6" s="10">
        <f t="shared" si="10"/>
        <v>2601</v>
      </c>
      <c r="T6" s="1" t="s">
        <v>9</v>
      </c>
      <c r="U6" s="1">
        <v>0.97220330211852624</v>
      </c>
      <c r="V6"/>
      <c r="W6"/>
      <c r="X6"/>
      <c r="Y6"/>
      <c r="Z6"/>
      <c r="AA6"/>
      <c r="AB6"/>
    </row>
    <row r="7" spans="1:32" x14ac:dyDescent="0.3">
      <c r="B7" s="10">
        <f>$A$1+31</f>
        <v>48</v>
      </c>
      <c r="C7" s="10">
        <f>$A$1+53</f>
        <v>70</v>
      </c>
      <c r="D7" s="10">
        <f>$A$1+31</f>
        <v>48</v>
      </c>
      <c r="E7" s="10">
        <f>$A$1+53</f>
        <v>70</v>
      </c>
      <c r="F7" s="10">
        <f t="shared" si="4"/>
        <v>3360</v>
      </c>
      <c r="G7" s="10">
        <f t="shared" si="5"/>
        <v>4900</v>
      </c>
      <c r="H7" s="10">
        <f t="shared" si="6"/>
        <v>3360</v>
      </c>
      <c r="I7" s="10">
        <f t="shared" si="0"/>
        <v>4900</v>
      </c>
      <c r="J7" s="10">
        <f t="shared" si="1"/>
        <v>2304</v>
      </c>
      <c r="K7" s="10">
        <f t="shared" si="2"/>
        <v>4900</v>
      </c>
      <c r="L7" s="10">
        <f t="shared" si="7"/>
        <v>3360</v>
      </c>
      <c r="M7" s="10">
        <f t="shared" si="8"/>
        <v>2304</v>
      </c>
      <c r="N7" s="10">
        <f t="shared" si="9"/>
        <v>3360</v>
      </c>
      <c r="O7" s="10">
        <f t="shared" si="10"/>
        <v>2304</v>
      </c>
      <c r="T7" s="1" t="s">
        <v>10</v>
      </c>
      <c r="U7" s="1">
        <v>0.94517926065016644</v>
      </c>
      <c r="V7"/>
      <c r="W7"/>
      <c r="X7"/>
      <c r="Y7"/>
      <c r="Z7"/>
      <c r="AA7"/>
      <c r="AB7"/>
    </row>
    <row r="8" spans="1:32" x14ac:dyDescent="0.3">
      <c r="B8" s="10">
        <f>$A$1+30</f>
        <v>47</v>
      </c>
      <c r="C8" s="10">
        <f>$A$1+44</f>
        <v>61</v>
      </c>
      <c r="D8" s="10">
        <f>$A$1+40</f>
        <v>57</v>
      </c>
      <c r="E8" s="10">
        <f>$A$1+45</f>
        <v>62</v>
      </c>
      <c r="F8" s="10">
        <f t="shared" si="4"/>
        <v>3477</v>
      </c>
      <c r="G8" s="10">
        <f t="shared" si="5"/>
        <v>3782</v>
      </c>
      <c r="H8" s="10">
        <f t="shared" si="6"/>
        <v>3534</v>
      </c>
      <c r="I8" s="10">
        <f t="shared" si="0"/>
        <v>3721</v>
      </c>
      <c r="J8" s="10">
        <f t="shared" si="1"/>
        <v>3249</v>
      </c>
      <c r="K8" s="10">
        <f t="shared" si="2"/>
        <v>3844</v>
      </c>
      <c r="L8" s="10">
        <f t="shared" si="7"/>
        <v>2867</v>
      </c>
      <c r="M8" s="10">
        <f t="shared" si="8"/>
        <v>2679</v>
      </c>
      <c r="N8" s="10">
        <f t="shared" si="9"/>
        <v>2914</v>
      </c>
      <c r="O8" s="10">
        <f t="shared" si="10"/>
        <v>2209</v>
      </c>
      <c r="T8" s="1" t="s">
        <v>11</v>
      </c>
      <c r="U8" s="1">
        <v>0.92873303884521641</v>
      </c>
      <c r="V8"/>
      <c r="W8"/>
      <c r="X8"/>
      <c r="Y8"/>
      <c r="Z8"/>
      <c r="AA8"/>
      <c r="AB8"/>
    </row>
    <row r="9" spans="1:32" x14ac:dyDescent="0.3">
      <c r="B9" s="10">
        <f>$A$1+28</f>
        <v>45</v>
      </c>
      <c r="C9" s="10">
        <f>$A$1+38</f>
        <v>55</v>
      </c>
      <c r="D9" s="10">
        <f>$A$1+43</f>
        <v>60</v>
      </c>
      <c r="E9" s="10">
        <f>$A$1+37</f>
        <v>54</v>
      </c>
      <c r="F9" s="10">
        <f t="shared" si="4"/>
        <v>3300</v>
      </c>
      <c r="G9" s="10">
        <f t="shared" si="5"/>
        <v>2970</v>
      </c>
      <c r="H9" s="10">
        <f t="shared" si="6"/>
        <v>3240</v>
      </c>
      <c r="I9" s="10">
        <f t="shared" si="0"/>
        <v>3025</v>
      </c>
      <c r="J9" s="10">
        <f t="shared" si="1"/>
        <v>3600</v>
      </c>
      <c r="K9" s="10">
        <f t="shared" si="2"/>
        <v>2916</v>
      </c>
      <c r="L9" s="10">
        <f t="shared" si="7"/>
        <v>2475</v>
      </c>
      <c r="M9" s="10">
        <f t="shared" si="8"/>
        <v>2700</v>
      </c>
      <c r="N9" s="10">
        <f t="shared" si="9"/>
        <v>2430</v>
      </c>
      <c r="O9" s="10">
        <f t="shared" si="10"/>
        <v>2025</v>
      </c>
      <c r="T9" s="1" t="s">
        <v>7</v>
      </c>
      <c r="U9" s="1">
        <v>2.1557440455738996</v>
      </c>
      <c r="V9"/>
      <c r="W9"/>
      <c r="X9"/>
      <c r="Y9"/>
      <c r="Z9"/>
      <c r="AA9"/>
      <c r="AB9"/>
    </row>
    <row r="10" spans="1:32" ht="16.2" thickBot="1" x14ac:dyDescent="0.35">
      <c r="B10" s="10">
        <f>$A$1+27</f>
        <v>44</v>
      </c>
      <c r="C10" s="10">
        <f>$A$1+37</f>
        <v>54</v>
      </c>
      <c r="D10" s="10">
        <f>$A$1+36</f>
        <v>53</v>
      </c>
      <c r="E10" s="10">
        <f>$A$1+37</f>
        <v>54</v>
      </c>
      <c r="F10" s="10">
        <f t="shared" si="4"/>
        <v>2862</v>
      </c>
      <c r="G10" s="10">
        <f t="shared" si="5"/>
        <v>2916</v>
      </c>
      <c r="H10" s="10">
        <f t="shared" si="6"/>
        <v>2862</v>
      </c>
      <c r="I10" s="10">
        <f t="shared" si="0"/>
        <v>2916</v>
      </c>
      <c r="J10" s="10">
        <f t="shared" si="1"/>
        <v>2809</v>
      </c>
      <c r="K10" s="10">
        <f t="shared" si="2"/>
        <v>2916</v>
      </c>
      <c r="L10" s="10">
        <f t="shared" si="7"/>
        <v>2376</v>
      </c>
      <c r="M10" s="10">
        <f t="shared" si="8"/>
        <v>2332</v>
      </c>
      <c r="N10" s="10">
        <f t="shared" si="9"/>
        <v>2376</v>
      </c>
      <c r="O10" s="10">
        <f t="shared" si="10"/>
        <v>1936</v>
      </c>
      <c r="T10" s="2" t="s">
        <v>12</v>
      </c>
      <c r="U10" s="2">
        <v>14</v>
      </c>
      <c r="V10"/>
      <c r="W10"/>
      <c r="X10"/>
      <c r="Y10"/>
      <c r="Z10"/>
      <c r="AA10"/>
      <c r="AB10"/>
    </row>
    <row r="11" spans="1:32" x14ac:dyDescent="0.3">
      <c r="B11" s="10">
        <f>$A$1+25</f>
        <v>42</v>
      </c>
      <c r="C11" s="10">
        <f>$A$1+33</f>
        <v>50</v>
      </c>
      <c r="D11" s="10">
        <f>$A$1+38</f>
        <v>55</v>
      </c>
      <c r="E11" s="10">
        <f>$A$1+32</f>
        <v>49</v>
      </c>
      <c r="F11" s="10">
        <f t="shared" si="4"/>
        <v>2750</v>
      </c>
      <c r="G11" s="10">
        <f t="shared" si="5"/>
        <v>2450</v>
      </c>
      <c r="H11" s="10">
        <f t="shared" si="6"/>
        <v>2695</v>
      </c>
      <c r="I11" s="10">
        <f t="shared" si="0"/>
        <v>2500</v>
      </c>
      <c r="J11" s="10">
        <f t="shared" si="1"/>
        <v>3025</v>
      </c>
      <c r="K11" s="10">
        <f t="shared" si="2"/>
        <v>2401</v>
      </c>
      <c r="L11" s="10">
        <f t="shared" si="7"/>
        <v>2100</v>
      </c>
      <c r="M11" s="10">
        <f t="shared" si="8"/>
        <v>2310</v>
      </c>
      <c r="N11" s="10">
        <f t="shared" si="9"/>
        <v>2058</v>
      </c>
      <c r="O11" s="10">
        <f t="shared" si="10"/>
        <v>1764</v>
      </c>
      <c r="T11"/>
      <c r="U11"/>
      <c r="V11"/>
      <c r="W11"/>
      <c r="X11"/>
      <c r="Y11"/>
      <c r="Z11"/>
      <c r="AA11"/>
      <c r="AB11"/>
    </row>
    <row r="12" spans="1:32" ht="16.2" thickBot="1" x14ac:dyDescent="0.35">
      <c r="B12" s="10">
        <f>$A$1+21</f>
        <v>38</v>
      </c>
      <c r="C12" s="10">
        <f>$A$1+27</f>
        <v>44</v>
      </c>
      <c r="D12" s="10">
        <f>$A$1+28</f>
        <v>45</v>
      </c>
      <c r="E12" s="10">
        <f>$A$1+28</f>
        <v>45</v>
      </c>
      <c r="F12" s="10">
        <f t="shared" si="4"/>
        <v>1980</v>
      </c>
      <c r="G12" s="10">
        <f t="shared" si="5"/>
        <v>1980</v>
      </c>
      <c r="H12" s="10">
        <f t="shared" si="6"/>
        <v>2025</v>
      </c>
      <c r="I12" s="10">
        <f t="shared" si="0"/>
        <v>1936</v>
      </c>
      <c r="J12" s="10">
        <f t="shared" si="1"/>
        <v>2025</v>
      </c>
      <c r="K12" s="10">
        <f t="shared" si="2"/>
        <v>2025</v>
      </c>
      <c r="L12" s="10">
        <f t="shared" si="7"/>
        <v>1672</v>
      </c>
      <c r="M12" s="10">
        <f t="shared" si="8"/>
        <v>1710</v>
      </c>
      <c r="N12" s="10">
        <f t="shared" si="9"/>
        <v>1710</v>
      </c>
      <c r="O12" s="10">
        <f t="shared" si="10"/>
        <v>1444</v>
      </c>
      <c r="T12" t="s">
        <v>13</v>
      </c>
      <c r="U12"/>
      <c r="V12"/>
      <c r="W12"/>
      <c r="X12"/>
      <c r="Y12"/>
      <c r="Z12"/>
      <c r="AA12"/>
      <c r="AB12"/>
    </row>
    <row r="13" spans="1:32" x14ac:dyDescent="0.3">
      <c r="B13" s="10">
        <f>$A$1+17</f>
        <v>34</v>
      </c>
      <c r="C13" s="10">
        <f>$A$1+29</f>
        <v>46</v>
      </c>
      <c r="D13" s="10">
        <f>$A$1+30</f>
        <v>47</v>
      </c>
      <c r="E13" s="10">
        <f>$A$1+30</f>
        <v>47</v>
      </c>
      <c r="F13" s="10">
        <f t="shared" si="4"/>
        <v>2162</v>
      </c>
      <c r="G13" s="10">
        <f t="shared" si="5"/>
        <v>2162</v>
      </c>
      <c r="H13" s="10">
        <f t="shared" si="6"/>
        <v>2209</v>
      </c>
      <c r="I13" s="10">
        <f t="shared" si="0"/>
        <v>2116</v>
      </c>
      <c r="J13" s="10">
        <f t="shared" si="1"/>
        <v>2209</v>
      </c>
      <c r="K13" s="10">
        <f t="shared" si="2"/>
        <v>2209</v>
      </c>
      <c r="L13" s="10">
        <f t="shared" si="7"/>
        <v>1564</v>
      </c>
      <c r="M13" s="10">
        <f t="shared" si="8"/>
        <v>1598</v>
      </c>
      <c r="N13" s="10">
        <f t="shared" si="9"/>
        <v>1598</v>
      </c>
      <c r="O13" s="10">
        <f t="shared" si="10"/>
        <v>1156</v>
      </c>
      <c r="T13" s="3"/>
      <c r="U13" s="3" t="s">
        <v>18</v>
      </c>
      <c r="V13" s="3" t="s">
        <v>19</v>
      </c>
      <c r="W13" s="3" t="s">
        <v>20</v>
      </c>
      <c r="X13" s="3" t="s">
        <v>21</v>
      </c>
      <c r="Y13" s="3" t="s">
        <v>22</v>
      </c>
      <c r="Z13"/>
      <c r="AA13"/>
      <c r="AB13"/>
      <c r="AD13" s="14"/>
      <c r="AE13" s="14"/>
      <c r="AF13" s="14"/>
    </row>
    <row r="14" spans="1:32" x14ac:dyDescent="0.3">
      <c r="B14" s="10">
        <f>$A$1+45</f>
        <v>62</v>
      </c>
      <c r="C14" s="10">
        <f>$A$1+73</f>
        <v>90</v>
      </c>
      <c r="D14" s="10">
        <f>$A$1+38</f>
        <v>55</v>
      </c>
      <c r="E14" s="10">
        <f>$A$1+72</f>
        <v>89</v>
      </c>
      <c r="F14" s="10">
        <f t="shared" si="4"/>
        <v>4950</v>
      </c>
      <c r="G14" s="10">
        <f t="shared" si="5"/>
        <v>8010</v>
      </c>
      <c r="H14" s="10">
        <f t="shared" si="6"/>
        <v>4895</v>
      </c>
      <c r="I14" s="10">
        <f t="shared" si="0"/>
        <v>8100</v>
      </c>
      <c r="J14" s="10">
        <f t="shared" si="1"/>
        <v>3025</v>
      </c>
      <c r="K14" s="10">
        <f t="shared" si="2"/>
        <v>7921</v>
      </c>
      <c r="L14" s="10">
        <f t="shared" si="7"/>
        <v>5580</v>
      </c>
      <c r="M14" s="10">
        <f t="shared" si="8"/>
        <v>3410</v>
      </c>
      <c r="N14" s="10">
        <f t="shared" si="9"/>
        <v>5518</v>
      </c>
      <c r="O14" s="10">
        <f t="shared" si="10"/>
        <v>3844</v>
      </c>
      <c r="T14" s="1" t="s">
        <v>14</v>
      </c>
      <c r="U14" s="1">
        <v>3</v>
      </c>
      <c r="V14" s="1">
        <v>801.24196181401248</v>
      </c>
      <c r="W14" s="1">
        <v>267.08065393800416</v>
      </c>
      <c r="X14" s="1">
        <v>57.470905589129323</v>
      </c>
      <c r="Y14" s="1">
        <v>1.3093636735626628E-6</v>
      </c>
      <c r="Z14"/>
      <c r="AA14"/>
      <c r="AB14"/>
      <c r="AD14" s="14"/>
      <c r="AE14" s="14"/>
      <c r="AF14" s="14"/>
    </row>
    <row r="15" spans="1:32" x14ac:dyDescent="0.3">
      <c r="B15" s="10">
        <f>$A$1+42</f>
        <v>59</v>
      </c>
      <c r="C15" s="10">
        <f>$A$1+66</f>
        <v>83</v>
      </c>
      <c r="D15" s="10">
        <f>$A$1+37</f>
        <v>54</v>
      </c>
      <c r="E15" s="10">
        <f>$A$1+66</f>
        <v>83</v>
      </c>
      <c r="F15" s="10">
        <f t="shared" si="4"/>
        <v>4482</v>
      </c>
      <c r="G15" s="10">
        <f t="shared" si="5"/>
        <v>6889</v>
      </c>
      <c r="H15" s="10">
        <f t="shared" si="6"/>
        <v>4482</v>
      </c>
      <c r="I15" s="10">
        <f t="shared" si="0"/>
        <v>6889</v>
      </c>
      <c r="J15" s="10">
        <f t="shared" si="1"/>
        <v>2916</v>
      </c>
      <c r="K15" s="10">
        <f t="shared" si="2"/>
        <v>6889</v>
      </c>
      <c r="L15" s="10">
        <f t="shared" si="7"/>
        <v>4897</v>
      </c>
      <c r="M15" s="10">
        <f t="shared" si="8"/>
        <v>3186</v>
      </c>
      <c r="N15" s="10">
        <f t="shared" si="9"/>
        <v>4897</v>
      </c>
      <c r="O15" s="10">
        <f t="shared" si="10"/>
        <v>3481</v>
      </c>
      <c r="T15" s="1" t="s">
        <v>15</v>
      </c>
      <c r="U15" s="1">
        <v>10</v>
      </c>
      <c r="V15" s="1">
        <v>46.472323900273238</v>
      </c>
      <c r="W15" s="1">
        <v>4.647232390027324</v>
      </c>
      <c r="X15" s="1"/>
      <c r="Y15" s="1"/>
      <c r="Z15"/>
      <c r="AA15"/>
      <c r="AB15"/>
      <c r="AD15" s="14"/>
      <c r="AE15" s="14"/>
      <c r="AF15" s="14"/>
    </row>
    <row r="16" spans="1:32" ht="16.2" thickBot="1" x14ac:dyDescent="0.35">
      <c r="B16" s="10">
        <f>$A$1+40</f>
        <v>57</v>
      </c>
      <c r="C16" s="10">
        <f>$A$1+64</f>
        <v>81</v>
      </c>
      <c r="D16" s="10">
        <f>$A$1+41</f>
        <v>58</v>
      </c>
      <c r="E16" s="10">
        <f>$A$1+64</f>
        <v>81</v>
      </c>
      <c r="F16" s="10">
        <f t="shared" si="4"/>
        <v>4698</v>
      </c>
      <c r="G16" s="10">
        <f t="shared" si="5"/>
        <v>6561</v>
      </c>
      <c r="H16" s="10">
        <f t="shared" si="6"/>
        <v>4698</v>
      </c>
      <c r="I16" s="10">
        <f t="shared" si="0"/>
        <v>6561</v>
      </c>
      <c r="J16" s="10">
        <f t="shared" si="1"/>
        <v>3364</v>
      </c>
      <c r="K16" s="10">
        <f t="shared" si="2"/>
        <v>6561</v>
      </c>
      <c r="L16" s="10">
        <f t="shared" si="7"/>
        <v>4617</v>
      </c>
      <c r="M16" s="10">
        <f t="shared" si="8"/>
        <v>3306</v>
      </c>
      <c r="N16" s="10">
        <f t="shared" si="9"/>
        <v>4617</v>
      </c>
      <c r="O16" s="10">
        <f t="shared" si="10"/>
        <v>3249</v>
      </c>
      <c r="T16" s="2" t="s">
        <v>16</v>
      </c>
      <c r="U16" s="2">
        <v>13</v>
      </c>
      <c r="V16" s="2">
        <v>847.71428571428578</v>
      </c>
      <c r="W16" s="2"/>
      <c r="X16" s="2"/>
      <c r="Y16" s="2"/>
      <c r="Z16"/>
      <c r="AA16"/>
      <c r="AB16"/>
      <c r="AD16" s="14"/>
      <c r="AE16" s="14"/>
      <c r="AF16" s="14"/>
    </row>
    <row r="17" spans="1:32" ht="16.2" thickBot="1" x14ac:dyDescent="0.35">
      <c r="B17" s="10">
        <f>$A$1+38</f>
        <v>55</v>
      </c>
      <c r="C17" s="10">
        <f>$A$1+58</f>
        <v>75</v>
      </c>
      <c r="D17" s="10">
        <f>$A$1+36</f>
        <v>53</v>
      </c>
      <c r="E17" s="10">
        <f>$A$1+59</f>
        <v>76</v>
      </c>
      <c r="F17" s="10">
        <f t="shared" si="4"/>
        <v>3975</v>
      </c>
      <c r="G17" s="10">
        <f t="shared" si="5"/>
        <v>5700</v>
      </c>
      <c r="H17" s="10">
        <f t="shared" si="6"/>
        <v>4028</v>
      </c>
      <c r="I17" s="10">
        <f t="shared" si="0"/>
        <v>5625</v>
      </c>
      <c r="J17" s="10">
        <f t="shared" si="1"/>
        <v>2809</v>
      </c>
      <c r="K17" s="10">
        <f t="shared" si="2"/>
        <v>5776</v>
      </c>
      <c r="L17" s="10">
        <f t="shared" si="7"/>
        <v>4125</v>
      </c>
      <c r="M17" s="10">
        <f t="shared" si="8"/>
        <v>2915</v>
      </c>
      <c r="N17" s="10">
        <f t="shared" si="9"/>
        <v>4180</v>
      </c>
      <c r="O17" s="10">
        <f t="shared" si="10"/>
        <v>3025</v>
      </c>
      <c r="T17"/>
      <c r="U17"/>
      <c r="V17"/>
      <c r="W17"/>
      <c r="X17"/>
      <c r="Y17"/>
      <c r="Z17"/>
      <c r="AA17"/>
      <c r="AB17"/>
      <c r="AD17" s="14"/>
      <c r="AE17" s="14"/>
      <c r="AF17" s="14"/>
    </row>
    <row r="18" spans="1:32" x14ac:dyDescent="0.3">
      <c r="A18" s="10" t="s">
        <v>53</v>
      </c>
      <c r="B18" s="15">
        <f>AVERAGE(B4:B17)</f>
        <v>49.142857142857146</v>
      </c>
      <c r="C18" s="15">
        <f t="shared" ref="C18:O18" si="11">AVERAGE(C4:C17)</f>
        <v>65.714285714285708</v>
      </c>
      <c r="D18" s="15">
        <f t="shared" si="11"/>
        <v>53</v>
      </c>
      <c r="E18" s="15">
        <f t="shared" si="11"/>
        <v>65.642857142857139</v>
      </c>
      <c r="F18" s="15">
        <f t="shared" si="11"/>
        <v>3504.0714285714284</v>
      </c>
      <c r="G18" s="15">
        <f t="shared" si="11"/>
        <v>4502.7857142857147</v>
      </c>
      <c r="H18" s="15">
        <f t="shared" si="11"/>
        <v>3498.6428571428573</v>
      </c>
      <c r="I18" s="15">
        <f t="shared" si="11"/>
        <v>4510.7142857142853</v>
      </c>
      <c r="J18" s="15">
        <f t="shared" si="11"/>
        <v>2826.8571428571427</v>
      </c>
      <c r="K18" s="15">
        <f t="shared" si="11"/>
        <v>4495.5</v>
      </c>
      <c r="L18" s="15">
        <f t="shared" si="11"/>
        <v>3333.9285714285716</v>
      </c>
      <c r="M18" s="15">
        <f t="shared" si="11"/>
        <v>2618.5714285714284</v>
      </c>
      <c r="N18" s="15">
        <f t="shared" si="11"/>
        <v>3328.3571428571427</v>
      </c>
      <c r="O18" s="15">
        <f t="shared" si="11"/>
        <v>2475.5714285714284</v>
      </c>
      <c r="T18" s="3"/>
      <c r="U18" s="3" t="s">
        <v>23</v>
      </c>
      <c r="V18" s="3" t="s">
        <v>7</v>
      </c>
      <c r="W18" s="3" t="s">
        <v>24</v>
      </c>
      <c r="X18" s="3" t="s">
        <v>25</v>
      </c>
      <c r="Y18" s="3" t="s">
        <v>26</v>
      </c>
      <c r="Z18" s="3" t="s">
        <v>27</v>
      </c>
      <c r="AA18" s="3" t="s">
        <v>34</v>
      </c>
      <c r="AB18" s="3" t="s">
        <v>35</v>
      </c>
      <c r="AD18" s="14"/>
      <c r="AE18" s="14"/>
      <c r="AF18" s="14"/>
    </row>
    <row r="19" spans="1:32" x14ac:dyDescent="0.3">
      <c r="A19" s="10" t="s">
        <v>3</v>
      </c>
      <c r="B19" s="10">
        <f t="shared" ref="B19:O19" si="12">SUM(B4:B17)</f>
        <v>688</v>
      </c>
      <c r="C19" s="10">
        <f t="shared" si="12"/>
        <v>920</v>
      </c>
      <c r="D19" s="10">
        <f t="shared" si="12"/>
        <v>742</v>
      </c>
      <c r="E19" s="10">
        <f t="shared" si="12"/>
        <v>919</v>
      </c>
      <c r="F19" s="10">
        <f t="shared" si="12"/>
        <v>49057</v>
      </c>
      <c r="G19" s="10">
        <f t="shared" si="12"/>
        <v>63039</v>
      </c>
      <c r="H19" s="10">
        <f t="shared" si="12"/>
        <v>48981</v>
      </c>
      <c r="I19" s="10">
        <f t="shared" si="12"/>
        <v>63150</v>
      </c>
      <c r="J19" s="10">
        <f t="shared" si="12"/>
        <v>39576</v>
      </c>
      <c r="K19" s="10">
        <f t="shared" si="12"/>
        <v>62937</v>
      </c>
      <c r="L19" s="10">
        <f t="shared" si="12"/>
        <v>46675</v>
      </c>
      <c r="M19" s="10">
        <f t="shared" si="12"/>
        <v>36660</v>
      </c>
      <c r="N19" s="10">
        <f t="shared" si="12"/>
        <v>46597</v>
      </c>
      <c r="O19" s="10">
        <f t="shared" si="12"/>
        <v>34658</v>
      </c>
      <c r="T19" s="1" t="s">
        <v>17</v>
      </c>
      <c r="U19" s="1">
        <v>7.1408139455905797</v>
      </c>
      <c r="V19" s="1">
        <v>8.2931836635487652</v>
      </c>
      <c r="W19" s="1">
        <v>0.86104615974885201</v>
      </c>
      <c r="X19" s="1">
        <v>0.40938328081122766</v>
      </c>
      <c r="Y19" s="1">
        <v>-11.337550781820291</v>
      </c>
      <c r="Z19" s="1">
        <v>25.61917867300145</v>
      </c>
      <c r="AA19" s="1">
        <v>-11.337550781820291</v>
      </c>
      <c r="AB19" s="1">
        <v>25.61917867300145</v>
      </c>
      <c r="AD19" s="14"/>
      <c r="AE19" s="14"/>
      <c r="AF19" s="14"/>
    </row>
    <row r="20" spans="1:32" x14ac:dyDescent="0.3">
      <c r="T20" s="1" t="s">
        <v>29</v>
      </c>
      <c r="U20" s="1">
        <v>0.73085082444694405</v>
      </c>
      <c r="V20" s="1">
        <v>0.82920705318640209</v>
      </c>
      <c r="W20" s="1">
        <v>0.88138520003959975</v>
      </c>
      <c r="X20" s="1">
        <v>0.39879851645732722</v>
      </c>
      <c r="Y20" s="1">
        <v>-1.1167376270987275</v>
      </c>
      <c r="Z20" s="1">
        <v>2.5784392759926158</v>
      </c>
      <c r="AA20" s="1">
        <v>-1.1167376270987275</v>
      </c>
      <c r="AB20" s="1">
        <v>2.5784392759926158</v>
      </c>
      <c r="AD20" s="14"/>
      <c r="AE20" s="14"/>
      <c r="AF20" s="14"/>
    </row>
    <row r="21" spans="1:32" x14ac:dyDescent="0.3">
      <c r="A21" s="10" t="s">
        <v>87</v>
      </c>
      <c r="B21" s="16" t="s">
        <v>45</v>
      </c>
      <c r="C21" s="10" t="s">
        <v>46</v>
      </c>
      <c r="D21" s="16" t="s">
        <v>47</v>
      </c>
      <c r="E21" s="10" t="s">
        <v>48</v>
      </c>
      <c r="G21" s="16" t="s">
        <v>49</v>
      </c>
      <c r="T21" s="1" t="s">
        <v>30</v>
      </c>
      <c r="U21" s="1">
        <v>0.14206268606190034</v>
      </c>
      <c r="V21" s="1">
        <v>0.16178544431580011</v>
      </c>
      <c r="W21" s="1">
        <v>0.8780931230413932</v>
      </c>
      <c r="X21" s="1">
        <v>0.40049875671782831</v>
      </c>
      <c r="Y21" s="1">
        <v>-0.21841774810399581</v>
      </c>
      <c r="Z21" s="1">
        <v>0.50254312022779646</v>
      </c>
      <c r="AA21" s="1">
        <v>-0.21841774810399581</v>
      </c>
      <c r="AB21" s="1">
        <v>0.50254312022779646</v>
      </c>
      <c r="AD21" s="14"/>
      <c r="AE21" s="14"/>
      <c r="AF21" s="14"/>
    </row>
    <row r="22" spans="1:32" ht="16.2" thickBot="1" x14ac:dyDescent="0.35">
      <c r="T22" s="2" t="s">
        <v>31</v>
      </c>
      <c r="U22" s="2">
        <v>-0.20649038823437058</v>
      </c>
      <c r="V22" s="2">
        <v>0.8344135259220371</v>
      </c>
      <c r="W22" s="2">
        <v>-0.24746769056289708</v>
      </c>
      <c r="X22" s="2">
        <v>0.80955316077770745</v>
      </c>
      <c r="Y22" s="2">
        <v>-2.0656795839641178</v>
      </c>
      <c r="Z22" s="2">
        <v>1.6526988074953766</v>
      </c>
      <c r="AA22" s="2">
        <v>-2.0656795839641178</v>
      </c>
      <c r="AB22" s="2">
        <v>1.6526988074953766</v>
      </c>
      <c r="AD22" s="14"/>
      <c r="AE22" s="14"/>
      <c r="AF22" s="14"/>
    </row>
    <row r="23" spans="1:32" x14ac:dyDescent="0.3">
      <c r="B23" s="10">
        <f>ROWS($B$4:$B$17)</f>
        <v>14</v>
      </c>
      <c r="C23" s="10">
        <f>$C$19</f>
        <v>920</v>
      </c>
      <c r="D23" s="10">
        <f>$D$19</f>
        <v>742</v>
      </c>
      <c r="E23" s="10">
        <f>$E$19</f>
        <v>919</v>
      </c>
      <c r="G23" s="10">
        <f>$B$19</f>
        <v>688</v>
      </c>
      <c r="T23"/>
      <c r="U23"/>
      <c r="V23"/>
      <c r="W23"/>
      <c r="X23"/>
      <c r="Y23"/>
      <c r="Z23"/>
      <c r="AA23"/>
      <c r="AB23"/>
      <c r="AD23" s="14"/>
      <c r="AE23" s="14"/>
      <c r="AF23" s="14"/>
    </row>
    <row r="24" spans="1:32" ht="16.2" thickBot="1" x14ac:dyDescent="0.35">
      <c r="B24" s="10">
        <f>$C$19</f>
        <v>920</v>
      </c>
      <c r="C24" s="10">
        <f>$I$19</f>
        <v>63150</v>
      </c>
      <c r="D24" s="10">
        <f>$F$19</f>
        <v>49057</v>
      </c>
      <c r="E24" s="10">
        <f>$G$19</f>
        <v>63039</v>
      </c>
      <c r="G24" s="10">
        <f>$L$19</f>
        <v>46675</v>
      </c>
      <c r="T24"/>
      <c r="U24"/>
      <c r="V24"/>
      <c r="W24"/>
      <c r="X24"/>
      <c r="Y24"/>
      <c r="Z24"/>
      <c r="AA24"/>
      <c r="AB24"/>
      <c r="AD24" s="14"/>
      <c r="AE24" s="14"/>
      <c r="AF24" s="14"/>
    </row>
    <row r="25" spans="1:32" x14ac:dyDescent="0.3">
      <c r="B25" s="10">
        <f>$D$19</f>
        <v>742</v>
      </c>
      <c r="C25" s="10">
        <f>$F$19</f>
        <v>49057</v>
      </c>
      <c r="D25" s="10">
        <f>$J$19</f>
        <v>39576</v>
      </c>
      <c r="E25" s="10">
        <f>$H$19</f>
        <v>48981</v>
      </c>
      <c r="G25" s="10">
        <f>$M$19</f>
        <v>36660</v>
      </c>
      <c r="T25" s="3"/>
      <c r="U25" s="3" t="s">
        <v>0</v>
      </c>
      <c r="V25" s="3" t="s">
        <v>29</v>
      </c>
      <c r="W25" s="3" t="s">
        <v>30</v>
      </c>
      <c r="X25" s="3" t="s">
        <v>31</v>
      </c>
      <c r="Y25"/>
      <c r="Z25"/>
      <c r="AA25"/>
      <c r="AB25"/>
      <c r="AD25" s="14"/>
      <c r="AE25" s="14"/>
      <c r="AF25" s="14"/>
    </row>
    <row r="26" spans="1:32" x14ac:dyDescent="0.3">
      <c r="B26" s="10">
        <f>$E$19</f>
        <v>919</v>
      </c>
      <c r="C26" s="10">
        <f>$G$19</f>
        <v>63039</v>
      </c>
      <c r="D26" s="10">
        <f>$H$19</f>
        <v>48981</v>
      </c>
      <c r="E26" s="10">
        <f>$K$19</f>
        <v>62937</v>
      </c>
      <c r="G26" s="10">
        <f>$N$19</f>
        <v>46597</v>
      </c>
      <c r="T26" s="1" t="s">
        <v>0</v>
      </c>
      <c r="U26" s="51">
        <v>1</v>
      </c>
      <c r="V26" s="51"/>
      <c r="W26" s="51"/>
      <c r="X26" s="51"/>
      <c r="AD26" s="14"/>
      <c r="AE26" s="14"/>
      <c r="AF26" s="14"/>
    </row>
    <row r="27" spans="1:32" x14ac:dyDescent="0.3">
      <c r="T27" s="1" t="s">
        <v>29</v>
      </c>
      <c r="U27" s="51">
        <v>0.9686848654975172</v>
      </c>
      <c r="V27" s="51">
        <v>1</v>
      </c>
      <c r="W27" s="51"/>
      <c r="X27" s="51"/>
      <c r="AD27" s="14"/>
      <c r="AE27" s="14"/>
      <c r="AF27" s="14"/>
    </row>
    <row r="28" spans="1:32" x14ac:dyDescent="0.3">
      <c r="T28" s="1" t="s">
        <v>30</v>
      </c>
      <c r="U28" s="51">
        <v>0.42575652843286144</v>
      </c>
      <c r="V28" s="51">
        <v>0.36197600928754209</v>
      </c>
      <c r="W28" s="51">
        <v>1</v>
      </c>
      <c r="X28" s="51"/>
      <c r="AD28" s="14"/>
      <c r="AE28" s="14"/>
      <c r="AF28" s="14"/>
    </row>
    <row r="29" spans="1:32" ht="16.2" thickBot="1" x14ac:dyDescent="0.35">
      <c r="T29" s="2" t="s">
        <v>31</v>
      </c>
      <c r="U29" s="52">
        <v>0.96431609435868182</v>
      </c>
      <c r="V29" s="52">
        <v>0.99843494296605662</v>
      </c>
      <c r="W29" s="52">
        <v>0.33912460580586978</v>
      </c>
      <c r="X29" s="52">
        <v>1</v>
      </c>
      <c r="AD29" s="14"/>
      <c r="AE29" s="14"/>
      <c r="AF29" s="14"/>
    </row>
    <row r="30" spans="1:32" x14ac:dyDescent="0.3">
      <c r="AC30" s="14"/>
      <c r="AD30" s="14"/>
      <c r="AE30" s="14"/>
      <c r="AF30" s="14"/>
    </row>
    <row r="31" spans="1:32" x14ac:dyDescent="0.3">
      <c r="A31" s="10" t="s">
        <v>1</v>
      </c>
      <c r="B31" s="10">
        <f>ROWS($B$4:$B$17)</f>
        <v>14</v>
      </c>
      <c r="C31" s="10">
        <f>$C$19</f>
        <v>920</v>
      </c>
      <c r="D31" s="10">
        <f>$D$19</f>
        <v>742</v>
      </c>
      <c r="E31" s="10">
        <f>$E$19</f>
        <v>919</v>
      </c>
      <c r="G31" s="10" t="s">
        <v>1</v>
      </c>
      <c r="H31" s="10">
        <f>$B$19</f>
        <v>688</v>
      </c>
      <c r="I31" s="10">
        <f>$C$19</f>
        <v>920</v>
      </c>
      <c r="J31" s="10">
        <f>$D$19</f>
        <v>742</v>
      </c>
      <c r="K31" s="10">
        <f>$E$19</f>
        <v>919</v>
      </c>
      <c r="AC31" s="14"/>
      <c r="AD31" s="14"/>
      <c r="AE31" s="14"/>
      <c r="AF31" s="14"/>
    </row>
    <row r="32" spans="1:32" x14ac:dyDescent="0.3">
      <c r="A32" s="10" t="s">
        <v>2</v>
      </c>
      <c r="B32" s="10">
        <f>$C$19</f>
        <v>920</v>
      </c>
      <c r="C32" s="10">
        <f>$I$19</f>
        <v>63150</v>
      </c>
      <c r="D32" s="10">
        <f>$F$19</f>
        <v>49057</v>
      </c>
      <c r="E32" s="10">
        <f>$G$19</f>
        <v>63039</v>
      </c>
      <c r="G32" s="10" t="s">
        <v>5</v>
      </c>
      <c r="H32" s="10">
        <f>$L$19</f>
        <v>46675</v>
      </c>
      <c r="I32" s="10">
        <f>$I$19</f>
        <v>63150</v>
      </c>
      <c r="J32" s="10">
        <f>$F$19</f>
        <v>49057</v>
      </c>
      <c r="K32" s="10">
        <f>$G$19</f>
        <v>63039</v>
      </c>
      <c r="AD32" s="14"/>
      <c r="AE32" s="14"/>
      <c r="AF32" s="14"/>
    </row>
    <row r="33" spans="1:32" x14ac:dyDescent="0.3">
      <c r="A33" s="15"/>
      <c r="B33" s="10">
        <f>$D$19</f>
        <v>742</v>
      </c>
      <c r="C33" s="10">
        <f>$F$19</f>
        <v>49057</v>
      </c>
      <c r="D33" s="10">
        <f>$J$19</f>
        <v>39576</v>
      </c>
      <c r="E33" s="10">
        <f>$H$19</f>
        <v>48981</v>
      </c>
      <c r="F33" s="15"/>
      <c r="G33" s="15"/>
      <c r="H33" s="10">
        <f>$M$19</f>
        <v>36660</v>
      </c>
      <c r="I33" s="10">
        <f>$F$19</f>
        <v>49057</v>
      </c>
      <c r="J33" s="10">
        <f>$J$19</f>
        <v>39576</v>
      </c>
      <c r="K33" s="10">
        <f>$H$19</f>
        <v>48981</v>
      </c>
      <c r="T33" s="53" t="s">
        <v>108</v>
      </c>
      <c r="U33" s="53"/>
      <c r="V33" s="53"/>
      <c r="W33" s="53"/>
      <c r="X33" s="53"/>
      <c r="Y33" s="53"/>
      <c r="Z33" s="53"/>
      <c r="AA33" s="53"/>
      <c r="AB33" s="53"/>
      <c r="AD33" s="14"/>
      <c r="AE33" s="14"/>
      <c r="AF33" s="14"/>
    </row>
    <row r="34" spans="1:32" ht="16.2" thickBot="1" x14ac:dyDescent="0.35">
      <c r="B34" s="10">
        <f>$E$19</f>
        <v>919</v>
      </c>
      <c r="C34" s="10">
        <f>$G$19</f>
        <v>63039</v>
      </c>
      <c r="D34" s="10">
        <f>$H$19</f>
        <v>48981</v>
      </c>
      <c r="E34" s="10">
        <f>$K$19</f>
        <v>62937</v>
      </c>
      <c r="H34" s="10">
        <f>$N$19</f>
        <v>46597</v>
      </c>
      <c r="I34" s="10">
        <f>$G$19</f>
        <v>63039</v>
      </c>
      <c r="J34" s="10">
        <f>$H$19</f>
        <v>48981</v>
      </c>
      <c r="K34" s="10">
        <f>$K$19</f>
        <v>62937</v>
      </c>
      <c r="T34" s="53"/>
      <c r="U34" s="53"/>
      <c r="V34" s="53"/>
      <c r="W34" s="53"/>
      <c r="X34" s="53"/>
      <c r="Y34" s="53"/>
      <c r="Z34" s="53"/>
      <c r="AA34" s="53"/>
      <c r="AB34" s="53"/>
      <c r="AD34" s="17"/>
      <c r="AE34" s="17"/>
      <c r="AF34" s="14"/>
    </row>
    <row r="35" spans="1:32" x14ac:dyDescent="0.3">
      <c r="T35" s="54" t="s">
        <v>8</v>
      </c>
      <c r="U35" s="54"/>
      <c r="V35" s="53"/>
      <c r="W35" s="53"/>
      <c r="X35" s="53"/>
      <c r="Y35" s="53"/>
      <c r="Z35" s="53"/>
      <c r="AA35" s="53"/>
      <c r="AB35" s="53"/>
      <c r="AD35" s="12"/>
      <c r="AE35" s="12"/>
      <c r="AF35" s="14"/>
    </row>
    <row r="36" spans="1:32" x14ac:dyDescent="0.3">
      <c r="C36" s="10" t="s">
        <v>2</v>
      </c>
      <c r="D36" s="10">
        <f>MDETERM(B31:E34)</f>
        <v>54666282.99998793</v>
      </c>
      <c r="I36" s="10" t="s">
        <v>5</v>
      </c>
      <c r="J36" s="10">
        <f>MDETERM(H31:K34)</f>
        <v>390361755.99982333</v>
      </c>
      <c r="T36" s="5" t="s">
        <v>9</v>
      </c>
      <c r="U36" s="5">
        <v>0.97203062556110431</v>
      </c>
      <c r="V36" s="53"/>
      <c r="W36" s="53"/>
      <c r="X36" s="53"/>
      <c r="Y36" s="53"/>
      <c r="Z36" s="53"/>
      <c r="AA36" s="53"/>
      <c r="AB36" s="53"/>
      <c r="AD36" s="12"/>
      <c r="AE36" s="12"/>
      <c r="AF36" s="14"/>
    </row>
    <row r="37" spans="1:32" x14ac:dyDescent="0.3">
      <c r="T37" s="5" t="s">
        <v>10</v>
      </c>
      <c r="U37" s="5">
        <v>0.94484353702871171</v>
      </c>
      <c r="V37" s="53"/>
      <c r="W37" s="53"/>
      <c r="X37" s="53"/>
      <c r="Y37" s="53"/>
      <c r="Z37" s="53"/>
      <c r="AA37" s="53"/>
      <c r="AB37" s="53"/>
      <c r="AD37" s="12"/>
      <c r="AE37" s="12"/>
      <c r="AF37" s="14"/>
    </row>
    <row r="38" spans="1:32" x14ac:dyDescent="0.3">
      <c r="A38" s="10" t="s">
        <v>1</v>
      </c>
      <c r="B38" s="10">
        <f>ROWS($B$4:$B$17)</f>
        <v>14</v>
      </c>
      <c r="C38" s="10">
        <f>$B$19</f>
        <v>688</v>
      </c>
      <c r="D38" s="10">
        <f>$D$19</f>
        <v>742</v>
      </c>
      <c r="E38" s="10">
        <f>$E$19</f>
        <v>919</v>
      </c>
      <c r="G38" s="10" t="s">
        <v>1</v>
      </c>
      <c r="H38" s="10">
        <f>ROWS($B$4:$B$17)</f>
        <v>14</v>
      </c>
      <c r="I38" s="10">
        <f>$C$19</f>
        <v>920</v>
      </c>
      <c r="J38" s="10">
        <f>$B$19</f>
        <v>688</v>
      </c>
      <c r="K38" s="10">
        <f>$E$19</f>
        <v>919</v>
      </c>
      <c r="M38" s="10" t="s">
        <v>1</v>
      </c>
      <c r="N38" s="10">
        <f>ROWS($B$4:$B$17)</f>
        <v>14</v>
      </c>
      <c r="O38" s="10">
        <f>$C$19</f>
        <v>920</v>
      </c>
      <c r="P38" s="10">
        <f>$D$19</f>
        <v>742</v>
      </c>
      <c r="Q38" s="10">
        <f>$B$19</f>
        <v>688</v>
      </c>
      <c r="T38" s="5" t="s">
        <v>11</v>
      </c>
      <c r="U38" s="5">
        <v>0.93481508921575018</v>
      </c>
      <c r="V38" s="53"/>
      <c r="W38" s="53"/>
      <c r="X38" s="53"/>
      <c r="Y38" s="53"/>
      <c r="Z38" s="53"/>
      <c r="AA38" s="53"/>
      <c r="AB38" s="53"/>
      <c r="AD38" s="12"/>
      <c r="AE38" s="12"/>
      <c r="AF38" s="14"/>
    </row>
    <row r="39" spans="1:32" x14ac:dyDescent="0.3">
      <c r="A39" s="10" t="s">
        <v>50</v>
      </c>
      <c r="B39" s="10">
        <f>$C$19</f>
        <v>920</v>
      </c>
      <c r="C39" s="10">
        <f>$L$19</f>
        <v>46675</v>
      </c>
      <c r="D39" s="10">
        <f>$F$19</f>
        <v>49057</v>
      </c>
      <c r="E39" s="10">
        <f>$G$19</f>
        <v>63039</v>
      </c>
      <c r="G39" s="10" t="s">
        <v>51</v>
      </c>
      <c r="H39" s="10">
        <f>$C$19</f>
        <v>920</v>
      </c>
      <c r="I39" s="10">
        <f>$I$19</f>
        <v>63150</v>
      </c>
      <c r="J39" s="10">
        <f>$L$19</f>
        <v>46675</v>
      </c>
      <c r="K39" s="10">
        <f>$G$19</f>
        <v>63039</v>
      </c>
      <c r="M39" s="10" t="s">
        <v>52</v>
      </c>
      <c r="N39" s="10">
        <f>$C$19</f>
        <v>920</v>
      </c>
      <c r="O39" s="10">
        <f>$I$19</f>
        <v>63150</v>
      </c>
      <c r="P39" s="10">
        <f>$F$19</f>
        <v>49057</v>
      </c>
      <c r="Q39" s="10">
        <f>$L$19</f>
        <v>46675</v>
      </c>
      <c r="T39" s="5" t="s">
        <v>7</v>
      </c>
      <c r="U39" s="5">
        <v>2.0617054196208118</v>
      </c>
      <c r="V39" s="53"/>
      <c r="W39" s="53"/>
      <c r="X39" s="53"/>
      <c r="Y39" s="53"/>
      <c r="Z39" s="53"/>
      <c r="AA39" s="53"/>
      <c r="AB39" s="53"/>
      <c r="AD39" s="14"/>
      <c r="AE39" s="14"/>
      <c r="AF39" s="14"/>
    </row>
    <row r="40" spans="1:32" ht="16.2" thickBot="1" x14ac:dyDescent="0.35">
      <c r="B40" s="10">
        <f>$D$19</f>
        <v>742</v>
      </c>
      <c r="C40" s="10">
        <f>$M$19</f>
        <v>36660</v>
      </c>
      <c r="D40" s="10">
        <f>$J$19</f>
        <v>39576</v>
      </c>
      <c r="E40" s="10">
        <f>$H$19</f>
        <v>48981</v>
      </c>
      <c r="H40" s="10">
        <f>$D$19</f>
        <v>742</v>
      </c>
      <c r="I40" s="10">
        <f>$F$19</f>
        <v>49057</v>
      </c>
      <c r="J40" s="10">
        <f>$M$19</f>
        <v>36660</v>
      </c>
      <c r="K40" s="10">
        <f>$H$19</f>
        <v>48981</v>
      </c>
      <c r="N40" s="10">
        <f>$D$19</f>
        <v>742</v>
      </c>
      <c r="O40" s="10">
        <f>$F$19</f>
        <v>49057</v>
      </c>
      <c r="P40" s="10">
        <f>$J$19</f>
        <v>39576</v>
      </c>
      <c r="Q40" s="10">
        <f>$M$19</f>
        <v>36660</v>
      </c>
      <c r="T40" s="6" t="s">
        <v>12</v>
      </c>
      <c r="U40" s="6">
        <v>14</v>
      </c>
      <c r="V40" s="53"/>
      <c r="W40" s="53"/>
      <c r="X40" s="53"/>
      <c r="Y40" s="53"/>
      <c r="Z40" s="53"/>
      <c r="AA40" s="53"/>
      <c r="AB40" s="53"/>
      <c r="AD40" s="14"/>
      <c r="AE40" s="14"/>
      <c r="AF40" s="14"/>
    </row>
    <row r="41" spans="1:32" x14ac:dyDescent="0.3">
      <c r="B41" s="10">
        <f>$E$19</f>
        <v>919</v>
      </c>
      <c r="C41" s="10">
        <f>$N$19</f>
        <v>46597</v>
      </c>
      <c r="D41" s="10">
        <f>$H$19</f>
        <v>48981</v>
      </c>
      <c r="E41" s="10">
        <f>$K$19</f>
        <v>62937</v>
      </c>
      <c r="H41" s="10">
        <f>$E$19</f>
        <v>919</v>
      </c>
      <c r="I41" s="10">
        <f>$G$19</f>
        <v>63039</v>
      </c>
      <c r="J41" s="10">
        <f>$N$19</f>
        <v>46597</v>
      </c>
      <c r="K41" s="10">
        <f>$K$19</f>
        <v>62937</v>
      </c>
      <c r="N41" s="10">
        <f>$E$19</f>
        <v>919</v>
      </c>
      <c r="O41" s="10">
        <f>$G$19</f>
        <v>63039</v>
      </c>
      <c r="P41" s="10">
        <f>$H$19</f>
        <v>48981</v>
      </c>
      <c r="Q41" s="10">
        <f>$N$19</f>
        <v>46597</v>
      </c>
      <c r="T41" s="53"/>
      <c r="U41" s="53"/>
      <c r="V41" s="53"/>
      <c r="W41" s="53"/>
      <c r="X41" s="53"/>
      <c r="Y41" s="53"/>
      <c r="Z41" s="53"/>
      <c r="AA41" s="53"/>
      <c r="AB41" s="53"/>
      <c r="AD41" s="14"/>
      <c r="AE41" s="14"/>
      <c r="AF41" s="14"/>
    </row>
    <row r="42" spans="1:32" ht="16.2" thickBot="1" x14ac:dyDescent="0.35">
      <c r="T42" s="53" t="s">
        <v>13</v>
      </c>
      <c r="U42" s="53"/>
      <c r="V42" s="53"/>
      <c r="W42" s="53"/>
      <c r="X42" s="53"/>
      <c r="Y42" s="53"/>
      <c r="Z42" s="53"/>
      <c r="AA42" s="53"/>
      <c r="AB42" s="53"/>
      <c r="AD42" s="14"/>
      <c r="AE42" s="14"/>
      <c r="AF42" s="14"/>
    </row>
    <row r="43" spans="1:32" x14ac:dyDescent="0.3">
      <c r="C43" s="10" t="s">
        <v>50</v>
      </c>
      <c r="D43" s="18">
        <f>MDETERM(B38:E41)</f>
        <v>39952897.999997437</v>
      </c>
      <c r="I43" s="10" t="s">
        <v>51</v>
      </c>
      <c r="J43" s="10">
        <f>MDETERM(H38:K41)</f>
        <v>7766038.9999998873</v>
      </c>
      <c r="O43" s="10" t="s">
        <v>52</v>
      </c>
      <c r="P43" s="10">
        <f>MDETERM(N38:Q41)</f>
        <v>-11288062.000003947</v>
      </c>
      <c r="T43" s="50"/>
      <c r="U43" s="50" t="s">
        <v>18</v>
      </c>
      <c r="V43" s="50" t="s">
        <v>19</v>
      </c>
      <c r="W43" s="50" t="s">
        <v>20</v>
      </c>
      <c r="X43" s="50" t="s">
        <v>21</v>
      </c>
      <c r="Y43" s="50" t="s">
        <v>22</v>
      </c>
      <c r="Z43" s="53"/>
      <c r="AA43" s="53"/>
      <c r="AB43" s="53"/>
      <c r="AD43" s="14"/>
      <c r="AE43" s="14"/>
      <c r="AF43" s="14"/>
    </row>
    <row r="44" spans="1:32" x14ac:dyDescent="0.3">
      <c r="T44" s="5" t="s">
        <v>14</v>
      </c>
      <c r="U44" s="5">
        <v>2</v>
      </c>
      <c r="V44" s="5">
        <v>800.95736410405357</v>
      </c>
      <c r="W44" s="5">
        <v>400.47868205202678</v>
      </c>
      <c r="X44" s="5">
        <v>94.216328852758835</v>
      </c>
      <c r="Y44" s="5">
        <v>1.1988925065427099E-7</v>
      </c>
      <c r="Z44" s="53"/>
      <c r="AA44" s="53"/>
      <c r="AB44" s="53"/>
      <c r="AD44" s="14"/>
      <c r="AE44" s="14"/>
      <c r="AF44" s="14"/>
    </row>
    <row r="45" spans="1:32" x14ac:dyDescent="0.3">
      <c r="T45" s="5" t="s">
        <v>15</v>
      </c>
      <c r="U45" s="5">
        <v>11</v>
      </c>
      <c r="V45" s="5">
        <v>46.756921610232105</v>
      </c>
      <c r="W45" s="5">
        <v>4.2506292372938281</v>
      </c>
      <c r="X45" s="5"/>
      <c r="Y45" s="5"/>
      <c r="Z45" s="53"/>
      <c r="AA45" s="53"/>
      <c r="AB45" s="53"/>
      <c r="AD45" s="14"/>
      <c r="AE45" s="14"/>
      <c r="AF45" s="14"/>
    </row>
    <row r="46" spans="1:32" ht="16.2" thickBot="1" x14ac:dyDescent="0.35">
      <c r="O46" s="15"/>
      <c r="T46" s="6" t="s">
        <v>16</v>
      </c>
      <c r="U46" s="6">
        <v>13</v>
      </c>
      <c r="V46" s="6">
        <v>847.71428571428567</v>
      </c>
      <c r="W46" s="6"/>
      <c r="X46" s="6"/>
      <c r="Y46" s="6"/>
      <c r="Z46" s="53"/>
      <c r="AA46" s="53"/>
      <c r="AB46" s="53"/>
      <c r="AD46" s="14"/>
      <c r="AE46" s="14"/>
      <c r="AF46" s="14"/>
    </row>
    <row r="47" spans="1:32" ht="18.600000000000001" thickBot="1" x14ac:dyDescent="0.45">
      <c r="B47" s="16" t="s">
        <v>56</v>
      </c>
      <c r="C47" s="34">
        <f>$J$36/$D$36</f>
        <v>7.1408139455889019</v>
      </c>
      <c r="F47" s="32" t="s">
        <v>60</v>
      </c>
      <c r="G47" s="34">
        <f>SQRT($I$18-$C$18*$C$18)</f>
        <v>13.868919884962576</v>
      </c>
      <c r="I47" s="16" t="s">
        <v>62</v>
      </c>
      <c r="J47" s="33">
        <f>(L18 - B18*C18)/(G50*G47)</f>
        <v>0.96868486549752364</v>
      </c>
      <c r="T47" s="53"/>
      <c r="U47" s="53"/>
      <c r="V47" s="53"/>
      <c r="W47" s="53"/>
      <c r="X47" s="53"/>
      <c r="Y47" s="53"/>
      <c r="Z47" s="53"/>
      <c r="AA47" s="53"/>
      <c r="AB47" s="53"/>
    </row>
    <row r="48" spans="1:32" ht="18" x14ac:dyDescent="0.4">
      <c r="B48" s="16" t="s">
        <v>57</v>
      </c>
      <c r="C48" s="34">
        <f>$D$43/$D$36</f>
        <v>0.73085082444705918</v>
      </c>
      <c r="F48" s="32" t="s">
        <v>63</v>
      </c>
      <c r="G48" s="34">
        <f>SQRT($J$18-$D$18*$D$18)</f>
        <v>4.2257712736425601</v>
      </c>
      <c r="I48" s="16" t="s">
        <v>65</v>
      </c>
      <c r="J48" s="34">
        <f>(M18-B18*D18)/(G50*G48)</f>
        <v>0.425756528432851</v>
      </c>
      <c r="T48" s="50"/>
      <c r="U48" s="50" t="s">
        <v>23</v>
      </c>
      <c r="V48" s="50" t="s">
        <v>7</v>
      </c>
      <c r="W48" s="50" t="s">
        <v>24</v>
      </c>
      <c r="X48" s="50" t="s">
        <v>25</v>
      </c>
      <c r="Y48" s="50" t="s">
        <v>26</v>
      </c>
      <c r="Z48" s="50" t="s">
        <v>27</v>
      </c>
      <c r="AA48" s="50" t="s">
        <v>34</v>
      </c>
      <c r="AB48" s="50" t="s">
        <v>35</v>
      </c>
    </row>
    <row r="49" spans="2:29" ht="18" x14ac:dyDescent="0.4">
      <c r="B49" s="16" t="s">
        <v>58</v>
      </c>
      <c r="C49" s="34">
        <f>$J$43/$D$36</f>
        <v>0.14206268606192965</v>
      </c>
      <c r="F49" s="32" t="s">
        <v>66</v>
      </c>
      <c r="G49" s="34">
        <f>SQRT($K$18-$E$18*$E$18)</f>
        <v>13.657060669208771</v>
      </c>
      <c r="I49" s="16" t="s">
        <v>68</v>
      </c>
      <c r="J49" s="33">
        <f>(N18-B18*E18)/(G50*G49)</f>
        <v>0.96431609435868193</v>
      </c>
      <c r="T49" s="5" t="s">
        <v>17</v>
      </c>
      <c r="U49" s="5">
        <v>6.1443569374342761</v>
      </c>
      <c r="V49" s="5">
        <v>6.9337887592759628</v>
      </c>
      <c r="W49" s="5">
        <v>0.88614711967023918</v>
      </c>
      <c r="X49" s="5">
        <v>0.39449842180022354</v>
      </c>
      <c r="Y49" s="5">
        <v>-9.1168092249423314</v>
      </c>
      <c r="Z49" s="5">
        <v>21.405523099810885</v>
      </c>
      <c r="AA49" s="5">
        <v>-9.1168092249423314</v>
      </c>
      <c r="AB49" s="5">
        <v>21.405523099810885</v>
      </c>
    </row>
    <row r="50" spans="2:29" ht="18" x14ac:dyDescent="0.4">
      <c r="B50" s="16" t="s">
        <v>59</v>
      </c>
      <c r="C50" s="34">
        <f>$P$43/$D$36</f>
        <v>-0.20649038823448887</v>
      </c>
      <c r="F50" s="30" t="s">
        <v>69</v>
      </c>
      <c r="G50" s="34">
        <f>SQRT($O$18-$B$18*$B$18)</f>
        <v>7.7814536179407323</v>
      </c>
      <c r="I50" s="16"/>
      <c r="J50" s="35"/>
      <c r="O50" s="15"/>
      <c r="T50" s="5" t="s">
        <v>29</v>
      </c>
      <c r="U50" s="5">
        <v>0.52594543101808355</v>
      </c>
      <c r="V50" s="5">
        <v>4.2620321541715765E-2</v>
      </c>
      <c r="W50" s="5">
        <v>12.340250190353458</v>
      </c>
      <c r="X50" s="5">
        <v>8.7226518683689674E-8</v>
      </c>
      <c r="Y50" s="5">
        <v>0.43213873578643319</v>
      </c>
      <c r="Z50" s="5">
        <v>0.61975212624973397</v>
      </c>
      <c r="AA50" s="5">
        <v>0.43213873578643319</v>
      </c>
      <c r="AB50" s="5">
        <v>0.61975212624973397</v>
      </c>
    </row>
    <row r="51" spans="2:29" ht="18.600000000000001" thickBot="1" x14ac:dyDescent="0.45">
      <c r="B51" s="30" t="s">
        <v>61</v>
      </c>
      <c r="C51" s="34">
        <f>G47/$G$50 *C48</f>
        <v>1.3025987212396328</v>
      </c>
      <c r="I51" s="16" t="s">
        <v>75</v>
      </c>
      <c r="J51" s="34">
        <f>($I$18-$C$18*$C$18)/($G$47*$G$47)</f>
        <v>1</v>
      </c>
      <c r="L51" s="16" t="s">
        <v>78</v>
      </c>
      <c r="M51" s="34">
        <f>($F$18 - $C$18*$D$18) / ($G$47*$G$48)</f>
        <v>0.36197600928754498</v>
      </c>
      <c r="O51" s="16" t="s">
        <v>81</v>
      </c>
      <c r="P51" s="36">
        <f>($G$18 - $C$18*$E$18) / ($G$47*$G$49)</f>
        <v>0.99843494296606217</v>
      </c>
      <c r="T51" s="6" t="s">
        <v>30</v>
      </c>
      <c r="U51" s="6">
        <v>0.15917682795051663</v>
      </c>
      <c r="V51" s="6">
        <v>0.13987927567690583</v>
      </c>
      <c r="W51" s="6">
        <v>1.1379586231071457</v>
      </c>
      <c r="X51" s="6">
        <v>0.27931662383610345</v>
      </c>
      <c r="Y51" s="6">
        <v>-0.14869538201872035</v>
      </c>
      <c r="Z51" s="6">
        <v>0.46704903791975361</v>
      </c>
      <c r="AA51" s="6">
        <v>-0.14869538201872035</v>
      </c>
      <c r="AB51" s="6">
        <v>0.46704903791975361</v>
      </c>
    </row>
    <row r="52" spans="2:29" ht="18" x14ac:dyDescent="0.4">
      <c r="B52" s="30" t="s">
        <v>64</v>
      </c>
      <c r="C52" s="34">
        <f>G48/$G$50 *C49</f>
        <v>7.7148107190783757E-2</v>
      </c>
      <c r="I52" s="16" t="s">
        <v>76</v>
      </c>
      <c r="J52" s="34">
        <f>($F$18 - $C$18*$D$18) / ($G$47*$G$48)</f>
        <v>0.36197600928754498</v>
      </c>
      <c r="L52" s="16" t="s">
        <v>79</v>
      </c>
      <c r="M52" s="34">
        <f>($J$18-$D$18*$D$18)/($G$48*$G$48)</f>
        <v>0.99999999999999978</v>
      </c>
      <c r="O52" s="16" t="s">
        <v>82</v>
      </c>
      <c r="P52" s="34">
        <f>($H$18 - $D$18*$E$18) / ($G$48*$G$49)</f>
        <v>0.33912460580587706</v>
      </c>
      <c r="T52" s="53"/>
      <c r="U52" s="53"/>
      <c r="V52" s="53"/>
      <c r="W52" s="53"/>
      <c r="X52" s="53"/>
      <c r="Y52" s="53"/>
      <c r="Z52" s="53"/>
      <c r="AA52" s="53"/>
      <c r="AB52" s="53"/>
    </row>
    <row r="53" spans="2:29" ht="18" x14ac:dyDescent="0.4">
      <c r="B53" s="30" t="s">
        <v>67</v>
      </c>
      <c r="C53" s="34">
        <f>G49/$G$50 *C50</f>
        <v>-0.36240680702960743</v>
      </c>
      <c r="H53" s="20"/>
      <c r="I53" s="16" t="s">
        <v>77</v>
      </c>
      <c r="J53" s="36">
        <f>($G$18 - $C$18*$E$18) / ($G$47*$G$49)</f>
        <v>0.99843494296606217</v>
      </c>
      <c r="L53" s="16" t="s">
        <v>80</v>
      </c>
      <c r="M53" s="34">
        <f>($H$18 - $D$18*$E$18) / ($G$48*$G$49)</f>
        <v>0.33912460580587706</v>
      </c>
      <c r="O53" s="16" t="s">
        <v>83</v>
      </c>
      <c r="P53" s="36">
        <f>($K$18-$E$18*$E$18)/($G$49*$G$49)</f>
        <v>1</v>
      </c>
      <c r="T53"/>
      <c r="U53"/>
      <c r="V53"/>
      <c r="W53"/>
      <c r="X53"/>
      <c r="Y53"/>
      <c r="Z53"/>
      <c r="AA53"/>
      <c r="AB53"/>
    </row>
    <row r="54" spans="2:29" x14ac:dyDescent="0.3">
      <c r="B54" s="16"/>
      <c r="C54" s="35"/>
      <c r="N54" s="12"/>
      <c r="O54" s="13"/>
      <c r="T54"/>
      <c r="U54"/>
      <c r="V54"/>
      <c r="W54"/>
      <c r="X54"/>
      <c r="Y54"/>
      <c r="Z54"/>
      <c r="AA54"/>
      <c r="AB54"/>
      <c r="AC54" s="14"/>
    </row>
    <row r="55" spans="2:29" x14ac:dyDescent="0.3">
      <c r="B55" s="31" t="s">
        <v>71</v>
      </c>
      <c r="C55" s="37">
        <f>SQRT(C51*J47+C52*J48+C53*J49)</f>
        <v>0.97220330211853423</v>
      </c>
      <c r="H55" s="15"/>
      <c r="I55" s="15"/>
      <c r="J55" s="15"/>
      <c r="T55" s="1" t="s">
        <v>0</v>
      </c>
      <c r="U55" s="1">
        <v>1</v>
      </c>
      <c r="V55" s="1"/>
      <c r="W55" s="1"/>
      <c r="X55" s="7"/>
      <c r="Y55" s="7"/>
      <c r="Z55" s="7"/>
      <c r="AA55" s="7"/>
      <c r="AB55" s="7"/>
      <c r="AC55" s="14"/>
    </row>
    <row r="56" spans="2:29" x14ac:dyDescent="0.3">
      <c r="B56" s="16" t="s">
        <v>70</v>
      </c>
      <c r="C56" s="37">
        <f>C55*C55</f>
        <v>0.94517926065018198</v>
      </c>
      <c r="H56" s="15"/>
      <c r="I56" s="15"/>
      <c r="J56" s="15"/>
      <c r="K56" s="22">
        <f>($I$18-$C$18*$C$18)/($G$47*$G$47)</f>
        <v>1</v>
      </c>
      <c r="L56" s="15">
        <f>($F$18 - $C$18*$D$18) / ($G$47*$G$48)</f>
        <v>0.36197600928754498</v>
      </c>
      <c r="M56" s="24">
        <f>($G$18 - $C$18*$E$18) / ($G$47*$G$49)</f>
        <v>0.99843494296606217</v>
      </c>
      <c r="O56" s="15"/>
      <c r="T56" s="1" t="s">
        <v>29</v>
      </c>
      <c r="U56" s="5">
        <v>0.9686848654975172</v>
      </c>
      <c r="V56" s="5">
        <v>1</v>
      </c>
      <c r="W56" s="1"/>
      <c r="X56" s="7"/>
      <c r="Y56" s="7"/>
      <c r="Z56" s="7"/>
      <c r="AA56" s="7"/>
      <c r="AB56" s="7"/>
      <c r="AC56" s="17"/>
    </row>
    <row r="57" spans="2:29" ht="16.2" thickBot="1" x14ac:dyDescent="0.35">
      <c r="B57" s="16" t="s">
        <v>72</v>
      </c>
      <c r="C57" s="37">
        <f>1 - (1 - C56) * (13 / 10)</f>
        <v>0.92873303884523661</v>
      </c>
      <c r="H57" s="15"/>
      <c r="I57" s="15"/>
      <c r="J57" s="15"/>
      <c r="K57" s="22">
        <f>($F$18 - $C$18*$D$18) / ($G$47*$G$48)</f>
        <v>0.36197600928754498</v>
      </c>
      <c r="L57" s="15">
        <f>($J$18-$D$18*$D$18)/($G$48*$G$48)</f>
        <v>0.99999999999999978</v>
      </c>
      <c r="M57" s="25">
        <f>($H$18 - $D$18*$E$18) / ($G$48*$G$49)</f>
        <v>0.33912460580587706</v>
      </c>
      <c r="N57" s="38" t="s">
        <v>84</v>
      </c>
      <c r="O57" s="33">
        <f>MDETERM(K56:M58)</f>
        <v>2.2212409602030241E-3</v>
      </c>
      <c r="T57" s="2" t="s">
        <v>30</v>
      </c>
      <c r="U57" s="6">
        <v>0.42575652843286144</v>
      </c>
      <c r="V57" s="6">
        <v>0.36197600928754209</v>
      </c>
      <c r="W57" s="2">
        <v>1</v>
      </c>
      <c r="X57" s="7"/>
      <c r="Y57" s="7"/>
      <c r="Z57" s="7"/>
      <c r="AA57" s="7"/>
      <c r="AB57" s="7"/>
      <c r="AC57" s="12"/>
    </row>
    <row r="58" spans="2:29" x14ac:dyDescent="0.3">
      <c r="B58" s="16" t="s">
        <v>73</v>
      </c>
      <c r="C58" s="37">
        <f>C56/(1 - C56) * (14 - 3- 1) / 3</f>
        <v>57.470905589146632</v>
      </c>
      <c r="H58" s="15"/>
      <c r="I58" s="15"/>
      <c r="J58" s="15"/>
      <c r="K58" s="23">
        <f>($G$18 - $C$18*$E$18) / ($G$47*$G$49)</f>
        <v>0.99843494296606217</v>
      </c>
      <c r="L58" s="15">
        <f>($H$18 - $D$18*$E$18) / ($G$48*$G$49)</f>
        <v>0.33912460580587706</v>
      </c>
      <c r="M58" s="24">
        <f>($K$18-$E$18*$E$18)/($G$49*$G$49)</f>
        <v>1</v>
      </c>
      <c r="O58" s="15"/>
      <c r="T58" s="1"/>
      <c r="U58" s="1"/>
      <c r="V58" s="7"/>
      <c r="W58" s="7"/>
      <c r="X58" s="7"/>
      <c r="Y58" s="7"/>
      <c r="Z58" s="7"/>
      <c r="AA58" s="7"/>
      <c r="AB58" s="7"/>
      <c r="AC58" s="12"/>
    </row>
    <row r="59" spans="2:29" x14ac:dyDescent="0.3">
      <c r="B59" s="16" t="s">
        <v>74</v>
      </c>
      <c r="C59" s="34">
        <f>FINV(0.05, 3, 10)</f>
        <v>3.7082648190468448</v>
      </c>
      <c r="H59" s="15"/>
      <c r="I59" s="15"/>
      <c r="J59" s="15"/>
      <c r="T59" s="1"/>
      <c r="U59" s="1"/>
      <c r="V59" s="7"/>
      <c r="W59" s="7"/>
      <c r="X59" s="7"/>
      <c r="Y59" s="7"/>
      <c r="Z59" s="7"/>
      <c r="AA59" s="7"/>
      <c r="AB59" s="7"/>
      <c r="AC59" s="12"/>
    </row>
    <row r="60" spans="2:29" ht="18" x14ac:dyDescent="0.35">
      <c r="B60" s="16" t="s">
        <v>55</v>
      </c>
      <c r="C60" s="34">
        <f>TINV(0.05, 10)</f>
        <v>2.2281388519862744</v>
      </c>
      <c r="H60" s="15"/>
      <c r="I60" s="28" t="s">
        <v>85</v>
      </c>
      <c r="J60" s="34">
        <f>14 - 1 - (1/6)*(2*3 + 5)*LOG10(O57)</f>
        <v>17.864574598828579</v>
      </c>
      <c r="T60" s="1"/>
      <c r="U60" s="1"/>
      <c r="V60" s="7"/>
      <c r="W60" s="7"/>
      <c r="X60" s="7"/>
      <c r="Y60" s="7"/>
      <c r="Z60" s="7"/>
      <c r="AA60" s="7"/>
      <c r="AB60" s="7"/>
      <c r="AC60" s="12"/>
    </row>
    <row r="61" spans="2:29" x14ac:dyDescent="0.3">
      <c r="I61" s="29" t="s">
        <v>86</v>
      </c>
      <c r="J61" s="34">
        <f>CHIINV(0.05, 3)</f>
        <v>7.8147279032511792</v>
      </c>
      <c r="T61" s="1"/>
      <c r="U61" s="1"/>
      <c r="V61" s="7"/>
      <c r="W61" s="7"/>
      <c r="X61" s="7"/>
      <c r="Y61" s="7"/>
      <c r="Z61" s="7"/>
      <c r="AA61" s="7"/>
      <c r="AB61" s="7"/>
      <c r="AC61" s="14"/>
    </row>
    <row r="62" spans="2:29" x14ac:dyDescent="0.3">
      <c r="I62" s="15"/>
      <c r="J62" s="15"/>
      <c r="T62" s="7"/>
      <c r="U62" s="7"/>
      <c r="V62" s="7"/>
      <c r="W62" s="7"/>
      <c r="X62" s="7"/>
      <c r="Y62" s="7"/>
      <c r="Z62" s="7"/>
      <c r="AA62" s="7"/>
      <c r="AB62" s="7"/>
      <c r="AC62" s="14"/>
    </row>
    <row r="63" spans="2:29" x14ac:dyDescent="0.3">
      <c r="I63" s="15"/>
      <c r="J63" s="15"/>
      <c r="T63" s="7"/>
      <c r="U63" s="7"/>
      <c r="V63" s="7"/>
      <c r="W63" s="7"/>
      <c r="X63" s="7"/>
      <c r="Y63" s="7"/>
      <c r="Z63" s="7"/>
      <c r="AA63" s="7"/>
      <c r="AB63" s="7"/>
      <c r="AC63" s="14"/>
    </row>
    <row r="64" spans="2:29" x14ac:dyDescent="0.3">
      <c r="H64" s="15"/>
      <c r="I64" s="15"/>
      <c r="J64" s="15"/>
      <c r="T64" s="8"/>
      <c r="U64" s="8"/>
      <c r="V64" s="8"/>
      <c r="W64" s="8"/>
      <c r="X64" s="8"/>
      <c r="Y64" s="8"/>
      <c r="Z64" s="7"/>
      <c r="AA64" s="7"/>
      <c r="AB64" s="7"/>
      <c r="AC64" s="14"/>
    </row>
    <row r="65" spans="1:29" x14ac:dyDescent="0.3">
      <c r="A65" s="10" t="s">
        <v>88</v>
      </c>
      <c r="B65" s="16" t="s">
        <v>45</v>
      </c>
      <c r="C65" s="10" t="s">
        <v>46</v>
      </c>
      <c r="D65" s="16" t="s">
        <v>47</v>
      </c>
      <c r="E65" s="10" t="s">
        <v>48</v>
      </c>
      <c r="G65" s="16" t="s">
        <v>49</v>
      </c>
      <c r="H65" s="15"/>
      <c r="I65" s="15"/>
      <c r="J65" s="15"/>
      <c r="T65" s="1"/>
      <c r="U65" s="1"/>
      <c r="V65" s="1"/>
      <c r="W65" s="1"/>
      <c r="X65" s="1"/>
      <c r="Y65" s="1"/>
      <c r="Z65" s="7"/>
      <c r="AA65" s="7"/>
      <c r="AB65" s="7"/>
      <c r="AC65" s="14"/>
    </row>
    <row r="66" spans="1:29" x14ac:dyDescent="0.3">
      <c r="H66" s="15"/>
      <c r="I66" s="15"/>
      <c r="J66" s="15"/>
      <c r="T66" s="1"/>
      <c r="U66" s="1"/>
      <c r="V66" s="1"/>
      <c r="W66" s="1"/>
      <c r="X66" s="1"/>
      <c r="Y66" s="1"/>
      <c r="Z66" s="7"/>
      <c r="AA66" s="7"/>
      <c r="AB66" s="7"/>
      <c r="AC66" s="14"/>
    </row>
    <row r="67" spans="1:29" x14ac:dyDescent="0.3">
      <c r="B67" s="10">
        <f>ROWS($B$4:$B$17)</f>
        <v>14</v>
      </c>
      <c r="C67" s="10">
        <f>$C$19</f>
        <v>920</v>
      </c>
      <c r="D67" s="10">
        <f>$D$19</f>
        <v>742</v>
      </c>
      <c r="G67" s="10">
        <f>$B$19</f>
        <v>688</v>
      </c>
      <c r="H67" s="15"/>
      <c r="I67" s="15"/>
      <c r="J67" s="15"/>
      <c r="T67" s="1"/>
      <c r="U67" s="1"/>
      <c r="V67" s="1"/>
      <c r="W67" s="1"/>
      <c r="X67" s="1"/>
      <c r="Y67" s="1"/>
      <c r="Z67" s="7"/>
      <c r="AA67" s="7"/>
      <c r="AB67" s="7"/>
      <c r="AC67" s="14"/>
    </row>
    <row r="68" spans="1:29" x14ac:dyDescent="0.3">
      <c r="B68" s="10">
        <f>$C$19</f>
        <v>920</v>
      </c>
      <c r="C68" s="10">
        <f>$I$19</f>
        <v>63150</v>
      </c>
      <c r="D68" s="10">
        <f>$F$19</f>
        <v>49057</v>
      </c>
      <c r="G68" s="10">
        <f>$L$19</f>
        <v>46675</v>
      </c>
      <c r="H68" s="15"/>
      <c r="I68" s="15"/>
      <c r="J68" s="15"/>
      <c r="T68" s="7"/>
      <c r="U68" s="7"/>
      <c r="V68" s="7"/>
      <c r="W68" s="7"/>
      <c r="X68" s="7"/>
      <c r="Y68" s="7"/>
      <c r="Z68" s="7"/>
      <c r="AA68" s="7"/>
      <c r="AB68" s="7"/>
      <c r="AC68" s="14"/>
    </row>
    <row r="69" spans="1:29" x14ac:dyDescent="0.3">
      <c r="B69" s="10">
        <f>$D$19</f>
        <v>742</v>
      </c>
      <c r="C69" s="10">
        <f>$F$19</f>
        <v>49057</v>
      </c>
      <c r="D69" s="10">
        <f>$J$19</f>
        <v>39576</v>
      </c>
      <c r="G69" s="10">
        <f>$M$19</f>
        <v>36660</v>
      </c>
      <c r="H69" s="15"/>
      <c r="I69" s="15"/>
      <c r="J69" s="15"/>
      <c r="T69" s="7"/>
      <c r="U69" s="7"/>
      <c r="V69" s="7"/>
      <c r="W69" s="7"/>
      <c r="X69" s="7"/>
      <c r="Y69" s="7"/>
      <c r="Z69" s="7"/>
      <c r="AA69" s="7"/>
      <c r="AB69" s="7"/>
    </row>
    <row r="70" spans="1:29" x14ac:dyDescent="0.3">
      <c r="J70" s="15"/>
      <c r="T70" s="7"/>
      <c r="U70" s="7"/>
      <c r="V70" s="7"/>
      <c r="W70" s="7"/>
      <c r="X70" s="7"/>
      <c r="Y70" s="7"/>
      <c r="Z70" s="7"/>
      <c r="AA70" s="7"/>
      <c r="AB70" s="7"/>
    </row>
    <row r="71" spans="1:29" x14ac:dyDescent="0.3">
      <c r="H71" s="15"/>
      <c r="I71" s="15"/>
      <c r="T71" s="7"/>
      <c r="U71" s="7"/>
      <c r="V71" s="7"/>
      <c r="W71" s="7"/>
      <c r="X71" s="7"/>
      <c r="Y71" s="7"/>
      <c r="Z71" s="7"/>
      <c r="AA71" s="7"/>
      <c r="AB71" s="7"/>
    </row>
    <row r="72" spans="1:29" x14ac:dyDescent="0.3">
      <c r="A72" s="10" t="s">
        <v>1</v>
      </c>
      <c r="B72" s="10">
        <f>ROWS($B$4:$B$17)</f>
        <v>14</v>
      </c>
      <c r="C72" s="10">
        <f>$C$19</f>
        <v>920</v>
      </c>
      <c r="D72" s="10">
        <f>$D$19</f>
        <v>742</v>
      </c>
      <c r="G72" s="10" t="s">
        <v>1</v>
      </c>
      <c r="H72" s="10">
        <f>$B$19</f>
        <v>688</v>
      </c>
      <c r="I72" s="10">
        <f>$C$19</f>
        <v>920</v>
      </c>
      <c r="J72" s="10">
        <f>$D$19</f>
        <v>742</v>
      </c>
      <c r="T72" s="7"/>
      <c r="U72" s="7"/>
      <c r="V72" s="7"/>
      <c r="W72" s="7"/>
      <c r="X72" s="7"/>
      <c r="Y72" s="7"/>
      <c r="Z72" s="7"/>
      <c r="AA72" s="7"/>
      <c r="AB72" s="7"/>
    </row>
    <row r="73" spans="1:29" ht="14.4" customHeight="1" x14ac:dyDescent="0.3">
      <c r="A73" s="10" t="s">
        <v>2</v>
      </c>
      <c r="B73" s="10">
        <f>$C$19</f>
        <v>920</v>
      </c>
      <c r="C73" s="10">
        <f>$I$19</f>
        <v>63150</v>
      </c>
      <c r="D73" s="10">
        <f>$F$19</f>
        <v>49057</v>
      </c>
      <c r="E73" s="15"/>
      <c r="F73" s="15"/>
      <c r="G73" s="10" t="s">
        <v>5</v>
      </c>
      <c r="H73" s="10">
        <f>$L$19</f>
        <v>46675</v>
      </c>
      <c r="I73" s="10">
        <f>$I$19</f>
        <v>63150</v>
      </c>
      <c r="J73" s="10">
        <f>$F$19</f>
        <v>49057</v>
      </c>
      <c r="T73" s="7"/>
      <c r="U73" s="7"/>
      <c r="V73" s="7"/>
      <c r="W73" s="7"/>
      <c r="X73" s="7"/>
      <c r="Y73" s="7"/>
      <c r="Z73" s="7"/>
      <c r="AA73" s="7"/>
      <c r="AB73" s="7"/>
    </row>
    <row r="74" spans="1:29" ht="14.4" customHeight="1" x14ac:dyDescent="0.3">
      <c r="B74" s="10">
        <f>$D$19</f>
        <v>742</v>
      </c>
      <c r="C74" s="10">
        <f>$F$19</f>
        <v>49057</v>
      </c>
      <c r="D74" s="10">
        <f>$J$19</f>
        <v>39576</v>
      </c>
      <c r="E74" s="15"/>
      <c r="F74" s="15"/>
      <c r="H74" s="10">
        <f>$M$19</f>
        <v>36660</v>
      </c>
      <c r="I74" s="10">
        <f>$F$19</f>
        <v>49057</v>
      </c>
      <c r="J74" s="10">
        <f>$J$19</f>
        <v>39576</v>
      </c>
      <c r="T74"/>
      <c r="U74"/>
      <c r="V74"/>
      <c r="W74"/>
      <c r="X74"/>
      <c r="Y74"/>
      <c r="Z74"/>
      <c r="AA74"/>
      <c r="AB74"/>
    </row>
    <row r="75" spans="1:29" ht="14.4" customHeight="1" x14ac:dyDescent="0.3">
      <c r="D75" s="15"/>
      <c r="E75" s="15"/>
      <c r="F75" s="15"/>
      <c r="T75"/>
      <c r="U75"/>
      <c r="V75"/>
      <c r="W75"/>
      <c r="X75"/>
      <c r="Y75"/>
      <c r="Z75"/>
      <c r="AA75"/>
      <c r="AB75"/>
    </row>
    <row r="76" spans="1:29" ht="14.4" customHeight="1" x14ac:dyDescent="0.3">
      <c r="B76" s="10" t="s">
        <v>2</v>
      </c>
      <c r="C76" s="10">
        <f>MDETERM(B72:D74)</f>
        <v>8190074.000000027</v>
      </c>
      <c r="D76" s="15"/>
      <c r="E76" s="15"/>
      <c r="F76" s="15"/>
      <c r="H76" s="10" t="s">
        <v>5</v>
      </c>
      <c r="I76" s="10">
        <f>MDETERM(H72:J74)</f>
        <v>50322737.999996841</v>
      </c>
    </row>
    <row r="77" spans="1:29" ht="14.4" customHeight="1" x14ac:dyDescent="0.3">
      <c r="D77" s="15"/>
      <c r="E77" s="15"/>
      <c r="F77" s="15"/>
    </row>
    <row r="78" spans="1:29" ht="14.4" customHeight="1" x14ac:dyDescent="0.3">
      <c r="A78" s="10" t="s">
        <v>1</v>
      </c>
      <c r="B78" s="10">
        <f>ROWS($B$4:$B$17)</f>
        <v>14</v>
      </c>
      <c r="C78" s="10">
        <f>$B$19</f>
        <v>688</v>
      </c>
      <c r="D78" s="10">
        <f>$D$19</f>
        <v>742</v>
      </c>
      <c r="E78" s="15"/>
      <c r="G78" s="10" t="s">
        <v>1</v>
      </c>
      <c r="H78" s="10">
        <f>ROWS($B$4:$B$17)</f>
        <v>14</v>
      </c>
      <c r="I78" s="10">
        <f>$C$19</f>
        <v>920</v>
      </c>
      <c r="J78" s="10">
        <f>$B$19</f>
        <v>688</v>
      </c>
    </row>
    <row r="79" spans="1:29" ht="14.4" customHeight="1" x14ac:dyDescent="0.3">
      <c r="A79" s="10" t="s">
        <v>50</v>
      </c>
      <c r="B79" s="10">
        <f>$C$19</f>
        <v>920</v>
      </c>
      <c r="C79" s="10">
        <f>$L$19</f>
        <v>46675</v>
      </c>
      <c r="D79" s="10">
        <f>$F$19</f>
        <v>49057</v>
      </c>
      <c r="E79" s="15"/>
      <c r="G79" s="10" t="s">
        <v>51</v>
      </c>
      <c r="H79" s="10">
        <f>$C$19</f>
        <v>920</v>
      </c>
      <c r="I79" s="10">
        <f>$I$19</f>
        <v>63150</v>
      </c>
      <c r="J79" s="10">
        <f>$L$19</f>
        <v>46675</v>
      </c>
    </row>
    <row r="80" spans="1:29" ht="14.4" customHeight="1" x14ac:dyDescent="0.3">
      <c r="B80" s="10">
        <f>$D$19</f>
        <v>742</v>
      </c>
      <c r="C80" s="10">
        <f>$M$19</f>
        <v>36660</v>
      </c>
      <c r="D80" s="10">
        <f>$J$19</f>
        <v>39576</v>
      </c>
      <c r="E80" s="15"/>
      <c r="H80" s="10">
        <f>$D$19</f>
        <v>742</v>
      </c>
      <c r="I80" s="10">
        <f>$F$19</f>
        <v>49057</v>
      </c>
      <c r="J80" s="10">
        <f>$M$19</f>
        <v>36660</v>
      </c>
    </row>
    <row r="81" spans="2:15" ht="14.4" customHeight="1" x14ac:dyDescent="0.3">
      <c r="D81" s="19"/>
      <c r="E81" s="15"/>
    </row>
    <row r="82" spans="2:15" ht="14.4" customHeight="1" x14ac:dyDescent="0.3">
      <c r="B82" s="10" t="s">
        <v>50</v>
      </c>
      <c r="C82" s="10">
        <f>MDETERM(B78:D80)</f>
        <v>4307531.9999999935</v>
      </c>
      <c r="D82" s="20"/>
      <c r="E82" s="15"/>
      <c r="H82" s="10" t="s">
        <v>51</v>
      </c>
      <c r="I82" s="10">
        <f>MDETERM(H78:J80)</f>
        <v>1303670.0000003034</v>
      </c>
    </row>
    <row r="84" spans="2:15" x14ac:dyDescent="0.3">
      <c r="B84" s="16"/>
    </row>
    <row r="85" spans="2:15" ht="18" x14ac:dyDescent="0.4">
      <c r="B85" s="16" t="s">
        <v>6</v>
      </c>
      <c r="C85" s="34">
        <f>I76/C76</f>
        <v>6.1443569374338587</v>
      </c>
      <c r="F85" s="32" t="s">
        <v>60</v>
      </c>
      <c r="G85" s="34">
        <f>SQRT($I$18-$C$18*$C$18)</f>
        <v>13.868919884962576</v>
      </c>
      <c r="I85" s="16" t="s">
        <v>62</v>
      </c>
      <c r="J85" s="34">
        <f>(L18-B18*C18)/(G87*G85)</f>
        <v>0.96868486549752364</v>
      </c>
    </row>
    <row r="86" spans="2:15" ht="18" x14ac:dyDescent="0.4">
      <c r="B86" s="16" t="s">
        <v>89</v>
      </c>
      <c r="C86" s="34">
        <f>C82/C76</f>
        <v>0.52594543101808111</v>
      </c>
      <c r="F86" s="32" t="s">
        <v>63</v>
      </c>
      <c r="G86" s="34">
        <f>SQRT($J$18-$D$18*$D$18)</f>
        <v>4.2257712736425601</v>
      </c>
      <c r="I86" s="16" t="s">
        <v>65</v>
      </c>
      <c r="J86" s="34">
        <f>(M18-B18*D18)/(G87*G86)</f>
        <v>0.425756528432851</v>
      </c>
    </row>
    <row r="87" spans="2:15" ht="18" x14ac:dyDescent="0.4">
      <c r="B87" s="16" t="s">
        <v>90</v>
      </c>
      <c r="C87" s="34">
        <f>I82/C76</f>
        <v>0.15917682795055321</v>
      </c>
      <c r="F87" s="30" t="s">
        <v>69</v>
      </c>
      <c r="G87" s="34">
        <f>SQRT($O$18-$B$18*$B$18)</f>
        <v>7.7814536179407323</v>
      </c>
      <c r="I87" s="16"/>
      <c r="J87" s="33"/>
    </row>
    <row r="88" spans="2:15" ht="18" x14ac:dyDescent="0.4">
      <c r="B88" s="30" t="s">
        <v>61</v>
      </c>
      <c r="C88" s="34">
        <f>G85*C86/$G$87</f>
        <v>0.93739491421427057</v>
      </c>
      <c r="I88" s="16"/>
      <c r="J88" s="35"/>
      <c r="O88" s="15"/>
    </row>
    <row r="89" spans="2:15" ht="18" x14ac:dyDescent="0.4">
      <c r="B89" s="30" t="s">
        <v>64</v>
      </c>
      <c r="C89" s="34">
        <f>G86*C87/$G$87</f>
        <v>8.6442058259160987E-2</v>
      </c>
      <c r="I89" s="16" t="s">
        <v>75</v>
      </c>
      <c r="J89" s="34">
        <f>($I$18-$C$18*$C$18)/($G$47*$G$47)</f>
        <v>1</v>
      </c>
      <c r="L89" s="16" t="s">
        <v>78</v>
      </c>
      <c r="M89" s="34">
        <f>($F$18 - $C$18*$D$18) / ($G$47*$G$48)</f>
        <v>0.36197600928754498</v>
      </c>
    </row>
    <row r="90" spans="2:15" ht="18" x14ac:dyDescent="0.4">
      <c r="I90" s="16" t="s">
        <v>76</v>
      </c>
      <c r="J90" s="34">
        <f>($F$18 - $C$18*$D$18) / ($G$47*$G$48)</f>
        <v>0.36197600928754498</v>
      </c>
      <c r="L90" s="16" t="s">
        <v>79</v>
      </c>
      <c r="M90" s="34">
        <f>($J$18-$D$18*$D$18)/($G$48*$G$48)</f>
        <v>0.99999999999999978</v>
      </c>
    </row>
    <row r="91" spans="2:15" x14ac:dyDescent="0.3">
      <c r="B91" s="31" t="s">
        <v>71</v>
      </c>
      <c r="C91" s="37">
        <f>SQRT(C88*J85+C89*J86)</f>
        <v>0.97203062556111064</v>
      </c>
      <c r="H91" s="20"/>
      <c r="N91" s="12"/>
      <c r="O91" s="13"/>
    </row>
    <row r="92" spans="2:15" x14ac:dyDescent="0.3">
      <c r="B92" s="16" t="s">
        <v>70</v>
      </c>
      <c r="C92" s="37">
        <f>C91*C91</f>
        <v>0.94484353702872403</v>
      </c>
      <c r="I92" s="15"/>
      <c r="J92" s="15"/>
    </row>
    <row r="93" spans="2:15" x14ac:dyDescent="0.3">
      <c r="B93" s="16" t="s">
        <v>72</v>
      </c>
      <c r="C93" s="37">
        <f>1 - (1 - C92) * (13 / 11)</f>
        <v>0.93481508921576473</v>
      </c>
      <c r="H93" s="15"/>
      <c r="I93" s="15"/>
      <c r="J93" s="15"/>
      <c r="K93" s="22">
        <f>($I$18-$C$18*$C$18)/($G$47*$G$47)</f>
        <v>1</v>
      </c>
      <c r="L93" s="25">
        <f>($F$18 - $C$18*$D$18) / ($G$47*$G$48)</f>
        <v>0.36197600928754498</v>
      </c>
      <c r="N93" s="15"/>
    </row>
    <row r="94" spans="2:15" x14ac:dyDescent="0.3">
      <c r="B94" s="16" t="s">
        <v>73</v>
      </c>
      <c r="C94" s="37">
        <f>C92/(1 - C92) * (14 - 2- 1) / 2</f>
        <v>94.216328852781132</v>
      </c>
      <c r="H94" s="15"/>
      <c r="I94" s="15"/>
      <c r="J94" s="15"/>
      <c r="K94" s="22">
        <f>($F$18 - $C$18*$D$18) / ($G$47*$G$48)</f>
        <v>0.36197600928754498</v>
      </c>
      <c r="L94" s="25">
        <f>($J$18-$D$18*$D$18)/($G$48*$G$48)</f>
        <v>0.99999999999999978</v>
      </c>
      <c r="M94" s="38" t="s">
        <v>84</v>
      </c>
      <c r="N94" s="34">
        <f>MDETERM(K93:L94)</f>
        <v>0.86897336870026298</v>
      </c>
    </row>
    <row r="95" spans="2:15" x14ac:dyDescent="0.3">
      <c r="B95" s="16" t="s">
        <v>74</v>
      </c>
      <c r="C95" s="34">
        <f>FINV(0.05, 2, 11)</f>
        <v>3.9822979570944854</v>
      </c>
      <c r="H95" s="15"/>
      <c r="I95" s="15"/>
      <c r="J95" s="15"/>
      <c r="O95" s="15"/>
    </row>
    <row r="96" spans="2:15" x14ac:dyDescent="0.3">
      <c r="B96" s="16" t="s">
        <v>55</v>
      </c>
      <c r="C96" s="34">
        <f>TINV(0.05, 11)</f>
        <v>2.2009851600916384</v>
      </c>
      <c r="H96" s="15"/>
      <c r="I96" s="15"/>
      <c r="J96" s="15"/>
    </row>
    <row r="97" spans="2:11" x14ac:dyDescent="0.3">
      <c r="H97" s="15"/>
    </row>
    <row r="98" spans="2:11" ht="18" x14ac:dyDescent="0.4">
      <c r="F98" s="16" t="s">
        <v>91</v>
      </c>
      <c r="G98" s="15">
        <f>C86*C$18/$B$18</f>
        <v>0.70329912287301533</v>
      </c>
      <c r="H98" s="15"/>
    </row>
    <row r="99" spans="2:11" ht="18" x14ac:dyDescent="0.4">
      <c r="F99" s="16" t="s">
        <v>92</v>
      </c>
      <c r="G99" s="15">
        <f>C87*D$18/$B$18</f>
        <v>0.17167035805132339</v>
      </c>
    </row>
    <row r="103" spans="2:11" ht="20.399999999999999" x14ac:dyDescent="0.45">
      <c r="C103" s="10" t="s">
        <v>93</v>
      </c>
      <c r="D103" s="10">
        <f>MAX(C4:C17)</f>
        <v>90</v>
      </c>
      <c r="F103" s="9" t="s">
        <v>96</v>
      </c>
      <c r="G103" s="35">
        <f>$D$103*1.1</f>
        <v>99.000000000000014</v>
      </c>
      <c r="I103" s="9" t="s">
        <v>97</v>
      </c>
      <c r="J103" s="34">
        <f>C86*G103+C87*G104+C85</f>
        <v>64.30146827733256</v>
      </c>
    </row>
    <row r="104" spans="2:11" ht="20.399999999999999" x14ac:dyDescent="0.45">
      <c r="C104" s="10" t="s">
        <v>94</v>
      </c>
      <c r="D104" s="10">
        <f>MIN(D4:D17)</f>
        <v>45</v>
      </c>
      <c r="F104" s="9" t="s">
        <v>95</v>
      </c>
      <c r="G104" s="35">
        <f>$D$104*0.85</f>
        <v>38.25</v>
      </c>
    </row>
    <row r="107" spans="2:11" x14ac:dyDescent="0.3">
      <c r="B107" s="18"/>
      <c r="C107" s="41"/>
      <c r="D107" s="42">
        <v>1</v>
      </c>
      <c r="E107" s="41"/>
      <c r="F107" s="41"/>
      <c r="G107" s="41"/>
      <c r="H107" s="41"/>
      <c r="I107" s="41"/>
      <c r="J107" s="41"/>
      <c r="K107" s="41"/>
    </row>
    <row r="108" spans="2:11" ht="21.6" x14ac:dyDescent="0.45">
      <c r="C108" s="43" t="s">
        <v>98</v>
      </c>
      <c r="D108" s="44">
        <f>$D$103*1.1</f>
        <v>99.000000000000014</v>
      </c>
      <c r="E108" s="41"/>
      <c r="F108" s="45" t="s">
        <v>99</v>
      </c>
      <c r="G108" s="42" cm="1">
        <f t="array" ref="G108:I108">TRANSPOSE(D107:D109)</f>
        <v>1</v>
      </c>
      <c r="H108" s="42">
        <v>99.000000000000014</v>
      </c>
      <c r="I108" s="42">
        <v>38.25</v>
      </c>
      <c r="J108" s="41"/>
      <c r="K108" s="41"/>
    </row>
    <row r="109" spans="2:11" x14ac:dyDescent="0.3">
      <c r="C109" s="41"/>
      <c r="D109" s="44">
        <f>$D$104*0.85</f>
        <v>38.25</v>
      </c>
      <c r="E109" s="41"/>
      <c r="F109" s="41"/>
      <c r="G109" s="41"/>
      <c r="H109" s="41"/>
      <c r="I109" s="41"/>
      <c r="J109" s="41"/>
      <c r="K109" s="41"/>
    </row>
    <row r="110" spans="2:11" x14ac:dyDescent="0.3">
      <c r="C110" s="41"/>
      <c r="D110" s="41"/>
      <c r="E110" s="41"/>
      <c r="F110" s="41"/>
      <c r="G110" s="41"/>
      <c r="H110" s="41"/>
      <c r="I110" s="41"/>
      <c r="J110" s="41"/>
      <c r="K110" s="41"/>
    </row>
    <row r="111" spans="2:11" x14ac:dyDescent="0.3">
      <c r="C111" s="41"/>
      <c r="D111" s="41">
        <f>ROWS($B$4:$B$17)</f>
        <v>14</v>
      </c>
      <c r="E111" s="41">
        <f>$C$19</f>
        <v>920</v>
      </c>
      <c r="F111" s="41">
        <f>$D$19</f>
        <v>742</v>
      </c>
      <c r="G111" s="41"/>
      <c r="H111" s="41"/>
      <c r="I111" s="41" cm="1">
        <f t="array" ref="I111:K113">TRANSPOSE(D111:F113)</f>
        <v>14</v>
      </c>
      <c r="J111" s="41">
        <v>920</v>
      </c>
      <c r="K111" s="41">
        <v>742</v>
      </c>
    </row>
    <row r="112" spans="2:11" ht="20.399999999999999" x14ac:dyDescent="0.35">
      <c r="C112" s="46" t="s">
        <v>100</v>
      </c>
      <c r="D112" s="41">
        <f>$C$19</f>
        <v>920</v>
      </c>
      <c r="E112" s="41">
        <f>$I$19</f>
        <v>63150</v>
      </c>
      <c r="F112" s="41">
        <f>$F$19</f>
        <v>49057</v>
      </c>
      <c r="G112" s="41"/>
      <c r="H112" s="47" t="s">
        <v>101</v>
      </c>
      <c r="I112" s="41">
        <v>920</v>
      </c>
      <c r="J112" s="41">
        <v>63150</v>
      </c>
      <c r="K112" s="41">
        <v>49057</v>
      </c>
    </row>
    <row r="113" spans="3:11" x14ac:dyDescent="0.3">
      <c r="C113" s="41"/>
      <c r="D113" s="41">
        <f>$D$19</f>
        <v>742</v>
      </c>
      <c r="E113" s="41">
        <f>$F$19</f>
        <v>49057</v>
      </c>
      <c r="F113" s="41">
        <f>$J$19</f>
        <v>39576</v>
      </c>
      <c r="G113" s="41"/>
      <c r="H113" s="41"/>
      <c r="I113" s="41">
        <v>742</v>
      </c>
      <c r="J113" s="41">
        <v>49057</v>
      </c>
      <c r="K113" s="41">
        <v>39576</v>
      </c>
    </row>
    <row r="114" spans="3:11" x14ac:dyDescent="0.3">
      <c r="C114" s="27"/>
      <c r="D114" s="27"/>
      <c r="E114" s="27"/>
      <c r="F114" s="27"/>
      <c r="G114" s="27"/>
      <c r="H114" s="27"/>
      <c r="I114" s="27"/>
      <c r="J114" s="27"/>
      <c r="K114" s="27"/>
    </row>
    <row r="115" spans="3:11" x14ac:dyDescent="0.3">
      <c r="C115" s="27"/>
      <c r="D115" s="18" cm="1">
        <f t="array" ref="D115:F117">MMULT(_xlfn.ANCHORARRAY(I111), D111:F113)</f>
        <v>1397160</v>
      </c>
      <c r="E115" s="18">
        <v>94511174</v>
      </c>
      <c r="F115" s="18">
        <v>74508220</v>
      </c>
      <c r="G115" s="27"/>
    </row>
    <row r="116" spans="3:11" ht="20.399999999999999" x14ac:dyDescent="0.35">
      <c r="C116" s="48" t="s">
        <v>102</v>
      </c>
      <c r="D116" s="18">
        <v>94511174</v>
      </c>
      <c r="E116" s="18">
        <v>6395358149</v>
      </c>
      <c r="F116" s="18">
        <v>5040112022</v>
      </c>
      <c r="G116" s="27"/>
    </row>
    <row r="117" spans="3:11" x14ac:dyDescent="0.3">
      <c r="C117" s="27"/>
      <c r="D117" s="18">
        <v>74508220</v>
      </c>
      <c r="E117" s="18">
        <v>5040112022</v>
      </c>
      <c r="F117" s="18">
        <v>3973399589</v>
      </c>
      <c r="G117" s="27"/>
    </row>
    <row r="118" spans="3:11" x14ac:dyDescent="0.3">
      <c r="C118" s="27"/>
      <c r="D118" s="27"/>
      <c r="E118" s="27"/>
      <c r="F118" s="27"/>
      <c r="G118" s="27"/>
      <c r="H118" s="27"/>
      <c r="I118" s="27"/>
      <c r="J118" s="27"/>
      <c r="K118" s="27"/>
    </row>
    <row r="119" spans="3:11" x14ac:dyDescent="0.3">
      <c r="C119" s="27"/>
      <c r="D119" s="15" cm="1">
        <f t="array" ref="D119:F121">MINVERSE(_xlfn.ANCHORARRAY(D115))</f>
        <v>127.97540760926942</v>
      </c>
      <c r="E119" s="15">
        <v>-1.3187285698903614E-2</v>
      </c>
      <c r="F119" s="15">
        <v>-2.3830360414205316</v>
      </c>
      <c r="G119" s="27"/>
      <c r="H119" s="27"/>
      <c r="I119" s="27"/>
      <c r="J119" s="27"/>
      <c r="K119" s="27"/>
    </row>
    <row r="120" spans="3:11" ht="20.399999999999999" x14ac:dyDescent="0.3">
      <c r="C120" s="49" t="s">
        <v>103</v>
      </c>
      <c r="D120" s="15">
        <v>-1.3187285698866468E-2</v>
      </c>
      <c r="E120" s="39">
        <v>1.8217611190591949E-6</v>
      </c>
      <c r="F120" s="26">
        <v>2.449739277749279E-4</v>
      </c>
      <c r="H120" s="27"/>
      <c r="I120" s="27"/>
      <c r="J120" s="27"/>
      <c r="K120" s="27"/>
    </row>
    <row r="121" spans="3:11" x14ac:dyDescent="0.3">
      <c r="C121" s="27"/>
      <c r="D121" s="15">
        <v>-2.3830360414205791</v>
      </c>
      <c r="E121" s="26">
        <v>2.4497392777562445E-4</v>
      </c>
      <c r="F121" s="15">
        <v>4.4375370423796343E-2</v>
      </c>
      <c r="H121" s="27"/>
      <c r="I121" s="27"/>
      <c r="J121" s="27"/>
      <c r="K121" s="27"/>
    </row>
    <row r="122" spans="3:11" x14ac:dyDescent="0.3">
      <c r="H122" s="27"/>
      <c r="I122" s="27"/>
      <c r="J122" s="27"/>
      <c r="K122" s="27"/>
    </row>
    <row r="123" spans="3:11" ht="20.399999999999999" x14ac:dyDescent="0.3">
      <c r="C123" s="49" t="s">
        <v>104</v>
      </c>
      <c r="D123" s="27"/>
      <c r="E123" s="15" cm="1">
        <f t="array" ref="E123:G123">MMULT(G108:I108,_xlfn.ANCHORARRAY(D119))</f>
        <v>35.518737740744484</v>
      </c>
      <c r="F123" s="21">
        <v>-3.6366786106991188E-3</v>
      </c>
      <c r="G123" s="15">
        <v>-0.66142570386060373</v>
      </c>
      <c r="I123" s="27"/>
      <c r="J123" s="27"/>
      <c r="K123" s="27"/>
    </row>
    <row r="124" spans="3:11" x14ac:dyDescent="0.3">
      <c r="C124" s="27"/>
      <c r="D124" s="27"/>
      <c r="E124" s="27"/>
      <c r="F124" s="27"/>
      <c r="G124" s="27"/>
    </row>
    <row r="125" spans="3:11" x14ac:dyDescent="0.3">
      <c r="C125" s="27"/>
      <c r="D125" s="27"/>
      <c r="E125" s="27"/>
      <c r="F125" s="27"/>
      <c r="G125" s="27"/>
    </row>
    <row r="126" spans="3:11" ht="20.399999999999999" x14ac:dyDescent="0.3">
      <c r="C126" s="49" t="s">
        <v>105</v>
      </c>
      <c r="D126" s="27"/>
      <c r="E126" s="27"/>
      <c r="F126" s="15" cm="1">
        <f t="array" ref="F126">MMULT(_xlfn.ANCHORARRAY(E123),D107:D109)</f>
        <v>9.8591733856171828</v>
      </c>
      <c r="G126" s="27"/>
    </row>
    <row r="128" spans="3:11" ht="20.399999999999999" x14ac:dyDescent="0.45">
      <c r="C128" s="9" t="s">
        <v>106</v>
      </c>
      <c r="D128" s="15">
        <f>U39*SQRT(F126)</f>
        <v>6.4736149598546229</v>
      </c>
    </row>
    <row r="130" spans="3:4" ht="20.399999999999999" x14ac:dyDescent="0.3">
      <c r="C130" s="40" t="s">
        <v>107</v>
      </c>
      <c r="D130" s="15">
        <f>3.16938*D128</f>
        <v>20.517345781464044</v>
      </c>
    </row>
  </sheetData>
  <pageMargins left="0.7" right="0.7" top="0.75" bottom="0.75" header="0.3" footer="0.3"/>
  <pageSetup orientation="portrait" verticalDpi="0" r:id="rId1"/>
  <ignoredErrors>
    <ignoredError sqref="D15:D16 D10 C7:D7 D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2024-03-12T09:42:43Z</dcterms:created>
  <dcterms:modified xsi:type="dcterms:W3CDTF">2024-04-19T14:58:45Z</dcterms:modified>
</cp:coreProperties>
</file>