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Статистика\"/>
    </mc:Choice>
  </mc:AlternateContent>
  <xr:revisionPtr revIDLastSave="0" documentId="13_ncr:1_{0AFFA566-B000-407B-85D8-C59ECBEC9B88}" xr6:coauthVersionLast="47" xr6:coauthVersionMax="47" xr10:uidLastSave="{00000000-0000-0000-0000-000000000000}"/>
  <bookViews>
    <workbookView minimized="1" xWindow="3780" yWindow="3300" windowWidth="21000" windowHeight="10200" activeTab="1" xr2:uid="{1183127B-3B2E-4E4F-95B5-57A34C009D38}"/>
  </bookViews>
  <sheets>
    <sheet name="Лаб. работа №1" sheetId="1" r:id="rId1"/>
    <sheet name="Лаб. работа №3" sheetId="2" r:id="rId2"/>
  </sheets>
  <definedNames>
    <definedName name="_xlnm._FilterDatabase" localSheetId="0" hidden="1">'Лаб. работа №1'!$A$1:$E$15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2" l="1"/>
  <c r="G21" i="1"/>
  <c r="G20" i="1"/>
  <c r="G19" i="1"/>
  <c r="E20" i="1"/>
  <c r="E16" i="1"/>
  <c r="G22" i="2"/>
  <c r="D16" i="2" l="1"/>
  <c r="C16" i="2"/>
  <c r="B16" i="2"/>
  <c r="E16" i="2"/>
  <c r="D18" i="2"/>
  <c r="C18" i="2"/>
  <c r="B18" i="2"/>
  <c r="E18" i="2"/>
  <c r="D19" i="2"/>
  <c r="C19" i="2"/>
  <c r="B19" i="2"/>
  <c r="F18" i="2" s="1"/>
  <c r="E19" i="2"/>
  <c r="D20" i="2"/>
  <c r="C20" i="2"/>
  <c r="B20" i="2"/>
  <c r="E20" i="2"/>
  <c r="D8" i="2"/>
  <c r="C8" i="2"/>
  <c r="B8" i="2"/>
  <c r="E8" i="2"/>
  <c r="D7" i="2"/>
  <c r="C7" i="2"/>
  <c r="B7" i="2"/>
  <c r="F15" i="2" s="1"/>
  <c r="E7" i="2"/>
  <c r="D9" i="2"/>
  <c r="C9" i="2"/>
  <c r="B9" i="2"/>
  <c r="F13" i="2" s="1"/>
  <c r="E9" i="2"/>
  <c r="D10" i="2"/>
  <c r="C10" i="2"/>
  <c r="B10" i="2"/>
  <c r="E10" i="2"/>
  <c r="D11" i="2"/>
  <c r="C11" i="2"/>
  <c r="B11" i="2"/>
  <c r="E11" i="2"/>
  <c r="D12" i="2"/>
  <c r="C12" i="2"/>
  <c r="B12" i="2"/>
  <c r="F11" i="2" s="1"/>
  <c r="E12" i="2"/>
  <c r="D15" i="2"/>
  <c r="C15" i="2"/>
  <c r="B15" i="2"/>
  <c r="F10" i="2" s="1"/>
  <c r="E15" i="2"/>
  <c r="D14" i="2"/>
  <c r="C14" i="2"/>
  <c r="B14" i="2"/>
  <c r="E14" i="2"/>
  <c r="D17" i="2"/>
  <c r="C17" i="2"/>
  <c r="B17" i="2"/>
  <c r="F8" i="2" s="1"/>
  <c r="E17" i="2"/>
  <c r="D13" i="2"/>
  <c r="C13" i="2"/>
  <c r="B13" i="2"/>
  <c r="E13" i="2"/>
  <c r="C5" i="1"/>
  <c r="B5" i="1"/>
  <c r="D5" i="1" s="1"/>
  <c r="C6" i="1"/>
  <c r="B6" i="1"/>
  <c r="D6" i="1" s="1"/>
  <c r="C7" i="1"/>
  <c r="B7" i="1"/>
  <c r="D7" i="1" s="1"/>
  <c r="E7" i="1" s="1"/>
  <c r="C8" i="1"/>
  <c r="B8" i="1"/>
  <c r="D8" i="1" s="1"/>
  <c r="E8" i="1" s="1"/>
  <c r="C9" i="1"/>
  <c r="B9" i="1"/>
  <c r="D9" i="1" s="1"/>
  <c r="E9" i="1" s="1"/>
  <c r="C10" i="1"/>
  <c r="B10" i="1"/>
  <c r="D10" i="1" s="1"/>
  <c r="C11" i="1"/>
  <c r="B11" i="1"/>
  <c r="D11" i="1"/>
  <c r="E11" i="1" s="1"/>
  <c r="C12" i="1"/>
  <c r="B12" i="1"/>
  <c r="D12" i="1" s="1"/>
  <c r="E12" i="1" s="1"/>
  <c r="C13" i="1"/>
  <c r="B13" i="1"/>
  <c r="D13" i="1" s="1"/>
  <c r="E13" i="1" s="1"/>
  <c r="C14" i="1"/>
  <c r="B14" i="1"/>
  <c r="D14" i="1" s="1"/>
  <c r="F20" i="2" l="1"/>
  <c r="F9" i="2"/>
  <c r="F16" i="2"/>
  <c r="F12" i="2"/>
  <c r="F7" i="2"/>
  <c r="G7" i="2" s="1"/>
  <c r="I7" i="2" s="1"/>
  <c r="F17" i="2"/>
  <c r="F19" i="2"/>
  <c r="F14" i="2"/>
  <c r="G14" i="2" s="1"/>
  <c r="H14" i="2" s="1"/>
  <c r="E10" i="1"/>
  <c r="E14" i="1"/>
  <c r="G8" i="1"/>
  <c r="F8" i="1"/>
  <c r="G7" i="1"/>
  <c r="G12" i="1"/>
  <c r="F12" i="1"/>
  <c r="G11" i="1"/>
  <c r="F11" i="1"/>
  <c r="G13" i="1"/>
  <c r="F13" i="1"/>
  <c r="F10" i="1"/>
  <c r="G10" i="1"/>
  <c r="G9" i="1"/>
  <c r="F9" i="1"/>
  <c r="G14" i="1"/>
  <c r="F14" i="1"/>
  <c r="G18" i="2"/>
  <c r="I18" i="2" s="1"/>
  <c r="G10" i="2"/>
  <c r="I10" i="2" s="1"/>
  <c r="G13" i="2"/>
  <c r="I13" i="2" s="1"/>
  <c r="G16" i="2"/>
  <c r="I16" i="2" s="1"/>
  <c r="G11" i="2"/>
  <c r="I11" i="2" s="1"/>
  <c r="G17" i="2"/>
  <c r="H17" i="2" s="1"/>
  <c r="G20" i="2"/>
  <c r="I20" i="2" s="1"/>
  <c r="G15" i="2"/>
  <c r="G19" i="2"/>
  <c r="I19" i="2" s="1"/>
  <c r="G9" i="2"/>
  <c r="H9" i="2" s="1"/>
  <c r="G12" i="2"/>
  <c r="G8" i="2"/>
  <c r="E6" i="1"/>
  <c r="E5" i="1"/>
  <c r="G5" i="1" s="1"/>
  <c r="H15" i="2" l="1"/>
  <c r="G6" i="1"/>
  <c r="G15" i="1" s="1"/>
  <c r="F6" i="1"/>
  <c r="F7" i="1"/>
  <c r="H10" i="2"/>
  <c r="I14" i="2"/>
  <c r="H13" i="2"/>
  <c r="H18" i="2"/>
  <c r="I15" i="2"/>
  <c r="I17" i="2"/>
  <c r="H11" i="2"/>
  <c r="H20" i="2"/>
  <c r="H16" i="2"/>
  <c r="I12" i="2"/>
  <c r="H19" i="2"/>
  <c r="H12" i="2"/>
  <c r="I9" i="2"/>
  <c r="I8" i="2"/>
  <c r="H8" i="2"/>
  <c r="F15" i="1" l="1"/>
  <c r="H21" i="2"/>
  <c r="I21" i="2"/>
</calcChain>
</file>

<file path=xl/sharedStrings.xml><?xml version="1.0" encoding="utf-8"?>
<sst xmlns="http://schemas.openxmlformats.org/spreadsheetml/2006/main" count="26" uniqueCount="19">
  <si>
    <t>y</t>
  </si>
  <si>
    <t>x</t>
  </si>
  <si>
    <t>~y = a + bx</t>
  </si>
  <si>
    <t>y:</t>
  </si>
  <si>
    <t>x1:</t>
  </si>
  <si>
    <t>x2:</t>
  </si>
  <si>
    <t>x3:</t>
  </si>
  <si>
    <t>~y:</t>
  </si>
  <si>
    <t>a=</t>
  </si>
  <si>
    <t>b=</t>
  </si>
  <si>
    <r>
      <t xml:space="preserve">Остатки </t>
    </r>
    <r>
      <rPr>
        <sz val="11"/>
        <color theme="1"/>
        <rFont val="Constantia"/>
        <family val="1"/>
      </rPr>
      <t>ε = y - ~y</t>
    </r>
  </si>
  <si>
    <t>(ε(i) - ε(i-1))^2:</t>
  </si>
  <si>
    <t>ε(i)^2:</t>
  </si>
  <si>
    <t>Сумма</t>
  </si>
  <si>
    <t>b1=</t>
  </si>
  <si>
    <t>b2=</t>
  </si>
  <si>
    <t>b3=</t>
  </si>
  <si>
    <t>-номер варианта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</si>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</sst>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1"/>
      <color theme="1"/>
      <name val="Constantia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Border="1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Border="1"/>
    <xf numFmtId="0" fontId="0" fillId="0" borderId="0" xfId="0" applyNumberFormat="1"/>
    <xf numFmtId="0" fontId="0" fillId="0" borderId="0" xfId="0" quotePrefix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3">
    <dxf>
      <font>
        <b/>
        <i val="0"/>
      </font>
    </dxf>
    <dxf>
      <font>
        <b/>
        <i/>
        <color theme="1"/>
      </font>
    </dxf>
    <dxf>
      <font>
        <b/>
        <i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случайных остатков от теоретических значений регрессии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82605877968962E-2"/>
          <c:y val="0.22106758382064545"/>
          <c:w val="0.75780548264800229"/>
          <c:h val="0.67658768951849413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'Лаб. работа №1'!$D$5:$D$14</c:f>
              <c:numCache>
                <c:formatCode>0.00</c:formatCode>
                <c:ptCount val="10"/>
                <c:pt idx="0">
                  <c:v>20.833333333333336</c:v>
                </c:pt>
                <c:pt idx="1">
                  <c:v>20.833333333333336</c:v>
                </c:pt>
                <c:pt idx="2">
                  <c:v>21.583333333333336</c:v>
                </c:pt>
                <c:pt idx="3">
                  <c:v>22.333333333333336</c:v>
                </c:pt>
                <c:pt idx="4">
                  <c:v>22.333333333333336</c:v>
                </c:pt>
                <c:pt idx="5">
                  <c:v>23.083333333333336</c:v>
                </c:pt>
                <c:pt idx="6">
                  <c:v>23.833333333333336</c:v>
                </c:pt>
                <c:pt idx="7">
                  <c:v>24.583333333333336</c:v>
                </c:pt>
                <c:pt idx="8">
                  <c:v>25.333333333333336</c:v>
                </c:pt>
                <c:pt idx="9">
                  <c:v>26.083333333333336</c:v>
                </c:pt>
              </c:numCache>
            </c:numRef>
          </c:xVal>
          <c:yVal>
            <c:numRef>
              <c:f>'Лаб. работа №1'!$E$5:$E$14</c:f>
              <c:numCache>
                <c:formatCode>0.00</c:formatCode>
                <c:ptCount val="10"/>
                <c:pt idx="0">
                  <c:v>-0.8333333333333357</c:v>
                </c:pt>
                <c:pt idx="1">
                  <c:v>0.1666666666666643</c:v>
                </c:pt>
                <c:pt idx="2">
                  <c:v>-0.5833333333333357</c:v>
                </c:pt>
                <c:pt idx="3">
                  <c:v>-0.3333333333333357</c:v>
                </c:pt>
                <c:pt idx="4">
                  <c:v>0.6666666666666643</c:v>
                </c:pt>
                <c:pt idx="5">
                  <c:v>-8.3333333333335702E-2</c:v>
                </c:pt>
                <c:pt idx="6">
                  <c:v>1.1666666666666643</c:v>
                </c:pt>
                <c:pt idx="7">
                  <c:v>-1.5833333333333357</c:v>
                </c:pt>
                <c:pt idx="8">
                  <c:v>0.6666666666666643</c:v>
                </c:pt>
                <c:pt idx="9">
                  <c:v>-8.3333333333335702E-2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2-453C-A730-DB444E9A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64208"/>
        <c:axId val="235744240"/>
      </c:scatterChart>
      <c:valAx>
        <c:axId val="235764208"/>
        <c:scaling>
          <c:orientation val="minMax"/>
          <c:max val="26.1"/>
          <c:min val="20.7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001"/>
                  <a:t>~y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44240"/>
        <c:crosses val="autoZero"/>
        <c:crossBetween val="midCat"/>
        <c:majorUnit val="0.9"/>
      </c:valAx>
      <c:valAx>
        <c:axId val="2357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611937396714301"/>
          <c:y val="0.49610979778769188"/>
          <c:w val="0.10035419126328217"/>
          <c:h val="6.472564822594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Зависимость случайных остатков от теоретических значений регрессии</a:t>
            </a:r>
            <a:endParaRPr lang="ru-RU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'Лаб. работа №3'!$F$7:$F$20</c:f>
              <c:numCache>
                <c:formatCode>0.00</c:formatCode>
                <c:ptCount val="14"/>
                <c:pt idx="0">
                  <c:v>36.399003623494956</c:v>
                </c:pt>
                <c:pt idx="1">
                  <c:v>37.731849868043902</c:v>
                </c:pt>
                <c:pt idx="2">
                  <c:v>41.378773877858137</c:v>
                </c:pt>
                <c:pt idx="3">
                  <c:v>42.985599862350263</c:v>
                </c:pt>
                <c:pt idx="4">
                  <c:v>44.71088948923051</c:v>
                </c:pt>
                <c:pt idx="5">
                  <c:v>47.01788327185151</c:v>
                </c:pt>
                <c:pt idx="6">
                  <c:v>50.282755661291262</c:v>
                </c:pt>
                <c:pt idx="7">
                  <c:v>50.391073671498773</c:v>
                </c:pt>
                <c:pt idx="8">
                  <c:v>50.665053411441939</c:v>
                </c:pt>
                <c:pt idx="9">
                  <c:v>53.790678634579933</c:v>
                </c:pt>
                <c:pt idx="10">
                  <c:v>54.105487033021809</c:v>
                </c:pt>
                <c:pt idx="11">
                  <c:v>57.853645070399246</c:v>
                </c:pt>
                <c:pt idx="12">
                  <c:v>58.334115198576797</c:v>
                </c:pt>
                <c:pt idx="13">
                  <c:v>62.353191326361085</c:v>
                </c:pt>
              </c:numCache>
            </c:numRef>
          </c:xVal>
          <c:yVal>
            <c:numRef>
              <c:f>'Лаб. работа №3'!$G$7:$G$20</c:f>
              <c:numCache>
                <c:formatCode>0.00</c:formatCode>
                <c:ptCount val="14"/>
                <c:pt idx="0">
                  <c:v>1.6009963765050443</c:v>
                </c:pt>
                <c:pt idx="1">
                  <c:v>-3.7318498680439021</c:v>
                </c:pt>
                <c:pt idx="2">
                  <c:v>0.6212261221418629</c:v>
                </c:pt>
                <c:pt idx="3">
                  <c:v>1.0144001376497371</c:v>
                </c:pt>
                <c:pt idx="4">
                  <c:v>0.28911051076948979</c:v>
                </c:pt>
                <c:pt idx="5">
                  <c:v>-1.7883271851509619E-2</c:v>
                </c:pt>
                <c:pt idx="6">
                  <c:v>3.7172443387087384</c:v>
                </c:pt>
                <c:pt idx="7">
                  <c:v>0.60892632850122652</c:v>
                </c:pt>
                <c:pt idx="8">
                  <c:v>-2.6650534114419386</c:v>
                </c:pt>
                <c:pt idx="9">
                  <c:v>1.2093213654200667</c:v>
                </c:pt>
                <c:pt idx="10">
                  <c:v>-2.1054870330218094</c:v>
                </c:pt>
                <c:pt idx="11">
                  <c:v>-0.85364507039924575</c:v>
                </c:pt>
                <c:pt idx="12">
                  <c:v>0.6658848014232035</c:v>
                </c:pt>
                <c:pt idx="13">
                  <c:v>-0.35319132636108463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F-434E-8C95-A8E11035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58800"/>
        <c:axId val="235748816"/>
      </c:scatterChart>
      <c:valAx>
        <c:axId val="235758800"/>
        <c:scaling>
          <c:orientation val="minMax"/>
          <c:max val="63"/>
          <c:min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~y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48816"/>
        <c:crosses val="autoZero"/>
        <c:crossBetween val="midCat"/>
        <c:majorUnit val="3"/>
      </c:valAx>
      <c:valAx>
        <c:axId val="2357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осатки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15240</xdr:rowOff>
    </xdr:from>
    <xdr:to>
      <xdr:col>17</xdr:col>
      <xdr:colOff>495300</xdr:colOff>
      <xdr:row>20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251D01-4BF0-4160-A1C3-CE267ADA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22</xdr:row>
      <xdr:rowOff>114300</xdr:rowOff>
    </xdr:from>
    <xdr:to>
      <xdr:col>11</xdr:col>
      <xdr:colOff>487680</xdr:colOff>
      <xdr:row>41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02A73A-163C-4C86-9856-BD2D073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703A-88C8-406E-A736-15D61362BA03}">
  <dimension ref="A1:G21"/>
  <sheetViews>
    <sheetView zoomScale="85" zoomScaleNormal="85" workbookViewId="0">
      <selection activeCell="G20" sqref="G20:G21"/>
    </sheetView>
  </sheetViews>
  <sheetFormatPr defaultRowHeight="14.4" x14ac:dyDescent="0.3"/>
  <cols>
    <col min="4" max="4" width="9.44140625" customWidth="1"/>
    <col min="5" max="5" width="17.109375" customWidth="1"/>
    <col min="6" max="6" width="13" customWidth="1"/>
    <col min="7" max="7" width="22.77734375" bestFit="1" customWidth="1"/>
  </cols>
  <sheetData>
    <row r="1" spans="1:7" x14ac:dyDescent="0.3">
      <c r="A1" s="4" t="s">
        <v>8</v>
      </c>
      <c r="B1" s="6">
        <v>6.5833333333333321</v>
      </c>
      <c r="C1" s="4"/>
      <c r="D1" s="4"/>
      <c r="E1" s="4"/>
      <c r="F1" s="4"/>
      <c r="G1" s="4"/>
    </row>
    <row r="2" spans="1:7" x14ac:dyDescent="0.3">
      <c r="A2" s="4" t="s">
        <v>9</v>
      </c>
      <c r="B2" s="6">
        <v>0.75000000000000011</v>
      </c>
      <c r="C2" s="4"/>
      <c r="D2" s="4"/>
      <c r="E2" s="4"/>
      <c r="F2" s="4"/>
      <c r="G2" s="4"/>
    </row>
    <row r="3" spans="1:7" x14ac:dyDescent="0.3">
      <c r="A3" s="7">
        <v>17</v>
      </c>
      <c r="B3" s="8" t="s">
        <v>17</v>
      </c>
    </row>
    <row r="4" spans="1:7" x14ac:dyDescent="0.3">
      <c r="B4" s="4" t="s">
        <v>1</v>
      </c>
      <c r="C4" s="4" t="s">
        <v>0</v>
      </c>
      <c r="D4" s="4" t="s">
        <v>2</v>
      </c>
      <c r="E4" s="4" t="s">
        <v>10</v>
      </c>
      <c r="F4" s="4" t="s">
        <v>11</v>
      </c>
      <c r="G4" s="4" t="s">
        <v>12</v>
      </c>
    </row>
    <row r="5" spans="1:7" x14ac:dyDescent="0.3">
      <c r="A5" s="4"/>
      <c r="B5" s="7">
        <f>2+$A$3</f>
        <v>19</v>
      </c>
      <c r="C5" s="7">
        <f>3+$A$3</f>
        <v>20</v>
      </c>
      <c r="D5" s="4">
        <f t="shared" ref="D5:D14" si="0" xml:space="preserve"> $B$1 +$B$2*B5</f>
        <v>20.833333333333336</v>
      </c>
      <c r="E5" s="4">
        <f t="shared" ref="E5:E14" si="1">C5-D5</f>
        <v>-0.8333333333333357</v>
      </c>
      <c r="F5" s="4"/>
      <c r="G5" s="4">
        <f>E5*E5</f>
        <v>0.69444444444444842</v>
      </c>
    </row>
    <row r="6" spans="1:7" x14ac:dyDescent="0.3">
      <c r="A6" s="4"/>
      <c r="B6" s="7">
        <f>2+$A$3</f>
        <v>19</v>
      </c>
      <c r="C6" s="7">
        <f>4+$A$3</f>
        <v>21</v>
      </c>
      <c r="D6" s="4">
        <f t="shared" si="0"/>
        <v>20.833333333333336</v>
      </c>
      <c r="E6" s="4">
        <f t="shared" si="1"/>
        <v>0.1666666666666643</v>
      </c>
      <c r="F6" s="4">
        <f>(E6-E5)*(E6-E5)</f>
        <v>1</v>
      </c>
      <c r="G6" s="4">
        <f t="shared" ref="G6:G14" si="2">E6*E6</f>
        <v>2.7777777777776989E-2</v>
      </c>
    </row>
    <row r="7" spans="1:7" x14ac:dyDescent="0.3">
      <c r="A7" s="4"/>
      <c r="B7" s="7">
        <f>3+$A$3</f>
        <v>20</v>
      </c>
      <c r="C7" s="7">
        <f>4+$A$3</f>
        <v>21</v>
      </c>
      <c r="D7" s="4">
        <f t="shared" si="0"/>
        <v>21.583333333333336</v>
      </c>
      <c r="E7" s="4">
        <f t="shared" si="1"/>
        <v>-0.5833333333333357</v>
      </c>
      <c r="F7" s="4">
        <f t="shared" ref="F7:F14" si="3">(E7-E6)*(E7-E6)</f>
        <v>0.5625</v>
      </c>
      <c r="G7" s="4">
        <f t="shared" si="2"/>
        <v>0.34027777777778057</v>
      </c>
    </row>
    <row r="8" spans="1:7" x14ac:dyDescent="0.3">
      <c r="A8" s="4"/>
      <c r="B8" s="7">
        <f>4+$A$3</f>
        <v>21</v>
      </c>
      <c r="C8" s="7">
        <f>5+$A$3</f>
        <v>22</v>
      </c>
      <c r="D8" s="4">
        <f t="shared" si="0"/>
        <v>22.333333333333336</v>
      </c>
      <c r="E8" s="4">
        <f t="shared" si="1"/>
        <v>-0.3333333333333357</v>
      </c>
      <c r="F8" s="4">
        <f t="shared" si="3"/>
        <v>6.25E-2</v>
      </c>
      <c r="G8" s="4">
        <f t="shared" si="2"/>
        <v>0.11111111111111269</v>
      </c>
    </row>
    <row r="9" spans="1:7" x14ac:dyDescent="0.3">
      <c r="A9" s="4"/>
      <c r="B9" s="7">
        <f>4+$A$3</f>
        <v>21</v>
      </c>
      <c r="C9" s="7">
        <f>6+$A$3</f>
        <v>23</v>
      </c>
      <c r="D9" s="4">
        <f t="shared" si="0"/>
        <v>22.333333333333336</v>
      </c>
      <c r="E9" s="4">
        <f t="shared" si="1"/>
        <v>0.6666666666666643</v>
      </c>
      <c r="F9" s="4">
        <f t="shared" si="3"/>
        <v>1</v>
      </c>
      <c r="G9" s="4">
        <f t="shared" si="2"/>
        <v>0.44444444444444131</v>
      </c>
    </row>
    <row r="10" spans="1:7" x14ac:dyDescent="0.3">
      <c r="A10" s="4"/>
      <c r="B10" s="7">
        <f>5+$A$3</f>
        <v>22</v>
      </c>
      <c r="C10" s="7">
        <f>6+$A$3</f>
        <v>23</v>
      </c>
      <c r="D10" s="4">
        <f t="shared" si="0"/>
        <v>23.083333333333336</v>
      </c>
      <c r="E10" s="4">
        <f t="shared" si="1"/>
        <v>-8.3333333333335702E-2</v>
      </c>
      <c r="F10" s="4">
        <f t="shared" si="3"/>
        <v>0.5625</v>
      </c>
      <c r="G10" s="4">
        <f t="shared" si="2"/>
        <v>6.9444444444448396E-3</v>
      </c>
    </row>
    <row r="11" spans="1:7" x14ac:dyDescent="0.3">
      <c r="A11" s="4"/>
      <c r="B11" s="7">
        <f>6+$A$3</f>
        <v>23</v>
      </c>
      <c r="C11" s="7">
        <f>8+$A$3</f>
        <v>25</v>
      </c>
      <c r="D11" s="4">
        <f t="shared" si="0"/>
        <v>23.833333333333336</v>
      </c>
      <c r="E11" s="4">
        <f t="shared" si="1"/>
        <v>1.1666666666666643</v>
      </c>
      <c r="F11" s="4">
        <f t="shared" si="3"/>
        <v>1.5625</v>
      </c>
      <c r="G11" s="4">
        <f t="shared" si="2"/>
        <v>1.3611111111111056</v>
      </c>
    </row>
    <row r="12" spans="1:7" x14ac:dyDescent="0.3">
      <c r="A12" s="4"/>
      <c r="B12" s="7">
        <f>7+$A$3</f>
        <v>24</v>
      </c>
      <c r="C12" s="7">
        <f>6+$A$3</f>
        <v>23</v>
      </c>
      <c r="D12" s="4">
        <f t="shared" si="0"/>
        <v>24.583333333333336</v>
      </c>
      <c r="E12" s="4">
        <f t="shared" si="1"/>
        <v>-1.5833333333333357</v>
      </c>
      <c r="F12" s="4">
        <f t="shared" si="3"/>
        <v>7.5625</v>
      </c>
      <c r="G12" s="4">
        <f t="shared" si="2"/>
        <v>2.5069444444444517</v>
      </c>
    </row>
    <row r="13" spans="1:7" x14ac:dyDescent="0.3">
      <c r="A13" s="4"/>
      <c r="B13" s="7">
        <f>8+$A$3</f>
        <v>25</v>
      </c>
      <c r="C13" s="7">
        <f>9+$A$3</f>
        <v>26</v>
      </c>
      <c r="D13" s="4">
        <f t="shared" si="0"/>
        <v>25.333333333333336</v>
      </c>
      <c r="E13" s="4">
        <f t="shared" si="1"/>
        <v>0.6666666666666643</v>
      </c>
      <c r="F13" s="4">
        <f t="shared" si="3"/>
        <v>5.0625</v>
      </c>
      <c r="G13" s="4">
        <f t="shared" si="2"/>
        <v>0.44444444444444131</v>
      </c>
    </row>
    <row r="14" spans="1:7" x14ac:dyDescent="0.3">
      <c r="A14" s="4"/>
      <c r="B14" s="7">
        <f>9+$A$3</f>
        <v>26</v>
      </c>
      <c r="C14" s="7">
        <f>9+$A$3</f>
        <v>26</v>
      </c>
      <c r="D14" s="4">
        <f t="shared" si="0"/>
        <v>26.083333333333336</v>
      </c>
      <c r="E14" s="4">
        <f t="shared" si="1"/>
        <v>-8.3333333333335702E-2</v>
      </c>
      <c r="F14" s="4">
        <f t="shared" si="3"/>
        <v>0.5625</v>
      </c>
      <c r="G14" s="4">
        <f t="shared" si="2"/>
        <v>6.9444444444448396E-3</v>
      </c>
    </row>
    <row r="15" spans="1:7" x14ac:dyDescent="0.3">
      <c r="A15" s="4" t="s">
        <v>13</v>
      </c>
      <c r="B15" s="4"/>
      <c r="C15" s="4"/>
      <c r="D15" s="4"/>
      <c r="E15" s="4"/>
      <c r="F15" s="4">
        <f>SUM(F6:F14)</f>
        <v>17.9375</v>
      </c>
      <c r="G15" s="4">
        <f>SUM(G5:G14)</f>
        <v>5.9444444444444482</v>
      </c>
    </row>
    <row r="16" spans="1:7" x14ac:dyDescent="0.3">
      <c r="A16" t="s">
        <v>18</v>
      </c>
      <c r="E16" s="9">
        <f>AVERAGE(E5:E14)</f>
        <v>-8.3333333333335702E-2</v>
      </c>
    </row>
    <row r="19" spans="5:7" x14ac:dyDescent="0.3">
      <c r="G19" s="4">
        <f>ABS(E16) * SQRT(10) / 0.86</f>
        <v>0.30642225389229355</v>
      </c>
    </row>
    <row r="20" spans="5:7" x14ac:dyDescent="0.3">
      <c r="E20" s="4">
        <f>SQRT(G15/(COUNT(B5:B14) - 1 -1))</f>
        <v>0.86200670273238367</v>
      </c>
      <c r="G20" s="4">
        <f>TINV(0.05, 1)</f>
        <v>12.706204736174707</v>
      </c>
    </row>
    <row r="21" spans="5:7" x14ac:dyDescent="0.3">
      <c r="G21" s="4">
        <f xml:space="preserve"> F15/G15</f>
        <v>3.0175233644859794</v>
      </c>
    </row>
  </sheetData>
  <conditionalFormatting sqref="E6:E13">
    <cfRule type="expression" dxfId="2" priority="1">
      <formula>IF(OR(AND(E5&gt;E6, E6&lt;E7), AND(E5&lt;E6, E6&gt;E7)), 1, 0)</formula>
    </cfRule>
  </conditionalFormatting>
  <conditionalFormatting sqref="E15">
    <cfRule type="expression" dxfId="1" priority="2">
      <formula>IF(OR(AND(E14&gt;E15, E15&lt;#REF!), AND(E14&lt;E15, E15&gt;#REF!)), 1, 0)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049E-F07E-4092-A262-FF9403631F0D}">
  <dimension ref="A1:M22"/>
  <sheetViews>
    <sheetView tabSelected="1" topLeftCell="A5" zoomScale="85" zoomScaleNormal="85" workbookViewId="0">
      <selection activeCell="A5" sqref="A5:B5"/>
    </sheetView>
  </sheetViews>
  <sheetFormatPr defaultRowHeight="14.4" x14ac:dyDescent="0.3"/>
  <cols>
    <col min="6" max="6" width="10.5546875" customWidth="1"/>
    <col min="7" max="7" width="19.77734375" customWidth="1"/>
    <col min="8" max="8" width="13.44140625" customWidth="1"/>
  </cols>
  <sheetData>
    <row r="1" spans="1:9" ht="15.6" x14ac:dyDescent="0.3">
      <c r="A1" t="s">
        <v>8</v>
      </c>
      <c r="B1" s="1">
        <v>7.1408139455905797</v>
      </c>
    </row>
    <row r="2" spans="1:9" ht="15.6" x14ac:dyDescent="0.3">
      <c r="A2" t="s">
        <v>14</v>
      </c>
      <c r="B2" s="1">
        <v>0.73085082444694405</v>
      </c>
    </row>
    <row r="3" spans="1:9" ht="15.6" x14ac:dyDescent="0.3">
      <c r="A3" t="s">
        <v>15</v>
      </c>
      <c r="B3" s="1">
        <v>0.14206268606190034</v>
      </c>
    </row>
    <row r="4" spans="1:9" ht="15.6" x14ac:dyDescent="0.3">
      <c r="A4" t="s">
        <v>16</v>
      </c>
      <c r="B4" s="1">
        <v>-0.20649038823437058</v>
      </c>
    </row>
    <row r="5" spans="1:9" ht="15.6" x14ac:dyDescent="0.3">
      <c r="A5" s="3">
        <v>17</v>
      </c>
      <c r="B5" s="8" t="s">
        <v>17</v>
      </c>
    </row>
    <row r="6" spans="1:9" ht="15.6" x14ac:dyDescent="0.3">
      <c r="B6" s="2" t="s">
        <v>4</v>
      </c>
      <c r="C6" s="2" t="s">
        <v>5</v>
      </c>
      <c r="D6" s="2" t="s">
        <v>6</v>
      </c>
      <c r="E6" s="2" t="s">
        <v>3</v>
      </c>
      <c r="F6" s="2" t="s">
        <v>7</v>
      </c>
      <c r="G6" t="s">
        <v>10</v>
      </c>
      <c r="H6" t="s">
        <v>11</v>
      </c>
      <c r="I6" t="s">
        <v>12</v>
      </c>
    </row>
    <row r="7" spans="1:9" ht="15.6" x14ac:dyDescent="0.3">
      <c r="B7" s="2">
        <f>$A$5+27</f>
        <v>44</v>
      </c>
      <c r="C7" s="2">
        <f>$A$5+28</f>
        <v>45</v>
      </c>
      <c r="D7" s="2">
        <f>$A$5+28</f>
        <v>45</v>
      </c>
      <c r="E7" s="2">
        <f>$A$5+21</f>
        <v>38</v>
      </c>
      <c r="F7" s="4">
        <f t="shared" ref="F7:F20" si="0">$B$2*B7+$B$3*C7+$B$4*D7+$B$1</f>
        <v>36.399003623494956</v>
      </c>
      <c r="G7" s="4">
        <f t="shared" ref="G7:G20" si="1">E7-F7</f>
        <v>1.6009963765050443</v>
      </c>
      <c r="H7" s="4"/>
      <c r="I7" s="4">
        <f>G7*G7</f>
        <v>2.5631893975822817</v>
      </c>
    </row>
    <row r="8" spans="1:9" ht="15.6" x14ac:dyDescent="0.3">
      <c r="B8" s="2">
        <f>$A$5+29</f>
        <v>46</v>
      </c>
      <c r="C8" s="2">
        <f>$A$5+30</f>
        <v>47</v>
      </c>
      <c r="D8" s="2">
        <f>$A$5+30</f>
        <v>47</v>
      </c>
      <c r="E8" s="2">
        <f>$A$5+17</f>
        <v>34</v>
      </c>
      <c r="F8" s="4">
        <f t="shared" si="0"/>
        <v>37.731849868043902</v>
      </c>
      <c r="G8" s="5">
        <f t="shared" si="1"/>
        <v>-3.7318498680439021</v>
      </c>
      <c r="H8" s="4">
        <f>(G8-G7)*(G8-G7)</f>
        <v>28.4392490679998</v>
      </c>
      <c r="I8" s="4">
        <f t="shared" ref="I8:I20" si="2">G8*G8</f>
        <v>13.92670343761929</v>
      </c>
    </row>
    <row r="9" spans="1:9" ht="15.6" x14ac:dyDescent="0.3">
      <c r="B9" s="2">
        <f>$A$5+33</f>
        <v>50</v>
      </c>
      <c r="C9" s="2">
        <f>$A$5+38</f>
        <v>55</v>
      </c>
      <c r="D9" s="2">
        <f>$A$5+32</f>
        <v>49</v>
      </c>
      <c r="E9" s="2">
        <f>$A$5+25</f>
        <v>42</v>
      </c>
      <c r="F9" s="4">
        <f t="shared" si="0"/>
        <v>41.378773877858137</v>
      </c>
      <c r="G9" s="5">
        <f t="shared" si="1"/>
        <v>0.6212261221418629</v>
      </c>
      <c r="H9" s="4">
        <f t="shared" ref="H9:H20" si="3">(G9-G8)*(G9-G8)</f>
        <v>18.949270576331777</v>
      </c>
      <c r="I9" s="4">
        <f t="shared" si="2"/>
        <v>0.38592189483141676</v>
      </c>
    </row>
    <row r="10" spans="1:9" ht="15.6" x14ac:dyDescent="0.3">
      <c r="B10" s="2">
        <f>$A$5+37</f>
        <v>54</v>
      </c>
      <c r="C10" s="2">
        <f>$A$5+36</f>
        <v>53</v>
      </c>
      <c r="D10" s="2">
        <f>$A$5+37</f>
        <v>54</v>
      </c>
      <c r="E10" s="2">
        <f>$A$5+27</f>
        <v>44</v>
      </c>
      <c r="F10" s="4">
        <f t="shared" si="0"/>
        <v>42.985599862350263</v>
      </c>
      <c r="G10" s="5">
        <f t="shared" si="1"/>
        <v>1.0144001376497371</v>
      </c>
      <c r="H10" s="4">
        <f t="shared" si="3"/>
        <v>0.15458580647058612</v>
      </c>
      <c r="I10" s="4">
        <f t="shared" si="2"/>
        <v>1.0290076392638057</v>
      </c>
    </row>
    <row r="11" spans="1:9" ht="15.6" x14ac:dyDescent="0.3">
      <c r="B11" s="2">
        <f>$A$5+38</f>
        <v>55</v>
      </c>
      <c r="C11" s="2">
        <f>$A$5+43</f>
        <v>60</v>
      </c>
      <c r="D11" s="2">
        <f>$A$5+37</f>
        <v>54</v>
      </c>
      <c r="E11" s="2">
        <f>$A$5+28</f>
        <v>45</v>
      </c>
      <c r="F11" s="4">
        <f t="shared" si="0"/>
        <v>44.71088948923051</v>
      </c>
      <c r="G11" s="5">
        <f t="shared" si="1"/>
        <v>0.28911051076948979</v>
      </c>
      <c r="H11" s="4">
        <f t="shared" si="3"/>
        <v>0.52604504286008835</v>
      </c>
      <c r="I11" s="4">
        <f t="shared" si="2"/>
        <v>8.3584887437395269E-2</v>
      </c>
    </row>
    <row r="12" spans="1:9" ht="15.6" x14ac:dyDescent="0.3">
      <c r="B12" s="2">
        <f>$A$5+44</f>
        <v>61</v>
      </c>
      <c r="C12" s="2">
        <f>$A$5+40</f>
        <v>57</v>
      </c>
      <c r="D12" s="2">
        <f>$A$5+45</f>
        <v>62</v>
      </c>
      <c r="E12" s="2">
        <f>$A$5+30</f>
        <v>47</v>
      </c>
      <c r="F12" s="4">
        <f t="shared" si="0"/>
        <v>47.01788327185151</v>
      </c>
      <c r="G12" s="5">
        <f t="shared" si="1"/>
        <v>-1.7883271851509619E-2</v>
      </c>
      <c r="H12" s="4">
        <f t="shared" si="3"/>
        <v>9.4245182567949434E-2</v>
      </c>
      <c r="I12" s="4">
        <f t="shared" si="2"/>
        <v>3.1981141211499629E-4</v>
      </c>
    </row>
    <row r="13" spans="1:9" ht="15.6" x14ac:dyDescent="0.3">
      <c r="B13" s="2">
        <f>$A$5+52</f>
        <v>69</v>
      </c>
      <c r="C13" s="2">
        <f>$A$5+32</f>
        <v>49</v>
      </c>
      <c r="D13" s="2">
        <f>$A$5+52</f>
        <v>69</v>
      </c>
      <c r="E13" s="2">
        <f>$A$5+37</f>
        <v>54</v>
      </c>
      <c r="F13" s="4">
        <f t="shared" si="0"/>
        <v>50.282755661291262</v>
      </c>
      <c r="G13" s="5">
        <f t="shared" si="1"/>
        <v>3.7172443387087384</v>
      </c>
      <c r="H13" s="4">
        <f t="shared" si="3"/>
        <v>13.951178267169508</v>
      </c>
      <c r="I13" s="4">
        <f t="shared" si="2"/>
        <v>13.817905473662165</v>
      </c>
    </row>
    <row r="14" spans="1:9" ht="15.6" x14ac:dyDescent="0.3">
      <c r="B14" s="2">
        <f>$A$5+51</f>
        <v>68</v>
      </c>
      <c r="C14" s="2">
        <f>$A$5+35</f>
        <v>52</v>
      </c>
      <c r="D14" s="2">
        <f>$A$5+50</f>
        <v>67</v>
      </c>
      <c r="E14" s="2">
        <f>$A$5+34</f>
        <v>51</v>
      </c>
      <c r="F14" s="4">
        <f t="shared" si="0"/>
        <v>50.391073671498773</v>
      </c>
      <c r="G14" s="5">
        <f t="shared" si="1"/>
        <v>0.60892632850122652</v>
      </c>
      <c r="H14" s="4">
        <f t="shared" si="3"/>
        <v>9.6616408525803852</v>
      </c>
      <c r="I14" s="4">
        <f t="shared" si="2"/>
        <v>0.37079127354198366</v>
      </c>
    </row>
    <row r="15" spans="1:9" ht="15.6" x14ac:dyDescent="0.3">
      <c r="B15" s="2">
        <f>$A$5+53</f>
        <v>70</v>
      </c>
      <c r="C15" s="2">
        <f>$A$5+31</f>
        <v>48</v>
      </c>
      <c r="D15" s="2">
        <f>$A$5+53</f>
        <v>70</v>
      </c>
      <c r="E15" s="2">
        <f>$A$5+31</f>
        <v>48</v>
      </c>
      <c r="F15" s="4">
        <f t="shared" si="0"/>
        <v>50.665053411441939</v>
      </c>
      <c r="G15" s="5">
        <f t="shared" si="1"/>
        <v>-2.6650534114419386</v>
      </c>
      <c r="H15" s="4">
        <f t="shared" si="3"/>
        <v>10.718943337558315</v>
      </c>
      <c r="I15" s="4">
        <f t="shared" si="2"/>
        <v>7.1025096858383154</v>
      </c>
    </row>
    <row r="16" spans="1:9" ht="15.6" x14ac:dyDescent="0.3">
      <c r="B16" s="2">
        <f>$A$5+58</f>
        <v>75</v>
      </c>
      <c r="C16" s="2">
        <f>$A$5+36</f>
        <v>53</v>
      </c>
      <c r="D16" s="2">
        <f>$A$5+59</f>
        <v>76</v>
      </c>
      <c r="E16" s="2">
        <f>$A$5+38</f>
        <v>55</v>
      </c>
      <c r="F16" s="4">
        <f t="shared" si="0"/>
        <v>53.790678634579933</v>
      </c>
      <c r="G16" s="5">
        <f t="shared" si="1"/>
        <v>1.2093213654200667</v>
      </c>
      <c r="H16" s="4">
        <f t="shared" si="3"/>
        <v>15.010779911584514</v>
      </c>
      <c r="I16" s="4">
        <f t="shared" si="2"/>
        <v>1.4624581648614545</v>
      </c>
    </row>
    <row r="17" spans="1:13" ht="15.6" x14ac:dyDescent="0.3">
      <c r="B17" s="2">
        <f>$A$5+57</f>
        <v>74</v>
      </c>
      <c r="C17" s="2">
        <f>$A$5+39</f>
        <v>56</v>
      </c>
      <c r="D17" s="2">
        <f>$A$5+56</f>
        <v>73</v>
      </c>
      <c r="E17" s="2">
        <f>$A$5+35</f>
        <v>52</v>
      </c>
      <c r="F17" s="4">
        <f t="shared" si="0"/>
        <v>54.105487033021809</v>
      </c>
      <c r="G17" s="5">
        <f t="shared" si="1"/>
        <v>-2.1054870330218094</v>
      </c>
      <c r="H17" s="4">
        <f t="shared" si="3"/>
        <v>10.987954718380795</v>
      </c>
      <c r="I17" s="4">
        <f t="shared" si="2"/>
        <v>4.4330756462229814</v>
      </c>
    </row>
    <row r="18" spans="1:13" ht="15.6" x14ac:dyDescent="0.3">
      <c r="B18" s="2">
        <f>$A$5+64</f>
        <v>81</v>
      </c>
      <c r="C18" s="2">
        <f>$A$5+41</f>
        <v>58</v>
      </c>
      <c r="D18" s="2">
        <f>$A$5+64</f>
        <v>81</v>
      </c>
      <c r="E18" s="2">
        <f>$A$5+40</f>
        <v>57</v>
      </c>
      <c r="F18" s="4">
        <f t="shared" si="0"/>
        <v>57.853645070399246</v>
      </c>
      <c r="G18" s="5">
        <f t="shared" si="1"/>
        <v>-0.85364507039924575</v>
      </c>
      <c r="H18" s="4">
        <f t="shared" si="3"/>
        <v>1.5671082993827121</v>
      </c>
      <c r="I18" s="4">
        <f t="shared" si="2"/>
        <v>0.72870990621693321</v>
      </c>
    </row>
    <row r="19" spans="1:13" ht="15.6" x14ac:dyDescent="0.3">
      <c r="B19" s="2">
        <f>$A$5+66</f>
        <v>83</v>
      </c>
      <c r="C19" s="2">
        <f>$A$5+37</f>
        <v>54</v>
      </c>
      <c r="D19" s="2">
        <f>$A$5+66</f>
        <v>83</v>
      </c>
      <c r="E19" s="2">
        <f>$A$5+42</f>
        <v>59</v>
      </c>
      <c r="F19" s="4">
        <f t="shared" si="0"/>
        <v>58.334115198576797</v>
      </c>
      <c r="G19" s="5">
        <f t="shared" si="1"/>
        <v>0.6658848014232035</v>
      </c>
      <c r="H19" s="4">
        <f t="shared" si="3"/>
        <v>2.3089710313607492</v>
      </c>
      <c r="I19" s="4">
        <f t="shared" si="2"/>
        <v>0.44340256876641915</v>
      </c>
    </row>
    <row r="20" spans="1:13" ht="15.6" x14ac:dyDescent="0.3">
      <c r="B20" s="2">
        <f>$A$5+73</f>
        <v>90</v>
      </c>
      <c r="C20" s="2">
        <f>$A$5+38</f>
        <v>55</v>
      </c>
      <c r="D20" s="2">
        <f>$A$5+72</f>
        <v>89</v>
      </c>
      <c r="E20" s="2">
        <f>$A$5+45</f>
        <v>62</v>
      </c>
      <c r="F20" s="4">
        <f t="shared" si="0"/>
        <v>62.353191326361085</v>
      </c>
      <c r="G20" s="4">
        <f t="shared" si="1"/>
        <v>-0.35319132636108463</v>
      </c>
      <c r="H20" s="4">
        <f t="shared" si="3"/>
        <v>1.0385161542198187</v>
      </c>
      <c r="I20" s="4">
        <f t="shared" si="2"/>
        <v>0.1247441130167022</v>
      </c>
      <c r="M20">
        <f>H21/I21</f>
        <v>2.4403446767980581</v>
      </c>
    </row>
    <row r="21" spans="1:13" x14ac:dyDescent="0.3">
      <c r="A21" t="s">
        <v>13</v>
      </c>
      <c r="H21" s="4">
        <f>SUM(H8:H20)</f>
        <v>113.40848824846702</v>
      </c>
      <c r="I21" s="4">
        <f>SUM(I7:I20)</f>
        <v>46.47232390027326</v>
      </c>
    </row>
    <row r="22" spans="1:13" x14ac:dyDescent="0.3">
      <c r="A22" t="s">
        <v>18</v>
      </c>
      <c r="G22" s="10">
        <f>AVERAGE(G7:G20)</f>
        <v>-8.6280189342297873E-15</v>
      </c>
    </row>
  </sheetData>
  <sortState xmlns:xlrd2="http://schemas.microsoft.com/office/spreadsheetml/2017/richdata2" ref="B7:F20">
    <sortCondition ref="F7:F20"/>
    <sortCondition ref="B7:B20"/>
    <sortCondition ref="C7:C20"/>
    <sortCondition ref="D7:D20"/>
    <sortCondition ref="E7:E20"/>
  </sortState>
  <conditionalFormatting sqref="G8:G19">
    <cfRule type="expression" dxfId="0" priority="1">
      <formula>IF(OR(AND(G7&gt;G8,G8&lt;G9), AND(G7&lt;G8,G8&gt;G9)),1,0)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Лаб. работа №1</vt:lpstr>
      <vt:lpstr>Лаб. работа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2024-04-09T09:25:22Z</dcterms:created>
  <dcterms:modified xsi:type="dcterms:W3CDTF">2024-05-14T10:04:28Z</dcterms:modified>
</cp:coreProperties>
</file>