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arles\Desktop\"/>
    </mc:Choice>
  </mc:AlternateContent>
  <bookViews>
    <workbookView xWindow="0" yWindow="0" windowWidth="20490" windowHeight="7620"/>
  </bookViews>
  <sheets>
    <sheet name="Cover" sheetId="1" r:id="rId1"/>
    <sheet name="Summary" sheetId="2" r:id="rId2"/>
    <sheet name="Assumptions" sheetId="3" r:id="rId3"/>
    <sheet name="Scenarios" sheetId="4" r:id="rId4"/>
    <sheet name="Model" sheetId="5" r:id="rId5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4" i="5" l="1"/>
  <c r="K217" i="5"/>
  <c r="K270" i="5"/>
  <c r="O182" i="5" l="1"/>
  <c r="N182" i="5"/>
  <c r="M182" i="5"/>
  <c r="L182" i="5"/>
  <c r="K182" i="5"/>
  <c r="O177" i="5"/>
  <c r="N177" i="5"/>
  <c r="M177" i="5"/>
  <c r="L177" i="5"/>
  <c r="K177" i="5"/>
  <c r="K173" i="5"/>
  <c r="K172" i="5"/>
  <c r="J144" i="5"/>
  <c r="L164" i="5"/>
  <c r="M164" i="5" s="1"/>
  <c r="K165" i="5"/>
  <c r="O163" i="5"/>
  <c r="N163" i="5"/>
  <c r="M163" i="5"/>
  <c r="L163" i="5"/>
  <c r="L165" i="5" s="1"/>
  <c r="K163" i="5"/>
  <c r="K160" i="5"/>
  <c r="K159" i="5"/>
  <c r="K158" i="5"/>
  <c r="K157" i="5"/>
  <c r="O137" i="5"/>
  <c r="N137" i="5"/>
  <c r="M137" i="5"/>
  <c r="L137" i="5"/>
  <c r="K137" i="5"/>
  <c r="O136" i="5"/>
  <c r="N136" i="5"/>
  <c r="M136" i="5"/>
  <c r="L136" i="5"/>
  <c r="K136" i="5"/>
  <c r="I273" i="5"/>
  <c r="K275" i="5"/>
  <c r="O130" i="5"/>
  <c r="N130" i="5"/>
  <c r="M130" i="5"/>
  <c r="L130" i="5"/>
  <c r="K130" i="5"/>
  <c r="K124" i="5"/>
  <c r="J110" i="5"/>
  <c r="N164" i="5" l="1"/>
  <c r="O164" i="5" s="1"/>
  <c r="M165" i="5"/>
  <c r="N165" i="5"/>
  <c r="O165" i="5"/>
  <c r="K344" i="5"/>
  <c r="J347" i="5"/>
  <c r="O338" i="5"/>
  <c r="N338" i="5"/>
  <c r="M338" i="5"/>
  <c r="L338" i="5"/>
  <c r="K338" i="5"/>
  <c r="L336" i="5"/>
  <c r="M334" i="5" s="1"/>
  <c r="M336" i="5" s="1"/>
  <c r="N334" i="5" s="1"/>
  <c r="N336" i="5" s="1"/>
  <c r="O334" i="5" s="1"/>
  <c r="O336" i="5" s="1"/>
  <c r="K336" i="5"/>
  <c r="L334" i="5" s="1"/>
  <c r="J336" i="5"/>
  <c r="K334" i="5" s="1"/>
  <c r="O301" i="5"/>
  <c r="N301" i="5"/>
  <c r="M301" i="5"/>
  <c r="L301" i="5"/>
  <c r="K301" i="5"/>
  <c r="O335" i="5"/>
  <c r="N335" i="5"/>
  <c r="M335" i="5"/>
  <c r="L335" i="5"/>
  <c r="K335" i="5"/>
  <c r="M299" i="5"/>
  <c r="O300" i="5"/>
  <c r="N300" i="5"/>
  <c r="M300" i="5"/>
  <c r="L300" i="5"/>
  <c r="K300" i="5"/>
  <c r="O131" i="5"/>
  <c r="O299" i="5" s="1"/>
  <c r="N131" i="5"/>
  <c r="N299" i="5" s="1"/>
  <c r="M131" i="5"/>
  <c r="L131" i="5"/>
  <c r="L299" i="5" s="1"/>
  <c r="K131" i="5"/>
  <c r="K299" i="5" s="1"/>
  <c r="J131" i="5"/>
  <c r="K305" i="5" l="1"/>
  <c r="O315" i="5"/>
  <c r="N315" i="5"/>
  <c r="M315" i="5"/>
  <c r="L315" i="5"/>
  <c r="K315" i="5"/>
  <c r="K316" i="5" s="1"/>
  <c r="L314" i="5" s="1"/>
  <c r="K314" i="5"/>
  <c r="J316" i="5"/>
  <c r="J307" i="5"/>
  <c r="J291" i="5"/>
  <c r="K289" i="5" s="1"/>
  <c r="M318" i="5"/>
  <c r="N318" i="5" s="1"/>
  <c r="O318" i="5" s="1"/>
  <c r="L318" i="5"/>
  <c r="K318" i="5"/>
  <c r="M309" i="5"/>
  <c r="N309" i="5" s="1"/>
  <c r="O309" i="5" s="1"/>
  <c r="L309" i="5"/>
  <c r="K309" i="5"/>
  <c r="M293" i="5"/>
  <c r="N293" i="5" s="1"/>
  <c r="O293" i="5" s="1"/>
  <c r="L293" i="5"/>
  <c r="K293" i="5"/>
  <c r="L316" i="5" l="1"/>
  <c r="M314" i="5" s="1"/>
  <c r="K319" i="5"/>
  <c r="L319" i="5" l="1"/>
  <c r="M316" i="5"/>
  <c r="N314" i="5" s="1"/>
  <c r="M319" i="5"/>
  <c r="J275" i="5"/>
  <c r="K268" i="5"/>
  <c r="K267" i="5"/>
  <c r="I259" i="5"/>
  <c r="N316" i="5" l="1"/>
  <c r="O314" i="5" s="1"/>
  <c r="K272" i="5"/>
  <c r="K271" i="5"/>
  <c r="K269" i="5"/>
  <c r="J264" i="5"/>
  <c r="J263" i="5"/>
  <c r="J262" i="5"/>
  <c r="J261" i="5"/>
  <c r="J260" i="5"/>
  <c r="I262" i="5"/>
  <c r="I261" i="5"/>
  <c r="I260" i="5"/>
  <c r="I264" i="5"/>
  <c r="I263" i="5"/>
  <c r="J259" i="5"/>
  <c r="O264" i="5"/>
  <c r="N264" i="5"/>
  <c r="M264" i="5"/>
  <c r="L264" i="5"/>
  <c r="O263" i="5"/>
  <c r="N263" i="5"/>
  <c r="M263" i="5"/>
  <c r="L263" i="5"/>
  <c r="O262" i="5"/>
  <c r="N262" i="5"/>
  <c r="M262" i="5"/>
  <c r="L262" i="5"/>
  <c r="O261" i="5"/>
  <c r="N261" i="5"/>
  <c r="M261" i="5"/>
  <c r="L261" i="5"/>
  <c r="O260" i="5"/>
  <c r="N260" i="5"/>
  <c r="M260" i="5"/>
  <c r="L260" i="5"/>
  <c r="O259" i="5"/>
  <c r="N259" i="5"/>
  <c r="M259" i="5"/>
  <c r="L259" i="5"/>
  <c r="K264" i="5"/>
  <c r="K263" i="5"/>
  <c r="K262" i="5"/>
  <c r="K261" i="5"/>
  <c r="K260" i="5"/>
  <c r="K259" i="5"/>
  <c r="J267" i="5"/>
  <c r="J268" i="5"/>
  <c r="J269" i="5"/>
  <c r="J270" i="5"/>
  <c r="J271" i="5"/>
  <c r="J272" i="5"/>
  <c r="J273" i="5"/>
  <c r="I272" i="5"/>
  <c r="I271" i="5"/>
  <c r="I269" i="5"/>
  <c r="I270" i="5"/>
  <c r="I268" i="5"/>
  <c r="I267" i="5"/>
  <c r="K255" i="5"/>
  <c r="J255" i="5"/>
  <c r="I255" i="5"/>
  <c r="K256" i="5"/>
  <c r="J256" i="5"/>
  <c r="I256" i="5"/>
  <c r="O252" i="5"/>
  <c r="N252" i="5"/>
  <c r="M252" i="5"/>
  <c r="L252" i="5"/>
  <c r="K252" i="5"/>
  <c r="J252" i="5"/>
  <c r="I252" i="5"/>
  <c r="N319" i="5" l="1"/>
  <c r="O316" i="5"/>
  <c r="O319" i="5"/>
  <c r="K273" i="5"/>
  <c r="O231" i="5" l="1"/>
  <c r="N231" i="5"/>
  <c r="M231" i="5"/>
  <c r="L231" i="5"/>
  <c r="K231" i="5"/>
  <c r="K108" i="5"/>
  <c r="J108" i="5"/>
  <c r="J95" i="5"/>
  <c r="E226" i="5" l="1"/>
  <c r="L204" i="5" l="1"/>
  <c r="M204" i="5"/>
  <c r="N204" i="5"/>
  <c r="O204" i="5"/>
  <c r="K204" i="5"/>
  <c r="K203" i="5"/>
  <c r="J217" i="5"/>
  <c r="F201" i="5" l="1"/>
  <c r="O129" i="5" l="1"/>
  <c r="N129" i="5"/>
  <c r="M129" i="5"/>
  <c r="L129" i="5"/>
  <c r="K129" i="5"/>
  <c r="F209" i="5" l="1" a="1"/>
  <c r="F200" i="5"/>
  <c r="K206" i="5" s="1"/>
  <c r="L206" i="5" l="1"/>
  <c r="F209" i="5"/>
  <c r="F212" i="5"/>
  <c r="F211" i="5"/>
  <c r="F210" i="5"/>
  <c r="F213" i="5"/>
  <c r="O91" i="5"/>
  <c r="N91" i="5"/>
  <c r="M91" i="5"/>
  <c r="L91" i="5"/>
  <c r="K91" i="5"/>
  <c r="K88" i="5"/>
  <c r="M206" i="5" l="1"/>
  <c r="K65" i="5"/>
  <c r="K66" i="5"/>
  <c r="K64" i="5"/>
  <c r="K45" i="5"/>
  <c r="D50" i="5"/>
  <c r="D65" i="5" s="1"/>
  <c r="D51" i="5"/>
  <c r="D66" i="5" s="1"/>
  <c r="D49" i="5"/>
  <c r="D64" i="5" s="1"/>
  <c r="D45" i="5"/>
  <c r="D60" i="5" s="1"/>
  <c r="D44" i="5"/>
  <c r="D59" i="5" s="1"/>
  <c r="K44" i="5"/>
  <c r="K46" i="5" s="1"/>
  <c r="K67" i="5" l="1"/>
  <c r="N206" i="5"/>
  <c r="J28" i="5"/>
  <c r="J27" i="5"/>
  <c r="J26" i="5"/>
  <c r="J20" i="5" s="1"/>
  <c r="L19" i="5"/>
  <c r="M19" i="5"/>
  <c r="N19" i="5"/>
  <c r="O19" i="5"/>
  <c r="K19" i="5"/>
  <c r="K17" i="5"/>
  <c r="L17" i="5" s="1"/>
  <c r="M17" i="5" s="1"/>
  <c r="N17" i="5" s="1"/>
  <c r="O17" i="5" s="1"/>
  <c r="M11" i="5"/>
  <c r="M40" i="5" s="1"/>
  <c r="N11" i="5"/>
  <c r="N40" i="5" s="1"/>
  <c r="O11" i="5"/>
  <c r="O40" i="5" s="1"/>
  <c r="K11" i="5"/>
  <c r="K40" i="5" s="1"/>
  <c r="L10" i="5"/>
  <c r="M10" i="5"/>
  <c r="N10" i="5"/>
  <c r="O10" i="5"/>
  <c r="K10" i="5"/>
  <c r="K12" i="5" l="1"/>
  <c r="K13" i="5" s="1"/>
  <c r="O206" i="5"/>
  <c r="J80" i="5"/>
  <c r="J39" i="5"/>
  <c r="K20" i="5"/>
  <c r="O1" i="5"/>
  <c r="K80" i="5" l="1"/>
  <c r="K39" i="5"/>
  <c r="K26" i="5"/>
  <c r="K83" i="5" s="1"/>
  <c r="K27" i="5"/>
  <c r="K84" i="5" s="1"/>
  <c r="L20" i="5"/>
  <c r="K22" i="5"/>
  <c r="B13" i="1"/>
  <c r="K30" i="4"/>
  <c r="J30" i="4"/>
  <c r="I30" i="4"/>
  <c r="H30" i="4"/>
  <c r="G30" i="4"/>
  <c r="H23" i="4"/>
  <c r="I23" i="4"/>
  <c r="J23" i="4"/>
  <c r="K23" i="4"/>
  <c r="G23" i="4"/>
  <c r="K12" i="4"/>
  <c r="J12" i="4"/>
  <c r="I12" i="4"/>
  <c r="H12" i="4"/>
  <c r="L11" i="5" s="1"/>
  <c r="L40" i="5" s="1"/>
  <c r="G12" i="4"/>
  <c r="K85" i="5" l="1"/>
  <c r="L66" i="5"/>
  <c r="M66" i="5" s="1"/>
  <c r="L88" i="5"/>
  <c r="M88" i="5" s="1"/>
  <c r="N88" i="5" s="1"/>
  <c r="O88" i="5" s="1"/>
  <c r="K28" i="5"/>
  <c r="K51" i="5"/>
  <c r="K50" i="5"/>
  <c r="K49" i="5"/>
  <c r="K60" i="5"/>
  <c r="K59" i="5"/>
  <c r="M20" i="5"/>
  <c r="L80" i="5"/>
  <c r="L39" i="5"/>
  <c r="L26" i="5"/>
  <c r="L83" i="5" s="1"/>
  <c r="L22" i="5"/>
  <c r="L64" i="5"/>
  <c r="L65" i="5"/>
  <c r="L45" i="5"/>
  <c r="L44" i="5"/>
  <c r="L12" i="5"/>
  <c r="G26" i="4"/>
  <c r="K27" i="4"/>
  <c r="J27" i="4"/>
  <c r="I27" i="4"/>
  <c r="H27" i="4"/>
  <c r="G27" i="4"/>
  <c r="K26" i="4"/>
  <c r="J26" i="4"/>
  <c r="I26" i="4"/>
  <c r="H26" i="4"/>
  <c r="L59" i="5" l="1"/>
  <c r="L60" i="5"/>
  <c r="K61" i="5"/>
  <c r="K69" i="5" s="1"/>
  <c r="K87" i="5" s="1"/>
  <c r="K89" i="5" s="1"/>
  <c r="K92" i="5" s="1"/>
  <c r="L49" i="5"/>
  <c r="L51" i="5"/>
  <c r="N20" i="5"/>
  <c r="M39" i="5"/>
  <c r="M51" i="5" s="1"/>
  <c r="M80" i="5"/>
  <c r="M26" i="5"/>
  <c r="M83" i="5" s="1"/>
  <c r="M22" i="5"/>
  <c r="K52" i="5"/>
  <c r="K54" i="5" s="1"/>
  <c r="N66" i="5"/>
  <c r="M65" i="5"/>
  <c r="L50" i="5"/>
  <c r="M64" i="5"/>
  <c r="L67" i="5"/>
  <c r="M45" i="5"/>
  <c r="M44" i="5"/>
  <c r="L46" i="5"/>
  <c r="M12" i="5"/>
  <c r="M27" i="5" s="1"/>
  <c r="M84" i="5" s="1"/>
  <c r="M85" i="5" s="1"/>
  <c r="M255" i="5" s="1"/>
  <c r="M267" i="5" s="1"/>
  <c r="M157" i="5" s="1"/>
  <c r="L27" i="5"/>
  <c r="L13" i="5"/>
  <c r="C26" i="4"/>
  <c r="C27" i="4"/>
  <c r="C33" i="4"/>
  <c r="J8" i="3"/>
  <c r="L61" i="5" l="1"/>
  <c r="L69" i="5" s="1"/>
  <c r="L87" i="5" s="1"/>
  <c r="L256" i="5" s="1"/>
  <c r="M60" i="5"/>
  <c r="L52" i="5"/>
  <c r="L54" i="5" s="1"/>
  <c r="M59" i="5"/>
  <c r="M49" i="5"/>
  <c r="L28" i="5"/>
  <c r="L84" i="5"/>
  <c r="L85" i="5" s="1"/>
  <c r="L255" i="5" s="1"/>
  <c r="L267" i="5" s="1"/>
  <c r="L157" i="5" s="1"/>
  <c r="M28" i="5"/>
  <c r="O20" i="5"/>
  <c r="N80" i="5"/>
  <c r="N39" i="5"/>
  <c r="N22" i="5"/>
  <c r="N26" i="5"/>
  <c r="N83" i="5" s="1"/>
  <c r="O66" i="5"/>
  <c r="N51" i="5"/>
  <c r="N65" i="5"/>
  <c r="M50" i="5"/>
  <c r="N64" i="5"/>
  <c r="M67" i="5"/>
  <c r="N45" i="5"/>
  <c r="N44" i="5"/>
  <c r="M46" i="5"/>
  <c r="M13" i="5"/>
  <c r="N12" i="5"/>
  <c r="N27" i="5" s="1"/>
  <c r="A27" i="4"/>
  <c r="A26" i="4"/>
  <c r="G6" i="4"/>
  <c r="K7" i="5" s="1"/>
  <c r="T5" i="2"/>
  <c r="B2" i="5"/>
  <c r="B1" i="4"/>
  <c r="B1" i="3"/>
  <c r="B1" i="2"/>
  <c r="L268" i="5" l="1"/>
  <c r="L158" i="5" s="1"/>
  <c r="L271" i="5"/>
  <c r="L172" i="5" s="1"/>
  <c r="L270" i="5"/>
  <c r="L160" i="5" s="1"/>
  <c r="L269" i="5"/>
  <c r="L159" i="5" s="1"/>
  <c r="L272" i="5"/>
  <c r="L173" i="5" s="1"/>
  <c r="N49" i="5"/>
  <c r="M61" i="5"/>
  <c r="M69" i="5" s="1"/>
  <c r="M87" i="5" s="1"/>
  <c r="M256" i="5" s="1"/>
  <c r="M52" i="5"/>
  <c r="M54" i="5" s="1"/>
  <c r="L89" i="5"/>
  <c r="L92" i="5" s="1"/>
  <c r="N28" i="5"/>
  <c r="N84" i="5"/>
  <c r="N85" i="5" s="1"/>
  <c r="N255" i="5" s="1"/>
  <c r="N267" i="5" s="1"/>
  <c r="N157" i="5" s="1"/>
  <c r="N59" i="5"/>
  <c r="N60" i="5"/>
  <c r="O80" i="5"/>
  <c r="O39" i="5"/>
  <c r="O51" i="5" s="1"/>
  <c r="O22" i="5"/>
  <c r="N19" i="3" s="1"/>
  <c r="O26" i="5"/>
  <c r="O83" i="5" s="1"/>
  <c r="O65" i="5"/>
  <c r="N50" i="5"/>
  <c r="O45" i="5"/>
  <c r="O64" i="5"/>
  <c r="N67" i="5"/>
  <c r="O44" i="5"/>
  <c r="N46" i="5"/>
  <c r="N13" i="5"/>
  <c r="O12" i="5"/>
  <c r="O13" i="5" s="1"/>
  <c r="J7" i="5"/>
  <c r="Z7" i="2" s="1"/>
  <c r="AA7" i="2"/>
  <c r="K331" i="5"/>
  <c r="B326" i="5"/>
  <c r="O325" i="5"/>
  <c r="O278" i="5"/>
  <c r="K250" i="5"/>
  <c r="O244" i="5"/>
  <c r="D237" i="5"/>
  <c r="D234" i="5"/>
  <c r="O220" i="5"/>
  <c r="B192" i="5"/>
  <c r="O191" i="5"/>
  <c r="J184" i="5"/>
  <c r="I184" i="5"/>
  <c r="H184" i="5"/>
  <c r="J178" i="5"/>
  <c r="J180" i="5" s="1"/>
  <c r="I178" i="5"/>
  <c r="I180" i="5" s="1"/>
  <c r="H178" i="5"/>
  <c r="H180" i="5" s="1"/>
  <c r="H186" i="5" s="1"/>
  <c r="J174" i="5"/>
  <c r="I174" i="5"/>
  <c r="H174" i="5"/>
  <c r="J165" i="5"/>
  <c r="J167" i="5" s="1"/>
  <c r="I165" i="5"/>
  <c r="H165" i="5"/>
  <c r="J161" i="5"/>
  <c r="I161" i="5"/>
  <c r="I167" i="5" s="1"/>
  <c r="H161" i="5"/>
  <c r="O147" i="5"/>
  <c r="J139" i="5"/>
  <c r="J142" i="5" s="1"/>
  <c r="I139" i="5"/>
  <c r="I142" i="5" s="1"/>
  <c r="H139" i="5"/>
  <c r="I131" i="5"/>
  <c r="H131" i="5"/>
  <c r="J125" i="5"/>
  <c r="I125" i="5"/>
  <c r="H125" i="5"/>
  <c r="B114" i="5"/>
  <c r="O113" i="5"/>
  <c r="J102" i="5"/>
  <c r="I102" i="5"/>
  <c r="H102" i="5"/>
  <c r="J89" i="5"/>
  <c r="I89" i="5"/>
  <c r="I92" i="5" s="1"/>
  <c r="H89" i="5"/>
  <c r="J85" i="5"/>
  <c r="I85" i="5"/>
  <c r="H85" i="5"/>
  <c r="B73" i="5"/>
  <c r="O72" i="5"/>
  <c r="B32" i="5"/>
  <c r="O31" i="5"/>
  <c r="J13" i="5"/>
  <c r="K226" i="5"/>
  <c r="B148" i="5"/>
  <c r="C34" i="4"/>
  <c r="C32" i="4"/>
  <c r="H6" i="4"/>
  <c r="J48" i="3"/>
  <c r="K48" i="3" s="1"/>
  <c r="L48" i="3" s="1"/>
  <c r="M48" i="3" s="1"/>
  <c r="N48" i="3" s="1"/>
  <c r="E26" i="3"/>
  <c r="J9" i="3"/>
  <c r="K7" i="2"/>
  <c r="K28" i="2" s="1"/>
  <c r="K49" i="2" s="1"/>
  <c r="L273" i="5" l="1"/>
  <c r="M268" i="5"/>
  <c r="M158" i="5" s="1"/>
  <c r="M270" i="5"/>
  <c r="M160" i="5" s="1"/>
  <c r="M269" i="5"/>
  <c r="M159" i="5" s="1"/>
  <c r="M271" i="5"/>
  <c r="M172" i="5" s="1"/>
  <c r="M272" i="5"/>
  <c r="M173" i="5" s="1"/>
  <c r="L108" i="5"/>
  <c r="N52" i="5"/>
  <c r="N54" i="5" s="1"/>
  <c r="O50" i="5"/>
  <c r="H92" i="5"/>
  <c r="O49" i="5"/>
  <c r="O60" i="5"/>
  <c r="O59" i="5"/>
  <c r="M89" i="5"/>
  <c r="M92" i="5" s="1"/>
  <c r="N61" i="5"/>
  <c r="N69" i="5" s="1"/>
  <c r="N87" i="5" s="1"/>
  <c r="N256" i="5" s="1"/>
  <c r="H95" i="5"/>
  <c r="H109" i="5" s="1"/>
  <c r="H108" i="5"/>
  <c r="J92" i="5"/>
  <c r="H167" i="5"/>
  <c r="H188" i="5" s="1"/>
  <c r="J186" i="5"/>
  <c r="J188" i="5" s="1"/>
  <c r="H142" i="5"/>
  <c r="H144" i="5" s="1"/>
  <c r="I143" i="5" s="1"/>
  <c r="I144" i="5" s="1"/>
  <c r="J143" i="5" s="1"/>
  <c r="K143" i="5" s="1"/>
  <c r="O67" i="5"/>
  <c r="O46" i="5"/>
  <c r="O27" i="5"/>
  <c r="I6" i="4"/>
  <c r="L7" i="5"/>
  <c r="L250" i="5" s="1"/>
  <c r="J331" i="5"/>
  <c r="J7" i="2"/>
  <c r="J28" i="2" s="1"/>
  <c r="J49" i="2" s="1"/>
  <c r="I108" i="5"/>
  <c r="I95" i="5"/>
  <c r="H98" i="5"/>
  <c r="H104" i="5" s="1"/>
  <c r="I186" i="5"/>
  <c r="I188" i="5" s="1"/>
  <c r="K78" i="5"/>
  <c r="B279" i="5"/>
  <c r="J78" i="5"/>
  <c r="J153" i="5"/>
  <c r="J284" i="5"/>
  <c r="K153" i="5"/>
  <c r="K284" i="5"/>
  <c r="J37" i="5"/>
  <c r="K37" i="5"/>
  <c r="J119" i="5"/>
  <c r="J197" i="5"/>
  <c r="B245" i="5"/>
  <c r="K119" i="5"/>
  <c r="K197" i="5"/>
  <c r="I7" i="5"/>
  <c r="Y7" i="2" s="1"/>
  <c r="I7" i="2" s="1"/>
  <c r="I28" i="2" s="1"/>
  <c r="I49" i="2" s="1"/>
  <c r="J250" i="5"/>
  <c r="B221" i="5"/>
  <c r="C25" i="4"/>
  <c r="L275" i="5" l="1"/>
  <c r="L124" i="5" s="1"/>
  <c r="N268" i="5"/>
  <c r="N158" i="5" s="1"/>
  <c r="N269" i="5"/>
  <c r="N159" i="5" s="1"/>
  <c r="N272" i="5"/>
  <c r="N173" i="5" s="1"/>
  <c r="N270" i="5"/>
  <c r="N160" i="5" s="1"/>
  <c r="N271" i="5"/>
  <c r="N172" i="5" s="1"/>
  <c r="M273" i="5"/>
  <c r="M108" i="5"/>
  <c r="O52" i="5"/>
  <c r="O54" i="5" s="1"/>
  <c r="L78" i="5"/>
  <c r="D209" i="5"/>
  <c r="O61" i="5"/>
  <c r="O69" i="5" s="1"/>
  <c r="O87" i="5" s="1"/>
  <c r="O256" i="5" s="1"/>
  <c r="L284" i="5"/>
  <c r="L226" i="5"/>
  <c r="L331" i="5"/>
  <c r="L153" i="5"/>
  <c r="E209" i="5"/>
  <c r="K209" i="5" s="1"/>
  <c r="D210" i="5"/>
  <c r="K210" i="5" s="1"/>
  <c r="N89" i="5"/>
  <c r="N92" i="5" s="1"/>
  <c r="O28" i="5"/>
  <c r="O84" i="5"/>
  <c r="O85" i="5" s="1"/>
  <c r="O255" i="5" s="1"/>
  <c r="O267" i="5" s="1"/>
  <c r="O157" i="5" s="1"/>
  <c r="AB7" i="2"/>
  <c r="L7" i="2" s="1"/>
  <c r="L28" i="2" s="1"/>
  <c r="L49" i="2" s="1"/>
  <c r="L197" i="5"/>
  <c r="L119" i="5"/>
  <c r="L37" i="5"/>
  <c r="J6" i="4"/>
  <c r="M7" i="5"/>
  <c r="I78" i="5"/>
  <c r="H7" i="5"/>
  <c r="X7" i="2" s="1"/>
  <c r="H7" i="2" s="1"/>
  <c r="H28" i="2" s="1"/>
  <c r="H49" i="2" s="1"/>
  <c r="I197" i="5"/>
  <c r="I119" i="5"/>
  <c r="I37" i="5"/>
  <c r="I250" i="5"/>
  <c r="I153" i="5"/>
  <c r="J98" i="5"/>
  <c r="J104" i="5" s="1"/>
  <c r="J109" i="5"/>
  <c r="I98" i="5"/>
  <c r="I104" i="5" s="1"/>
  <c r="I109" i="5"/>
  <c r="M275" i="5" l="1"/>
  <c r="M124" i="5" s="1"/>
  <c r="O268" i="5"/>
  <c r="O158" i="5" s="1"/>
  <c r="O272" i="5"/>
  <c r="O173" i="5" s="1"/>
  <c r="O271" i="5"/>
  <c r="O172" i="5" s="1"/>
  <c r="O270" i="5"/>
  <c r="O160" i="5" s="1"/>
  <c r="O269" i="5"/>
  <c r="O159" i="5" s="1"/>
  <c r="N273" i="5"/>
  <c r="N108" i="5"/>
  <c r="L209" i="5"/>
  <c r="O89" i="5"/>
  <c r="O92" i="5" s="1"/>
  <c r="E210" i="5"/>
  <c r="L210" i="5" s="1"/>
  <c r="D211" i="5"/>
  <c r="K211" i="5" s="1"/>
  <c r="AC7" i="2"/>
  <c r="M7" i="2" s="1"/>
  <c r="M28" i="2" s="1"/>
  <c r="M49" i="2" s="1"/>
  <c r="M153" i="5"/>
  <c r="M197" i="5"/>
  <c r="M78" i="5"/>
  <c r="M331" i="5"/>
  <c r="M37" i="5"/>
  <c r="M250" i="5"/>
  <c r="M119" i="5"/>
  <c r="M226" i="5"/>
  <c r="M284" i="5"/>
  <c r="K6" i="4"/>
  <c r="N7" i="5"/>
  <c r="H78" i="5"/>
  <c r="H250" i="5"/>
  <c r="H197" i="5"/>
  <c r="H119" i="5"/>
  <c r="H37" i="5"/>
  <c r="H153" i="5"/>
  <c r="N275" i="5" l="1"/>
  <c r="N124" i="5" s="1"/>
  <c r="O273" i="5"/>
  <c r="O275" i="5" s="1"/>
  <c r="O124" i="5" s="1"/>
  <c r="O108" i="5"/>
  <c r="L211" i="5"/>
  <c r="M210" i="5"/>
  <c r="M209" i="5"/>
  <c r="D212" i="5"/>
  <c r="E211" i="5"/>
  <c r="M211" i="5" s="1"/>
  <c r="AD7" i="2"/>
  <c r="N7" i="2" s="1"/>
  <c r="N28" i="2" s="1"/>
  <c r="N49" i="2" s="1"/>
  <c r="N119" i="5"/>
  <c r="N78" i="5"/>
  <c r="N331" i="5"/>
  <c r="N37" i="5"/>
  <c r="N197" i="5"/>
  <c r="N153" i="5"/>
  <c r="N226" i="5"/>
  <c r="N284" i="5"/>
  <c r="N250" i="5"/>
  <c r="E17" i="3"/>
  <c r="O7" i="5"/>
  <c r="K212" i="5" l="1"/>
  <c r="L212" i="5"/>
  <c r="N211" i="5"/>
  <c r="N209" i="5"/>
  <c r="M212" i="5"/>
  <c r="N210" i="5"/>
  <c r="D213" i="5"/>
  <c r="N213" i="5" s="1"/>
  <c r="E212" i="5"/>
  <c r="N212" i="5" s="1"/>
  <c r="AE7" i="2"/>
  <c r="O7" i="2" s="1"/>
  <c r="O28" i="2" s="1"/>
  <c r="O49" i="2" s="1"/>
  <c r="O226" i="5"/>
  <c r="O37" i="5"/>
  <c r="O197" i="5"/>
  <c r="O331" i="5"/>
  <c r="O119" i="5"/>
  <c r="O284" i="5"/>
  <c r="O250" i="5"/>
  <c r="O78" i="5"/>
  <c r="O153" i="5"/>
  <c r="K213" i="5" l="1"/>
  <c r="K215" i="5" s="1"/>
  <c r="K122" i="5" s="1"/>
  <c r="L213" i="5"/>
  <c r="L215" i="5" s="1"/>
  <c r="M213" i="5"/>
  <c r="M215" i="5" s="1"/>
  <c r="N215" i="5"/>
  <c r="O209" i="5"/>
  <c r="O210" i="5"/>
  <c r="O211" i="5"/>
  <c r="O212" i="5"/>
  <c r="E213" i="5"/>
  <c r="O213" i="5" s="1"/>
  <c r="M94" i="5" l="1"/>
  <c r="M95" i="5" s="1"/>
  <c r="M122" i="5"/>
  <c r="L94" i="5"/>
  <c r="L95" i="5" s="1"/>
  <c r="L122" i="5"/>
  <c r="N94" i="5"/>
  <c r="N95" i="5" s="1"/>
  <c r="N122" i="5"/>
  <c r="K94" i="5"/>
  <c r="K95" i="5" s="1"/>
  <c r="L203" i="5"/>
  <c r="L217" i="5" s="1"/>
  <c r="M203" i="5" s="1"/>
  <c r="M217" i="5" s="1"/>
  <c r="N203" i="5" s="1"/>
  <c r="N217" i="5" s="1"/>
  <c r="O203" i="5" s="1"/>
  <c r="O215" i="5"/>
  <c r="L109" i="5" l="1"/>
  <c r="M109" i="5"/>
  <c r="N109" i="5"/>
  <c r="O94" i="5"/>
  <c r="O95" i="5" s="1"/>
  <c r="O122" i="5"/>
  <c r="K109" i="5"/>
  <c r="O217" i="5"/>
  <c r="O109" i="5" l="1"/>
  <c r="K97" i="5"/>
  <c r="L97" i="5"/>
  <c r="M97" i="5"/>
  <c r="N97" i="5"/>
  <c r="O97" i="5"/>
  <c r="K98" i="5"/>
  <c r="L98" i="5"/>
  <c r="M98" i="5"/>
  <c r="N98" i="5"/>
  <c r="O98" i="5"/>
  <c r="K100" i="5"/>
  <c r="L100" i="5"/>
  <c r="M100" i="5"/>
  <c r="N100" i="5"/>
  <c r="O100" i="5"/>
  <c r="K101" i="5"/>
  <c r="L101" i="5"/>
  <c r="M101" i="5"/>
  <c r="N101" i="5"/>
  <c r="O101" i="5"/>
  <c r="K102" i="5"/>
  <c r="L102" i="5"/>
  <c r="M102" i="5"/>
  <c r="N102" i="5"/>
  <c r="O102" i="5"/>
  <c r="K104" i="5"/>
  <c r="L104" i="5"/>
  <c r="M104" i="5"/>
  <c r="N104" i="5"/>
  <c r="O104" i="5"/>
  <c r="K110" i="5"/>
  <c r="L110" i="5"/>
  <c r="M110" i="5"/>
  <c r="N110" i="5"/>
  <c r="O110" i="5"/>
  <c r="K121" i="5"/>
  <c r="L121" i="5"/>
  <c r="M121" i="5"/>
  <c r="N121" i="5"/>
  <c r="O121" i="5"/>
  <c r="K123" i="5"/>
  <c r="L123" i="5"/>
  <c r="M123" i="5"/>
  <c r="N123" i="5"/>
  <c r="O123" i="5"/>
  <c r="K125" i="5"/>
  <c r="L125" i="5"/>
  <c r="M125" i="5"/>
  <c r="N125" i="5"/>
  <c r="O125" i="5"/>
  <c r="K135" i="5"/>
  <c r="L135" i="5"/>
  <c r="M135" i="5"/>
  <c r="N135" i="5"/>
  <c r="O135" i="5"/>
  <c r="K138" i="5"/>
  <c r="L138" i="5"/>
  <c r="M138" i="5"/>
  <c r="N138" i="5"/>
  <c r="O138" i="5"/>
  <c r="K139" i="5"/>
  <c r="L139" i="5"/>
  <c r="M139" i="5"/>
  <c r="N139" i="5"/>
  <c r="O139" i="5"/>
  <c r="K142" i="5"/>
  <c r="L142" i="5"/>
  <c r="M142" i="5"/>
  <c r="N142" i="5"/>
  <c r="O142" i="5"/>
  <c r="L143" i="5"/>
  <c r="M143" i="5"/>
  <c r="N143" i="5"/>
  <c r="O143" i="5"/>
  <c r="K144" i="5"/>
  <c r="L144" i="5"/>
  <c r="M144" i="5"/>
  <c r="N144" i="5"/>
  <c r="O144" i="5"/>
  <c r="K156" i="5"/>
  <c r="L156" i="5"/>
  <c r="M156" i="5"/>
  <c r="N156" i="5"/>
  <c r="O156" i="5"/>
  <c r="K161" i="5"/>
  <c r="L161" i="5"/>
  <c r="M161" i="5"/>
  <c r="N161" i="5"/>
  <c r="O161" i="5"/>
  <c r="K167" i="5"/>
  <c r="L167" i="5"/>
  <c r="M167" i="5"/>
  <c r="N167" i="5"/>
  <c r="O167" i="5"/>
  <c r="K171" i="5"/>
  <c r="L171" i="5"/>
  <c r="M171" i="5"/>
  <c r="N171" i="5"/>
  <c r="O171" i="5"/>
  <c r="K174" i="5"/>
  <c r="L174" i="5"/>
  <c r="M174" i="5"/>
  <c r="N174" i="5"/>
  <c r="O174" i="5"/>
  <c r="K176" i="5"/>
  <c r="L176" i="5"/>
  <c r="M176" i="5"/>
  <c r="N176" i="5"/>
  <c r="O176" i="5"/>
  <c r="K178" i="5"/>
  <c r="L178" i="5"/>
  <c r="M178" i="5"/>
  <c r="N178" i="5"/>
  <c r="O178" i="5"/>
  <c r="K180" i="5"/>
  <c r="L180" i="5"/>
  <c r="M180" i="5"/>
  <c r="N180" i="5"/>
  <c r="O180" i="5"/>
  <c r="K183" i="5"/>
  <c r="L183" i="5"/>
  <c r="M183" i="5"/>
  <c r="N183" i="5"/>
  <c r="O183" i="5"/>
  <c r="K184" i="5"/>
  <c r="L184" i="5"/>
  <c r="M184" i="5"/>
  <c r="N184" i="5"/>
  <c r="O184" i="5"/>
  <c r="K186" i="5"/>
  <c r="L186" i="5"/>
  <c r="M186" i="5"/>
  <c r="N186" i="5"/>
  <c r="O186" i="5"/>
  <c r="K188" i="5"/>
  <c r="L188" i="5"/>
  <c r="M188" i="5"/>
  <c r="N188" i="5"/>
  <c r="O188" i="5"/>
  <c r="K229" i="5"/>
  <c r="L229" i="5"/>
  <c r="M229" i="5"/>
  <c r="N229" i="5"/>
  <c r="O229" i="5"/>
  <c r="K232" i="5"/>
  <c r="L232" i="5"/>
  <c r="M232" i="5"/>
  <c r="N232" i="5"/>
  <c r="O232" i="5"/>
  <c r="K234" i="5"/>
  <c r="L234" i="5"/>
  <c r="M234" i="5"/>
  <c r="N234" i="5"/>
  <c r="O234" i="5"/>
  <c r="K237" i="5"/>
  <c r="L237" i="5"/>
  <c r="M237" i="5"/>
  <c r="N237" i="5"/>
  <c r="O237" i="5"/>
  <c r="K238" i="5"/>
  <c r="L238" i="5"/>
  <c r="M238" i="5"/>
  <c r="N238" i="5"/>
  <c r="O238" i="5"/>
  <c r="K239" i="5"/>
  <c r="L239" i="5"/>
  <c r="M239" i="5"/>
  <c r="N239" i="5"/>
  <c r="O239" i="5"/>
  <c r="L289" i="5"/>
  <c r="M289" i="5"/>
  <c r="N289" i="5"/>
  <c r="O289" i="5"/>
  <c r="K290" i="5"/>
  <c r="L290" i="5"/>
  <c r="M290" i="5"/>
  <c r="N290" i="5"/>
  <c r="O290" i="5"/>
  <c r="K291" i="5"/>
  <c r="L291" i="5"/>
  <c r="M291" i="5"/>
  <c r="N291" i="5"/>
  <c r="O291" i="5"/>
  <c r="K294" i="5"/>
  <c r="L294" i="5"/>
  <c r="M294" i="5"/>
  <c r="N294" i="5"/>
  <c r="O294" i="5"/>
  <c r="K298" i="5"/>
  <c r="L298" i="5"/>
  <c r="M298" i="5"/>
  <c r="N298" i="5"/>
  <c r="O298" i="5"/>
  <c r="L302" i="5"/>
  <c r="M302" i="5"/>
  <c r="N302" i="5"/>
  <c r="O302" i="5"/>
  <c r="K303" i="5"/>
  <c r="L303" i="5"/>
  <c r="M303" i="5"/>
  <c r="N303" i="5"/>
  <c r="O303" i="5"/>
  <c r="L305" i="5"/>
  <c r="M305" i="5"/>
  <c r="N305" i="5"/>
  <c r="O305" i="5"/>
  <c r="K306" i="5"/>
  <c r="L306" i="5"/>
  <c r="M306" i="5"/>
  <c r="N306" i="5"/>
  <c r="O306" i="5"/>
  <c r="K307" i="5"/>
  <c r="L307" i="5"/>
  <c r="M307" i="5"/>
  <c r="N307" i="5"/>
  <c r="O307" i="5"/>
  <c r="K310" i="5"/>
  <c r="L310" i="5"/>
  <c r="M310" i="5"/>
  <c r="N310" i="5"/>
  <c r="O310" i="5"/>
  <c r="K322" i="5"/>
  <c r="L322" i="5"/>
  <c r="M322" i="5"/>
  <c r="N322" i="5"/>
  <c r="O322" i="5"/>
  <c r="K339" i="5"/>
  <c r="L339" i="5"/>
  <c r="M339" i="5"/>
  <c r="N339" i="5"/>
  <c r="O339" i="5"/>
  <c r="K340" i="5"/>
  <c r="L340" i="5"/>
  <c r="M340" i="5"/>
  <c r="N340" i="5"/>
  <c r="O340" i="5"/>
  <c r="L344" i="5"/>
  <c r="M344" i="5"/>
  <c r="N344" i="5"/>
  <c r="O344" i="5"/>
  <c r="K345" i="5"/>
  <c r="L345" i="5"/>
  <c r="M345" i="5"/>
  <c r="N345" i="5"/>
  <c r="O345" i="5"/>
  <c r="K346" i="5"/>
  <c r="L346" i="5"/>
  <c r="M346" i="5"/>
  <c r="N346" i="5"/>
  <c r="O346" i="5"/>
  <c r="K347" i="5"/>
  <c r="L347" i="5"/>
  <c r="M347" i="5"/>
  <c r="N347" i="5"/>
  <c r="O347" i="5"/>
</calcChain>
</file>

<file path=xl/sharedStrings.xml><?xml version="1.0" encoding="utf-8"?>
<sst xmlns="http://schemas.openxmlformats.org/spreadsheetml/2006/main" count="401" uniqueCount="213">
  <si>
    <t>Summary Outputs</t>
  </si>
  <si>
    <t>SUMMARY VALUES - BASE CASE</t>
  </si>
  <si>
    <t>Projected</t>
  </si>
  <si>
    <t>($ Millions)</t>
  </si>
  <si>
    <t>Trend</t>
  </si>
  <si>
    <t>Income Statement Items</t>
  </si>
  <si>
    <t>Net Revenue</t>
  </si>
  <si>
    <t>(MM)</t>
  </si>
  <si>
    <t xml:space="preserve">   Growth</t>
  </si>
  <si>
    <t>(%)</t>
  </si>
  <si>
    <t>EBITDA</t>
  </si>
  <si>
    <t xml:space="preserve">   Margin</t>
  </si>
  <si>
    <t>Net Income</t>
  </si>
  <si>
    <t>SUMMARY VALUES - BEST CASE</t>
  </si>
  <si>
    <t>SUMMARY VALUES - WORST CASE</t>
  </si>
  <si>
    <t>Inputs and Assumptions</t>
  </si>
  <si>
    <t>GENERAL</t>
  </si>
  <si>
    <t>EQUITY</t>
  </si>
  <si>
    <t>-</t>
  </si>
  <si>
    <t>First year of forecast in financial model:</t>
  </si>
  <si>
    <t>Three scenarios have been used for Inflation, Product Pricing</t>
  </si>
  <si>
    <t>and sales volume growth</t>
  </si>
  <si>
    <t>Common Dividend Payout Rate</t>
  </si>
  <si>
    <t>PRODUCT PRICING</t>
  </si>
  <si>
    <t>OPERATIONS</t>
  </si>
  <si>
    <t>The product pricing cases used in the model are as follows:</t>
  </si>
  <si>
    <t>Pricing Case</t>
  </si>
  <si>
    <t>Annual Factory Capacity (000's units):</t>
  </si>
  <si>
    <t>Base Case</t>
  </si>
  <si>
    <t>Research Forecast</t>
  </si>
  <si>
    <t>Best Case</t>
  </si>
  <si>
    <t xml:space="preserve"> </t>
  </si>
  <si>
    <t>Worst Case</t>
  </si>
  <si>
    <t>COSTS</t>
  </si>
  <si>
    <t>INTEREST RATES</t>
  </si>
  <si>
    <t>Cost Item</t>
  </si>
  <si>
    <t>Increases</t>
  </si>
  <si>
    <t>Raw Materials</t>
  </si>
  <si>
    <t>per Unit</t>
  </si>
  <si>
    <t>Inflation on a unit basis</t>
  </si>
  <si>
    <t>Interest earned on Cash balances:</t>
  </si>
  <si>
    <t>Utilities</t>
  </si>
  <si>
    <t>Interest rate on Bank Revolver:</t>
  </si>
  <si>
    <t>Rent</t>
  </si>
  <si>
    <t>MM</t>
  </si>
  <si>
    <t>Inflation on a total basis</t>
  </si>
  <si>
    <t>Interest rate on Senior Secured Term Debt:</t>
  </si>
  <si>
    <t>Operating Labour</t>
  </si>
  <si>
    <t>Others</t>
  </si>
  <si>
    <t>SG&amp;A</t>
  </si>
  <si>
    <t>DEPRECIATION</t>
  </si>
  <si>
    <t>TAXES</t>
  </si>
  <si>
    <t>Depreciation Methodology Used:</t>
  </si>
  <si>
    <t>Straight Line</t>
  </si>
  <si>
    <t>Years remaining for depreciation of existing assets:</t>
  </si>
  <si>
    <t>Tax rate assumed in the model:</t>
  </si>
  <si>
    <t>Years used for depreciation of new assets:</t>
  </si>
  <si>
    <t>Additional tax assumptions in "Other Assumptions" box</t>
  </si>
  <si>
    <t>OTHER ASSUMPTIONS</t>
  </si>
  <si>
    <t>Income Statement</t>
  </si>
  <si>
    <t>Cost Adjustments - Gain/(Loss)</t>
  </si>
  <si>
    <t>Cash Flow Statement</t>
  </si>
  <si>
    <t>Investing Activities - Other</t>
  </si>
  <si>
    <t>Capital Expenditures</t>
  </si>
  <si>
    <t>Income Tax</t>
  </si>
  <si>
    <t>Reduction in EBT for timing differences</t>
  </si>
  <si>
    <t>Working Capital Days</t>
  </si>
  <si>
    <t>Accounts Receivable</t>
  </si>
  <si>
    <t>Inventories</t>
  </si>
  <si>
    <t>Prepaid Expenses</t>
  </si>
  <si>
    <t>Other Assets</t>
  </si>
  <si>
    <t>Accounts Payable</t>
  </si>
  <si>
    <t>Other Liabilities</t>
  </si>
  <si>
    <t>Change in Debt &amp; Equity</t>
  </si>
  <si>
    <t>Senior Term Debt Issuance / (Repayment)</t>
  </si>
  <si>
    <t>Common Stock Issuance / (Buy-back)</t>
  </si>
  <si>
    <t>Economic and Sales Scenarios</t>
  </si>
  <si>
    <t>SCENARIO SWITCH:</t>
  </si>
  <si>
    <t>ECONOMIC SCENARIOS</t>
  </si>
  <si>
    <t>Cost Inflation</t>
  </si>
  <si>
    <t>SALES SCENARIOS</t>
  </si>
  <si>
    <t>Sales Price - $/Unit</t>
  </si>
  <si>
    <t>Sales Volume Growth</t>
  </si>
  <si>
    <t>Revenue Schedule</t>
  </si>
  <si>
    <t>Pricing</t>
  </si>
  <si>
    <t xml:space="preserve">Gross Sales Price </t>
  </si>
  <si>
    <t>($/unit)</t>
  </si>
  <si>
    <t>Freight &amp; Warehousing</t>
  </si>
  <si>
    <t>Net Sales Price</t>
  </si>
  <si>
    <t>Sales Volume</t>
  </si>
  <si>
    <t>Annual Sales Volume</t>
  </si>
  <si>
    <t>Implied Operating Rate</t>
  </si>
  <si>
    <t>Revenue</t>
  </si>
  <si>
    <t>Costs of Production Schedule</t>
  </si>
  <si>
    <t>(000's units)</t>
  </si>
  <si>
    <t>COSTS PER UNIT</t>
  </si>
  <si>
    <t>Variable Costs</t>
  </si>
  <si>
    <t>Total Variable Costs</t>
  </si>
  <si>
    <t>Fixed Costs</t>
  </si>
  <si>
    <t>Total Fixed Costs</t>
  </si>
  <si>
    <t>Total Costs</t>
  </si>
  <si>
    <t>COSTS IN MILLIONS</t>
  </si>
  <si>
    <t>Gross Revenue</t>
  </si>
  <si>
    <t>Cost of Sales</t>
  </si>
  <si>
    <t>S,G &amp; A</t>
  </si>
  <si>
    <t>Depreciation</t>
  </si>
  <si>
    <t>EBIT</t>
  </si>
  <si>
    <t>Interest Expense</t>
  </si>
  <si>
    <t>EBT</t>
  </si>
  <si>
    <t>Current Income Taxes</t>
  </si>
  <si>
    <t>Deferred Income Taxes</t>
  </si>
  <si>
    <t>Total Income Taxes</t>
  </si>
  <si>
    <t>Margins</t>
  </si>
  <si>
    <t>EBITDA Margin</t>
  </si>
  <si>
    <t>EBIT Margin</t>
  </si>
  <si>
    <t>Return on Equity</t>
  </si>
  <si>
    <t>Depreciation &amp; Amortization</t>
  </si>
  <si>
    <t>Changes in working capital</t>
  </si>
  <si>
    <t>Operating Cash Flow</t>
  </si>
  <si>
    <t>CAPEX</t>
  </si>
  <si>
    <t>Other</t>
  </si>
  <si>
    <t>Investing Cash Flow</t>
  </si>
  <si>
    <t>Revolver Issuance / (Repayment)</t>
  </si>
  <si>
    <t>Term Debt Issuance / (Repayment)</t>
  </si>
  <si>
    <t>Common Shares Issuance/ (Buy-Back)</t>
  </si>
  <si>
    <t>Common Dividends</t>
  </si>
  <si>
    <t>Financing Cash Flow</t>
  </si>
  <si>
    <t>Change in the Cash Position</t>
  </si>
  <si>
    <t>Beginning Cash</t>
  </si>
  <si>
    <t>Ending Cash</t>
  </si>
  <si>
    <t>Balance Sheet</t>
  </si>
  <si>
    <t>ASSETS</t>
  </si>
  <si>
    <t>Cash</t>
  </si>
  <si>
    <t>Inventory</t>
  </si>
  <si>
    <t>Total Current Assets</t>
  </si>
  <si>
    <t>Net PP&amp;E</t>
  </si>
  <si>
    <t>Total Long Term Assets</t>
  </si>
  <si>
    <t>Total Assets</t>
  </si>
  <si>
    <t>LIABILITIES AND EQUITY</t>
  </si>
  <si>
    <t>Bank Debt - Revolver</t>
  </si>
  <si>
    <t>Total Current Liabilities</t>
  </si>
  <si>
    <t>Senior Secured Term Debt</t>
  </si>
  <si>
    <t>Total Long Term Liabilities</t>
  </si>
  <si>
    <t>Total Liabilities</t>
  </si>
  <si>
    <t>Common Shares</t>
  </si>
  <si>
    <t>Retained Earnings</t>
  </si>
  <si>
    <t>Shareholder's Equity</t>
  </si>
  <si>
    <t>Total Liabilities and Equity</t>
  </si>
  <si>
    <t>Check</t>
  </si>
  <si>
    <t>Years Remaining Existing Assets:</t>
  </si>
  <si>
    <t>Depreciation Years on New Assets:</t>
  </si>
  <si>
    <t>Depreciation to Existing Assets</t>
  </si>
  <si>
    <t>Total Depreciation</t>
  </si>
  <si>
    <t>Income Tax Schedule</t>
  </si>
  <si>
    <t>Tax Rate</t>
  </si>
  <si>
    <t xml:space="preserve">Accounting EBT (as is on I/S)   </t>
  </si>
  <si>
    <t>A</t>
  </si>
  <si>
    <r>
      <t xml:space="preserve">Less: Reduction in EBT for timing differences </t>
    </r>
    <r>
      <rPr>
        <vertAlign val="superscript"/>
        <sz val="10"/>
        <rFont val="Arial"/>
        <family val="2"/>
      </rPr>
      <t>(1)</t>
    </r>
  </si>
  <si>
    <t>Government EBT</t>
  </si>
  <si>
    <t>B</t>
  </si>
  <si>
    <t>Taxes as Appearing on Income Statement</t>
  </si>
  <si>
    <t>Increase (Decrease) in Deferred Income Taxes</t>
  </si>
  <si>
    <t>Total Income Taxes (Same as Accounting Taxes Above)</t>
  </si>
  <si>
    <t>(1) Assumes aggregate reduction in government pre-tax earnings due to timing differences between accounting and government rules.</t>
  </si>
  <si>
    <t>Working Capital Schedule</t>
  </si>
  <si>
    <t>Days per Year</t>
  </si>
  <si>
    <t>(days)</t>
  </si>
  <si>
    <t>Days In</t>
  </si>
  <si>
    <t>Account Balances</t>
  </si>
  <si>
    <t>Net Working Capital</t>
  </si>
  <si>
    <t>Change in Working Capital</t>
  </si>
  <si>
    <t>Debt and Interest Schedule</t>
  </si>
  <si>
    <t>FINANCING COMPONENT</t>
  </si>
  <si>
    <t>Annual Interest Income</t>
  </si>
  <si>
    <t>Revolver</t>
  </si>
  <si>
    <t>FCF After Mandatory Debt Repayment and Dividend</t>
  </si>
  <si>
    <t>Annual Interest Expense</t>
  </si>
  <si>
    <t>Net Interest Expense</t>
  </si>
  <si>
    <t>Shareholders' Equity Schedule</t>
  </si>
  <si>
    <t>Common Dividend</t>
  </si>
  <si>
    <t>Amount Outstanding - Ending</t>
  </si>
  <si>
    <t>Blue Container Company</t>
  </si>
  <si>
    <t>Annual Factory Capacity</t>
  </si>
  <si>
    <t>%</t>
  </si>
  <si>
    <t>(000's unit)</t>
  </si>
  <si>
    <t>($ MM)</t>
  </si>
  <si>
    <t>Capacity constraint</t>
  </si>
  <si>
    <t>Mid-Year Convention Factor</t>
  </si>
  <si>
    <t>Capex</t>
  </si>
  <si>
    <t>Fixed Assets Beginning (PP&amp;E)</t>
  </si>
  <si>
    <t>Fixed Assets Ending (PP&amp;E)</t>
  </si>
  <si>
    <t>Fixed Assets (PP&amp;E) Schedule</t>
  </si>
  <si>
    <t>Non Interest Bearing current assts &amp; liabilities</t>
  </si>
  <si>
    <t>Cost of goods sold</t>
  </si>
  <si>
    <t>(Days)</t>
  </si>
  <si>
    <t>Amount Outstanding - Beginning</t>
  </si>
  <si>
    <t>Change in Cash</t>
  </si>
  <si>
    <t>Interest Rate</t>
  </si>
  <si>
    <t>Mandatory Debt Repayments</t>
  </si>
  <si>
    <t>Dividends</t>
  </si>
  <si>
    <t>Revolver Outstanding - Beginning</t>
  </si>
  <si>
    <t>Additions / (Repayments)</t>
  </si>
  <si>
    <t>Revolver Outstanding - Ending</t>
  </si>
  <si>
    <t>New Issuance / (Buy-Back)</t>
  </si>
  <si>
    <t>Dividend Payout Rate</t>
  </si>
  <si>
    <t>Operating Activities(CFO)</t>
  </si>
  <si>
    <t>Investing Activities(CFI)</t>
  </si>
  <si>
    <t>Financing Activities(CFF)</t>
  </si>
  <si>
    <t>Unwinding accruals on the inc. statement</t>
  </si>
  <si>
    <t>Chanages on debt and equity on the BS that didn’t hit the Inc Statement</t>
  </si>
  <si>
    <t>Chanages in Assets on the BS that didn’t hit the Inc Statement</t>
  </si>
  <si>
    <t>Financial Model Solution- Vertical Orientation</t>
  </si>
  <si>
    <t>Blue Containers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</si>
</sst>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5">
    <numFmt numFmtId="43" formatCode="_-* #,##0.00_-;\-* #,##0.00_-;_-* &quot;-&quot;??_-;_-@_-"/>
    <numFmt numFmtId="164" formatCode="0\A"/>
    <numFmt numFmtId="165" formatCode="0\F"/>
    <numFmt numFmtId="166" formatCode="&quot;$&quot;#,##0_);\(&quot;$&quot;#,##0\)"/>
    <numFmt numFmtId="167" formatCode="0.0%;\(0.0%\)"/>
    <numFmt numFmtId="168" formatCode="&quot;$&quot;#,##0.00_);\(&quot;$&quot;#,##0.00\)"/>
    <numFmt numFmtId="169" formatCode="0.0%"/>
    <numFmt numFmtId="170" formatCode="\+0%;\(0%\)"/>
    <numFmt numFmtId="171" formatCode="&quot;$&quot;#,##0.0"/>
    <numFmt numFmtId="172" formatCode="&quot;- Opening UCC pool of &quot;&quot;$&quot;#,###.0&quot; million as of January 1, 1999&quot;"/>
    <numFmt numFmtId="173" formatCode="0\ &quot;years&quot;"/>
    <numFmt numFmtId="174" formatCode="&quot;$&quot;#,##0.0_);\(&quot;$&quot;#,##0.0\)"/>
    <numFmt numFmtId="175" formatCode="&quot;- EBITDA margin of &quot;0.0%"/>
    <numFmt numFmtId="176" formatCode="0.0_);\(0.0\)"/>
    <numFmt numFmtId="177" formatCode="0.00_);\(0.00\)"/>
    <numFmt numFmtId="178" formatCode="0_);\(0\)"/>
    <numFmt numFmtId="179" formatCode="0.00\ "/>
    <numFmt numFmtId="180" formatCode="0%;\(0%\)"/>
    <numFmt numFmtId="181" formatCode="_(* #,##0.0_);_(* \(#,##0.0\);_(* &quot;-&quot;??_);_(@_)"/>
    <numFmt numFmtId="182" formatCode="_(* #,##0_);_(* \(#,##0\);_(* &quot;-&quot;??_);_(@_)"/>
    <numFmt numFmtId="183" formatCode="0.0%\ ;\(0.0%\)"/>
    <numFmt numFmtId="184" formatCode="#,##0.0_);\(#,##0.0\)"/>
    <numFmt numFmtId="185" formatCode="0.0\ \x"/>
    <numFmt numFmtId="186" formatCode="&quot;$&quot;#,##0_);[Red]\(&quot;$&quot;#,##0\)"/>
    <numFmt numFmtId="187" formatCode="&quot;$&quot;#,##0.000_);\(&quot;$&quot;#,##0.000\)"/>
    <numFmt numFmtId="188" formatCode="#,##0.000_);\(#,##0.000\)"/>
    <numFmt numFmtId="189" formatCode="[&gt;-0.000001]\ 0.0_);\ \(0.0\)_)"/>
    <numFmt numFmtId="190" formatCode="0.000_);\(0.000\)"/>
    <numFmt numFmtId="191" formatCode="#,##0.0000_);\(#,##0.0000\)"/>
    <numFmt numFmtId="192" formatCode="&quot;$&quot;#,##0.000000_);\(&quot;$&quot;#,##0.000000\)"/>
    <numFmt numFmtId="193" formatCode="&quot;$&quot;#,##0.0000_);\(&quot;$&quot;#,##0.0000\)"/>
    <numFmt numFmtId="194" formatCode="&quot;$&quot;#,##0.00_);[Red]\(&quot;$&quot;#,##0.00\)"/>
    <numFmt numFmtId="195" formatCode="_-* #,##0_-;\-* #,##0_-;_-* &quot;-&quot;??_-;_-@_-"/>
    <numFmt numFmtId="196" formatCode="0.0"/>
    <numFmt numFmtId="197" formatCode="_-[$$-409]* #,##0.00_ ;_-[$$-409]* \-#,##0.00\ ;_-[$$-409]* &quot;-&quot;??_ ;_-@_ "/>
  </numFmts>
  <fonts count="7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20"/>
      <color indexed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  <font>
      <b/>
      <u/>
      <sz val="10"/>
      <name val="Arial"/>
      <family val="2"/>
    </font>
    <font>
      <b/>
      <sz val="8"/>
      <color rgb="FF008ED6"/>
      <name val="Arial"/>
      <family val="2"/>
    </font>
    <font>
      <sz val="10"/>
      <color rgb="FF002F6C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sz val="9"/>
      <color rgb="FF002F6C"/>
      <name val="Arial"/>
      <family val="2"/>
    </font>
    <font>
      <sz val="10"/>
      <color rgb="FF4586BB"/>
      <name val="Arial"/>
      <family val="2"/>
    </font>
    <font>
      <sz val="9"/>
      <color rgb="FF002F6C"/>
      <name val="Arial"/>
      <family val="2"/>
    </font>
    <font>
      <b/>
      <sz val="8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8"/>
      <color rgb="FF0000FF"/>
      <name val="Arial"/>
      <family val="2"/>
    </font>
    <font>
      <b/>
      <sz val="14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FF"/>
      <name val="Arial"/>
      <family val="2"/>
    </font>
    <font>
      <sz val="10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9"/>
      <color rgb="FF009B73"/>
      <name val="Arial"/>
      <family val="2"/>
    </font>
    <font>
      <b/>
      <sz val="10"/>
      <color rgb="FF0000FF"/>
      <name val="Arial"/>
      <family val="2"/>
    </font>
    <font>
      <sz val="10"/>
      <color rgb="FF009B73"/>
      <name val="Arial"/>
      <family val="2"/>
    </font>
    <font>
      <i/>
      <sz val="10"/>
      <color rgb="FF009B73"/>
      <name val="Arial"/>
      <family val="2"/>
    </font>
    <font>
      <b/>
      <sz val="9"/>
      <name val="Arial"/>
      <family val="2"/>
    </font>
    <font>
      <vertAlign val="superscript"/>
      <sz val="7"/>
      <name val="Arial"/>
      <family val="2"/>
    </font>
    <font>
      <u/>
      <sz val="10"/>
      <color rgb="FF0000FF"/>
      <name val="Arial"/>
      <family val="2"/>
    </font>
    <font>
      <b/>
      <u/>
      <sz val="9"/>
      <name val="Arial"/>
      <family val="2"/>
    </font>
    <font>
      <b/>
      <sz val="10"/>
      <color rgb="FF009B73"/>
      <name val="Arial"/>
      <family val="2"/>
    </font>
    <font>
      <vertAlign val="superscript"/>
      <sz val="10"/>
      <name val="Arial"/>
      <family val="2"/>
    </font>
    <font>
      <sz val="10"/>
      <name val="Book Antiqua"/>
      <family val="1"/>
    </font>
    <font>
      <sz val="10"/>
      <name val="Aldine401 BT"/>
    </font>
    <font>
      <sz val="11"/>
      <color indexed="12"/>
      <name val="Book Antiqua"/>
      <family val="1"/>
    </font>
    <font>
      <sz val="12"/>
      <color theme="1"/>
      <name val="Aptos Narrow"/>
      <family val="2"/>
      <scheme val="minor"/>
    </font>
    <font>
      <b/>
      <sz val="18"/>
      <color indexed="12"/>
      <name val="Arial"/>
      <family val="2"/>
    </font>
    <font>
      <b/>
      <i/>
      <sz val="14"/>
      <color indexed="10"/>
      <name val="Arial"/>
      <family val="2"/>
    </font>
    <font>
      <b/>
      <i/>
      <sz val="9"/>
      <color indexed="10"/>
      <name val="Arial"/>
      <family val="2"/>
    </font>
    <font>
      <sz val="10"/>
      <color indexed="9"/>
      <name val="Arial"/>
      <family val="2"/>
    </font>
    <font>
      <i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8"/>
      <color indexed="12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61"/>
      <name val="Arial"/>
      <family val="2"/>
    </font>
    <font>
      <sz val="10"/>
      <color theme="1"/>
      <name val="Arial"/>
      <family val="2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rial"/>
      <family val="2"/>
    </font>
    <font>
      <b/>
      <sz val="18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F6C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5B77CC"/>
        <bgColor indexed="64"/>
      </patternFill>
    </fill>
    <fill>
      <patternFill patternType="solid">
        <fgColor rgb="FF002F6C"/>
        <bgColor rgb="FF000000"/>
      </patternFill>
    </fill>
    <fill>
      <patternFill patternType="solid">
        <fgColor rgb="FF009966"/>
        <bgColor rgb="FF000000"/>
      </patternFill>
    </fill>
    <fill>
      <patternFill patternType="solid">
        <fgColor rgb="FF5B77CC"/>
        <bgColor rgb="FF000000"/>
      </patternFill>
    </fill>
    <fill>
      <patternFill patternType="solid">
        <fgColor theme="0"/>
        <bgColor rgb="FF000000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2F6C"/>
      </left>
      <right/>
      <top style="thin">
        <color rgb="FF002F6C"/>
      </top>
      <bottom/>
      <diagonal/>
    </border>
    <border>
      <left/>
      <right/>
      <top style="thin">
        <color rgb="FF002F6C"/>
      </top>
      <bottom/>
      <diagonal/>
    </border>
    <border>
      <left/>
      <right/>
      <top style="thin">
        <color rgb="FF002F6C"/>
      </top>
      <bottom style="thin">
        <color theme="0"/>
      </bottom>
      <diagonal/>
    </border>
    <border>
      <left/>
      <right style="thin">
        <color rgb="FF002F6C"/>
      </right>
      <top style="thin">
        <color rgb="FF002F6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2F6C"/>
      </left>
      <right/>
      <top/>
      <bottom/>
      <diagonal/>
    </border>
    <border>
      <left/>
      <right style="thin">
        <color rgb="FF002F6C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rgb="FF009966"/>
      </bottom>
      <diagonal/>
    </border>
    <border>
      <left style="thin">
        <color rgb="FF002F6C"/>
      </left>
      <right/>
      <top/>
      <bottom style="thin">
        <color rgb="FF002F6C"/>
      </bottom>
      <diagonal/>
    </border>
    <border>
      <left/>
      <right/>
      <top/>
      <bottom style="thin">
        <color rgb="FF002F6C"/>
      </bottom>
      <diagonal/>
    </border>
    <border>
      <left/>
      <right style="thin">
        <color rgb="FF002F6C"/>
      </right>
      <top/>
      <bottom style="thin">
        <color rgb="FF002F6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2F6C"/>
      </left>
      <right/>
      <top/>
      <bottom style="thin">
        <color rgb="FF4586BB"/>
      </bottom>
      <diagonal/>
    </border>
    <border>
      <left/>
      <right/>
      <top/>
      <bottom style="thin">
        <color rgb="FF4586BB"/>
      </bottom>
      <diagonal/>
    </border>
    <border>
      <left/>
      <right style="thin">
        <color rgb="FF002F6C"/>
      </right>
      <top/>
      <bottom style="thin">
        <color rgb="FF4586BB"/>
      </bottom>
      <diagonal/>
    </border>
    <border>
      <left style="thin">
        <color rgb="FF4586BB"/>
      </left>
      <right/>
      <top style="thin">
        <color rgb="FF4586BB"/>
      </top>
      <bottom/>
      <diagonal/>
    </border>
    <border>
      <left/>
      <right/>
      <top style="thin">
        <color rgb="FF4586BB"/>
      </top>
      <bottom/>
      <diagonal/>
    </border>
    <border>
      <left/>
      <right style="thin">
        <color rgb="FF4586BB"/>
      </right>
      <top style="thin">
        <color rgb="FF4586BB"/>
      </top>
      <bottom/>
      <diagonal/>
    </border>
    <border>
      <left style="thin">
        <color rgb="FF4586BB"/>
      </left>
      <right/>
      <top/>
      <bottom/>
      <diagonal/>
    </border>
    <border>
      <left/>
      <right style="thin">
        <color rgb="FF4586BB"/>
      </right>
      <top/>
      <bottom/>
      <diagonal/>
    </border>
    <border>
      <left/>
      <right/>
      <top style="thin">
        <color rgb="FF5B77CC"/>
      </top>
      <bottom/>
      <diagonal/>
    </border>
    <border>
      <left style="thin">
        <color rgb="FF4586BB"/>
      </left>
      <right/>
      <top/>
      <bottom style="thin">
        <color rgb="FF4586BB"/>
      </bottom>
      <diagonal/>
    </border>
    <border>
      <left/>
      <right style="thin">
        <color rgb="FF4586BB"/>
      </right>
      <top/>
      <bottom style="thin">
        <color rgb="FF4586B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4" fillId="0" borderId="0"/>
    <xf numFmtId="0" fontId="2" fillId="0" borderId="0"/>
    <xf numFmtId="0" fontId="53" fillId="0" borderId="0" applyNumberFormat="0" applyFont="0" applyFill="0" applyBorder="0" applyProtection="0">
      <alignment horizontal="centerContinuous"/>
    </xf>
    <xf numFmtId="0" fontId="53" fillId="0" borderId="13" applyNumberFormat="0" applyFont="0" applyFill="0" applyAlignment="0" applyProtection="0"/>
    <xf numFmtId="0" fontId="53" fillId="0" borderId="0" applyNumberFormat="0" applyFont="0" applyFill="0" applyBorder="0" applyProtection="0">
      <alignment horizontal="center"/>
    </xf>
    <xf numFmtId="43" fontId="54" fillId="0" borderId="0" applyFont="0" applyFill="0" applyBorder="0" applyAlignment="0" applyProtection="0"/>
    <xf numFmtId="194" fontId="55" fillId="0" borderId="46">
      <protection locked="0"/>
    </xf>
    <xf numFmtId="0" fontId="53" fillId="0" borderId="47" applyNumberFormat="0" applyFont="0" applyFill="0" applyAlignment="0" applyProtection="0"/>
    <xf numFmtId="0" fontId="19" fillId="0" borderId="0" applyNumberFormat="0" applyFill="0" applyBorder="0" applyAlignment="0" applyProtection="0"/>
    <xf numFmtId="195" fontId="54" fillId="0" borderId="0" applyNumberFormat="0" applyFill="0" applyBorder="0" applyAlignment="0" applyProtection="0"/>
    <xf numFmtId="0" fontId="53" fillId="0" borderId="48" applyNumberFormat="0" applyFont="0" applyFill="0" applyAlignment="0" applyProtection="0"/>
    <xf numFmtId="0" fontId="56" fillId="0" borderId="0"/>
    <xf numFmtId="9" fontId="1" fillId="0" borderId="0" applyFont="0" applyFill="0" applyBorder="0" applyAlignment="0" applyProtection="0"/>
  </cellStyleXfs>
  <cellXfs count="557">
    <xf numFmtId="0" fontId="0" fillId="0" borderId="0" xfId="0"/>
    <xf numFmtId="0" fontId="0" fillId="2" borderId="0" xfId="0" applyFill="1"/>
    <xf numFmtId="0" fontId="2" fillId="0" borderId="0" xfId="2"/>
    <xf numFmtId="0" fontId="2" fillId="0" borderId="0" xfId="2" applyAlignment="1">
      <alignment vertical="center"/>
    </xf>
    <xf numFmtId="0" fontId="2" fillId="3" borderId="2" xfId="2" applyFill="1" applyBorder="1" applyAlignment="1">
      <alignment vertical="center"/>
    </xf>
    <xf numFmtId="0" fontId="2" fillId="3" borderId="3" xfId="2" applyFill="1" applyBorder="1" applyAlignment="1">
      <alignment vertical="center"/>
    </xf>
    <xf numFmtId="0" fontId="10" fillId="3" borderId="3" xfId="2" applyFont="1" applyFill="1" applyBorder="1" applyAlignment="1">
      <alignment vertical="center"/>
    </xf>
    <xf numFmtId="0" fontId="11" fillId="3" borderId="4" xfId="2" applyFont="1" applyFill="1" applyBorder="1" applyAlignment="1">
      <alignment horizontal="centerContinuous" vertical="center"/>
    </xf>
    <xf numFmtId="0" fontId="12" fillId="3" borderId="4" xfId="2" applyFont="1" applyFill="1" applyBorder="1" applyAlignment="1">
      <alignment horizontal="centerContinuous" vertical="center"/>
    </xf>
    <xf numFmtId="0" fontId="10" fillId="3" borderId="5" xfId="2" applyFont="1" applyFill="1" applyBorder="1" applyAlignment="1">
      <alignment vertical="center"/>
    </xf>
    <xf numFmtId="0" fontId="2" fillId="3" borderId="10" xfId="2" applyFill="1" applyBorder="1" applyAlignment="1">
      <alignment vertical="center"/>
    </xf>
    <xf numFmtId="0" fontId="15" fillId="3" borderId="0" xfId="2" applyFont="1" applyFill="1" applyAlignment="1">
      <alignment vertical="center"/>
    </xf>
    <xf numFmtId="0" fontId="2" fillId="3" borderId="0" xfId="2" applyFill="1" applyAlignment="1">
      <alignment vertical="center"/>
    </xf>
    <xf numFmtId="164" fontId="15" fillId="3" borderId="0" xfId="0" applyNumberFormat="1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0" fillId="3" borderId="11" xfId="2" applyFont="1" applyFill="1" applyBorder="1" applyAlignment="1">
      <alignment vertical="center"/>
    </xf>
    <xf numFmtId="0" fontId="2" fillId="4" borderId="10" xfId="2" applyFill="1" applyBorder="1"/>
    <xf numFmtId="0" fontId="2" fillId="4" borderId="0" xfId="2" applyFill="1"/>
    <xf numFmtId="164" fontId="16" fillId="4" borderId="0" xfId="0" applyNumberFormat="1" applyFont="1" applyFill="1"/>
    <xf numFmtId="165" fontId="16" fillId="4" borderId="0" xfId="0" quotePrefix="1" applyNumberFormat="1" applyFont="1" applyFill="1" applyAlignment="1">
      <alignment horizontal="right"/>
    </xf>
    <xf numFmtId="0" fontId="16" fillId="4" borderId="0" xfId="0" applyFont="1" applyFill="1"/>
    <xf numFmtId="0" fontId="16" fillId="4" borderId="11" xfId="0" applyFont="1" applyFill="1" applyBorder="1"/>
    <xf numFmtId="0" fontId="2" fillId="5" borderId="10" xfId="2" applyFill="1" applyBorder="1"/>
    <xf numFmtId="0" fontId="2" fillId="5" borderId="0" xfId="2" applyFill="1"/>
    <xf numFmtId="164" fontId="16" fillId="5" borderId="0" xfId="0" applyNumberFormat="1" applyFont="1" applyFill="1"/>
    <xf numFmtId="165" fontId="16" fillId="5" borderId="0" xfId="0" quotePrefix="1" applyNumberFormat="1" applyFont="1" applyFill="1" applyAlignment="1">
      <alignment horizontal="right"/>
    </xf>
    <xf numFmtId="0" fontId="16" fillId="5" borderId="0" xfId="0" applyFont="1" applyFill="1"/>
    <xf numFmtId="0" fontId="16" fillId="5" borderId="11" xfId="0" applyFont="1" applyFill="1" applyBorder="1"/>
    <xf numFmtId="0" fontId="2" fillId="3" borderId="5" xfId="2" applyFill="1" applyBorder="1" applyAlignment="1">
      <alignment vertical="center"/>
    </xf>
    <xf numFmtId="0" fontId="2" fillId="3" borderId="11" xfId="2" applyFill="1" applyBorder="1" applyAlignment="1">
      <alignment vertical="center"/>
    </xf>
    <xf numFmtId="0" fontId="2" fillId="3" borderId="21" xfId="2" applyFill="1" applyBorder="1" applyAlignment="1">
      <alignment vertical="center"/>
    </xf>
    <xf numFmtId="0" fontId="2" fillId="3" borderId="22" xfId="2" applyFill="1" applyBorder="1" applyAlignment="1">
      <alignment vertical="center"/>
    </xf>
    <xf numFmtId="164" fontId="15" fillId="3" borderId="22" xfId="0" applyNumberFormat="1" applyFont="1" applyFill="1" applyBorder="1" applyAlignment="1">
      <alignment vertical="center"/>
    </xf>
    <xf numFmtId="0" fontId="15" fillId="3" borderId="22" xfId="0" applyFont="1" applyFill="1" applyBorder="1" applyAlignment="1">
      <alignment vertical="center"/>
    </xf>
    <xf numFmtId="0" fontId="2" fillId="3" borderId="23" xfId="2" applyFill="1" applyBorder="1" applyAlignment="1">
      <alignment vertical="center"/>
    </xf>
    <xf numFmtId="0" fontId="3" fillId="2" borderId="0" xfId="2" applyFont="1" applyFill="1" applyAlignment="1">
      <alignment horizontal="centerContinuous"/>
    </xf>
    <xf numFmtId="0" fontId="4" fillId="2" borderId="0" xfId="2" applyFont="1" applyFill="1" applyAlignment="1">
      <alignment horizontal="centerContinuous"/>
    </xf>
    <xf numFmtId="0" fontId="5" fillId="2" borderId="0" xfId="2" applyFont="1" applyFill="1" applyAlignment="1">
      <alignment horizontal="centerContinuous"/>
    </xf>
    <xf numFmtId="0" fontId="2" fillId="2" borderId="0" xfId="2" applyFill="1"/>
    <xf numFmtId="0" fontId="6" fillId="2" borderId="0" xfId="2" applyFont="1" applyFill="1" applyAlignment="1">
      <alignment horizontal="centerContinuous"/>
    </xf>
    <xf numFmtId="0" fontId="2" fillId="2" borderId="1" xfId="2" applyFill="1" applyBorder="1"/>
    <xf numFmtId="0" fontId="7" fillId="2" borderId="0" xfId="2" applyFont="1" applyFill="1" applyAlignment="1">
      <alignment horizontal="centerContinuous"/>
    </xf>
    <xf numFmtId="0" fontId="8" fillId="2" borderId="0" xfId="2" applyFont="1" applyFill="1" applyAlignment="1">
      <alignment horizontal="centerContinuous"/>
    </xf>
    <xf numFmtId="0" fontId="9" fillId="2" borderId="0" xfId="2" applyFont="1" applyFill="1" applyAlignment="1">
      <alignment horizontal="centerContinuous"/>
    </xf>
    <xf numFmtId="0" fontId="2" fillId="2" borderId="0" xfId="2" applyFill="1" applyAlignment="1">
      <alignment vertical="center"/>
    </xf>
    <xf numFmtId="0" fontId="2" fillId="2" borderId="6" xfId="2" applyFill="1" applyBorder="1" applyAlignment="1">
      <alignment vertical="center"/>
    </xf>
    <xf numFmtId="0" fontId="2" fillId="2" borderId="7" xfId="2" applyFill="1" applyBorder="1" applyAlignment="1">
      <alignment vertical="center"/>
    </xf>
    <xf numFmtId="0" fontId="2" fillId="2" borderId="9" xfId="2" applyFill="1" applyBorder="1" applyAlignment="1">
      <alignment vertical="center"/>
    </xf>
    <xf numFmtId="0" fontId="2" fillId="2" borderId="12" xfId="2" applyFill="1" applyBorder="1" applyAlignment="1">
      <alignment vertical="center"/>
    </xf>
    <xf numFmtId="0" fontId="2" fillId="2" borderId="13" xfId="2" applyFill="1" applyBorder="1" applyAlignment="1">
      <alignment vertical="center"/>
    </xf>
    <xf numFmtId="164" fontId="8" fillId="2" borderId="13" xfId="0" applyNumberFormat="1" applyFont="1" applyFill="1" applyBorder="1" applyAlignment="1">
      <alignment vertical="center"/>
    </xf>
    <xf numFmtId="0" fontId="2" fillId="2" borderId="14" xfId="2" applyFill="1" applyBorder="1" applyAlignment="1">
      <alignment vertical="center"/>
    </xf>
    <xf numFmtId="0" fontId="2" fillId="2" borderId="10" xfId="2" applyFill="1" applyBorder="1"/>
    <xf numFmtId="164" fontId="16" fillId="2" borderId="0" xfId="0" applyNumberFormat="1" applyFont="1" applyFill="1"/>
    <xf numFmtId="165" fontId="16" fillId="2" borderId="0" xfId="0" quotePrefix="1" applyNumberFormat="1" applyFont="1" applyFill="1" applyAlignment="1">
      <alignment horizontal="right"/>
    </xf>
    <xf numFmtId="0" fontId="16" fillId="2" borderId="0" xfId="0" applyFont="1" applyFill="1"/>
    <xf numFmtId="0" fontId="2" fillId="2" borderId="12" xfId="2" applyFill="1" applyBorder="1"/>
    <xf numFmtId="0" fontId="2" fillId="2" borderId="14" xfId="2" applyFill="1" applyBorder="1"/>
    <xf numFmtId="0" fontId="8" fillId="2" borderId="0" xfId="2" applyFont="1" applyFill="1"/>
    <xf numFmtId="0" fontId="2" fillId="2" borderId="11" xfId="2" applyFill="1" applyBorder="1"/>
    <xf numFmtId="0" fontId="17" fillId="2" borderId="0" xfId="2" applyFont="1" applyFill="1"/>
    <xf numFmtId="166" fontId="18" fillId="2" borderId="0" xfId="1" applyNumberFormat="1" applyFont="1" applyFill="1" applyBorder="1"/>
    <xf numFmtId="0" fontId="19" fillId="2" borderId="0" xfId="2" applyFont="1" applyFill="1"/>
    <xf numFmtId="166" fontId="2" fillId="2" borderId="0" xfId="1" applyNumberFormat="1" applyFont="1" applyFill="1" applyBorder="1"/>
    <xf numFmtId="0" fontId="20" fillId="2" borderId="0" xfId="2" applyFont="1" applyFill="1"/>
    <xf numFmtId="0" fontId="21" fillId="2" borderId="0" xfId="2" applyFont="1" applyFill="1"/>
    <xf numFmtId="0" fontId="18" fillId="2" borderId="0" xfId="2" applyFont="1" applyFill="1"/>
    <xf numFmtId="167" fontId="22" fillId="2" borderId="0" xfId="0" applyNumberFormat="1" applyFont="1" applyFill="1"/>
    <xf numFmtId="167" fontId="20" fillId="2" borderId="0" xfId="0" applyNumberFormat="1" applyFont="1" applyFill="1"/>
    <xf numFmtId="0" fontId="23" fillId="2" borderId="0" xfId="2" applyFont="1" applyFill="1"/>
    <xf numFmtId="0" fontId="18" fillId="2" borderId="15" xfId="2" applyFont="1" applyFill="1" applyBorder="1"/>
    <xf numFmtId="166" fontId="2" fillId="2" borderId="11" xfId="1" applyNumberFormat="1" applyFont="1" applyFill="1" applyBorder="1"/>
    <xf numFmtId="167" fontId="14" fillId="2" borderId="11" xfId="0" applyNumberFormat="1" applyFont="1" applyFill="1" applyBorder="1"/>
    <xf numFmtId="0" fontId="24" fillId="2" borderId="0" xfId="2" applyFont="1" applyFill="1"/>
    <xf numFmtId="0" fontId="25" fillId="2" borderId="0" xfId="2" applyFont="1" applyFill="1"/>
    <xf numFmtId="0" fontId="2" fillId="2" borderId="16" xfId="2" applyFill="1" applyBorder="1"/>
    <xf numFmtId="0" fontId="2" fillId="2" borderId="17" xfId="2" applyFill="1" applyBorder="1"/>
    <xf numFmtId="0" fontId="2" fillId="2" borderId="17" xfId="2" applyFill="1" applyBorder="1" applyAlignment="1">
      <alignment horizontal="left"/>
    </xf>
    <xf numFmtId="0" fontId="2" fillId="2" borderId="18" xfId="2" applyFill="1" applyBorder="1"/>
    <xf numFmtId="0" fontId="2" fillId="2" borderId="19" xfId="2" applyFill="1" applyBorder="1"/>
    <xf numFmtId="0" fontId="2" fillId="2" borderId="13" xfId="2" applyFill="1" applyBorder="1"/>
    <xf numFmtId="0" fontId="2" fillId="2" borderId="20" xfId="2" applyFill="1" applyBorder="1"/>
    <xf numFmtId="0" fontId="14" fillId="2" borderId="0" xfId="2" applyFont="1" applyFill="1"/>
    <xf numFmtId="167" fontId="14" fillId="2" borderId="0" xfId="0" applyNumberFormat="1" applyFont="1" applyFill="1"/>
    <xf numFmtId="0" fontId="2" fillId="2" borderId="0" xfId="2" applyFill="1" applyAlignment="1">
      <alignment horizontal="right"/>
    </xf>
    <xf numFmtId="0" fontId="2" fillId="0" borderId="0" xfId="0" applyFont="1"/>
    <xf numFmtId="0" fontId="31" fillId="0" borderId="1" xfId="0" applyFont="1" applyBorder="1"/>
    <xf numFmtId="0" fontId="2" fillId="0" borderId="1" xfId="0" applyFont="1" applyBorder="1"/>
    <xf numFmtId="0" fontId="32" fillId="6" borderId="24" xfId="0" applyFont="1" applyFill="1" applyBorder="1" applyAlignment="1">
      <alignment vertical="center"/>
    </xf>
    <xf numFmtId="0" fontId="2" fillId="6" borderId="25" xfId="0" applyFont="1" applyFill="1" applyBorder="1"/>
    <xf numFmtId="0" fontId="2" fillId="6" borderId="26" xfId="0" applyFont="1" applyFill="1" applyBorder="1"/>
    <xf numFmtId="0" fontId="8" fillId="7" borderId="27" xfId="0" applyFont="1" applyFill="1" applyBorder="1" applyAlignment="1">
      <alignment vertical="center"/>
    </xf>
    <xf numFmtId="0" fontId="2" fillId="7" borderId="0" xfId="0" applyFont="1" applyFill="1"/>
    <xf numFmtId="0" fontId="2" fillId="7" borderId="28" xfId="0" applyFont="1" applyFill="1" applyBorder="1"/>
    <xf numFmtId="0" fontId="8" fillId="8" borderId="27" xfId="0" applyFont="1" applyFill="1" applyBorder="1" applyAlignment="1">
      <alignment vertical="center"/>
    </xf>
    <xf numFmtId="0" fontId="2" fillId="8" borderId="0" xfId="0" applyFont="1" applyFill="1"/>
    <xf numFmtId="0" fontId="2" fillId="8" borderId="28" xfId="0" applyFont="1" applyFill="1" applyBorder="1"/>
    <xf numFmtId="0" fontId="2" fillId="0" borderId="0" xfId="0" applyFont="1" applyAlignment="1">
      <alignment vertical="center"/>
    </xf>
    <xf numFmtId="0" fontId="2" fillId="6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vertical="center"/>
    </xf>
    <xf numFmtId="0" fontId="32" fillId="6" borderId="25" xfId="0" applyFont="1" applyFill="1" applyBorder="1" applyAlignment="1">
      <alignment vertical="center"/>
    </xf>
    <xf numFmtId="0" fontId="32" fillId="6" borderId="26" xfId="0" applyFont="1" applyFill="1" applyBorder="1" applyAlignment="1">
      <alignment vertical="center"/>
    </xf>
    <xf numFmtId="0" fontId="30" fillId="2" borderId="0" xfId="0" applyFont="1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1" fillId="2" borderId="0" xfId="0" applyFont="1" applyFill="1" applyAlignment="1">
      <alignment horizontal="centerContinuous"/>
    </xf>
    <xf numFmtId="0" fontId="25" fillId="2" borderId="0" xfId="2" quotePrefix="1" applyFont="1" applyFill="1" applyAlignment="1">
      <alignment horizontal="right" vertical="center"/>
    </xf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Continuous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Continuous"/>
    </xf>
    <xf numFmtId="0" fontId="6" fillId="2" borderId="1" xfId="0" applyFont="1" applyFill="1" applyBorder="1" applyAlignment="1">
      <alignment horizontal="centerContinuous"/>
    </xf>
    <xf numFmtId="0" fontId="21" fillId="2" borderId="0" xfId="0" applyFont="1" applyFill="1"/>
    <xf numFmtId="0" fontId="8" fillId="2" borderId="0" xfId="0" applyFont="1" applyFill="1" applyAlignment="1">
      <alignment horizontal="centerContinuous"/>
    </xf>
    <xf numFmtId="0" fontId="13" fillId="2" borderId="13" xfId="0" applyFont="1" applyFill="1" applyBorder="1" applyAlignment="1">
      <alignment horizontal="centerContinuous"/>
    </xf>
    <xf numFmtId="0" fontId="2" fillId="2" borderId="13" xfId="0" applyFont="1" applyFill="1" applyBorder="1" applyAlignment="1">
      <alignment horizontal="centerContinuous"/>
    </xf>
    <xf numFmtId="164" fontId="8" fillId="2" borderId="0" xfId="0" quotePrefix="1" applyNumberFormat="1" applyFont="1" applyFill="1" applyAlignment="1">
      <alignment horizontal="right"/>
    </xf>
    <xf numFmtId="0" fontId="8" fillId="2" borderId="0" xfId="0" applyFont="1" applyFill="1"/>
    <xf numFmtId="0" fontId="8" fillId="2" borderId="0" xfId="0" quotePrefix="1" applyFont="1" applyFill="1" applyAlignment="1">
      <alignment horizontal="left"/>
    </xf>
    <xf numFmtId="0" fontId="19" fillId="2" borderId="0" xfId="0" applyFont="1" applyFill="1"/>
    <xf numFmtId="169" fontId="2" fillId="2" borderId="0" xfId="0" applyNumberFormat="1" applyFont="1" applyFill="1"/>
    <xf numFmtId="0" fontId="2" fillId="2" borderId="0" xfId="0" quotePrefix="1" applyFont="1" applyFill="1" applyAlignment="1">
      <alignment horizontal="left"/>
    </xf>
    <xf numFmtId="0" fontId="19" fillId="2" borderId="0" xfId="0" quotePrefix="1" applyFont="1" applyFill="1" applyAlignment="1">
      <alignment horizontal="left"/>
    </xf>
    <xf numFmtId="181" fontId="33" fillId="2" borderId="0" xfId="1" applyNumberFormat="1" applyFont="1" applyFill="1" applyBorder="1" applyProtection="1"/>
    <xf numFmtId="169" fontId="14" fillId="2" borderId="0" xfId="0" applyNumberFormat="1" applyFont="1" applyFill="1"/>
    <xf numFmtId="169" fontId="46" fillId="2" borderId="0" xfId="0" applyNumberFormat="1" applyFont="1" applyFill="1"/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5" fillId="2" borderId="0" xfId="0" quotePrefix="1" applyFont="1" applyFill="1" applyAlignment="1">
      <alignment horizontal="left"/>
    </xf>
    <xf numFmtId="181" fontId="8" fillId="2" borderId="0" xfId="1" applyNumberFormat="1" applyFont="1" applyFill="1" applyBorder="1" applyProtection="1"/>
    <xf numFmtId="0" fontId="8" fillId="2" borderId="40" xfId="0" quotePrefix="1" applyFont="1" applyFill="1" applyBorder="1" applyAlignment="1">
      <alignment horizontal="left"/>
    </xf>
    <xf numFmtId="0" fontId="25" fillId="2" borderId="40" xfId="0" quotePrefix="1" applyFont="1" applyFill="1" applyBorder="1" applyAlignment="1">
      <alignment horizontal="left"/>
    </xf>
    <xf numFmtId="182" fontId="8" fillId="2" borderId="40" xfId="1" applyNumberFormat="1" applyFont="1" applyFill="1" applyBorder="1" applyProtection="1"/>
    <xf numFmtId="0" fontId="25" fillId="2" borderId="0" xfId="0" applyFont="1" applyFill="1"/>
    <xf numFmtId="181" fontId="44" fillId="2" borderId="0" xfId="1" applyNumberFormat="1" applyFont="1" applyFill="1" applyBorder="1" applyProtection="1"/>
    <xf numFmtId="0" fontId="19" fillId="2" borderId="40" xfId="0" applyFont="1" applyFill="1" applyBorder="1"/>
    <xf numFmtId="174" fontId="8" fillId="2" borderId="0" xfId="1" applyNumberFormat="1" applyFont="1" applyFill="1" applyBorder="1" applyProtection="1"/>
    <xf numFmtId="0" fontId="2" fillId="2" borderId="13" xfId="0" applyFont="1" applyFill="1" applyBorder="1"/>
    <xf numFmtId="0" fontId="21" fillId="2" borderId="13" xfId="0" applyFont="1" applyFill="1" applyBorder="1"/>
    <xf numFmtId="0" fontId="25" fillId="2" borderId="0" xfId="0" applyFont="1" applyFill="1" applyAlignment="1">
      <alignment horizontal="right" vertical="center"/>
    </xf>
    <xf numFmtId="0" fontId="8" fillId="2" borderId="0" xfId="0" quotePrefix="1" applyFont="1" applyFill="1" applyAlignment="1">
      <alignment horizontal="right"/>
    </xf>
    <xf numFmtId="0" fontId="19" fillId="2" borderId="35" xfId="0" applyFont="1" applyFill="1" applyBorder="1"/>
    <xf numFmtId="0" fontId="16" fillId="2" borderId="35" xfId="0" applyFont="1" applyFill="1" applyBorder="1"/>
    <xf numFmtId="0" fontId="16" fillId="2" borderId="40" xfId="0" applyFont="1" applyFill="1" applyBorder="1"/>
    <xf numFmtId="0" fontId="13" fillId="2" borderId="0" xfId="0" applyFont="1" applyFill="1"/>
    <xf numFmtId="0" fontId="13" fillId="2" borderId="0" xfId="0" applyFont="1" applyFill="1" applyAlignment="1">
      <alignment horizontal="left"/>
    </xf>
    <xf numFmtId="184" fontId="45" fillId="2" borderId="0" xfId="1" applyNumberFormat="1" applyFont="1" applyFill="1" applyBorder="1" applyProtection="1"/>
    <xf numFmtId="0" fontId="47" fillId="2" borderId="0" xfId="0" applyFont="1" applyFill="1"/>
    <xf numFmtId="184" fontId="8" fillId="2" borderId="0" xfId="1" applyNumberFormat="1" applyFont="1" applyFill="1" applyBorder="1" applyProtection="1"/>
    <xf numFmtId="37" fontId="8" fillId="2" borderId="0" xfId="1" applyNumberFormat="1" applyFont="1" applyFill="1" applyBorder="1" applyProtection="1"/>
    <xf numFmtId="0" fontId="8" fillId="2" borderId="40" xfId="0" applyFont="1" applyFill="1" applyBorder="1"/>
    <xf numFmtId="0" fontId="47" fillId="2" borderId="40" xfId="0" applyFont="1" applyFill="1" applyBorder="1"/>
    <xf numFmtId="37" fontId="8" fillId="2" borderId="40" xfId="1" applyNumberFormat="1" applyFont="1" applyFill="1" applyBorder="1" applyProtection="1"/>
    <xf numFmtId="0" fontId="33" fillId="2" borderId="0" xfId="0" applyFont="1" applyFill="1"/>
    <xf numFmtId="0" fontId="8" fillId="2" borderId="13" xfId="0" quotePrefix="1" applyFont="1" applyFill="1" applyBorder="1" applyAlignment="1">
      <alignment horizontal="left"/>
    </xf>
    <xf numFmtId="0" fontId="8" fillId="2" borderId="13" xfId="0" applyFont="1" applyFill="1" applyBorder="1"/>
    <xf numFmtId="0" fontId="47" fillId="2" borderId="13" xfId="0" applyFont="1" applyFill="1" applyBorder="1"/>
    <xf numFmtId="37" fontId="8" fillId="2" borderId="13" xfId="1" applyNumberFormat="1" applyFont="1" applyFill="1" applyBorder="1" applyProtection="1"/>
    <xf numFmtId="0" fontId="14" fillId="2" borderId="0" xfId="0" quotePrefix="1" applyFont="1" applyFill="1"/>
    <xf numFmtId="0" fontId="16" fillId="2" borderId="43" xfId="0" applyFont="1" applyFill="1" applyBorder="1"/>
    <xf numFmtId="184" fontId="8" fillId="2" borderId="0" xfId="1" applyNumberFormat="1" applyFont="1" applyFill="1" applyBorder="1" applyAlignment="1" applyProtection="1">
      <alignment horizontal="right"/>
    </xf>
    <xf numFmtId="37" fontId="16" fillId="2" borderId="0" xfId="0" applyNumberFormat="1" applyFont="1" applyFill="1"/>
    <xf numFmtId="37" fontId="8" fillId="2" borderId="0" xfId="1" applyNumberFormat="1" applyFont="1" applyFill="1" applyBorder="1" applyAlignment="1" applyProtection="1">
      <alignment horizontal="right"/>
    </xf>
    <xf numFmtId="39" fontId="8" fillId="2" borderId="0" xfId="1" applyNumberFormat="1" applyFont="1" applyFill="1" applyBorder="1" applyProtection="1"/>
    <xf numFmtId="186" fontId="8" fillId="2" borderId="0" xfId="0" quotePrefix="1" applyNumberFormat="1" applyFont="1" applyFill="1" applyAlignment="1">
      <alignment horizontal="left"/>
    </xf>
    <xf numFmtId="174" fontId="8" fillId="2" borderId="45" xfId="0" applyNumberFormat="1" applyFont="1" applyFill="1" applyBorder="1"/>
    <xf numFmtId="174" fontId="8" fillId="2" borderId="0" xfId="0" applyNumberFormat="1" applyFont="1" applyFill="1"/>
    <xf numFmtId="186" fontId="8" fillId="2" borderId="0" xfId="0" applyNumberFormat="1" applyFont="1" applyFill="1" applyAlignment="1">
      <alignment horizontal="left"/>
    </xf>
    <xf numFmtId="0" fontId="8" fillId="2" borderId="6" xfId="0" applyFont="1" applyFill="1" applyBorder="1"/>
    <xf numFmtId="0" fontId="21" fillId="2" borderId="7" xfId="0" applyFont="1" applyFill="1" applyBorder="1"/>
    <xf numFmtId="167" fontId="14" fillId="2" borderId="14" xfId="0" applyNumberFormat="1" applyFont="1" applyFill="1" applyBorder="1"/>
    <xf numFmtId="9" fontId="8" fillId="2" borderId="0" xfId="0" applyNumberFormat="1" applyFont="1" applyFill="1"/>
    <xf numFmtId="0" fontId="21" fillId="2" borderId="0" xfId="0" quotePrefix="1" applyFont="1" applyFill="1"/>
    <xf numFmtId="0" fontId="21" fillId="2" borderId="13" xfId="0" quotePrefix="1" applyFont="1" applyFill="1" applyBorder="1"/>
    <xf numFmtId="180" fontId="14" fillId="2" borderId="13" xfId="0" applyNumberFormat="1" applyFont="1" applyFill="1" applyBorder="1"/>
    <xf numFmtId="167" fontId="14" fillId="2" borderId="13" xfId="0" applyNumberFormat="1" applyFont="1" applyFill="1" applyBorder="1"/>
    <xf numFmtId="167" fontId="14" fillId="2" borderId="20" xfId="0" applyNumberFormat="1" applyFont="1" applyFill="1" applyBorder="1"/>
    <xf numFmtId="0" fontId="48" fillId="2" borderId="7" xfId="0" quotePrefix="1" applyFont="1" applyFill="1" applyBorder="1"/>
    <xf numFmtId="0" fontId="14" fillId="2" borderId="0" xfId="0" quotePrefix="1" applyFont="1" applyFill="1" applyAlignment="1">
      <alignment horizontal="left"/>
    </xf>
    <xf numFmtId="164" fontId="16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184" fontId="33" fillId="2" borderId="0" xfId="1" applyNumberFormat="1" applyFont="1" applyFill="1" applyBorder="1" applyProtection="1">
      <protection locked="0"/>
    </xf>
    <xf numFmtId="184" fontId="33" fillId="2" borderId="13" xfId="1" applyNumberFormat="1" applyFont="1" applyFill="1" applyBorder="1" applyAlignment="1" applyProtection="1">
      <alignment horizontal="right"/>
      <protection locked="0"/>
    </xf>
    <xf numFmtId="184" fontId="8" fillId="2" borderId="7" xfId="1" applyNumberFormat="1" applyFont="1" applyFill="1" applyBorder="1" applyProtection="1"/>
    <xf numFmtId="0" fontId="8" fillId="2" borderId="7" xfId="0" quotePrefix="1" applyFont="1" applyFill="1" applyBorder="1" applyAlignment="1">
      <alignment horizontal="left"/>
    </xf>
    <xf numFmtId="37" fontId="8" fillId="2" borderId="7" xfId="1" applyNumberFormat="1" applyFont="1" applyFill="1" applyBorder="1" applyProtection="1"/>
    <xf numFmtId="184" fontId="49" fillId="2" borderId="0" xfId="1" applyNumberFormat="1" applyFont="1" applyFill="1" applyBorder="1" applyProtection="1"/>
    <xf numFmtId="184" fontId="27" fillId="2" borderId="0" xfId="1" applyNumberFormat="1" applyFont="1" applyFill="1" applyBorder="1" applyProtection="1"/>
    <xf numFmtId="184" fontId="27" fillId="2" borderId="14" xfId="1" applyNumberFormat="1" applyFont="1" applyFill="1" applyBorder="1" applyProtection="1"/>
    <xf numFmtId="0" fontId="1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left"/>
    </xf>
    <xf numFmtId="0" fontId="16" fillId="2" borderId="0" xfId="0" applyFont="1" applyFill="1" applyAlignment="1">
      <alignment horizontal="right"/>
    </xf>
    <xf numFmtId="174" fontId="8" fillId="2" borderId="45" xfId="1" applyNumberFormat="1" applyFont="1" applyFill="1" applyBorder="1" applyProtection="1"/>
    <xf numFmtId="0" fontId="14" fillId="2" borderId="0" xfId="0" applyFont="1" applyFill="1"/>
    <xf numFmtId="190" fontId="14" fillId="2" borderId="0" xfId="1" applyNumberFormat="1" applyFont="1" applyFill="1" applyBorder="1" applyProtection="1"/>
    <xf numFmtId="0" fontId="14" fillId="2" borderId="13" xfId="0" quotePrefix="1" applyFont="1" applyFill="1" applyBorder="1" applyAlignment="1">
      <alignment horizontal="left"/>
    </xf>
    <xf numFmtId="0" fontId="5" fillId="2" borderId="0" xfId="0" applyFont="1" applyFill="1" applyAlignment="1">
      <alignment horizontal="centerContinuous"/>
    </xf>
    <xf numFmtId="0" fontId="47" fillId="2" borderId="0" xfId="0" applyFont="1" applyFill="1" applyAlignment="1">
      <alignment horizontal="centerContinuous"/>
    </xf>
    <xf numFmtId="0" fontId="8" fillId="2" borderId="13" xfId="0" applyFont="1" applyFill="1" applyBorder="1" applyAlignment="1">
      <alignment horizontal="centerContinuous"/>
    </xf>
    <xf numFmtId="0" fontId="50" fillId="2" borderId="0" xfId="0" applyFont="1" applyFill="1" applyAlignment="1">
      <alignment horizontal="right"/>
    </xf>
    <xf numFmtId="0" fontId="16" fillId="2" borderId="0" xfId="0" quotePrefix="1" applyFont="1" applyFill="1" applyAlignment="1">
      <alignment horizontal="right"/>
    </xf>
    <xf numFmtId="0" fontId="8" fillId="2" borderId="7" xfId="0" quotePrefix="1" applyFont="1" applyFill="1" applyBorder="1" applyAlignment="1">
      <alignment horizontal="right"/>
    </xf>
    <xf numFmtId="178" fontId="45" fillId="2" borderId="9" xfId="0" applyNumberFormat="1" applyFont="1" applyFill="1" applyBorder="1" applyAlignment="1">
      <alignment vertical="center"/>
    </xf>
    <xf numFmtId="178" fontId="45" fillId="2" borderId="20" xfId="0" applyNumberFormat="1" applyFont="1" applyFill="1" applyBorder="1" applyAlignment="1">
      <alignment vertical="center"/>
    </xf>
    <xf numFmtId="174" fontId="33" fillId="2" borderId="0" xfId="0" applyNumberFormat="1" applyFont="1" applyFill="1"/>
    <xf numFmtId="0" fontId="8" fillId="2" borderId="32" xfId="0" applyFont="1" applyFill="1" applyBorder="1"/>
    <xf numFmtId="169" fontId="51" fillId="2" borderId="33" xfId="0" applyNumberFormat="1" applyFont="1" applyFill="1" applyBorder="1"/>
    <xf numFmtId="169" fontId="51" fillId="2" borderId="0" xfId="0" applyNumberFormat="1" applyFont="1" applyFill="1"/>
    <xf numFmtId="0" fontId="8" fillId="2" borderId="19" xfId="0" applyFont="1" applyFill="1" applyBorder="1"/>
    <xf numFmtId="0" fontId="20" fillId="2" borderId="0" xfId="0" applyFont="1" applyFill="1"/>
    <xf numFmtId="0" fontId="19" fillId="2" borderId="43" xfId="0" applyFont="1" applyFill="1" applyBorder="1"/>
    <xf numFmtId="4" fontId="8" fillId="2" borderId="0" xfId="0" applyNumberFormat="1" applyFont="1" applyFill="1"/>
    <xf numFmtId="4" fontId="8" fillId="2" borderId="0" xfId="1" applyNumberFormat="1" applyFont="1" applyFill="1" applyBorder="1" applyProtection="1"/>
    <xf numFmtId="176" fontId="8" fillId="2" borderId="0" xfId="0" applyNumberFormat="1" applyFont="1" applyFill="1"/>
    <xf numFmtId="164" fontId="16" fillId="2" borderId="0" xfId="0" quotePrefix="1" applyNumberFormat="1" applyFont="1" applyFill="1" applyAlignment="1">
      <alignment horizontal="right"/>
    </xf>
    <xf numFmtId="183" fontId="45" fillId="2" borderId="0" xfId="0" applyNumberFormat="1" applyFont="1" applyFill="1"/>
    <xf numFmtId="166" fontId="8" fillId="2" borderId="0" xfId="0" applyNumberFormat="1" applyFont="1" applyFill="1"/>
    <xf numFmtId="0" fontId="35" fillId="2" borderId="0" xfId="3" applyFont="1" applyFill="1"/>
    <xf numFmtId="0" fontId="3" fillId="2" borderId="0" xfId="3" applyFont="1" applyFill="1" applyAlignment="1">
      <alignment horizontal="centerContinuous"/>
    </xf>
    <xf numFmtId="0" fontId="36" fillId="2" borderId="0" xfId="3" applyFont="1" applyFill="1" applyAlignment="1">
      <alignment horizontal="centerContinuous"/>
    </xf>
    <xf numFmtId="0" fontId="2" fillId="2" borderId="0" xfId="3" applyFont="1" applyFill="1"/>
    <xf numFmtId="0" fontId="6" fillId="2" borderId="0" xfId="3" applyFont="1" applyFill="1" applyAlignment="1">
      <alignment horizontal="centerContinuous"/>
    </xf>
    <xf numFmtId="0" fontId="2" fillId="2" borderId="1" xfId="3" applyFont="1" applyFill="1" applyBorder="1"/>
    <xf numFmtId="0" fontId="2" fillId="2" borderId="1" xfId="3" applyFont="1" applyFill="1" applyBorder="1" applyAlignment="1">
      <alignment horizontal="center"/>
    </xf>
    <xf numFmtId="0" fontId="14" fillId="2" borderId="0" xfId="3" quotePrefix="1" applyFont="1" applyFill="1" applyAlignment="1">
      <alignment horizontal="left"/>
    </xf>
    <xf numFmtId="0" fontId="14" fillId="2" borderId="0" xfId="3" quotePrefix="1" applyFont="1" applyFill="1" applyAlignment="1">
      <alignment horizontal="center"/>
    </xf>
    <xf numFmtId="0" fontId="2" fillId="2" borderId="6" xfId="3" applyFont="1" applyFill="1" applyBorder="1"/>
    <xf numFmtId="0" fontId="2" fillId="2" borderId="7" xfId="3" applyFont="1" applyFill="1" applyBorder="1"/>
    <xf numFmtId="0" fontId="2" fillId="2" borderId="7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Continuous"/>
    </xf>
    <xf numFmtId="0" fontId="8" fillId="2" borderId="12" xfId="3" applyFont="1" applyFill="1" applyBorder="1" applyAlignment="1">
      <alignment vertical="center"/>
    </xf>
    <xf numFmtId="0" fontId="8" fillId="2" borderId="0" xfId="3" applyFont="1" applyFill="1"/>
    <xf numFmtId="0" fontId="37" fillId="2" borderId="0" xfId="3" applyFont="1" applyFill="1" applyAlignment="1">
      <alignment horizontal="center" vertical="center"/>
    </xf>
    <xf numFmtId="0" fontId="37" fillId="2" borderId="14" xfId="3" applyFont="1" applyFill="1" applyBorder="1" applyAlignment="1">
      <alignment horizontal="center" vertical="center"/>
    </xf>
    <xf numFmtId="0" fontId="8" fillId="2" borderId="0" xfId="3" quotePrefix="1" applyFont="1" applyFill="1" applyAlignment="1">
      <alignment horizontal="right"/>
    </xf>
    <xf numFmtId="0" fontId="8" fillId="2" borderId="19" xfId="3" applyFont="1" applyFill="1" applyBorder="1"/>
    <xf numFmtId="0" fontId="8" fillId="2" borderId="13" xfId="3" applyFont="1" applyFill="1" applyBorder="1"/>
    <xf numFmtId="0" fontId="8" fillId="2" borderId="13" xfId="3" applyFont="1" applyFill="1" applyBorder="1" applyAlignment="1">
      <alignment horizontal="center"/>
    </xf>
    <xf numFmtId="0" fontId="8" fillId="2" borderId="20" xfId="3" applyFont="1" applyFill="1" applyBorder="1" applyAlignment="1">
      <alignment horizontal="center"/>
    </xf>
    <xf numFmtId="0" fontId="16" fillId="2" borderId="0" xfId="3" quotePrefix="1" applyFont="1" applyFill="1" applyAlignment="1">
      <alignment horizontal="right"/>
    </xf>
    <xf numFmtId="0" fontId="16" fillId="2" borderId="0" xfId="3" applyFont="1" applyFill="1" applyAlignment="1">
      <alignment horizontal="right"/>
    </xf>
    <xf numFmtId="0" fontId="8" fillId="2" borderId="0" xfId="3" applyFont="1" applyFill="1" applyAlignment="1">
      <alignment horizontal="center"/>
    </xf>
    <xf numFmtId="0" fontId="38" fillId="2" borderId="0" xfId="3" quotePrefix="1" applyFont="1" applyFill="1" applyAlignment="1">
      <alignment horizontal="left"/>
    </xf>
    <xf numFmtId="0" fontId="39" fillId="2" borderId="0" xfId="3" applyFont="1" applyFill="1" applyAlignment="1">
      <alignment horizontal="left"/>
    </xf>
    <xf numFmtId="0" fontId="2" fillId="2" borderId="0" xfId="3" applyFont="1" applyFill="1" applyAlignment="1">
      <alignment horizontal="center"/>
    </xf>
    <xf numFmtId="0" fontId="8" fillId="2" borderId="0" xfId="3" applyFont="1" applyFill="1" applyAlignment="1">
      <alignment horizontal="left" vertical="center"/>
    </xf>
    <xf numFmtId="0" fontId="37" fillId="2" borderId="0" xfId="3" applyFont="1" applyFill="1" applyAlignment="1">
      <alignment horizontal="center"/>
    </xf>
    <xf numFmtId="169" fontId="8" fillId="2" borderId="32" xfId="0" applyNumberFormat="1" applyFont="1" applyFill="1" applyBorder="1" applyAlignment="1">
      <alignment vertical="center"/>
    </xf>
    <xf numFmtId="169" fontId="8" fillId="2" borderId="8" xfId="0" applyNumberFormat="1" applyFont="1" applyFill="1" applyBorder="1" applyAlignment="1">
      <alignment vertical="center"/>
    </xf>
    <xf numFmtId="169" fontId="8" fillId="2" borderId="33" xfId="0" applyNumberFormat="1" applyFont="1" applyFill="1" applyBorder="1" applyAlignment="1">
      <alignment vertical="center"/>
    </xf>
    <xf numFmtId="0" fontId="8" fillId="2" borderId="0" xfId="3" quotePrefix="1" applyFont="1" applyFill="1" applyAlignment="1">
      <alignment horizontal="left"/>
    </xf>
    <xf numFmtId="169" fontId="26" fillId="2" borderId="0" xfId="0" applyNumberFormat="1" applyFont="1" applyFill="1"/>
    <xf numFmtId="169" fontId="40" fillId="2" borderId="34" xfId="0" applyNumberFormat="1" applyFont="1" applyFill="1" applyBorder="1"/>
    <xf numFmtId="169" fontId="40" fillId="2" borderId="35" xfId="0" applyNumberFormat="1" applyFont="1" applyFill="1" applyBorder="1"/>
    <xf numFmtId="169" fontId="40" fillId="2" borderId="36" xfId="0" applyNumberFormat="1" applyFont="1" applyFill="1" applyBorder="1"/>
    <xf numFmtId="169" fontId="40" fillId="2" borderId="37" xfId="0" applyNumberFormat="1" applyFont="1" applyFill="1" applyBorder="1"/>
    <xf numFmtId="169" fontId="40" fillId="2" borderId="0" xfId="0" applyNumberFormat="1" applyFont="1" applyFill="1"/>
    <xf numFmtId="169" fontId="40" fillId="2" borderId="38" xfId="0" applyNumberFormat="1" applyFont="1" applyFill="1" applyBorder="1"/>
    <xf numFmtId="169" fontId="40" fillId="2" borderId="39" xfId="0" applyNumberFormat="1" applyFont="1" applyFill="1" applyBorder="1"/>
    <xf numFmtId="169" fontId="40" fillId="2" borderId="40" xfId="0" applyNumberFormat="1" applyFont="1" applyFill="1" applyBorder="1"/>
    <xf numFmtId="169" fontId="40" fillId="2" borderId="41" xfId="0" applyNumberFormat="1" applyFont="1" applyFill="1" applyBorder="1"/>
    <xf numFmtId="0" fontId="2" fillId="2" borderId="0" xfId="3" applyFont="1" applyFill="1" applyAlignment="1">
      <alignment horizontal="left"/>
    </xf>
    <xf numFmtId="0" fontId="21" fillId="2" borderId="0" xfId="3" applyFont="1" applyFill="1" applyAlignment="1">
      <alignment horizontal="center"/>
    </xf>
    <xf numFmtId="177" fontId="40" fillId="2" borderId="0" xfId="1" applyNumberFormat="1" applyFont="1" applyFill="1" applyBorder="1" applyAlignment="1" applyProtection="1">
      <alignment horizontal="right"/>
    </xf>
    <xf numFmtId="177" fontId="41" fillId="2" borderId="0" xfId="1" applyNumberFormat="1" applyFont="1" applyFill="1" applyBorder="1" applyAlignment="1" applyProtection="1">
      <alignment horizontal="right"/>
    </xf>
    <xf numFmtId="0" fontId="2" fillId="2" borderId="40" xfId="3" applyFont="1" applyFill="1" applyBorder="1"/>
    <xf numFmtId="0" fontId="2" fillId="2" borderId="40" xfId="3" applyFont="1" applyFill="1" applyBorder="1" applyAlignment="1">
      <alignment horizontal="center"/>
    </xf>
    <xf numFmtId="0" fontId="2" fillId="2" borderId="0" xfId="3" applyFont="1" applyFill="1" applyAlignment="1">
      <alignment vertical="center"/>
    </xf>
    <xf numFmtId="0" fontId="8" fillId="2" borderId="0" xfId="3" applyFont="1" applyFill="1" applyAlignment="1">
      <alignment horizontal="left"/>
    </xf>
    <xf numFmtId="178" fontId="42" fillId="2" borderId="0" xfId="0" applyNumberFormat="1" applyFont="1" applyFill="1"/>
    <xf numFmtId="176" fontId="40" fillId="2" borderId="34" xfId="1" applyNumberFormat="1" applyFont="1" applyFill="1" applyBorder="1" applyProtection="1"/>
    <xf numFmtId="176" fontId="40" fillId="2" borderId="35" xfId="1" applyNumberFormat="1" applyFont="1" applyFill="1" applyBorder="1" applyProtection="1"/>
    <xf numFmtId="176" fontId="40" fillId="2" borderId="36" xfId="0" applyNumberFormat="1" applyFont="1" applyFill="1" applyBorder="1"/>
    <xf numFmtId="179" fontId="2" fillId="2" borderId="0" xfId="3" applyNumberFormat="1" applyFont="1" applyFill="1"/>
    <xf numFmtId="37" fontId="2" fillId="2" borderId="0" xfId="3" applyNumberFormat="1" applyFont="1" applyFill="1"/>
    <xf numFmtId="180" fontId="43" fillId="2" borderId="0" xfId="3" applyNumberFormat="1" applyFont="1" applyFill="1"/>
    <xf numFmtId="176" fontId="21" fillId="2" borderId="37" xfId="1" applyNumberFormat="1" applyFont="1" applyFill="1" applyBorder="1" applyProtection="1"/>
    <xf numFmtId="176" fontId="21" fillId="2" borderId="0" xfId="1" applyNumberFormat="1" applyFont="1" applyFill="1" applyBorder="1" applyProtection="1"/>
    <xf numFmtId="176" fontId="21" fillId="2" borderId="38" xfId="1" applyNumberFormat="1" applyFont="1" applyFill="1" applyBorder="1" applyProtection="1"/>
    <xf numFmtId="176" fontId="21" fillId="2" borderId="39" xfId="1" applyNumberFormat="1" applyFont="1" applyFill="1" applyBorder="1" applyProtection="1"/>
    <xf numFmtId="176" fontId="21" fillId="2" borderId="40" xfId="1" applyNumberFormat="1" applyFont="1" applyFill="1" applyBorder="1" applyProtection="1"/>
    <xf numFmtId="176" fontId="21" fillId="2" borderId="41" xfId="1" applyNumberFormat="1" applyFont="1" applyFill="1" applyBorder="1" applyProtection="1"/>
    <xf numFmtId="0" fontId="2" fillId="2" borderId="0" xfId="3" quotePrefix="1" applyFont="1" applyFill="1" applyAlignment="1">
      <alignment horizontal="left"/>
    </xf>
    <xf numFmtId="37" fontId="40" fillId="2" borderId="0" xfId="0" applyNumberFormat="1" applyFont="1" applyFill="1"/>
    <xf numFmtId="37" fontId="21" fillId="2" borderId="0" xfId="0" applyNumberFormat="1" applyFont="1" applyFill="1"/>
    <xf numFmtId="0" fontId="2" fillId="2" borderId="13" xfId="3" applyFont="1" applyFill="1" applyBorder="1"/>
    <xf numFmtId="0" fontId="2" fillId="2" borderId="13" xfId="3" applyFont="1" applyFill="1" applyBorder="1" applyAlignment="1">
      <alignment horizontal="center"/>
    </xf>
    <xf numFmtId="0" fontId="26" fillId="2" borderId="0" xfId="3" applyFont="1" applyFill="1"/>
    <xf numFmtId="0" fontId="31" fillId="2" borderId="0" xfId="0" applyFont="1" applyFill="1" applyAlignment="1">
      <alignment horizontal="centerContinuous"/>
    </xf>
    <xf numFmtId="0" fontId="31" fillId="2" borderId="1" xfId="0" applyFont="1" applyFill="1" applyBorder="1"/>
    <xf numFmtId="0" fontId="2" fillId="2" borderId="1" xfId="0" applyFont="1" applyFill="1" applyBorder="1"/>
    <xf numFmtId="0" fontId="2" fillId="9" borderId="0" xfId="0" applyFont="1" applyFill="1"/>
    <xf numFmtId="0" fontId="2" fillId="9" borderId="28" xfId="0" applyFont="1" applyFill="1" applyBorder="1"/>
    <xf numFmtId="0" fontId="2" fillId="2" borderId="27" xfId="0" applyFont="1" applyFill="1" applyBorder="1" applyAlignment="1">
      <alignment horizontal="center" vertical="center"/>
    </xf>
    <xf numFmtId="0" fontId="33" fillId="2" borderId="29" xfId="0" applyFont="1" applyFill="1" applyBorder="1" applyAlignment="1">
      <alignment horizontal="left"/>
    </xf>
    <xf numFmtId="0" fontId="2" fillId="2" borderId="28" xfId="0" applyFont="1" applyFill="1" applyBorder="1"/>
    <xf numFmtId="0" fontId="2" fillId="2" borderId="27" xfId="0" applyFont="1" applyFill="1" applyBorder="1"/>
    <xf numFmtId="14" fontId="2" fillId="2" borderId="0" xfId="0" applyNumberFormat="1" applyFont="1" applyFill="1" applyAlignment="1">
      <alignment horizontal="left"/>
    </xf>
    <xf numFmtId="37" fontId="33" fillId="2" borderId="0" xfId="0" applyNumberFormat="1" applyFont="1" applyFill="1" applyAlignment="1">
      <alignment horizontal="right"/>
    </xf>
    <xf numFmtId="168" fontId="33" fillId="2" borderId="28" xfId="0" applyNumberFormat="1" applyFont="1" applyFill="1" applyBorder="1" applyAlignment="1" applyProtection="1">
      <alignment horizontal="right"/>
      <protection locked="0"/>
    </xf>
    <xf numFmtId="10" fontId="2" fillId="2" borderId="0" xfId="0" applyNumberFormat="1" applyFont="1" applyFill="1"/>
    <xf numFmtId="39" fontId="33" fillId="2" borderId="28" xfId="0" applyNumberFormat="1" applyFont="1" applyFill="1" applyBorder="1" applyAlignment="1" applyProtection="1">
      <alignment horizontal="right"/>
      <protection locked="0"/>
    </xf>
    <xf numFmtId="0" fontId="2" fillId="2" borderId="3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2" xfId="0" applyFont="1" applyFill="1" applyBorder="1"/>
    <xf numFmtId="0" fontId="2" fillId="2" borderId="31" xfId="0" applyFont="1" applyFill="1" applyBorder="1"/>
    <xf numFmtId="0" fontId="2" fillId="2" borderId="30" xfId="0" applyFont="1" applyFill="1" applyBorder="1"/>
    <xf numFmtId="37" fontId="33" fillId="2" borderId="22" xfId="0" applyNumberFormat="1" applyFont="1" applyFill="1" applyBorder="1" applyAlignment="1">
      <alignment horizontal="right"/>
    </xf>
    <xf numFmtId="169" fontId="33" fillId="2" borderId="31" xfId="0" quotePrefix="1" applyNumberFormat="1" applyFont="1" applyFill="1" applyBorder="1" applyAlignment="1" applyProtection="1">
      <alignment horizontal="right"/>
      <protection locked="0"/>
    </xf>
    <xf numFmtId="39" fontId="33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vertical="center"/>
    </xf>
    <xf numFmtId="0" fontId="16" fillId="2" borderId="27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16" fillId="2" borderId="0" xfId="0" applyFont="1" applyFill="1" applyAlignment="1">
      <alignment horizontal="centerContinuous" vertical="center"/>
    </xf>
    <xf numFmtId="0" fontId="27" fillId="2" borderId="0" xfId="0" applyFont="1" applyFill="1" applyAlignment="1">
      <alignment horizontal="centerContinuous" vertical="center"/>
    </xf>
    <xf numFmtId="0" fontId="27" fillId="2" borderId="28" xfId="0" applyFont="1" applyFill="1" applyBorder="1" applyAlignment="1">
      <alignment horizontal="centerContinuous" vertical="center"/>
    </xf>
    <xf numFmtId="0" fontId="2" fillId="2" borderId="27" xfId="0" quotePrefix="1" applyFont="1" applyFill="1" applyBorder="1" applyAlignment="1">
      <alignment horizontal="left"/>
    </xf>
    <xf numFmtId="37" fontId="33" fillId="2" borderId="28" xfId="0" applyNumberFormat="1" applyFont="1" applyFill="1" applyBorder="1" applyAlignment="1">
      <alignment horizontal="right"/>
    </xf>
    <xf numFmtId="0" fontId="33" fillId="2" borderId="27" xfId="0" applyFont="1" applyFill="1" applyBorder="1"/>
    <xf numFmtId="0" fontId="2" fillId="2" borderId="28" xfId="0" applyFont="1" applyFill="1" applyBorder="1" applyAlignment="1">
      <alignment horizontal="centerContinuous"/>
    </xf>
    <xf numFmtId="0" fontId="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vertical="center"/>
    </xf>
    <xf numFmtId="170" fontId="33" fillId="2" borderId="0" xfId="0" quotePrefix="1" applyNumberFormat="1" applyFont="1" applyFill="1" applyAlignment="1">
      <alignment horizontal="centerContinuous"/>
    </xf>
    <xf numFmtId="0" fontId="33" fillId="2" borderId="30" xfId="0" applyFont="1" applyFill="1" applyBorder="1" applyAlignment="1">
      <alignment horizontal="left"/>
    </xf>
    <xf numFmtId="170" fontId="33" fillId="2" borderId="22" xfId="0" quotePrefix="1" applyNumberFormat="1" applyFont="1" applyFill="1" applyBorder="1" applyAlignment="1">
      <alignment horizontal="centerContinuous"/>
    </xf>
    <xf numFmtId="0" fontId="2" fillId="2" borderId="22" xfId="0" applyFont="1" applyFill="1" applyBorder="1" applyAlignment="1">
      <alignment horizontal="centerContinuous"/>
    </xf>
    <xf numFmtId="0" fontId="2" fillId="2" borderId="31" xfId="0" applyFont="1" applyFill="1" applyBorder="1" applyAlignment="1">
      <alignment horizontal="centerContinuous"/>
    </xf>
    <xf numFmtId="0" fontId="16" fillId="2" borderId="27" xfId="0" applyFont="1" applyFill="1" applyBorder="1"/>
    <xf numFmtId="0" fontId="2" fillId="2" borderId="27" xfId="0" applyFont="1" applyFill="1" applyBorder="1" applyAlignment="1">
      <alignment horizontal="left" vertical="center"/>
    </xf>
    <xf numFmtId="171" fontId="33" fillId="2" borderId="0" xfId="0" applyNumberFormat="1" applyFont="1" applyFill="1" applyProtection="1">
      <protection locked="0"/>
    </xf>
    <xf numFmtId="0" fontId="2" fillId="2" borderId="27" xfId="0" applyFont="1" applyFill="1" applyBorder="1" applyAlignment="1" applyProtection="1">
      <alignment horizontal="left"/>
      <protection locked="0"/>
    </xf>
    <xf numFmtId="169" fontId="33" fillId="2" borderId="28" xfId="0" applyNumberFormat="1" applyFont="1" applyFill="1" applyBorder="1" applyAlignment="1" applyProtection="1">
      <alignment horizontal="right"/>
      <protection locked="0"/>
    </xf>
    <xf numFmtId="172" fontId="2" fillId="2" borderId="27" xfId="0" applyNumberFormat="1" applyFont="1" applyFill="1" applyBorder="1" applyAlignment="1" applyProtection="1">
      <alignment horizontal="left"/>
      <protection locked="0"/>
    </xf>
    <xf numFmtId="0" fontId="2" fillId="2" borderId="30" xfId="0" applyFont="1" applyFill="1" applyBorder="1" applyAlignment="1">
      <alignment horizontal="left" vertical="center"/>
    </xf>
    <xf numFmtId="171" fontId="33" fillId="2" borderId="22" xfId="0" applyNumberFormat="1" applyFont="1" applyFill="1" applyBorder="1" applyProtection="1">
      <protection locked="0"/>
    </xf>
    <xf numFmtId="0" fontId="2" fillId="9" borderId="25" xfId="0" applyFont="1" applyFill="1" applyBorder="1" applyAlignment="1">
      <alignment vertical="center"/>
    </xf>
    <xf numFmtId="0" fontId="2" fillId="2" borderId="0" xfId="0" quotePrefix="1" applyFont="1" applyFill="1" applyAlignment="1" applyProtection="1">
      <alignment horizontal="left"/>
      <protection locked="0"/>
    </xf>
    <xf numFmtId="0" fontId="33" fillId="2" borderId="28" xfId="0" applyFont="1" applyFill="1" applyBorder="1" applyAlignment="1" applyProtection="1">
      <alignment horizontal="right"/>
      <protection locked="0"/>
    </xf>
    <xf numFmtId="172" fontId="2" fillId="2" borderId="0" xfId="0" quotePrefix="1" applyNumberFormat="1" applyFont="1" applyFill="1" applyAlignment="1" applyProtection="1">
      <alignment horizontal="left"/>
      <protection locked="0"/>
    </xf>
    <xf numFmtId="173" fontId="33" fillId="2" borderId="28" xfId="0" applyNumberFormat="1" applyFont="1" applyFill="1" applyBorder="1" applyAlignment="1" applyProtection="1">
      <alignment horizontal="right"/>
      <protection locked="0"/>
    </xf>
    <xf numFmtId="0" fontId="2" fillId="2" borderId="27" xfId="0" quotePrefix="1" applyFont="1" applyFill="1" applyBorder="1" applyAlignment="1" applyProtection="1">
      <alignment horizontal="left"/>
      <protection locked="0"/>
    </xf>
    <xf numFmtId="169" fontId="33" fillId="2" borderId="28" xfId="0" quotePrefix="1" applyNumberFormat="1" applyFont="1" applyFill="1" applyBorder="1" applyAlignment="1">
      <alignment horizontal="right"/>
    </xf>
    <xf numFmtId="172" fontId="2" fillId="2" borderId="22" xfId="0" quotePrefix="1" applyNumberFormat="1" applyFont="1" applyFill="1" applyBorder="1" applyAlignment="1" applyProtection="1">
      <alignment horizontal="left"/>
      <protection locked="0"/>
    </xf>
    <xf numFmtId="173" fontId="33" fillId="2" borderId="31" xfId="0" applyNumberFormat="1" applyFont="1" applyFill="1" applyBorder="1" applyAlignment="1" applyProtection="1">
      <alignment horizontal="right"/>
      <protection locked="0"/>
    </xf>
    <xf numFmtId="0" fontId="2" fillId="2" borderId="30" xfId="0" quotePrefix="1" applyFont="1" applyFill="1" applyBorder="1" applyAlignment="1" applyProtection="1">
      <alignment horizontal="left"/>
      <protection locked="0"/>
    </xf>
    <xf numFmtId="174" fontId="33" fillId="2" borderId="31" xfId="0" applyNumberFormat="1" applyFont="1" applyFill="1" applyBorder="1" applyAlignment="1">
      <alignment horizontal="right"/>
    </xf>
    <xf numFmtId="175" fontId="2" fillId="2" borderId="13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172" fontId="2" fillId="2" borderId="0" xfId="0" quotePrefix="1" applyNumberFormat="1" applyFont="1" applyFill="1" applyAlignment="1">
      <alignment horizontal="left"/>
    </xf>
    <xf numFmtId="173" fontId="33" fillId="2" borderId="0" xfId="0" applyNumberFormat="1" applyFont="1" applyFill="1" applyAlignment="1">
      <alignment horizontal="right"/>
    </xf>
    <xf numFmtId="0" fontId="2" fillId="2" borderId="0" xfId="0" quotePrefix="1" applyFont="1" applyFill="1"/>
    <xf numFmtId="0" fontId="29" fillId="2" borderId="0" xfId="0" applyFont="1" applyFill="1" applyAlignment="1">
      <alignment vertical="center"/>
    </xf>
    <xf numFmtId="0" fontId="8" fillId="2" borderId="27" xfId="0" applyFont="1" applyFill="1" applyBorder="1"/>
    <xf numFmtId="174" fontId="33" fillId="2" borderId="28" xfId="0" applyNumberFormat="1" applyFont="1" applyFill="1" applyBorder="1"/>
    <xf numFmtId="0" fontId="29" fillId="2" borderId="0" xfId="0" applyFont="1" applyFill="1"/>
    <xf numFmtId="174" fontId="33" fillId="2" borderId="0" xfId="0" applyNumberFormat="1" applyFont="1" applyFill="1" applyProtection="1">
      <protection locked="0"/>
    </xf>
    <xf numFmtId="174" fontId="33" fillId="2" borderId="28" xfId="0" applyNumberFormat="1" applyFont="1" applyFill="1" applyBorder="1" applyProtection="1">
      <protection locked="0"/>
    </xf>
    <xf numFmtId="0" fontId="2" fillId="2" borderId="0" xfId="0" quotePrefix="1" applyFont="1" applyFill="1" applyProtection="1">
      <protection locked="0"/>
    </xf>
    <xf numFmtId="0" fontId="2" fillId="2" borderId="28" xfId="0" applyFont="1" applyFill="1" applyBorder="1" applyProtection="1">
      <protection locked="0"/>
    </xf>
    <xf numFmtId="0" fontId="2" fillId="2" borderId="0" xfId="0" applyFont="1" applyFill="1" applyProtection="1">
      <protection locked="0"/>
    </xf>
    <xf numFmtId="176" fontId="33" fillId="2" borderId="0" xfId="0" applyNumberFormat="1" applyFont="1" applyFill="1" applyProtection="1">
      <protection locked="0"/>
    </xf>
    <xf numFmtId="176" fontId="33" fillId="2" borderId="28" xfId="0" applyNumberFormat="1" applyFont="1" applyFill="1" applyBorder="1" applyProtection="1">
      <protection locked="0"/>
    </xf>
    <xf numFmtId="0" fontId="8" fillId="2" borderId="27" xfId="0" applyFont="1" applyFill="1" applyBorder="1" applyAlignment="1">
      <alignment horizontal="left" vertical="center"/>
    </xf>
    <xf numFmtId="176" fontId="33" fillId="2" borderId="22" xfId="0" applyNumberFormat="1" applyFont="1" applyFill="1" applyBorder="1"/>
    <xf numFmtId="176" fontId="33" fillId="2" borderId="31" xfId="0" applyNumberFormat="1" applyFont="1" applyFill="1" applyBorder="1"/>
    <xf numFmtId="175" fontId="2" fillId="2" borderId="0" xfId="0" applyNumberFormat="1" applyFont="1" applyFill="1" applyAlignment="1">
      <alignment horizontal="left"/>
    </xf>
    <xf numFmtId="0" fontId="13" fillId="2" borderId="7" xfId="2" applyFont="1" applyFill="1" applyBorder="1" applyAlignment="1">
      <alignment horizontal="centerContinuous" vertical="center"/>
    </xf>
    <xf numFmtId="0" fontId="14" fillId="2" borderId="7" xfId="2" applyFont="1" applyFill="1" applyBorder="1" applyAlignment="1">
      <alignment horizontal="centerContinuous" vertical="center"/>
    </xf>
    <xf numFmtId="196" fontId="8" fillId="2" borderId="8" xfId="0" applyNumberFormat="1" applyFont="1" applyFill="1" applyBorder="1" applyAlignment="1">
      <alignment vertical="center"/>
    </xf>
    <xf numFmtId="196" fontId="8" fillId="2" borderId="32" xfId="0" applyNumberFormat="1" applyFont="1" applyFill="1" applyBorder="1" applyAlignment="1">
      <alignment vertical="center"/>
    </xf>
    <xf numFmtId="196" fontId="8" fillId="2" borderId="33" xfId="0" applyNumberFormat="1" applyFont="1" applyFill="1" applyBorder="1" applyAlignment="1">
      <alignment vertical="center"/>
    </xf>
    <xf numFmtId="169" fontId="8" fillId="2" borderId="32" xfId="15" applyNumberFormat="1" applyFont="1" applyFill="1" applyBorder="1" applyAlignment="1">
      <alignment vertical="center"/>
    </xf>
    <xf numFmtId="169" fontId="8" fillId="2" borderId="8" xfId="15" applyNumberFormat="1" applyFont="1" applyFill="1" applyBorder="1" applyAlignment="1">
      <alignment vertical="center"/>
    </xf>
    <xf numFmtId="169" fontId="8" fillId="2" borderId="33" xfId="15" applyNumberFormat="1" applyFont="1" applyFill="1" applyBorder="1" applyAlignment="1">
      <alignment vertical="center"/>
    </xf>
    <xf numFmtId="9" fontId="2" fillId="2" borderId="28" xfId="15" applyFont="1" applyFill="1" applyBorder="1"/>
    <xf numFmtId="184" fontId="45" fillId="2" borderId="13" xfId="1" applyNumberFormat="1" applyFont="1" applyFill="1" applyBorder="1" applyProtection="1"/>
    <xf numFmtId="0" fontId="57" fillId="2" borderId="0" xfId="0" applyFont="1" applyFill="1" applyAlignment="1">
      <alignment horizontal="left"/>
    </xf>
    <xf numFmtId="0" fontId="57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58" fillId="2" borderId="0" xfId="0" applyFont="1" applyFill="1" applyAlignment="1">
      <alignment horizontal="centerContinuous"/>
    </xf>
    <xf numFmtId="0" fontId="59" fillId="2" borderId="0" xfId="0" applyFont="1" applyFill="1" applyAlignment="1">
      <alignment horizontal="centerContinuous"/>
    </xf>
    <xf numFmtId="0" fontId="58" fillId="2" borderId="1" xfId="0" applyFont="1" applyFill="1" applyBorder="1" applyAlignment="1">
      <alignment horizontal="centerContinuous"/>
    </xf>
    <xf numFmtId="0" fontId="59" fillId="2" borderId="1" xfId="0" applyFont="1" applyFill="1" applyBorder="1" applyAlignment="1">
      <alignment horizontal="centerContinuous"/>
    </xf>
    <xf numFmtId="0" fontId="0" fillId="2" borderId="13" xfId="0" applyFill="1" applyBorder="1" applyAlignment="1">
      <alignment horizontal="centerContinuous"/>
    </xf>
    <xf numFmtId="0" fontId="60" fillId="2" borderId="0" xfId="0" applyFont="1" applyFill="1"/>
    <xf numFmtId="169" fontId="0" fillId="2" borderId="0" xfId="0" applyNumberFormat="1" applyFill="1"/>
    <xf numFmtId="0" fontId="0" fillId="2" borderId="0" xfId="0" quotePrefix="1" applyFill="1" applyAlignment="1">
      <alignment horizontal="left"/>
    </xf>
    <xf numFmtId="181" fontId="33" fillId="2" borderId="0" xfId="1" applyNumberFormat="1" applyFont="1" applyFill="1" applyProtection="1"/>
    <xf numFmtId="181" fontId="45" fillId="2" borderId="0" xfId="1" applyNumberFormat="1" applyFont="1" applyFill="1" applyProtection="1"/>
    <xf numFmtId="169" fontId="61" fillId="2" borderId="0" xfId="0" applyNumberFormat="1" applyFont="1" applyFill="1"/>
    <xf numFmtId="0" fontId="0" fillId="2" borderId="0" xfId="0" applyFill="1" applyAlignment="1">
      <alignment horizontal="left"/>
    </xf>
    <xf numFmtId="181" fontId="26" fillId="2" borderId="0" xfId="1" applyNumberFormat="1" applyFont="1" applyFill="1" applyBorder="1" applyProtection="1"/>
    <xf numFmtId="181" fontId="26" fillId="2" borderId="13" xfId="1" applyNumberFormat="1" applyFont="1" applyFill="1" applyBorder="1" applyProtection="1"/>
    <xf numFmtId="181" fontId="0" fillId="2" borderId="13" xfId="1" applyNumberFormat="1" applyFont="1" applyFill="1" applyBorder="1" applyProtection="1"/>
    <xf numFmtId="181" fontId="8" fillId="2" borderId="0" xfId="1" applyNumberFormat="1" applyFont="1" applyFill="1" applyProtection="1"/>
    <xf numFmtId="0" fontId="0" fillId="2" borderId="40" xfId="0" applyFill="1" applyBorder="1"/>
    <xf numFmtId="182" fontId="62" fillId="2" borderId="40" xfId="1" applyNumberFormat="1" applyFont="1" applyFill="1" applyBorder="1" applyProtection="1"/>
    <xf numFmtId="182" fontId="62" fillId="2" borderId="0" xfId="1" applyNumberFormat="1" applyFont="1" applyFill="1" applyProtection="1"/>
    <xf numFmtId="182" fontId="8" fillId="2" borderId="0" xfId="1" applyNumberFormat="1" applyFont="1" applyFill="1" applyProtection="1"/>
    <xf numFmtId="181" fontId="0" fillId="2" borderId="0" xfId="1" applyNumberFormat="1" applyFont="1" applyFill="1" applyProtection="1"/>
    <xf numFmtId="169" fontId="14" fillId="2" borderId="13" xfId="0" applyNumberFormat="1" applyFont="1" applyFill="1" applyBorder="1"/>
    <xf numFmtId="169" fontId="46" fillId="2" borderId="13" xfId="0" applyNumberFormat="1" applyFont="1" applyFill="1" applyBorder="1"/>
    <xf numFmtId="183" fontId="0" fillId="2" borderId="0" xfId="0" applyNumberFormat="1" applyFill="1"/>
    <xf numFmtId="0" fontId="26" fillId="2" borderId="0" xfId="0" applyFont="1" applyFill="1" applyAlignment="1">
      <alignment horizontal="center"/>
    </xf>
    <xf numFmtId="176" fontId="0" fillId="2" borderId="0" xfId="1" applyNumberFormat="1" applyFont="1" applyFill="1" applyBorder="1" applyProtection="1"/>
    <xf numFmtId="176" fontId="0" fillId="2" borderId="0" xfId="1" applyNumberFormat="1" applyFont="1" applyFill="1" applyProtection="1"/>
    <xf numFmtId="174" fontId="8" fillId="2" borderId="7" xfId="1" applyNumberFormat="1" applyFont="1" applyFill="1" applyBorder="1" applyProtection="1"/>
    <xf numFmtId="0" fontId="0" fillId="2" borderId="13" xfId="0" applyFill="1" applyBorder="1"/>
    <xf numFmtId="0" fontId="0" fillId="2" borderId="34" xfId="0" applyFill="1" applyBorder="1"/>
    <xf numFmtId="0" fontId="0" fillId="2" borderId="35" xfId="0" applyFill="1" applyBorder="1"/>
    <xf numFmtId="184" fontId="0" fillId="2" borderId="35" xfId="0" applyNumberFormat="1" applyFill="1" applyBorder="1"/>
    <xf numFmtId="184" fontId="0" fillId="2" borderId="36" xfId="0" applyNumberFormat="1" applyFill="1" applyBorder="1"/>
    <xf numFmtId="0" fontId="0" fillId="2" borderId="39" xfId="0" applyFill="1" applyBorder="1"/>
    <xf numFmtId="169" fontId="0" fillId="2" borderId="40" xfId="0" applyNumberFormat="1" applyFill="1" applyBorder="1" applyAlignment="1">
      <alignment horizontal="right"/>
    </xf>
    <xf numFmtId="183" fontId="0" fillId="2" borderId="40" xfId="0" applyNumberFormat="1" applyFill="1" applyBorder="1" applyAlignment="1">
      <alignment horizontal="right"/>
    </xf>
    <xf numFmtId="183" fontId="0" fillId="2" borderId="41" xfId="0" applyNumberFormat="1" applyFill="1" applyBorder="1" applyAlignment="1">
      <alignment horizontal="right"/>
    </xf>
    <xf numFmtId="184" fontId="26" fillId="2" borderId="0" xfId="1" applyNumberFormat="1" applyFont="1" applyFill="1" applyBorder="1" applyProtection="1"/>
    <xf numFmtId="184" fontId="0" fillId="2" borderId="0" xfId="1" applyNumberFormat="1" applyFont="1" applyFill="1" applyBorder="1" applyProtection="1"/>
    <xf numFmtId="184" fontId="0" fillId="2" borderId="13" xfId="1" applyNumberFormat="1" applyFont="1" applyFill="1" applyBorder="1" applyProtection="1"/>
    <xf numFmtId="37" fontId="0" fillId="2" borderId="0" xfId="1" applyNumberFormat="1" applyFont="1" applyFill="1" applyBorder="1" applyProtection="1"/>
    <xf numFmtId="39" fontId="26" fillId="2" borderId="0" xfId="1" applyNumberFormat="1" applyFont="1" applyFill="1" applyBorder="1" applyProtection="1"/>
    <xf numFmtId="39" fontId="0" fillId="2" borderId="0" xfId="1" applyNumberFormat="1" applyFont="1" applyFill="1" applyBorder="1" applyProtection="1"/>
    <xf numFmtId="37" fontId="0" fillId="2" borderId="0" xfId="0" applyNumberFormat="1" applyFill="1"/>
    <xf numFmtId="0" fontId="26" fillId="2" borderId="0" xfId="0" applyFont="1" applyFill="1"/>
    <xf numFmtId="182" fontId="0" fillId="2" borderId="0" xfId="1" applyNumberFormat="1" applyFont="1" applyFill="1" applyBorder="1" applyProtection="1"/>
    <xf numFmtId="166" fontId="26" fillId="2" borderId="0" xfId="0" applyNumberFormat="1" applyFont="1" applyFill="1"/>
    <xf numFmtId="0" fontId="0" fillId="2" borderId="42" xfId="0" applyFill="1" applyBorder="1"/>
    <xf numFmtId="0" fontId="0" fillId="2" borderId="43" xfId="0" applyFill="1" applyBorder="1"/>
    <xf numFmtId="184" fontId="0" fillId="2" borderId="43" xfId="1" applyNumberFormat="1" applyFont="1" applyFill="1" applyBorder="1" applyAlignment="1" applyProtection="1">
      <alignment horizontal="right"/>
    </xf>
    <xf numFmtId="184" fontId="0" fillId="2" borderId="44" xfId="1" applyNumberFormat="1" applyFont="1" applyFill="1" applyBorder="1" applyAlignment="1" applyProtection="1">
      <alignment horizontal="right"/>
    </xf>
    <xf numFmtId="184" fontId="0" fillId="2" borderId="0" xfId="1" applyNumberFormat="1" applyFont="1" applyFill="1" applyBorder="1" applyAlignment="1" applyProtection="1">
      <alignment horizontal="right"/>
    </xf>
    <xf numFmtId="184" fontId="26" fillId="2" borderId="13" xfId="1" applyNumberFormat="1" applyFont="1" applyFill="1" applyBorder="1" applyProtection="1"/>
    <xf numFmtId="184" fontId="0" fillId="2" borderId="13" xfId="1" applyNumberFormat="1" applyFont="1" applyFill="1" applyBorder="1" applyAlignment="1" applyProtection="1">
      <alignment horizontal="right"/>
    </xf>
    <xf numFmtId="37" fontId="26" fillId="2" borderId="0" xfId="0" applyNumberFormat="1" applyFont="1" applyFill="1"/>
    <xf numFmtId="184" fontId="26" fillId="2" borderId="0" xfId="1" applyNumberFormat="1" applyFont="1" applyFill="1" applyBorder="1" applyAlignment="1" applyProtection="1">
      <alignment horizontal="right"/>
      <protection locked="0"/>
    </xf>
    <xf numFmtId="184" fontId="26" fillId="2" borderId="13" xfId="1" applyNumberFormat="1" applyFont="1" applyFill="1" applyBorder="1" applyAlignment="1" applyProtection="1">
      <alignment horizontal="right"/>
    </xf>
    <xf numFmtId="184" fontId="45" fillId="2" borderId="13" xfId="1" applyNumberFormat="1" applyFont="1" applyFill="1" applyBorder="1" applyAlignment="1" applyProtection="1">
      <alignment horizontal="right"/>
    </xf>
    <xf numFmtId="185" fontId="0" fillId="2" borderId="0" xfId="1" applyNumberFormat="1" applyFont="1" applyFill="1" applyBorder="1" applyProtection="1"/>
    <xf numFmtId="184" fontId="26" fillId="2" borderId="13" xfId="1" applyNumberFormat="1" applyFont="1" applyFill="1" applyBorder="1" applyProtection="1">
      <protection locked="0"/>
    </xf>
    <xf numFmtId="184" fontId="0" fillId="2" borderId="0" xfId="0" applyNumberFormat="1" applyFill="1"/>
    <xf numFmtId="43" fontId="0" fillId="2" borderId="0" xfId="1" applyFont="1" applyFill="1" applyBorder="1" applyProtection="1"/>
    <xf numFmtId="0" fontId="0" fillId="2" borderId="7" xfId="0" applyFill="1" applyBorder="1"/>
    <xf numFmtId="182" fontId="0" fillId="2" borderId="7" xfId="1" applyNumberFormat="1" applyFont="1" applyFill="1" applyBorder="1" applyProtection="1"/>
    <xf numFmtId="182" fontId="0" fillId="2" borderId="9" xfId="1" applyNumberFormat="1" applyFont="1" applyFill="1" applyBorder="1" applyProtection="1"/>
    <xf numFmtId="0" fontId="0" fillId="2" borderId="12" xfId="0" applyFill="1" applyBorder="1"/>
    <xf numFmtId="0" fontId="0" fillId="2" borderId="19" xfId="0" applyFill="1" applyBorder="1"/>
    <xf numFmtId="43" fontId="14" fillId="2" borderId="0" xfId="1" applyFont="1" applyFill="1" applyBorder="1" applyProtection="1"/>
    <xf numFmtId="0" fontId="0" fillId="2" borderId="0" xfId="0" applyFill="1" applyAlignment="1">
      <alignment horizontal="right"/>
    </xf>
    <xf numFmtId="37" fontId="0" fillId="2" borderId="0" xfId="1" applyNumberFormat="1" applyFont="1" applyFill="1" applyProtection="1"/>
    <xf numFmtId="184" fontId="33" fillId="2" borderId="0" xfId="1" applyNumberFormat="1" applyFont="1" applyFill="1" applyProtection="1">
      <protection locked="0"/>
    </xf>
    <xf numFmtId="184" fontId="0" fillId="2" borderId="0" xfId="1" applyNumberFormat="1" applyFont="1" applyFill="1" applyProtection="1"/>
    <xf numFmtId="37" fontId="26" fillId="2" borderId="0" xfId="1" applyNumberFormat="1" applyFont="1" applyFill="1" applyBorder="1" applyProtection="1"/>
    <xf numFmtId="184" fontId="26" fillId="2" borderId="13" xfId="1" applyNumberFormat="1" applyFont="1" applyFill="1" applyBorder="1" applyAlignment="1" applyProtection="1">
      <alignment horizontal="right"/>
      <protection locked="0"/>
    </xf>
    <xf numFmtId="184" fontId="8" fillId="2" borderId="0" xfId="1" applyNumberFormat="1" applyFont="1" applyFill="1" applyProtection="1"/>
    <xf numFmtId="182" fontId="0" fillId="2" borderId="0" xfId="1" applyNumberFormat="1" applyFont="1" applyFill="1" applyProtection="1"/>
    <xf numFmtId="184" fontId="26" fillId="2" borderId="0" xfId="1" applyNumberFormat="1" applyFont="1" applyFill="1" applyProtection="1">
      <protection locked="0"/>
    </xf>
    <xf numFmtId="166" fontId="8" fillId="2" borderId="0" xfId="1" applyNumberFormat="1" applyFont="1" applyFill="1" applyProtection="1"/>
    <xf numFmtId="187" fontId="8" fillId="2" borderId="0" xfId="1" applyNumberFormat="1" applyFont="1" applyFill="1" applyProtection="1"/>
    <xf numFmtId="166" fontId="63" fillId="2" borderId="0" xfId="1" applyNumberFormat="1" applyFont="1" applyFill="1" applyProtection="1"/>
    <xf numFmtId="37" fontId="8" fillId="2" borderId="0" xfId="1" applyNumberFormat="1" applyFont="1" applyFill="1" applyProtection="1"/>
    <xf numFmtId="188" fontId="8" fillId="2" borderId="0" xfId="1" applyNumberFormat="1" applyFont="1" applyFill="1" applyProtection="1"/>
    <xf numFmtId="0" fontId="0" fillId="2" borderId="6" xfId="0" applyFill="1" applyBorder="1"/>
    <xf numFmtId="184" fontId="0" fillId="2" borderId="7" xfId="1" applyNumberFormat="1" applyFont="1" applyFill="1" applyBorder="1" applyProtection="1"/>
    <xf numFmtId="184" fontId="0" fillId="2" borderId="9" xfId="1" applyNumberFormat="1" applyFont="1" applyFill="1" applyBorder="1" applyProtection="1"/>
    <xf numFmtId="0" fontId="0" fillId="2" borderId="19" xfId="0" applyFill="1" applyBorder="1" applyAlignment="1">
      <alignment horizontal="left"/>
    </xf>
    <xf numFmtId="189" fontId="0" fillId="2" borderId="13" xfId="1" applyNumberFormat="1" applyFont="1" applyFill="1" applyBorder="1" applyProtection="1"/>
    <xf numFmtId="189" fontId="0" fillId="2" borderId="20" xfId="1" applyNumberFormat="1" applyFont="1" applyFill="1" applyBorder="1" applyProtection="1"/>
    <xf numFmtId="189" fontId="0" fillId="2" borderId="0" xfId="1" applyNumberFormat="1" applyFont="1" applyFill="1" applyBorder="1" applyProtection="1"/>
    <xf numFmtId="188" fontId="0" fillId="2" borderId="0" xfId="1" applyNumberFormat="1" applyFont="1" applyFill="1" applyProtection="1"/>
    <xf numFmtId="184" fontId="0" fillId="2" borderId="0" xfId="1" applyNumberFormat="1" applyFont="1" applyFill="1" applyProtection="1">
      <protection locked="0"/>
    </xf>
    <xf numFmtId="184" fontId="26" fillId="2" borderId="0" xfId="1" applyNumberFormat="1" applyFont="1" applyFill="1" applyBorder="1" applyProtection="1">
      <protection locked="0"/>
    </xf>
    <xf numFmtId="188" fontId="64" fillId="2" borderId="0" xfId="1" applyNumberFormat="1" applyFont="1" applyFill="1" applyBorder="1" applyProtection="1"/>
    <xf numFmtId="181" fontId="0" fillId="2" borderId="0" xfId="1" applyNumberFormat="1" applyFont="1" applyFill="1" applyBorder="1" applyProtection="1"/>
    <xf numFmtId="190" fontId="14" fillId="2" borderId="0" xfId="1" applyNumberFormat="1" applyFont="1" applyFill="1" applyProtection="1"/>
    <xf numFmtId="190" fontId="0" fillId="2" borderId="13" xfId="0" applyNumberFormat="1" applyFill="1" applyBorder="1"/>
    <xf numFmtId="0" fontId="65" fillId="2" borderId="0" xfId="0" applyFont="1" applyFill="1" applyAlignment="1">
      <alignment horizontal="centerContinuous"/>
    </xf>
    <xf numFmtId="0" fontId="66" fillId="2" borderId="0" xfId="0" applyFont="1" applyFill="1" applyAlignment="1">
      <alignment horizontal="centerContinuous"/>
    </xf>
    <xf numFmtId="0" fontId="67" fillId="2" borderId="0" xfId="0" applyFont="1" applyFill="1" applyAlignment="1">
      <alignment horizontal="centerContinuous"/>
    </xf>
    <xf numFmtId="0" fontId="68" fillId="2" borderId="0" xfId="0" applyFont="1" applyFill="1"/>
    <xf numFmtId="0" fontId="68" fillId="2" borderId="6" xfId="0" applyFont="1" applyFill="1" applyBorder="1" applyAlignment="1">
      <alignment horizontal="left" vertical="center"/>
    </xf>
    <xf numFmtId="191" fontId="69" fillId="2" borderId="0" xfId="0" applyNumberFormat="1" applyFont="1" applyFill="1"/>
    <xf numFmtId="37" fontId="68" fillId="2" borderId="0" xfId="0" applyNumberFormat="1" applyFont="1" applyFill="1"/>
    <xf numFmtId="0" fontId="70" fillId="2" borderId="0" xfId="0" applyFont="1" applyFill="1"/>
    <xf numFmtId="0" fontId="68" fillId="2" borderId="19" xfId="0" applyFont="1" applyFill="1" applyBorder="1" applyAlignment="1">
      <alignment horizontal="left" vertical="center"/>
    </xf>
    <xf numFmtId="0" fontId="68" fillId="2" borderId="13" xfId="0" quotePrefix="1" applyFont="1" applyFill="1" applyBorder="1" applyAlignment="1">
      <alignment horizontal="left" vertical="center"/>
    </xf>
    <xf numFmtId="0" fontId="68" fillId="2" borderId="13" xfId="0" applyFont="1" applyFill="1" applyBorder="1" applyAlignment="1">
      <alignment vertical="center"/>
    </xf>
    <xf numFmtId="192" fontId="0" fillId="2" borderId="0" xfId="0" applyNumberFormat="1" applyFill="1"/>
    <xf numFmtId="174" fontId="26" fillId="2" borderId="0" xfId="0" applyNumberFormat="1" applyFont="1" applyFill="1"/>
    <xf numFmtId="174" fontId="0" fillId="2" borderId="0" xfId="0" applyNumberFormat="1" applyFill="1"/>
    <xf numFmtId="0" fontId="71" fillId="2" borderId="0" xfId="0" applyFont="1" applyFill="1" applyAlignment="1">
      <alignment horizontal="right"/>
    </xf>
    <xf numFmtId="178" fontId="0" fillId="2" borderId="0" xfId="0" applyNumberFormat="1" applyFill="1"/>
    <xf numFmtId="174" fontId="0" fillId="2" borderId="49" xfId="0" applyNumberFormat="1" applyFill="1" applyBorder="1"/>
    <xf numFmtId="184" fontId="68" fillId="2" borderId="0" xfId="0" applyNumberFormat="1" applyFont="1" applyFill="1"/>
    <xf numFmtId="174" fontId="0" fillId="2" borderId="50" xfId="0" applyNumberFormat="1" applyFill="1" applyBorder="1"/>
    <xf numFmtId="174" fontId="0" fillId="2" borderId="51" xfId="0" applyNumberFormat="1" applyFill="1" applyBorder="1"/>
    <xf numFmtId="0" fontId="42" fillId="2" borderId="0" xfId="0" applyFont="1" applyFill="1" applyAlignment="1">
      <alignment vertical="center"/>
    </xf>
    <xf numFmtId="174" fontId="8" fillId="2" borderId="45" xfId="0" applyNumberFormat="1" applyFont="1" applyFill="1" applyBorder="1" applyAlignment="1">
      <alignment vertical="center"/>
    </xf>
    <xf numFmtId="37" fontId="0" fillId="2" borderId="13" xfId="1" applyNumberFormat="1" applyFont="1" applyFill="1" applyBorder="1" applyProtection="1"/>
    <xf numFmtId="0" fontId="71" fillId="2" borderId="0" xfId="0" applyFont="1" applyFill="1"/>
    <xf numFmtId="0" fontId="0" fillId="2" borderId="8" xfId="0" applyFill="1" applyBorder="1"/>
    <xf numFmtId="37" fontId="72" fillId="2" borderId="0" xfId="0" applyNumberFormat="1" applyFont="1" applyFill="1"/>
    <xf numFmtId="174" fontId="42" fillId="2" borderId="0" xfId="0" applyNumberFormat="1" applyFont="1" applyFill="1"/>
    <xf numFmtId="176" fontId="45" fillId="2" borderId="13" xfId="1" applyNumberFormat="1" applyFont="1" applyFill="1" applyBorder="1" applyProtection="1"/>
    <xf numFmtId="37" fontId="42" fillId="2" borderId="0" xfId="0" applyNumberFormat="1" applyFont="1" applyFill="1"/>
    <xf numFmtId="169" fontId="73" fillId="2" borderId="0" xfId="0" applyNumberFormat="1" applyFont="1" applyFill="1"/>
    <xf numFmtId="37" fontId="40" fillId="2" borderId="7" xfId="0" applyNumberFormat="1" applyFont="1" applyFill="1" applyBorder="1"/>
    <xf numFmtId="37" fontId="26" fillId="2" borderId="7" xfId="0" applyNumberFormat="1" applyFont="1" applyFill="1" applyBorder="1"/>
    <xf numFmtId="37" fontId="26" fillId="2" borderId="9" xfId="0" applyNumberFormat="1" applyFont="1" applyFill="1" applyBorder="1"/>
    <xf numFmtId="0" fontId="0" fillId="2" borderId="12" xfId="0" applyFill="1" applyBorder="1" applyAlignment="1">
      <alignment horizontal="left"/>
    </xf>
    <xf numFmtId="37" fontId="37" fillId="2" borderId="0" xfId="0" applyNumberFormat="1" applyFont="1" applyFill="1"/>
    <xf numFmtId="184" fontId="68" fillId="2" borderId="14" xfId="0" applyNumberFormat="1" applyFont="1" applyFill="1" applyBorder="1"/>
    <xf numFmtId="184" fontId="68" fillId="2" borderId="13" xfId="0" applyNumberFormat="1" applyFont="1" applyFill="1" applyBorder="1"/>
    <xf numFmtId="184" fontId="68" fillId="2" borderId="20" xfId="0" applyNumberFormat="1" applyFont="1" applyFill="1" applyBorder="1"/>
    <xf numFmtId="37" fontId="67" fillId="2" borderId="13" xfId="0" applyNumberFormat="1" applyFont="1" applyFill="1" applyBorder="1"/>
    <xf numFmtId="37" fontId="37" fillId="2" borderId="13" xfId="0" applyNumberFormat="1" applyFont="1" applyFill="1" applyBorder="1"/>
    <xf numFmtId="37" fontId="42" fillId="2" borderId="13" xfId="0" applyNumberFormat="1" applyFont="1" applyFill="1" applyBorder="1"/>
    <xf numFmtId="184" fontId="42" fillId="2" borderId="13" xfId="0" applyNumberFormat="1" applyFont="1" applyFill="1" applyBorder="1"/>
    <xf numFmtId="184" fontId="42" fillId="2" borderId="20" xfId="0" applyNumberFormat="1" applyFont="1" applyFill="1" applyBorder="1"/>
    <xf numFmtId="37" fontId="40" fillId="2" borderId="13" xfId="0" applyNumberFormat="1" applyFont="1" applyFill="1" applyBorder="1"/>
    <xf numFmtId="37" fontId="26" fillId="2" borderId="13" xfId="0" applyNumberFormat="1" applyFont="1" applyFill="1" applyBorder="1"/>
    <xf numFmtId="178" fontId="0" fillId="2" borderId="43" xfId="0" applyNumberFormat="1" applyFill="1" applyBorder="1"/>
    <xf numFmtId="4" fontId="0" fillId="2" borderId="0" xfId="1" applyNumberFormat="1" applyFont="1" applyFill="1" applyBorder="1" applyProtection="1"/>
    <xf numFmtId="4" fontId="0" fillId="2" borderId="0" xfId="0" applyNumberFormat="1" applyFill="1"/>
    <xf numFmtId="43" fontId="68" fillId="2" borderId="0" xfId="1" applyFont="1" applyFill="1" applyProtection="1"/>
    <xf numFmtId="178" fontId="26" fillId="2" borderId="0" xfId="1" applyNumberFormat="1" applyFont="1" applyFill="1" applyProtection="1"/>
    <xf numFmtId="176" fontId="45" fillId="2" borderId="0" xfId="1" applyNumberFormat="1" applyFont="1" applyFill="1" applyProtection="1"/>
    <xf numFmtId="4" fontId="0" fillId="2" borderId="0" xfId="1" applyNumberFormat="1" applyFont="1" applyFill="1" applyBorder="1" applyAlignment="1" applyProtection="1">
      <alignment horizontal="left"/>
    </xf>
    <xf numFmtId="176" fontId="0" fillId="2" borderId="13" xfId="1" applyNumberFormat="1" applyFont="1" applyFill="1" applyBorder="1" applyProtection="1"/>
    <xf numFmtId="193" fontId="0" fillId="2" borderId="0" xfId="0" applyNumberFormat="1" applyFill="1"/>
    <xf numFmtId="184" fontId="0" fillId="2" borderId="13" xfId="0" applyNumberFormat="1" applyFill="1" applyBorder="1"/>
    <xf numFmtId="166" fontId="0" fillId="2" borderId="0" xfId="0" applyNumberFormat="1" applyFill="1"/>
    <xf numFmtId="183" fontId="45" fillId="2" borderId="13" xfId="0" applyNumberFormat="1" applyFont="1" applyFill="1" applyBorder="1"/>
    <xf numFmtId="183" fontId="0" fillId="2" borderId="13" xfId="0" applyNumberFormat="1" applyFill="1" applyBorder="1"/>
    <xf numFmtId="174" fontId="8" fillId="2" borderId="8" xfId="0" applyNumberFormat="1" applyFont="1" applyFill="1" applyBorder="1"/>
    <xf numFmtId="184" fontId="45" fillId="2" borderId="13" xfId="0" applyNumberFormat="1" applyFont="1" applyFill="1" applyBorder="1"/>
    <xf numFmtId="174" fontId="0" fillId="2" borderId="0" xfId="0" applyNumberFormat="1" applyFill="1" applyBorder="1"/>
    <xf numFmtId="0" fontId="8" fillId="2" borderId="0" xfId="0" quotePrefix="1" applyFont="1" applyFill="1" applyBorder="1" applyAlignment="1">
      <alignment horizontal="right"/>
    </xf>
    <xf numFmtId="0" fontId="74" fillId="2" borderId="0" xfId="0" applyFont="1" applyFill="1"/>
    <xf numFmtId="0" fontId="68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68" fillId="2" borderId="0" xfId="0" quotePrefix="1" applyFont="1" applyFill="1" applyBorder="1" applyAlignment="1">
      <alignment horizontal="left" vertical="center"/>
    </xf>
    <xf numFmtId="0" fontId="68" fillId="2" borderId="0" xfId="0" applyFont="1" applyFill="1" applyBorder="1" applyAlignment="1">
      <alignment vertical="center"/>
    </xf>
    <xf numFmtId="178" fontId="45" fillId="2" borderId="0" xfId="0" applyNumberFormat="1" applyFont="1" applyFill="1" applyBorder="1" applyAlignment="1">
      <alignment vertical="center"/>
    </xf>
    <xf numFmtId="174" fontId="8" fillId="2" borderId="0" xfId="0" applyNumberFormat="1" applyFont="1" applyFill="1" applyBorder="1" applyAlignment="1">
      <alignment vertical="center"/>
    </xf>
    <xf numFmtId="197" fontId="2" fillId="2" borderId="0" xfId="1" applyNumberFormat="1" applyFont="1" applyFill="1"/>
    <xf numFmtId="184" fontId="0" fillId="2" borderId="7" xfId="0" applyNumberFormat="1" applyFill="1" applyBorder="1"/>
    <xf numFmtId="0" fontId="75" fillId="2" borderId="0" xfId="0" applyFont="1" applyFill="1"/>
    <xf numFmtId="2" fontId="0" fillId="2" borderId="0" xfId="0" applyNumberFormat="1" applyFill="1"/>
    <xf numFmtId="0" fontId="76" fillId="2" borderId="0" xfId="0" applyFont="1" applyFill="1"/>
    <xf numFmtId="182" fontId="76" fillId="2" borderId="0" xfId="1" applyNumberFormat="1" applyFont="1" applyFill="1" applyBorder="1" applyProtection="1"/>
    <xf numFmtId="37" fontId="10" fillId="2" borderId="0" xfId="1" applyNumberFormat="1" applyFont="1" applyFill="1" applyProtection="1"/>
    <xf numFmtId="37" fontId="76" fillId="2" borderId="0" xfId="1" applyNumberFormat="1" applyFont="1" applyFill="1" applyProtection="1"/>
    <xf numFmtId="0" fontId="77" fillId="2" borderId="0" xfId="0" applyFont="1" applyFill="1"/>
    <xf numFmtId="0" fontId="78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1" xfId="0" applyFill="1" applyBorder="1"/>
  </cellXfs>
  <cellStyles count="16">
    <cellStyle name="Across" xfId="5"/>
    <cellStyle name="Bottom" xfId="6"/>
    <cellStyle name="Center" xfId="7"/>
    <cellStyle name="Comma" xfId="1" builtinId="3"/>
    <cellStyle name="Comma 2" xfId="8"/>
    <cellStyle name="Currency [2]" xfId="9"/>
    <cellStyle name="Double" xfId="10"/>
    <cellStyle name="Normal" xfId="0" builtinId="0"/>
    <cellStyle name="Normal 2" xfId="14"/>
    <cellStyle name="Normal 3" xfId="4"/>
    <cellStyle name="Normal_DrydenNewDCF3" xfId="2"/>
    <cellStyle name="Normal_TrainingDCF1" xfId="3"/>
    <cellStyle name="Numbers" xfId="11"/>
    <cellStyle name="Numbers - Bold - Italic" xfId="12"/>
    <cellStyle name="Outline" xfId="13"/>
    <cellStyle name="Percent" xfId="15" builtinId="5"/>
  </cellStyles>
  <dxfs count="3">
    <dxf>
      <font>
        <b/>
        <i val="0"/>
        <condense val="0"/>
        <extend val="0"/>
      </font>
      <fill>
        <patternFill>
          <bgColor indexed="44"/>
        </patternFill>
      </fill>
    </dxf>
    <dxf>
      <font>
        <color rgb="FF9C0006"/>
      </font>
    </dxf>
    <dxf>
      <font>
        <b/>
        <i val="0"/>
        <condense val="0"/>
        <extend val="0"/>
      </font>
      <fill>
        <patternFill>
          <bgColor rgb="FF99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16" fmlaLink="$D$6" fmlaRange="$C$14:$C$16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428625</xdr:colOff>
      <xdr:row>11</xdr:row>
      <xdr:rowOff>19051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4552950" cy="1981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38100</xdr:rowOff>
        </xdr:from>
        <xdr:to>
          <xdr:col>4</xdr:col>
          <xdr:colOff>95250</xdr:colOff>
          <xdr:row>6</xdr:row>
          <xdr:rowOff>57150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25"/>
  <sheetViews>
    <sheetView tabSelected="1" zoomScale="80" zoomScaleNormal="80" workbookViewId="0">
      <selection activeCell="H17" sqref="H17"/>
    </sheetView>
  </sheetViews>
  <sheetFormatPr defaultColWidth="9.125" defaultRowHeight="14.25"/>
  <cols>
    <col min="1" max="1" width="4.625" style="1" customWidth="1"/>
    <col min="2" max="2" width="40.125" style="1" bestFit="1" customWidth="1"/>
    <col min="3" max="16384" width="9.125" style="1"/>
  </cols>
  <sheetData>
    <row r="12" spans="2:3" ht="23.25">
      <c r="B12" s="554" t="s">
        <v>212</v>
      </c>
      <c r="C12" s="553"/>
    </row>
    <row r="13" spans="2:3">
      <c r="B13" s="555">
        <f ca="1">TODAY()</f>
        <v>45895</v>
      </c>
    </row>
    <row r="24" spans="1:5">
      <c r="B24" s="553" t="s">
        <v>211</v>
      </c>
    </row>
    <row r="25" spans="1:5" ht="15" thickBot="1">
      <c r="A25" s="556"/>
      <c r="B25" s="556"/>
      <c r="C25" s="556"/>
      <c r="D25" s="556"/>
      <c r="E25" s="556"/>
    </row>
  </sheetData>
  <sheetProtection algorithmName="SHA-512" hashValue="xUQ4Ul49SOJYmsvVBEMke+t9CZmJhT0igQ7Xc9G+6X2Mv8D+V2OoBxTs0UZod+6J6Df6gg9RKc8c3c+Mx6jDtQ==" saltValue="AYYSxP7exen2MRPDdHFhGg==" spinCount="100000" sheet="1" objects="1" scenario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7"/>
  <sheetViews>
    <sheetView workbookViewId="0">
      <selection activeCell="K70" sqref="K70"/>
    </sheetView>
  </sheetViews>
  <sheetFormatPr defaultColWidth="10.75" defaultRowHeight="12.75"/>
  <cols>
    <col min="1" max="1" width="2.625" style="38" customWidth="1"/>
    <col min="2" max="2" width="4.75" style="38" customWidth="1"/>
    <col min="3" max="4" width="1.75" style="2" customWidth="1"/>
    <col min="5" max="5" width="20.75" style="2" customWidth="1"/>
    <col min="6" max="6" width="9.25" style="2" customWidth="1"/>
    <col min="7" max="7" width="1.875" style="2" customWidth="1"/>
    <col min="8" max="15" width="9.25" style="2" customWidth="1"/>
    <col min="16" max="16" width="1.75" style="2" customWidth="1"/>
    <col min="17" max="17" width="4.75" style="38" customWidth="1"/>
    <col min="18" max="19" width="2.75" style="38" customWidth="1"/>
    <col min="20" max="21" width="1.75" style="38" customWidth="1"/>
    <col min="22" max="22" width="20.75" style="38" customWidth="1"/>
    <col min="23" max="31" width="9.25" style="38" customWidth="1"/>
    <col min="32" max="32" width="1.75" style="38" customWidth="1"/>
    <col min="33" max="44" width="10.75" style="38"/>
    <col min="45" max="16384" width="10.75" style="2"/>
  </cols>
  <sheetData>
    <row r="1" spans="1:44" s="38" customFormat="1" ht="22.7" customHeight="1">
      <c r="B1" s="35" t="str">
        <f>Cover!B12</f>
        <v>Blue Containers Company</v>
      </c>
      <c r="C1" s="36"/>
      <c r="D1" s="36"/>
      <c r="E1" s="36"/>
      <c r="F1" s="36"/>
      <c r="G1" s="36"/>
      <c r="H1" s="37"/>
      <c r="I1" s="37"/>
      <c r="J1" s="37"/>
      <c r="K1" s="37"/>
      <c r="L1" s="37"/>
      <c r="M1" s="37"/>
      <c r="N1" s="37"/>
      <c r="O1" s="37"/>
      <c r="P1" s="37"/>
      <c r="Q1" s="37"/>
      <c r="T1" s="36"/>
      <c r="U1" s="36"/>
      <c r="V1" s="36"/>
      <c r="W1" s="36"/>
      <c r="X1" s="37"/>
      <c r="Y1" s="37"/>
      <c r="Z1" s="37"/>
      <c r="AA1" s="37"/>
      <c r="AB1" s="37"/>
      <c r="AC1" s="37"/>
      <c r="AD1" s="37"/>
      <c r="AE1" s="37"/>
    </row>
    <row r="2" spans="1:44" s="38" customFormat="1" ht="18">
      <c r="B2" s="39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</row>
    <row r="3" spans="1:44" s="38" customFormat="1" ht="3" customHeight="1" thickBot="1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44" s="38" customFormat="1" ht="9.9499999999999993" customHeight="1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</row>
    <row r="5" spans="1:44" s="38" customFormat="1" ht="15" customHeight="1">
      <c r="C5" s="42" t="s">
        <v>1</v>
      </c>
      <c r="D5" s="43"/>
      <c r="E5" s="43"/>
      <c r="F5" s="43"/>
      <c r="G5" s="43"/>
      <c r="H5" s="41"/>
      <c r="I5" s="41"/>
      <c r="J5" s="41"/>
      <c r="K5" s="41"/>
      <c r="L5" s="41"/>
      <c r="M5" s="41"/>
      <c r="N5" s="41"/>
      <c r="O5" s="41"/>
      <c r="P5" s="41"/>
      <c r="T5" s="42" t="str">
        <f>"SUMMMARY VALUES - "&amp;UPPER(CHOOSE(Scenarios!$D$6,Scenarios!C14,Scenarios!C15,Scenarios!C16))</f>
        <v>SUMMMARY VALUES - BASE CASE</v>
      </c>
      <c r="U5" s="43"/>
      <c r="V5" s="43"/>
      <c r="W5" s="43"/>
      <c r="X5" s="41"/>
      <c r="Y5" s="41"/>
      <c r="Z5" s="41"/>
      <c r="AA5" s="41"/>
      <c r="AB5" s="41"/>
      <c r="AC5" s="41"/>
      <c r="AD5" s="41"/>
      <c r="AE5" s="41"/>
    </row>
    <row r="6" spans="1:44" s="3" customFormat="1" ht="15" customHeight="1">
      <c r="A6" s="44"/>
      <c r="B6" s="44"/>
      <c r="C6" s="4"/>
      <c r="D6" s="5"/>
      <c r="E6" s="5"/>
      <c r="F6" s="5"/>
      <c r="G6" s="5"/>
      <c r="H6" s="6"/>
      <c r="I6" s="6"/>
      <c r="J6" s="6"/>
      <c r="K6" s="7" t="s">
        <v>2</v>
      </c>
      <c r="L6" s="8"/>
      <c r="M6" s="8"/>
      <c r="N6" s="8"/>
      <c r="O6" s="8"/>
      <c r="P6" s="9"/>
      <c r="Q6" s="44"/>
      <c r="R6" s="44"/>
      <c r="S6" s="44"/>
      <c r="T6" s="45"/>
      <c r="U6" s="46"/>
      <c r="V6" s="46"/>
      <c r="W6" s="46"/>
      <c r="X6" s="46"/>
      <c r="Y6" s="46"/>
      <c r="Z6" s="46"/>
      <c r="AA6" s="367" t="s">
        <v>2</v>
      </c>
      <c r="AB6" s="368"/>
      <c r="AC6" s="368"/>
      <c r="AD6" s="368"/>
      <c r="AE6" s="368"/>
      <c r="AF6" s="47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 s="3" customFormat="1" ht="15" customHeight="1">
      <c r="A7" s="44"/>
      <c r="B7" s="44"/>
      <c r="C7" s="10"/>
      <c r="D7" s="11" t="s">
        <v>3</v>
      </c>
      <c r="E7" s="12"/>
      <c r="F7" s="11" t="s">
        <v>4</v>
      </c>
      <c r="G7" s="12"/>
      <c r="H7" s="13">
        <f>X7</f>
        <v>2022</v>
      </c>
      <c r="I7" s="13">
        <f t="shared" ref="I7:O7" si="0">Y7</f>
        <v>2023</v>
      </c>
      <c r="J7" s="13">
        <f t="shared" si="0"/>
        <v>2024</v>
      </c>
      <c r="K7" s="14">
        <f t="shared" si="0"/>
        <v>2025</v>
      </c>
      <c r="L7" s="14">
        <f t="shared" si="0"/>
        <v>2026</v>
      </c>
      <c r="M7" s="14">
        <f t="shared" si="0"/>
        <v>2027</v>
      </c>
      <c r="N7" s="14">
        <f t="shared" si="0"/>
        <v>2028</v>
      </c>
      <c r="O7" s="14">
        <f t="shared" si="0"/>
        <v>2029</v>
      </c>
      <c r="P7" s="15"/>
      <c r="Q7" s="44"/>
      <c r="R7" s="44"/>
      <c r="S7" s="44"/>
      <c r="T7" s="48"/>
      <c r="U7" s="49"/>
      <c r="V7" s="49"/>
      <c r="W7" s="49"/>
      <c r="X7" s="50">
        <f>Model!H7</f>
        <v>2022</v>
      </c>
      <c r="Y7" s="50">
        <f>Model!I7</f>
        <v>2023</v>
      </c>
      <c r="Z7" s="50">
        <f>Model!J7</f>
        <v>2024</v>
      </c>
      <c r="AA7" s="155">
        <f>Model!K7</f>
        <v>2025</v>
      </c>
      <c r="AB7" s="155">
        <f>Model!L7</f>
        <v>2026</v>
      </c>
      <c r="AC7" s="155">
        <f>Model!M7</f>
        <v>2027</v>
      </c>
      <c r="AD7" s="155">
        <f>Model!N7</f>
        <v>2028</v>
      </c>
      <c r="AE7" s="155">
        <f>Model!O7</f>
        <v>2029</v>
      </c>
      <c r="AF7" s="51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</row>
    <row r="8" spans="1:44" ht="3" customHeight="1">
      <c r="C8" s="16"/>
      <c r="D8" s="17"/>
      <c r="E8" s="17"/>
      <c r="F8" s="17"/>
      <c r="G8" s="17"/>
      <c r="H8" s="18"/>
      <c r="I8" s="18"/>
      <c r="J8" s="19"/>
      <c r="K8" s="20"/>
      <c r="L8" s="20"/>
      <c r="M8" s="20"/>
      <c r="N8" s="20"/>
      <c r="O8" s="20"/>
      <c r="P8" s="21"/>
      <c r="T8" s="56"/>
      <c r="X8" s="53"/>
      <c r="Y8" s="53"/>
      <c r="Z8" s="54"/>
      <c r="AA8" s="55"/>
      <c r="AB8" s="55"/>
      <c r="AC8" s="55"/>
      <c r="AD8" s="55"/>
      <c r="AE8" s="55"/>
      <c r="AF8" s="57"/>
    </row>
    <row r="9" spans="1:44" ht="3" customHeight="1">
      <c r="C9" s="22"/>
      <c r="D9" s="23"/>
      <c r="E9" s="23"/>
      <c r="F9" s="23"/>
      <c r="G9" s="23"/>
      <c r="H9" s="24"/>
      <c r="I9" s="24"/>
      <c r="J9" s="25"/>
      <c r="K9" s="26"/>
      <c r="L9" s="26"/>
      <c r="M9" s="26"/>
      <c r="N9" s="26"/>
      <c r="O9" s="26"/>
      <c r="P9" s="27"/>
      <c r="T9" s="56"/>
      <c r="X9" s="53"/>
      <c r="Y9" s="53"/>
      <c r="Z9" s="54"/>
      <c r="AA9" s="55"/>
      <c r="AB9" s="55"/>
      <c r="AC9" s="55"/>
      <c r="AD9" s="55"/>
      <c r="AE9" s="55"/>
      <c r="AF9" s="57"/>
    </row>
    <row r="10" spans="1:44" s="38" customFormat="1" ht="12.95" customHeight="1">
      <c r="C10" s="52"/>
      <c r="D10" s="58" t="s">
        <v>5</v>
      </c>
      <c r="P10" s="59"/>
      <c r="T10" s="56"/>
      <c r="U10" s="58" t="s">
        <v>5</v>
      </c>
      <c r="AF10" s="57"/>
    </row>
    <row r="11" spans="1:44" s="38" customFormat="1" ht="3" customHeight="1">
      <c r="C11" s="52"/>
      <c r="D11" s="58"/>
      <c r="P11" s="59"/>
      <c r="T11" s="56"/>
      <c r="U11" s="58"/>
      <c r="AF11" s="57"/>
    </row>
    <row r="12" spans="1:44" s="38" customFormat="1">
      <c r="C12" s="52"/>
      <c r="E12" s="38" t="s">
        <v>6</v>
      </c>
      <c r="F12" s="60"/>
      <c r="H12" s="61"/>
      <c r="I12" s="61"/>
      <c r="J12" s="61"/>
      <c r="K12" s="61"/>
      <c r="L12" s="61"/>
      <c r="M12" s="61"/>
      <c r="N12" s="61"/>
      <c r="O12" s="61"/>
      <c r="P12" s="59"/>
      <c r="T12" s="56"/>
      <c r="V12" s="38" t="s">
        <v>6</v>
      </c>
      <c r="W12" s="62" t="s">
        <v>7</v>
      </c>
      <c r="X12" s="63"/>
      <c r="Y12" s="63"/>
      <c r="Z12" s="63"/>
      <c r="AA12" s="63"/>
      <c r="AB12" s="63"/>
      <c r="AC12" s="63"/>
      <c r="AD12" s="63"/>
      <c r="AE12" s="63"/>
      <c r="AF12" s="57"/>
    </row>
    <row r="13" spans="1:44" s="38" customFormat="1">
      <c r="C13" s="52"/>
      <c r="E13" s="64" t="s">
        <v>8</v>
      </c>
      <c r="F13" s="65"/>
      <c r="G13" s="64"/>
      <c r="H13" s="66"/>
      <c r="I13" s="67"/>
      <c r="J13" s="67"/>
      <c r="K13" s="67"/>
      <c r="L13" s="67"/>
      <c r="M13" s="67"/>
      <c r="N13" s="67"/>
      <c r="O13" s="67"/>
      <c r="P13" s="59"/>
      <c r="T13" s="56"/>
      <c r="V13" s="64" t="s">
        <v>8</v>
      </c>
      <c r="W13" s="65" t="s">
        <v>9</v>
      </c>
      <c r="Y13" s="68"/>
      <c r="Z13" s="68"/>
      <c r="AA13" s="68"/>
      <c r="AB13" s="68"/>
      <c r="AC13" s="68"/>
      <c r="AD13" s="68"/>
      <c r="AE13" s="68"/>
      <c r="AF13" s="57"/>
    </row>
    <row r="14" spans="1:44" s="38" customFormat="1" ht="3" customHeight="1">
      <c r="C14" s="52"/>
      <c r="E14" s="69"/>
      <c r="F14" s="69"/>
      <c r="G14" s="69"/>
      <c r="H14" s="70"/>
      <c r="I14" s="70"/>
      <c r="J14" s="70"/>
      <c r="K14" s="70"/>
      <c r="L14" s="70"/>
      <c r="M14" s="70"/>
      <c r="N14" s="70"/>
      <c r="O14" s="70"/>
      <c r="P14" s="59"/>
      <c r="T14" s="56"/>
      <c r="AF14" s="57"/>
    </row>
    <row r="15" spans="1:44" s="38" customFormat="1" ht="3" customHeight="1">
      <c r="C15" s="52"/>
      <c r="H15" s="66"/>
      <c r="I15" s="66"/>
      <c r="J15" s="66"/>
      <c r="K15" s="66"/>
      <c r="L15" s="66"/>
      <c r="M15" s="66"/>
      <c r="N15" s="66"/>
      <c r="O15" s="66"/>
      <c r="P15" s="59"/>
      <c r="T15" s="56"/>
      <c r="AF15" s="57"/>
    </row>
    <row r="16" spans="1:44" s="38" customFormat="1">
      <c r="C16" s="52"/>
      <c r="E16" s="38" t="s">
        <v>10</v>
      </c>
      <c r="F16" s="60"/>
      <c r="H16" s="61"/>
      <c r="I16" s="61"/>
      <c r="J16" s="61"/>
      <c r="K16" s="61"/>
      <c r="L16" s="61"/>
      <c r="M16" s="61"/>
      <c r="N16" s="61"/>
      <c r="O16" s="61"/>
      <c r="P16" s="71"/>
      <c r="T16" s="56"/>
      <c r="V16" s="38" t="s">
        <v>10</v>
      </c>
      <c r="W16" s="62" t="s">
        <v>7</v>
      </c>
      <c r="X16" s="63"/>
      <c r="Y16" s="63"/>
      <c r="Z16" s="63"/>
      <c r="AA16" s="63"/>
      <c r="AB16" s="63"/>
      <c r="AC16" s="63"/>
      <c r="AD16" s="63"/>
      <c r="AE16" s="63"/>
      <c r="AF16" s="57"/>
    </row>
    <row r="17" spans="1:44" s="38" customFormat="1">
      <c r="C17" s="52"/>
      <c r="E17" s="64" t="s">
        <v>11</v>
      </c>
      <c r="F17" s="65"/>
      <c r="G17" s="64"/>
      <c r="H17" s="67"/>
      <c r="I17" s="67"/>
      <c r="J17" s="67"/>
      <c r="K17" s="67"/>
      <c r="L17" s="67"/>
      <c r="M17" s="67"/>
      <c r="N17" s="67"/>
      <c r="O17" s="67"/>
      <c r="P17" s="72"/>
      <c r="T17" s="56"/>
      <c r="V17" s="64" t="s">
        <v>11</v>
      </c>
      <c r="W17" s="65" t="s">
        <v>9</v>
      </c>
      <c r="X17" s="68"/>
      <c r="Y17" s="68"/>
      <c r="Z17" s="68"/>
      <c r="AA17" s="68"/>
      <c r="AB17" s="68"/>
      <c r="AC17" s="68"/>
      <c r="AD17" s="68"/>
      <c r="AE17" s="68"/>
      <c r="AF17" s="57"/>
    </row>
    <row r="18" spans="1:44" s="38" customFormat="1">
      <c r="C18" s="52"/>
      <c r="E18" s="64" t="s">
        <v>8</v>
      </c>
      <c r="F18" s="65"/>
      <c r="G18" s="64"/>
      <c r="H18" s="73"/>
      <c r="I18" s="67"/>
      <c r="J18" s="67"/>
      <c r="K18" s="67"/>
      <c r="L18" s="67"/>
      <c r="M18" s="67"/>
      <c r="N18" s="67"/>
      <c r="O18" s="67"/>
      <c r="P18" s="72"/>
      <c r="T18" s="56"/>
      <c r="V18" s="64" t="s">
        <v>8</v>
      </c>
      <c r="W18" s="65" t="s">
        <v>9</v>
      </c>
      <c r="X18" s="65"/>
      <c r="Y18" s="68"/>
      <c r="Z18" s="68"/>
      <c r="AA18" s="68"/>
      <c r="AB18" s="68"/>
      <c r="AC18" s="68"/>
      <c r="AD18" s="68"/>
      <c r="AE18" s="68"/>
      <c r="AF18" s="57"/>
    </row>
    <row r="19" spans="1:44" s="38" customFormat="1" ht="3" customHeight="1">
      <c r="C19" s="52"/>
      <c r="E19" s="69"/>
      <c r="F19" s="69"/>
      <c r="G19" s="69"/>
      <c r="H19" s="70"/>
      <c r="I19" s="70"/>
      <c r="J19" s="70"/>
      <c r="K19" s="70"/>
      <c r="L19" s="70"/>
      <c r="M19" s="70"/>
      <c r="N19" s="70"/>
      <c r="O19" s="70"/>
      <c r="P19" s="59"/>
      <c r="T19" s="56"/>
      <c r="AF19" s="57"/>
    </row>
    <row r="20" spans="1:44" s="38" customFormat="1" ht="3" customHeight="1">
      <c r="C20" s="52"/>
      <c r="H20" s="66"/>
      <c r="I20" s="66"/>
      <c r="J20" s="66"/>
      <c r="K20" s="66"/>
      <c r="L20" s="66"/>
      <c r="M20" s="66"/>
      <c r="N20" s="66"/>
      <c r="O20" s="66"/>
      <c r="P20" s="59"/>
      <c r="T20" s="56"/>
      <c r="AF20" s="57"/>
    </row>
    <row r="21" spans="1:44" s="38" customFormat="1">
      <c r="C21" s="52"/>
      <c r="E21" s="38" t="s">
        <v>12</v>
      </c>
      <c r="F21" s="60"/>
      <c r="H21" s="61"/>
      <c r="I21" s="61"/>
      <c r="J21" s="61"/>
      <c r="K21" s="61"/>
      <c r="L21" s="61"/>
      <c r="M21" s="61"/>
      <c r="N21" s="61"/>
      <c r="O21" s="61"/>
      <c r="P21" s="71"/>
      <c r="T21" s="56"/>
      <c r="V21" s="38" t="s">
        <v>12</v>
      </c>
      <c r="W21" s="62" t="s">
        <v>7</v>
      </c>
      <c r="X21" s="63"/>
      <c r="Y21" s="63"/>
      <c r="Z21" s="63"/>
      <c r="AA21" s="63"/>
      <c r="AB21" s="63"/>
      <c r="AC21" s="63"/>
      <c r="AD21" s="63"/>
      <c r="AE21" s="63"/>
      <c r="AF21" s="57"/>
    </row>
    <row r="22" spans="1:44" s="38" customFormat="1">
      <c r="C22" s="52"/>
      <c r="E22" s="64" t="s">
        <v>11</v>
      </c>
      <c r="F22" s="74"/>
      <c r="G22" s="64"/>
      <c r="H22" s="67"/>
      <c r="I22" s="67"/>
      <c r="J22" s="67"/>
      <c r="K22" s="67"/>
      <c r="L22" s="67"/>
      <c r="M22" s="67"/>
      <c r="N22" s="67"/>
      <c r="O22" s="67"/>
      <c r="P22" s="71"/>
      <c r="T22" s="56"/>
      <c r="V22" s="64" t="s">
        <v>11</v>
      </c>
      <c r="W22" s="65" t="s">
        <v>9</v>
      </c>
      <c r="X22" s="68"/>
      <c r="Y22" s="68"/>
      <c r="Z22" s="68"/>
      <c r="AA22" s="68"/>
      <c r="AB22" s="68"/>
      <c r="AC22" s="68"/>
      <c r="AD22" s="68"/>
      <c r="AE22" s="68"/>
      <c r="AF22" s="57"/>
    </row>
    <row r="23" spans="1:44" s="38" customFormat="1">
      <c r="C23" s="52"/>
      <c r="E23" s="64" t="s">
        <v>8</v>
      </c>
      <c r="F23" s="74"/>
      <c r="G23" s="64"/>
      <c r="H23" s="73"/>
      <c r="I23" s="67"/>
      <c r="J23" s="67"/>
      <c r="K23" s="67"/>
      <c r="L23" s="67"/>
      <c r="M23" s="67"/>
      <c r="N23" s="67"/>
      <c r="O23" s="67"/>
      <c r="P23" s="71"/>
      <c r="T23" s="56"/>
      <c r="V23" s="64" t="s">
        <v>8</v>
      </c>
      <c r="W23" s="65" t="s">
        <v>9</v>
      </c>
      <c r="X23" s="65"/>
      <c r="Y23" s="68"/>
      <c r="Z23" s="68"/>
      <c r="AA23" s="68"/>
      <c r="AB23" s="68"/>
      <c r="AC23" s="68"/>
      <c r="AD23" s="68"/>
      <c r="AE23" s="68"/>
      <c r="AF23" s="57"/>
    </row>
    <row r="24" spans="1:44" s="38" customFormat="1" ht="3.95" customHeight="1">
      <c r="C24" s="75"/>
      <c r="D24" s="76"/>
      <c r="E24" s="77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8"/>
      <c r="T24" s="79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1"/>
    </row>
    <row r="25" spans="1:44" s="38" customFormat="1" ht="9.9499999999999993" customHeight="1"/>
    <row r="26" spans="1:44" s="38" customFormat="1" ht="15" customHeight="1">
      <c r="C26" s="42" t="s">
        <v>13</v>
      </c>
      <c r="D26" s="43"/>
      <c r="E26" s="43"/>
      <c r="F26" s="43"/>
      <c r="G26" s="43"/>
      <c r="H26" s="41"/>
      <c r="I26" s="41"/>
      <c r="J26" s="41"/>
      <c r="K26" s="41"/>
      <c r="L26" s="41"/>
      <c r="M26" s="41"/>
      <c r="N26" s="41"/>
      <c r="O26" s="41"/>
      <c r="P26" s="41"/>
    </row>
    <row r="27" spans="1:44" s="3" customFormat="1" ht="15" customHeight="1">
      <c r="A27" s="44"/>
      <c r="B27" s="44"/>
      <c r="C27" s="4"/>
      <c r="D27" s="5"/>
      <c r="E27" s="5"/>
      <c r="F27" s="5"/>
      <c r="G27" s="5"/>
      <c r="H27" s="6"/>
      <c r="I27" s="6"/>
      <c r="J27" s="6"/>
      <c r="K27" s="7" t="s">
        <v>2</v>
      </c>
      <c r="L27" s="8"/>
      <c r="M27" s="8"/>
      <c r="N27" s="8"/>
      <c r="O27" s="8"/>
      <c r="P27" s="28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</row>
    <row r="28" spans="1:44" s="3" customFormat="1" ht="15" customHeight="1">
      <c r="A28" s="44"/>
      <c r="B28" s="44"/>
      <c r="C28" s="10"/>
      <c r="D28" s="11" t="s">
        <v>3</v>
      </c>
      <c r="E28" s="12"/>
      <c r="F28" s="11" t="s">
        <v>4</v>
      </c>
      <c r="G28" s="12"/>
      <c r="H28" s="13">
        <f t="shared" ref="H28:O28" si="1">H7</f>
        <v>2022</v>
      </c>
      <c r="I28" s="13">
        <f t="shared" si="1"/>
        <v>2023</v>
      </c>
      <c r="J28" s="13">
        <f t="shared" si="1"/>
        <v>2024</v>
      </c>
      <c r="K28" s="14">
        <f t="shared" si="1"/>
        <v>2025</v>
      </c>
      <c r="L28" s="14">
        <f t="shared" si="1"/>
        <v>2026</v>
      </c>
      <c r="M28" s="14">
        <f t="shared" si="1"/>
        <v>2027</v>
      </c>
      <c r="N28" s="14">
        <f t="shared" si="1"/>
        <v>2028</v>
      </c>
      <c r="O28" s="14">
        <f t="shared" si="1"/>
        <v>2029</v>
      </c>
      <c r="P28" s="29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ht="3" customHeight="1">
      <c r="C29" s="16"/>
      <c r="D29" s="17"/>
      <c r="E29" s="17"/>
      <c r="F29" s="17"/>
      <c r="G29" s="17"/>
      <c r="H29" s="18"/>
      <c r="I29" s="18"/>
      <c r="J29" s="19"/>
      <c r="K29" s="20"/>
      <c r="L29" s="20"/>
      <c r="M29" s="20"/>
      <c r="N29" s="20"/>
      <c r="O29" s="20"/>
      <c r="P29" s="21"/>
    </row>
    <row r="30" spans="1:44" ht="3" customHeight="1">
      <c r="C30" s="22"/>
      <c r="D30" s="23"/>
      <c r="E30" s="23"/>
      <c r="F30" s="23"/>
      <c r="G30" s="23"/>
      <c r="H30" s="24"/>
      <c r="I30" s="24"/>
      <c r="J30" s="25"/>
      <c r="K30" s="26"/>
      <c r="L30" s="26"/>
      <c r="M30" s="26"/>
      <c r="N30" s="26"/>
      <c r="O30" s="26"/>
      <c r="P30" s="27"/>
    </row>
    <row r="31" spans="1:44" s="38" customFormat="1" ht="12.95" customHeight="1">
      <c r="C31" s="52"/>
      <c r="D31" s="58" t="s">
        <v>5</v>
      </c>
      <c r="P31" s="59"/>
    </row>
    <row r="32" spans="1:44" s="38" customFormat="1" ht="3" customHeight="1">
      <c r="C32" s="52"/>
      <c r="D32" s="58"/>
      <c r="P32" s="59"/>
    </row>
    <row r="33" spans="1:44" s="38" customFormat="1">
      <c r="C33" s="52"/>
      <c r="E33" s="38" t="s">
        <v>6</v>
      </c>
      <c r="F33" s="60"/>
      <c r="H33" s="61"/>
      <c r="I33" s="61"/>
      <c r="J33" s="61"/>
      <c r="K33" s="61"/>
      <c r="L33" s="61"/>
      <c r="M33" s="61"/>
      <c r="N33" s="61"/>
      <c r="O33" s="61"/>
      <c r="P33" s="59"/>
      <c r="W33" s="62"/>
      <c r="X33" s="63"/>
      <c r="Y33" s="63"/>
      <c r="Z33" s="63"/>
      <c r="AA33" s="63"/>
      <c r="AB33" s="63"/>
      <c r="AC33" s="63"/>
      <c r="AD33" s="63"/>
      <c r="AE33" s="63"/>
    </row>
    <row r="34" spans="1:44" s="38" customFormat="1">
      <c r="C34" s="52"/>
      <c r="E34" s="64" t="s">
        <v>8</v>
      </c>
      <c r="F34" s="65"/>
      <c r="G34" s="64"/>
      <c r="H34" s="66"/>
      <c r="I34" s="67"/>
      <c r="J34" s="67"/>
      <c r="K34" s="67"/>
      <c r="L34" s="67"/>
      <c r="M34" s="67"/>
      <c r="N34" s="67"/>
      <c r="O34" s="67"/>
      <c r="P34" s="59"/>
      <c r="V34" s="82"/>
      <c r="W34" s="62"/>
      <c r="Y34" s="83"/>
      <c r="Z34" s="83"/>
      <c r="AA34" s="83"/>
      <c r="AB34" s="83"/>
      <c r="AC34" s="83"/>
      <c r="AD34" s="83"/>
      <c r="AE34" s="83"/>
    </row>
    <row r="35" spans="1:44" s="38" customFormat="1" ht="3" customHeight="1">
      <c r="C35" s="52"/>
      <c r="H35" s="70"/>
      <c r="I35" s="70"/>
      <c r="J35" s="70"/>
      <c r="K35" s="70"/>
      <c r="L35" s="70"/>
      <c r="M35" s="70"/>
      <c r="N35" s="70"/>
      <c r="O35" s="70"/>
      <c r="P35" s="59"/>
    </row>
    <row r="36" spans="1:44" s="38" customFormat="1" ht="3" customHeight="1">
      <c r="C36" s="52"/>
      <c r="H36" s="66"/>
      <c r="I36" s="66"/>
      <c r="J36" s="66"/>
      <c r="K36" s="66"/>
      <c r="L36" s="66"/>
      <c r="M36" s="66"/>
      <c r="N36" s="66"/>
      <c r="O36" s="66"/>
      <c r="P36" s="59"/>
    </row>
    <row r="37" spans="1:44" s="38" customFormat="1">
      <c r="C37" s="52"/>
      <c r="E37" s="38" t="s">
        <v>10</v>
      </c>
      <c r="F37" s="60"/>
      <c r="H37" s="61"/>
      <c r="I37" s="61"/>
      <c r="J37" s="61"/>
      <c r="K37" s="61"/>
      <c r="L37" s="61"/>
      <c r="M37" s="61"/>
      <c r="N37" s="61"/>
      <c r="O37" s="61"/>
      <c r="P37" s="71"/>
      <c r="W37" s="62"/>
      <c r="X37" s="63"/>
      <c r="Y37" s="63"/>
      <c r="Z37" s="63"/>
      <c r="AA37" s="63"/>
      <c r="AB37" s="63"/>
      <c r="AC37" s="63"/>
      <c r="AD37" s="63"/>
      <c r="AE37" s="63"/>
    </row>
    <row r="38" spans="1:44" s="38" customFormat="1">
      <c r="C38" s="52"/>
      <c r="E38" s="64" t="s">
        <v>11</v>
      </c>
      <c r="F38" s="65"/>
      <c r="G38" s="64"/>
      <c r="H38" s="67"/>
      <c r="I38" s="67"/>
      <c r="J38" s="67"/>
      <c r="K38" s="67"/>
      <c r="L38" s="67"/>
      <c r="M38" s="67"/>
      <c r="N38" s="67"/>
      <c r="O38" s="67"/>
      <c r="P38" s="72"/>
      <c r="V38" s="82"/>
      <c r="W38" s="62"/>
      <c r="X38" s="83"/>
      <c r="Y38" s="83"/>
      <c r="Z38" s="83"/>
      <c r="AA38" s="83"/>
      <c r="AB38" s="83"/>
      <c r="AC38" s="83"/>
      <c r="AD38" s="83"/>
      <c r="AE38" s="83"/>
    </row>
    <row r="39" spans="1:44" s="38" customFormat="1">
      <c r="C39" s="52"/>
      <c r="E39" s="64" t="s">
        <v>8</v>
      </c>
      <c r="F39" s="65"/>
      <c r="G39" s="64"/>
      <c r="H39" s="73"/>
      <c r="I39" s="67"/>
      <c r="J39" s="67"/>
      <c r="K39" s="67"/>
      <c r="L39" s="67"/>
      <c r="M39" s="67"/>
      <c r="N39" s="67"/>
      <c r="O39" s="67"/>
      <c r="P39" s="72"/>
      <c r="V39" s="82"/>
      <c r="W39" s="62"/>
      <c r="Y39" s="83"/>
      <c r="Z39" s="83"/>
      <c r="AA39" s="83"/>
      <c r="AB39" s="83"/>
      <c r="AC39" s="83"/>
      <c r="AD39" s="83"/>
      <c r="AE39" s="83"/>
    </row>
    <row r="40" spans="1:44" s="38" customFormat="1" ht="3" customHeight="1">
      <c r="C40" s="52"/>
      <c r="H40" s="70"/>
      <c r="I40" s="70"/>
      <c r="J40" s="70"/>
      <c r="K40" s="70"/>
      <c r="L40" s="70"/>
      <c r="M40" s="70"/>
      <c r="N40" s="70"/>
      <c r="O40" s="70"/>
      <c r="P40" s="59"/>
    </row>
    <row r="41" spans="1:44" s="38" customFormat="1" ht="3" customHeight="1">
      <c r="C41" s="52"/>
      <c r="H41" s="66"/>
      <c r="I41" s="66"/>
      <c r="J41" s="66"/>
      <c r="K41" s="66"/>
      <c r="L41" s="66"/>
      <c r="M41" s="66"/>
      <c r="N41" s="66"/>
      <c r="O41" s="66"/>
      <c r="P41" s="59"/>
    </row>
    <row r="42" spans="1:44" s="38" customFormat="1">
      <c r="C42" s="52"/>
      <c r="E42" s="38" t="s">
        <v>12</v>
      </c>
      <c r="F42" s="60"/>
      <c r="H42" s="61"/>
      <c r="I42" s="61"/>
      <c r="J42" s="61"/>
      <c r="K42" s="61"/>
      <c r="L42" s="61"/>
      <c r="M42" s="61"/>
      <c r="N42" s="61"/>
      <c r="O42" s="61"/>
      <c r="P42" s="71"/>
      <c r="W42" s="62"/>
      <c r="X42" s="84"/>
      <c r="Y42" s="84"/>
      <c r="Z42" s="84"/>
      <c r="AA42" s="63"/>
      <c r="AB42" s="63"/>
      <c r="AC42" s="63"/>
      <c r="AD42" s="63"/>
      <c r="AE42" s="63"/>
    </row>
    <row r="43" spans="1:44" s="38" customFormat="1">
      <c r="C43" s="52"/>
      <c r="E43" s="64" t="s">
        <v>11</v>
      </c>
      <c r="F43" s="65"/>
      <c r="G43" s="64"/>
      <c r="H43" s="67"/>
      <c r="I43" s="67"/>
      <c r="J43" s="67"/>
      <c r="K43" s="67"/>
      <c r="L43" s="67"/>
      <c r="M43" s="67"/>
      <c r="N43" s="67"/>
      <c r="O43" s="67"/>
      <c r="P43" s="71"/>
      <c r="W43" s="62"/>
      <c r="X43" s="84"/>
      <c r="Y43" s="84"/>
      <c r="Z43" s="84"/>
      <c r="AA43" s="63"/>
      <c r="AB43" s="63"/>
      <c r="AC43" s="63"/>
      <c r="AD43" s="63"/>
      <c r="AE43" s="63"/>
    </row>
    <row r="44" spans="1:44" s="38" customFormat="1">
      <c r="C44" s="52"/>
      <c r="E44" s="64" t="s">
        <v>8</v>
      </c>
      <c r="F44" s="65"/>
      <c r="G44" s="64"/>
      <c r="H44" s="73"/>
      <c r="I44" s="67"/>
      <c r="J44" s="67"/>
      <c r="K44" s="67"/>
      <c r="L44" s="67"/>
      <c r="M44" s="67"/>
      <c r="N44" s="67"/>
      <c r="O44" s="67"/>
      <c r="P44" s="71"/>
      <c r="W44" s="62"/>
      <c r="X44" s="84"/>
      <c r="Y44" s="84"/>
      <c r="Z44" s="84"/>
      <c r="AA44" s="63"/>
      <c r="AB44" s="63"/>
      <c r="AC44" s="63"/>
      <c r="AD44" s="63"/>
      <c r="AE44" s="63"/>
    </row>
    <row r="45" spans="1:44" s="38" customFormat="1" ht="3.95" customHeight="1">
      <c r="C45" s="75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8"/>
    </row>
    <row r="46" spans="1:44" s="38" customFormat="1" ht="9.9499999999999993" customHeight="1"/>
    <row r="47" spans="1:44" s="38" customFormat="1" ht="15" customHeight="1">
      <c r="C47" s="42" t="s">
        <v>14</v>
      </c>
      <c r="D47" s="43"/>
      <c r="E47" s="43"/>
      <c r="F47" s="43"/>
      <c r="G47" s="43"/>
      <c r="H47" s="41"/>
      <c r="I47" s="41"/>
      <c r="J47" s="41"/>
      <c r="K47" s="41"/>
      <c r="L47" s="41"/>
      <c r="M47" s="41"/>
      <c r="N47" s="41"/>
      <c r="O47" s="41"/>
      <c r="P47" s="41"/>
    </row>
    <row r="48" spans="1:44" s="3" customFormat="1" ht="15" customHeight="1">
      <c r="A48" s="44"/>
      <c r="B48" s="44"/>
      <c r="C48" s="4"/>
      <c r="D48" s="5"/>
      <c r="E48" s="5"/>
      <c r="F48" s="5"/>
      <c r="G48" s="5"/>
      <c r="H48" s="6"/>
      <c r="I48" s="6"/>
      <c r="J48" s="6"/>
      <c r="K48" s="7" t="s">
        <v>2</v>
      </c>
      <c r="L48" s="8"/>
      <c r="M48" s="8"/>
      <c r="N48" s="8"/>
      <c r="O48" s="8"/>
      <c r="P48" s="28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s="3" customFormat="1" ht="15" customHeight="1">
      <c r="A49" s="44"/>
      <c r="B49" s="44"/>
      <c r="C49" s="30"/>
      <c r="D49" s="11" t="s">
        <v>3</v>
      </c>
      <c r="E49" s="31"/>
      <c r="F49" s="11" t="s">
        <v>4</v>
      </c>
      <c r="G49" s="31"/>
      <c r="H49" s="32">
        <f>H28</f>
        <v>2022</v>
      </c>
      <c r="I49" s="32">
        <f t="shared" ref="I49:O49" si="2">I28</f>
        <v>2023</v>
      </c>
      <c r="J49" s="32">
        <f t="shared" si="2"/>
        <v>2024</v>
      </c>
      <c r="K49" s="33">
        <f t="shared" si="2"/>
        <v>2025</v>
      </c>
      <c r="L49" s="33">
        <f t="shared" si="2"/>
        <v>2026</v>
      </c>
      <c r="M49" s="33">
        <f t="shared" si="2"/>
        <v>2027</v>
      </c>
      <c r="N49" s="33">
        <f t="shared" si="2"/>
        <v>2028</v>
      </c>
      <c r="O49" s="33">
        <f t="shared" si="2"/>
        <v>2029</v>
      </c>
      <c r="P49" s="3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</row>
    <row r="50" spans="1:44" ht="3" customHeight="1">
      <c r="C50" s="16"/>
      <c r="D50" s="17"/>
      <c r="E50" s="17"/>
      <c r="F50" s="17"/>
      <c r="G50" s="17"/>
      <c r="H50" s="18"/>
      <c r="I50" s="18"/>
      <c r="J50" s="19"/>
      <c r="K50" s="20"/>
      <c r="L50" s="20"/>
      <c r="M50" s="20"/>
      <c r="N50" s="20"/>
      <c r="O50" s="20"/>
      <c r="P50" s="21"/>
      <c r="X50" s="44"/>
      <c r="Y50" s="44"/>
      <c r="Z50" s="44"/>
      <c r="AA50" s="44"/>
      <c r="AB50" s="44"/>
      <c r="AC50" s="44"/>
      <c r="AD50" s="44"/>
      <c r="AE50" s="44"/>
    </row>
    <row r="51" spans="1:44" ht="3" customHeight="1">
      <c r="C51" s="22"/>
      <c r="D51" s="23"/>
      <c r="E51" s="23"/>
      <c r="F51" s="23"/>
      <c r="G51" s="23"/>
      <c r="H51" s="24"/>
      <c r="I51" s="24"/>
      <c r="J51" s="25"/>
      <c r="K51" s="26"/>
      <c r="L51" s="26"/>
      <c r="M51" s="26"/>
      <c r="N51" s="26"/>
      <c r="O51" s="26"/>
      <c r="P51" s="27"/>
      <c r="X51" s="44"/>
      <c r="Y51" s="44"/>
      <c r="Z51" s="44"/>
      <c r="AA51" s="44"/>
      <c r="AB51" s="44"/>
      <c r="AC51" s="44"/>
      <c r="AD51" s="44"/>
      <c r="AE51" s="44"/>
    </row>
    <row r="52" spans="1:44" s="38" customFormat="1" ht="12.95" customHeight="1">
      <c r="C52" s="52"/>
      <c r="D52" s="58" t="s">
        <v>5</v>
      </c>
      <c r="P52" s="59"/>
      <c r="X52" s="44"/>
      <c r="Y52" s="44"/>
      <c r="Z52" s="44"/>
      <c r="AA52" s="44"/>
      <c r="AB52" s="44"/>
      <c r="AC52" s="44"/>
      <c r="AD52" s="44"/>
      <c r="AE52" s="44"/>
    </row>
    <row r="53" spans="1:44" s="38" customFormat="1">
      <c r="C53" s="52"/>
      <c r="E53" s="38" t="s">
        <v>6</v>
      </c>
      <c r="F53" s="60"/>
      <c r="H53" s="61"/>
      <c r="I53" s="61"/>
      <c r="J53" s="61"/>
      <c r="K53" s="61"/>
      <c r="L53" s="61"/>
      <c r="M53" s="61"/>
      <c r="N53" s="61"/>
      <c r="O53" s="61"/>
      <c r="P53" s="59"/>
      <c r="W53" s="62"/>
      <c r="X53" s="44"/>
      <c r="Y53" s="44"/>
      <c r="Z53" s="44"/>
      <c r="AA53" s="44"/>
      <c r="AB53" s="44"/>
      <c r="AC53" s="44"/>
      <c r="AD53" s="44"/>
      <c r="AE53" s="44"/>
    </row>
    <row r="54" spans="1:44" s="38" customFormat="1">
      <c r="C54" s="52"/>
      <c r="E54" s="64" t="s">
        <v>8</v>
      </c>
      <c r="F54" s="65"/>
      <c r="G54" s="64"/>
      <c r="H54" s="66"/>
      <c r="I54" s="67"/>
      <c r="J54" s="67"/>
      <c r="K54" s="67"/>
      <c r="L54" s="67"/>
      <c r="M54" s="67"/>
      <c r="N54" s="67"/>
      <c r="O54" s="67"/>
      <c r="P54" s="59"/>
      <c r="V54" s="82"/>
      <c r="W54" s="62"/>
      <c r="X54" s="44"/>
      <c r="Y54" s="44"/>
      <c r="Z54" s="44"/>
      <c r="AA54" s="44"/>
      <c r="AB54" s="44"/>
      <c r="AC54" s="44"/>
      <c r="AD54" s="44"/>
      <c r="AE54" s="44"/>
    </row>
    <row r="55" spans="1:44" s="38" customFormat="1" ht="3" customHeight="1">
      <c r="C55" s="52"/>
      <c r="H55" s="70"/>
      <c r="I55" s="70"/>
      <c r="J55" s="70"/>
      <c r="K55" s="70"/>
      <c r="L55" s="70"/>
      <c r="M55" s="70"/>
      <c r="N55" s="70"/>
      <c r="O55" s="70"/>
      <c r="P55" s="59"/>
      <c r="X55" s="44"/>
      <c r="Y55" s="44"/>
      <c r="Z55" s="44"/>
      <c r="AA55" s="44"/>
      <c r="AB55" s="44"/>
      <c r="AC55" s="44"/>
      <c r="AD55" s="44"/>
      <c r="AE55" s="44"/>
    </row>
    <row r="56" spans="1:44" s="38" customFormat="1" ht="3" customHeight="1">
      <c r="C56" s="52"/>
      <c r="H56" s="66"/>
      <c r="I56" s="66"/>
      <c r="J56" s="66"/>
      <c r="K56" s="66"/>
      <c r="L56" s="66"/>
      <c r="M56" s="66"/>
      <c r="N56" s="66"/>
      <c r="O56" s="66"/>
      <c r="P56" s="59"/>
      <c r="X56" s="44"/>
      <c r="Y56" s="44"/>
      <c r="Z56" s="44"/>
      <c r="AA56" s="44"/>
      <c r="AB56" s="44"/>
      <c r="AC56" s="44"/>
      <c r="AD56" s="44"/>
      <c r="AE56" s="44"/>
    </row>
    <row r="57" spans="1:44" s="38" customFormat="1">
      <c r="C57" s="52"/>
      <c r="E57" s="38" t="s">
        <v>10</v>
      </c>
      <c r="F57" s="60"/>
      <c r="H57" s="61"/>
      <c r="I57" s="61"/>
      <c r="J57" s="61"/>
      <c r="K57" s="61"/>
      <c r="L57" s="61"/>
      <c r="M57" s="61"/>
      <c r="N57" s="61"/>
      <c r="O57" s="61"/>
      <c r="P57" s="71"/>
      <c r="W57" s="62"/>
      <c r="X57" s="44"/>
      <c r="Y57" s="44"/>
      <c r="Z57" s="44"/>
      <c r="AA57" s="44"/>
      <c r="AB57" s="44"/>
      <c r="AC57" s="44"/>
      <c r="AD57" s="44"/>
      <c r="AE57" s="44"/>
    </row>
    <row r="58" spans="1:44" s="38" customFormat="1">
      <c r="C58" s="52"/>
      <c r="E58" s="64" t="s">
        <v>11</v>
      </c>
      <c r="F58" s="65"/>
      <c r="G58" s="64"/>
      <c r="H58" s="67"/>
      <c r="I58" s="67"/>
      <c r="J58" s="67"/>
      <c r="K58" s="67"/>
      <c r="L58" s="67"/>
      <c r="M58" s="67"/>
      <c r="N58" s="67"/>
      <c r="O58" s="67"/>
      <c r="P58" s="72"/>
      <c r="V58" s="82"/>
      <c r="W58" s="62"/>
      <c r="X58" s="44"/>
      <c r="Y58" s="44"/>
      <c r="Z58" s="44"/>
      <c r="AA58" s="44"/>
      <c r="AB58" s="44"/>
      <c r="AC58" s="44"/>
      <c r="AD58" s="44"/>
      <c r="AE58" s="44"/>
    </row>
    <row r="59" spans="1:44" s="38" customFormat="1">
      <c r="C59" s="52"/>
      <c r="E59" s="64" t="s">
        <v>8</v>
      </c>
      <c r="F59" s="65"/>
      <c r="G59" s="64"/>
      <c r="H59" s="73"/>
      <c r="I59" s="67"/>
      <c r="J59" s="67"/>
      <c r="K59" s="67"/>
      <c r="L59" s="67"/>
      <c r="M59" s="67"/>
      <c r="N59" s="67"/>
      <c r="O59" s="67"/>
      <c r="P59" s="72"/>
      <c r="V59" s="82"/>
      <c r="W59" s="62"/>
      <c r="X59" s="44"/>
      <c r="Y59" s="44"/>
      <c r="Z59" s="44"/>
      <c r="AA59" s="44"/>
      <c r="AB59" s="44"/>
      <c r="AC59" s="44"/>
      <c r="AD59" s="44"/>
      <c r="AE59" s="44"/>
    </row>
    <row r="60" spans="1:44" s="38" customFormat="1" ht="3" customHeight="1">
      <c r="C60" s="52"/>
      <c r="H60" s="70"/>
      <c r="I60" s="70"/>
      <c r="J60" s="70"/>
      <c r="K60" s="70"/>
      <c r="L60" s="70"/>
      <c r="M60" s="70"/>
      <c r="N60" s="70"/>
      <c r="O60" s="70"/>
      <c r="P60" s="59"/>
      <c r="X60" s="44"/>
      <c r="Y60" s="44"/>
      <c r="Z60" s="44"/>
      <c r="AA60" s="44"/>
      <c r="AB60" s="44"/>
      <c r="AC60" s="44"/>
      <c r="AD60" s="44"/>
      <c r="AE60" s="44"/>
    </row>
    <row r="61" spans="1:44" s="38" customFormat="1" ht="3" customHeight="1">
      <c r="C61" s="52"/>
      <c r="H61" s="66"/>
      <c r="I61" s="66"/>
      <c r="J61" s="66"/>
      <c r="K61" s="66"/>
      <c r="L61" s="66"/>
      <c r="M61" s="66"/>
      <c r="N61" s="66"/>
      <c r="O61" s="66"/>
      <c r="P61" s="59"/>
      <c r="X61" s="44"/>
      <c r="Y61" s="44"/>
      <c r="Z61" s="44"/>
      <c r="AA61" s="44"/>
      <c r="AB61" s="44"/>
      <c r="AC61" s="44"/>
      <c r="AD61" s="44"/>
      <c r="AE61" s="44"/>
    </row>
    <row r="62" spans="1:44" s="38" customFormat="1">
      <c r="C62" s="52"/>
      <c r="E62" s="38" t="s">
        <v>12</v>
      </c>
      <c r="F62" s="60"/>
      <c r="H62" s="61"/>
      <c r="I62" s="61"/>
      <c r="J62" s="61"/>
      <c r="K62" s="61"/>
      <c r="L62" s="61"/>
      <c r="M62" s="61"/>
      <c r="N62" s="61"/>
      <c r="O62" s="61"/>
      <c r="P62" s="71"/>
      <c r="W62" s="62"/>
      <c r="X62" s="44"/>
      <c r="Y62" s="44"/>
      <c r="Z62" s="44"/>
      <c r="AA62" s="44"/>
      <c r="AB62" s="44"/>
      <c r="AC62" s="44"/>
      <c r="AD62" s="44"/>
      <c r="AE62" s="44"/>
    </row>
    <row r="63" spans="1:44" s="38" customFormat="1">
      <c r="C63" s="52"/>
      <c r="E63" s="64" t="s">
        <v>11</v>
      </c>
      <c r="F63" s="65"/>
      <c r="G63" s="64"/>
      <c r="H63" s="67"/>
      <c r="I63" s="67"/>
      <c r="J63" s="67"/>
      <c r="K63" s="67"/>
      <c r="L63" s="67"/>
      <c r="M63" s="67"/>
      <c r="N63" s="67"/>
      <c r="O63" s="67"/>
      <c r="P63" s="71"/>
      <c r="W63" s="62"/>
      <c r="X63" s="44"/>
      <c r="Y63" s="44"/>
      <c r="Z63" s="44"/>
      <c r="AA63" s="44"/>
      <c r="AB63" s="44"/>
      <c r="AC63" s="44"/>
      <c r="AD63" s="44"/>
      <c r="AE63" s="44"/>
    </row>
    <row r="64" spans="1:44" s="38" customFormat="1">
      <c r="C64" s="52"/>
      <c r="E64" s="64" t="s">
        <v>8</v>
      </c>
      <c r="F64" s="65"/>
      <c r="G64" s="64"/>
      <c r="H64" s="73"/>
      <c r="I64" s="67"/>
      <c r="J64" s="67"/>
      <c r="K64" s="67"/>
      <c r="L64" s="67"/>
      <c r="M64" s="67"/>
      <c r="N64" s="67"/>
      <c r="O64" s="67"/>
      <c r="P64" s="71"/>
      <c r="W64" s="62"/>
      <c r="X64" s="44"/>
      <c r="Y64" s="44"/>
      <c r="Z64" s="44"/>
      <c r="AA64" s="44"/>
      <c r="AB64" s="44"/>
      <c r="AC64" s="44"/>
      <c r="AD64" s="44"/>
      <c r="AE64" s="44"/>
    </row>
    <row r="65" spans="2:31" s="38" customFormat="1" ht="3.95" customHeight="1">
      <c r="C65" s="75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8"/>
      <c r="X65" s="44"/>
      <c r="Y65" s="44"/>
      <c r="Z65" s="44"/>
      <c r="AA65" s="44"/>
      <c r="AB65" s="44"/>
      <c r="AC65" s="44"/>
      <c r="AD65" s="44"/>
      <c r="AE65" s="44"/>
    </row>
    <row r="66" spans="2:31" s="38" customFormat="1" ht="12" customHeight="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X66" s="44"/>
      <c r="Y66" s="44"/>
      <c r="Z66" s="44"/>
      <c r="AA66" s="44"/>
      <c r="AB66" s="44"/>
      <c r="AC66" s="44"/>
      <c r="AD66" s="44"/>
      <c r="AE66" s="44"/>
    </row>
    <row r="67" spans="2:31" s="38" customFormat="1"/>
    <row r="68" spans="2:31" s="38" customFormat="1"/>
    <row r="69" spans="2:31" s="38" customFormat="1"/>
    <row r="70" spans="2:31" s="38" customFormat="1"/>
    <row r="71" spans="2:31" s="38" customFormat="1"/>
    <row r="72" spans="2:31" s="38" customFormat="1"/>
    <row r="73" spans="2:31" s="38" customFormat="1"/>
    <row r="74" spans="2:31" s="38" customFormat="1"/>
    <row r="75" spans="2:31" s="38" customFormat="1"/>
    <row r="76" spans="2:31" s="38" customFormat="1"/>
    <row r="77" spans="2:31" s="38" customFormat="1"/>
    <row r="78" spans="2:31" s="38" customFormat="1"/>
    <row r="79" spans="2:31" s="38" customFormat="1"/>
    <row r="80" spans="2:31" s="38" customFormat="1"/>
    <row r="81" s="38" customFormat="1"/>
    <row r="82" s="38" customFormat="1"/>
    <row r="83" s="38" customFormat="1"/>
    <row r="84" s="38" customFormat="1"/>
    <row r="85" s="38" customFormat="1"/>
    <row r="86" s="38" customFormat="1"/>
    <row r="87" s="38" customFormat="1"/>
    <row r="88" s="38" customFormat="1"/>
    <row r="89" s="38" customFormat="1"/>
    <row r="90" s="38" customFormat="1"/>
    <row r="91" s="38" customFormat="1"/>
    <row r="92" s="38" customFormat="1"/>
    <row r="93" s="38" customFormat="1"/>
    <row r="94" s="38" customFormat="1"/>
    <row r="95" s="38" customFormat="1"/>
    <row r="96" s="38" customFormat="1"/>
    <row r="97" s="38" customFormat="1"/>
    <row r="98" s="38" customFormat="1"/>
    <row r="99" s="38" customFormat="1"/>
    <row r="100" s="38" customFormat="1"/>
    <row r="101" s="38" customFormat="1"/>
    <row r="102" s="38" customFormat="1"/>
    <row r="103" s="38" customFormat="1"/>
    <row r="104" s="38" customFormat="1"/>
    <row r="105" s="38" customFormat="1"/>
    <row r="106" s="38" customFormat="1"/>
    <row r="107" s="38" customFormat="1"/>
    <row r="108" s="38" customFormat="1"/>
    <row r="109" s="38" customFormat="1"/>
    <row r="110" s="38" customFormat="1"/>
    <row r="111" s="38" customFormat="1"/>
    <row r="112" s="38" customFormat="1"/>
    <row r="113" s="38" customFormat="1"/>
    <row r="114" s="38" customFormat="1"/>
    <row r="115" s="38" customFormat="1"/>
    <row r="116" s="38" customFormat="1"/>
    <row r="117" s="38" customFormat="1"/>
    <row r="118" s="38" customFormat="1"/>
    <row r="119" s="38" customFormat="1"/>
    <row r="120" s="38" customFormat="1"/>
    <row r="121" s="38" customFormat="1"/>
    <row r="122" s="38" customFormat="1"/>
    <row r="123" s="38" customFormat="1"/>
    <row r="124" s="38" customFormat="1"/>
    <row r="125" s="38" customFormat="1"/>
    <row r="126" s="38" customFormat="1"/>
    <row r="127" s="38" customFormat="1"/>
    <row r="128" s="38" customFormat="1"/>
    <row r="129" s="38" customFormat="1"/>
    <row r="130" s="38" customFormat="1"/>
    <row r="131" s="38" customFormat="1"/>
    <row r="132" s="38" customFormat="1"/>
    <row r="133" s="38" customFormat="1"/>
    <row r="134" s="38" customFormat="1"/>
    <row r="135" s="38" customFormat="1"/>
    <row r="136" s="38" customFormat="1"/>
    <row r="137" s="38" customFormat="1"/>
    <row r="138" s="38" customFormat="1"/>
    <row r="139" s="38" customFormat="1"/>
    <row r="140" s="38" customFormat="1"/>
    <row r="141" s="38" customFormat="1"/>
    <row r="142" s="38" customFormat="1"/>
    <row r="143" s="38" customFormat="1"/>
    <row r="144" s="38" customFormat="1"/>
    <row r="145" s="38" customFormat="1"/>
    <row r="146" s="38" customFormat="1"/>
    <row r="147" s="38" customFormat="1"/>
    <row r="148" s="38" customFormat="1"/>
    <row r="149" s="38" customFormat="1"/>
    <row r="150" s="38" customFormat="1"/>
    <row r="151" s="38" customFormat="1"/>
    <row r="152" s="38" customFormat="1"/>
    <row r="153" s="38" customFormat="1"/>
    <row r="154" s="38" customFormat="1"/>
    <row r="155" s="38" customFormat="1"/>
    <row r="156" s="38" customFormat="1"/>
    <row r="157" s="38" customFormat="1"/>
    <row r="158" s="38" customFormat="1"/>
    <row r="159" s="38" customFormat="1"/>
    <row r="160" s="38" customFormat="1"/>
    <row r="161" s="38" customFormat="1"/>
    <row r="162" s="38" customFormat="1"/>
    <row r="163" s="38" customFormat="1"/>
    <row r="164" s="38" customFormat="1"/>
    <row r="165" s="38" customFormat="1"/>
    <row r="166" s="38" customFormat="1"/>
    <row r="167" s="38" customFormat="1"/>
    <row r="168" s="38" customFormat="1"/>
    <row r="169" s="38" customFormat="1"/>
    <row r="170" s="38" customFormat="1"/>
    <row r="171" s="38" customFormat="1"/>
    <row r="172" s="38" customFormat="1"/>
    <row r="173" s="38" customFormat="1"/>
    <row r="174" s="38" customFormat="1"/>
    <row r="175" s="38" customFormat="1"/>
    <row r="176" s="38" customFormat="1"/>
    <row r="177" s="38" customFormat="1"/>
    <row r="178" s="38" customFormat="1"/>
    <row r="179" s="38" customFormat="1"/>
    <row r="180" s="38" customFormat="1"/>
    <row r="181" s="38" customFormat="1"/>
    <row r="182" s="38" customFormat="1"/>
    <row r="183" s="38" customFormat="1"/>
    <row r="184" s="38" customFormat="1"/>
    <row r="185" s="38" customFormat="1"/>
    <row r="186" s="38" customFormat="1"/>
    <row r="187" s="38" customFormat="1"/>
    <row r="188" s="38" customFormat="1"/>
    <row r="189" s="38" customFormat="1"/>
    <row r="190" s="38" customFormat="1"/>
    <row r="191" s="38" customFormat="1"/>
    <row r="192" s="38" customFormat="1"/>
    <row r="193" s="38" customFormat="1"/>
    <row r="194" s="38" customFormat="1"/>
    <row r="195" s="38" customFormat="1"/>
    <row r="196" s="38" customFormat="1"/>
    <row r="197" s="38" customFormat="1"/>
    <row r="198" s="38" customFormat="1"/>
    <row r="199" s="38" customFormat="1"/>
    <row r="200" s="38" customFormat="1"/>
    <row r="201" s="38" customFormat="1"/>
    <row r="202" s="38" customFormat="1"/>
    <row r="203" s="38" customFormat="1"/>
    <row r="204" s="38" customFormat="1"/>
    <row r="205" s="38" customFormat="1"/>
    <row r="206" s="38" customFormat="1"/>
    <row r="207" s="38" customFormat="1"/>
    <row r="208" s="38" customFormat="1"/>
    <row r="209" s="38" customFormat="1"/>
    <row r="210" s="38" customFormat="1"/>
    <row r="211" s="38" customFormat="1"/>
    <row r="212" s="38" customFormat="1"/>
    <row r="213" s="38" customFormat="1"/>
    <row r="214" s="38" customFormat="1"/>
    <row r="215" s="38" customFormat="1"/>
    <row r="216" s="38" customFormat="1"/>
    <row r="217" s="38" customFormat="1"/>
    <row r="218" s="38" customFormat="1"/>
    <row r="219" s="38" customFormat="1"/>
    <row r="220" s="38" customFormat="1"/>
    <row r="221" s="38" customFormat="1"/>
    <row r="222" s="38" customFormat="1"/>
    <row r="223" s="38" customFormat="1"/>
    <row r="224" s="38" customFormat="1"/>
    <row r="225" s="38" customFormat="1"/>
    <row r="226" s="38" customFormat="1"/>
    <row r="227" s="38" customFormat="1"/>
    <row r="228" s="38" customFormat="1"/>
    <row r="229" s="38" customFormat="1"/>
    <row r="230" s="38" customFormat="1"/>
    <row r="231" s="38" customFormat="1"/>
    <row r="232" s="38" customFormat="1"/>
    <row r="233" s="38" customFormat="1"/>
    <row r="234" s="38" customFormat="1"/>
    <row r="235" s="38" customFormat="1"/>
    <row r="236" s="38" customFormat="1"/>
    <row r="237" s="38" customFormat="1"/>
    <row r="238" s="38" customFormat="1"/>
    <row r="239" s="38" customFormat="1"/>
    <row r="240" s="38" customFormat="1"/>
    <row r="241" s="38" customFormat="1"/>
    <row r="242" s="38" customFormat="1"/>
    <row r="243" s="38" customFormat="1"/>
    <row r="244" s="38" customFormat="1"/>
    <row r="245" s="38" customFormat="1"/>
    <row r="246" s="38" customFormat="1"/>
    <row r="247" s="38" customFormat="1"/>
    <row r="248" s="38" customFormat="1"/>
    <row r="249" s="38" customFormat="1"/>
    <row r="250" s="38" customFormat="1"/>
    <row r="251" s="38" customFormat="1"/>
    <row r="252" s="38" customFormat="1"/>
    <row r="253" s="38" customFormat="1"/>
    <row r="254" s="38" customFormat="1"/>
    <row r="255" s="38" customFormat="1"/>
    <row r="256" s="38" customFormat="1"/>
    <row r="257" s="38" customFormat="1"/>
  </sheetData>
  <pageMargins left="0.70866141732283472" right="0.70866141732283472" top="0.74803149606299213" bottom="0.74803149606299213" header="0.31496062992125984" footer="0.31496062992125984"/>
  <pageSetup orientation="portrait" r:id="rId1"/>
  <headerFooter>
    <oddFooter>&amp;CPage&amp;P Of &amp;N&amp;R&amp;D&amp;T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Summary!H62:O62</xm:f>
              <xm:sqref>F62</xm:sqref>
            </x14:sparkline>
          </x14:sparklines>
        </x14:sparklineGroup>
        <x14:sparklineGroup lineWeight="1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Summary!H57:O57</xm:f>
              <xm:sqref>F57</xm:sqref>
            </x14:sparkline>
          </x14:sparklines>
        </x14:sparklineGroup>
        <x14:sparklineGroup lineWeight="1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Summary!H53:O53</xm:f>
              <xm:sqref>F53</xm:sqref>
            </x14:sparkline>
          </x14:sparklines>
        </x14:sparklineGroup>
        <x14:sparklineGroup lineWeight="1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Summary!H42:O42</xm:f>
              <xm:sqref>F42</xm:sqref>
            </x14:sparkline>
          </x14:sparklines>
        </x14:sparklineGroup>
        <x14:sparklineGroup lineWeight="1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Summary!H37:O37</xm:f>
              <xm:sqref>F37</xm:sqref>
            </x14:sparkline>
          </x14:sparklines>
        </x14:sparklineGroup>
        <x14:sparklineGroup lineWeight="1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Summary!H33:O33</xm:f>
              <xm:sqref>F33</xm:sqref>
            </x14:sparkline>
          </x14:sparklines>
        </x14:sparklineGroup>
        <x14:sparklineGroup lineWeight="1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Summary!H21:O21</xm:f>
              <xm:sqref>F21</xm:sqref>
            </x14:sparkline>
          </x14:sparklines>
        </x14:sparklineGroup>
        <x14:sparklineGroup lineWeight="1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Summary!H12:O12</xm:f>
              <xm:sqref>F12</xm:sqref>
            </x14:sparkline>
          </x14:sparklines>
        </x14:sparklineGroup>
        <x14:sparklineGroup lineWeight="1" displayEmptyCellsAs="gap" high="1" low="1">
          <x14:colorSeries rgb="FF009966"/>
          <x14:colorNegative rgb="FFD00000"/>
          <x14:colorAxis rgb="FF000000"/>
          <x14:colorMarkers rgb="FFD00000"/>
          <x14:colorFirst rgb="FFD00000"/>
          <x14:colorLast rgb="FFD00000"/>
          <x14:colorHigh rgb="FF5B77CC"/>
          <x14:colorLow rgb="FF5B77CC"/>
          <x14:sparklines>
            <x14:sparkline>
              <xm:f>Summary!H16:O16</xm:f>
              <xm:sqref>F16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2"/>
  <sheetViews>
    <sheetView workbookViewId="0">
      <selection activeCell="D67" sqref="D67"/>
    </sheetView>
  </sheetViews>
  <sheetFormatPr defaultColWidth="8.875" defaultRowHeight="12.75"/>
  <cols>
    <col min="1" max="1" width="2.625" style="106" customWidth="1"/>
    <col min="2" max="2" width="5.625" style="106" customWidth="1"/>
    <col min="3" max="3" width="2.125" style="85" customWidth="1"/>
    <col min="4" max="4" width="13.375" style="85" customWidth="1"/>
    <col min="5" max="7" width="10.375" style="85" customWidth="1"/>
    <col min="8" max="8" width="11.375" style="85" bestFit="1" customWidth="1"/>
    <col min="9" max="9" width="10.375" style="106" customWidth="1"/>
    <col min="10" max="14" width="10.375" style="85" customWidth="1"/>
    <col min="15" max="15" width="5.625" style="106" customWidth="1"/>
    <col min="16" max="31" width="8.875" style="106"/>
    <col min="32" max="16384" width="8.875" style="85"/>
  </cols>
  <sheetData>
    <row r="1" spans="1:31" s="106" customFormat="1" ht="22.5" customHeight="1">
      <c r="B1" s="108" t="str">
        <f>Cover!B12</f>
        <v>Blue Containers Company</v>
      </c>
      <c r="C1" s="102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31" s="106" customFormat="1" ht="18.75" customHeight="1">
      <c r="B2" s="289" t="s">
        <v>15</v>
      </c>
      <c r="C2" s="289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3" spans="1:31" ht="3" customHeight="1" thickBot="1">
      <c r="B3" s="290"/>
      <c r="C3" s="86"/>
      <c r="D3" s="87"/>
      <c r="E3" s="87"/>
      <c r="F3" s="87"/>
      <c r="G3" s="87"/>
      <c r="H3" s="87"/>
      <c r="I3" s="291"/>
      <c r="J3" s="87"/>
      <c r="K3" s="87"/>
      <c r="L3" s="87"/>
      <c r="M3" s="87"/>
      <c r="N3" s="87"/>
      <c r="O3" s="291"/>
    </row>
    <row r="4" spans="1:31" s="106" customFormat="1" ht="12" customHeight="1"/>
    <row r="5" spans="1:31" ht="15.95" customHeight="1">
      <c r="C5" s="88" t="s">
        <v>16</v>
      </c>
      <c r="D5" s="89"/>
      <c r="E5" s="89"/>
      <c r="F5" s="89"/>
      <c r="G5" s="89"/>
      <c r="H5" s="90"/>
      <c r="J5" s="88" t="s">
        <v>17</v>
      </c>
      <c r="K5" s="89"/>
      <c r="L5" s="89"/>
      <c r="M5" s="89"/>
      <c r="N5" s="90"/>
    </row>
    <row r="6" spans="1:31" ht="3" customHeight="1">
      <c r="C6" s="91"/>
      <c r="D6" s="92"/>
      <c r="E6" s="92"/>
      <c r="F6" s="92"/>
      <c r="G6" s="92"/>
      <c r="H6" s="93"/>
      <c r="J6" s="91"/>
      <c r="K6" s="92"/>
      <c r="L6" s="92"/>
      <c r="M6" s="92"/>
      <c r="N6" s="93"/>
    </row>
    <row r="7" spans="1:31" ht="3" customHeight="1">
      <c r="C7" s="94"/>
      <c r="D7" s="95"/>
      <c r="E7" s="95"/>
      <c r="F7" s="95"/>
      <c r="G7" s="95"/>
      <c r="H7" s="96"/>
      <c r="J7" s="94"/>
      <c r="K7" s="95"/>
      <c r="L7" s="95"/>
      <c r="M7" s="95"/>
      <c r="N7" s="96"/>
    </row>
    <row r="8" spans="1:31" s="106" customFormat="1" ht="14.1" customHeight="1">
      <c r="C8" s="294" t="s">
        <v>18</v>
      </c>
      <c r="D8" s="126" t="s">
        <v>19</v>
      </c>
      <c r="G8" s="295">
        <v>2025</v>
      </c>
      <c r="H8" s="296"/>
      <c r="J8" s="297" t="str">
        <f ca="1">"Stock Price - "&amp;TEXT(TODAY()-1,"dd/mm/yy")</f>
        <v>Stock Price - 25/08/25</v>
      </c>
      <c r="K8" s="298"/>
      <c r="M8" s="299"/>
      <c r="N8" s="300">
        <v>11.5</v>
      </c>
      <c r="Q8" s="301"/>
    </row>
    <row r="9" spans="1:31" s="106" customFormat="1" ht="14.1" customHeight="1">
      <c r="C9" s="294" t="s">
        <v>18</v>
      </c>
      <c r="D9" s="121" t="s">
        <v>20</v>
      </c>
      <c r="H9" s="296"/>
      <c r="J9" s="297" t="str">
        <f>"Fully Diluted Shares O/S (MM) - Dec. 31, "&amp;G8-1</f>
        <v>Fully Diluted Shares O/S (MM) - Dec. 31, 2024</v>
      </c>
      <c r="N9" s="302">
        <v>14.8</v>
      </c>
    </row>
    <row r="10" spans="1:31" s="106" customFormat="1" ht="14.1" customHeight="1">
      <c r="C10" s="303"/>
      <c r="D10" s="304" t="s">
        <v>21</v>
      </c>
      <c r="E10" s="305"/>
      <c r="F10" s="305"/>
      <c r="G10" s="305"/>
      <c r="H10" s="306"/>
      <c r="J10" s="307" t="s">
        <v>22</v>
      </c>
      <c r="K10" s="305"/>
      <c r="L10" s="305"/>
      <c r="M10" s="308"/>
      <c r="N10" s="309">
        <v>0.2</v>
      </c>
    </row>
    <row r="11" spans="1:31" s="106" customFormat="1" ht="14.1" customHeight="1">
      <c r="M11" s="299"/>
      <c r="N11" s="310"/>
    </row>
    <row r="12" spans="1:31" s="106" customFormat="1" ht="6" customHeight="1">
      <c r="M12" s="299"/>
      <c r="N12" s="310"/>
    </row>
    <row r="13" spans="1:31" s="97" customFormat="1" ht="15.95" customHeight="1">
      <c r="A13" s="311"/>
      <c r="B13" s="311"/>
      <c r="C13" s="88" t="s">
        <v>23</v>
      </c>
      <c r="D13" s="89"/>
      <c r="E13" s="89"/>
      <c r="F13" s="89"/>
      <c r="G13" s="89"/>
      <c r="H13" s="90"/>
      <c r="I13" s="311"/>
      <c r="J13" s="88" t="s">
        <v>24</v>
      </c>
      <c r="K13" s="89"/>
      <c r="L13" s="89"/>
      <c r="M13" s="89"/>
      <c r="N13" s="90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</row>
    <row r="14" spans="1:31" s="97" customFormat="1" ht="3" customHeight="1">
      <c r="A14" s="311"/>
      <c r="B14" s="311"/>
      <c r="C14" s="91"/>
      <c r="D14" s="92"/>
      <c r="E14" s="92"/>
      <c r="F14" s="92"/>
      <c r="G14" s="92"/>
      <c r="H14" s="93"/>
      <c r="I14" s="311"/>
      <c r="J14" s="91"/>
      <c r="K14" s="92"/>
      <c r="L14" s="92"/>
      <c r="M14" s="92"/>
      <c r="N14" s="93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A14" s="311"/>
      <c r="AB14" s="311"/>
      <c r="AC14" s="311"/>
      <c r="AD14" s="311"/>
      <c r="AE14" s="311"/>
    </row>
    <row r="15" spans="1:31" s="97" customFormat="1" ht="3" customHeight="1">
      <c r="A15" s="311"/>
      <c r="B15" s="311"/>
      <c r="C15" s="94"/>
      <c r="D15" s="95"/>
      <c r="E15" s="95"/>
      <c r="F15" s="95"/>
      <c r="G15" s="95"/>
      <c r="H15" s="96"/>
      <c r="I15" s="311"/>
      <c r="J15" s="94"/>
      <c r="K15" s="95"/>
      <c r="L15" s="95"/>
      <c r="M15" s="95"/>
      <c r="N15" s="96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A15" s="311"/>
      <c r="AB15" s="311"/>
      <c r="AC15" s="311"/>
      <c r="AD15" s="311"/>
      <c r="AE15" s="311"/>
    </row>
    <row r="16" spans="1:31" s="106" customFormat="1" ht="14.1" customHeight="1">
      <c r="C16" s="294" t="s">
        <v>18</v>
      </c>
      <c r="D16" s="121" t="s">
        <v>25</v>
      </c>
      <c r="H16" s="296"/>
      <c r="J16" s="297"/>
      <c r="N16" s="296"/>
    </row>
    <row r="17" spans="1:31" s="106" customFormat="1" ht="14.1" customHeight="1">
      <c r="C17" s="312" t="s">
        <v>26</v>
      </c>
      <c r="D17" s="313"/>
      <c r="E17" s="314" t="str">
        <f>Scenarios!G6&amp; " - "&amp;Scenarios!K6</f>
        <v>2025 - 2029</v>
      </c>
      <c r="F17" s="315"/>
      <c r="G17" s="314"/>
      <c r="H17" s="316"/>
      <c r="J17" s="317" t="s">
        <v>27</v>
      </c>
      <c r="N17" s="318">
        <v>420</v>
      </c>
    </row>
    <row r="18" spans="1:31" s="322" customFormat="1" ht="15">
      <c r="C18" s="319" t="s">
        <v>28</v>
      </c>
      <c r="D18" s="106"/>
      <c r="E18" s="103" t="s">
        <v>29</v>
      </c>
      <c r="F18" s="103"/>
      <c r="G18" s="103"/>
      <c r="H18" s="320"/>
      <c r="I18" s="321"/>
      <c r="J18" s="297"/>
      <c r="K18" s="106"/>
      <c r="L18" s="106"/>
      <c r="M18" s="106"/>
      <c r="N18" s="296"/>
    </row>
    <row r="19" spans="1:31" s="106" customFormat="1" ht="14.1" customHeight="1">
      <c r="C19" s="319" t="s">
        <v>30</v>
      </c>
      <c r="F19" s="323">
        <v>0.04</v>
      </c>
      <c r="G19" s="103"/>
      <c r="H19" s="320" t="s">
        <v>31</v>
      </c>
      <c r="I19" s="126"/>
      <c r="J19" s="297" t="s">
        <v>186</v>
      </c>
      <c r="N19" s="375">
        <f>MAX(Model!K22:O22)</f>
        <v>1</v>
      </c>
    </row>
    <row r="20" spans="1:31" s="106" customFormat="1" ht="15.6" customHeight="1">
      <c r="C20" s="324" t="s">
        <v>32</v>
      </c>
      <c r="D20" s="305"/>
      <c r="E20" s="305"/>
      <c r="F20" s="325">
        <v>-0.04</v>
      </c>
      <c r="G20" s="326"/>
      <c r="H20" s="327" t="s">
        <v>31</v>
      </c>
      <c r="I20" s="126"/>
      <c r="J20" s="307"/>
      <c r="K20" s="305"/>
      <c r="L20" s="305"/>
      <c r="M20" s="305"/>
      <c r="N20" s="306"/>
    </row>
    <row r="21" spans="1:31" s="106" customFormat="1" ht="14.1" customHeight="1">
      <c r="I21" s="126"/>
    </row>
    <row r="22" spans="1:31" s="106" customFormat="1" ht="6" customHeight="1">
      <c r="I22" s="126"/>
    </row>
    <row r="23" spans="1:31" s="97" customFormat="1" ht="15.95" customHeight="1">
      <c r="A23" s="311"/>
      <c r="B23" s="311"/>
      <c r="C23" s="88" t="s">
        <v>33</v>
      </c>
      <c r="D23" s="89"/>
      <c r="E23" s="89"/>
      <c r="F23" s="89"/>
      <c r="G23" s="89"/>
      <c r="H23" s="90"/>
      <c r="I23" s="311"/>
      <c r="J23" s="88" t="s">
        <v>34</v>
      </c>
      <c r="K23" s="89"/>
      <c r="L23" s="89"/>
      <c r="M23" s="89"/>
      <c r="N23" s="90"/>
      <c r="O23" s="311"/>
      <c r="P23" s="311"/>
      <c r="Q23" s="311"/>
      <c r="R23" s="311"/>
      <c r="S23" s="311"/>
      <c r="T23" s="311"/>
      <c r="U23" s="311"/>
      <c r="V23" s="311"/>
      <c r="W23" s="311"/>
      <c r="X23" s="311"/>
      <c r="Y23" s="311"/>
      <c r="Z23" s="311"/>
      <c r="AA23" s="311"/>
      <c r="AB23" s="311"/>
      <c r="AC23" s="311"/>
      <c r="AD23" s="311"/>
      <c r="AE23" s="311"/>
    </row>
    <row r="24" spans="1:31" ht="3" customHeight="1">
      <c r="C24" s="91"/>
      <c r="D24" s="92"/>
      <c r="E24" s="92"/>
      <c r="F24" s="92"/>
      <c r="G24" s="92"/>
      <c r="H24" s="93"/>
      <c r="J24" s="91"/>
      <c r="K24" s="92"/>
      <c r="L24" s="92"/>
      <c r="M24" s="92"/>
      <c r="N24" s="93"/>
    </row>
    <row r="25" spans="1:31" ht="3" customHeight="1">
      <c r="C25" s="94"/>
      <c r="D25" s="95"/>
      <c r="E25" s="95"/>
      <c r="F25" s="95"/>
      <c r="G25" s="95"/>
      <c r="H25" s="96"/>
      <c r="J25" s="94"/>
      <c r="K25" s="95"/>
      <c r="L25" s="95"/>
      <c r="M25" s="95"/>
      <c r="N25" s="96"/>
    </row>
    <row r="26" spans="1:31" s="106" customFormat="1" ht="15.6" customHeight="1">
      <c r="C26" s="312" t="s">
        <v>35</v>
      </c>
      <c r="D26" s="121"/>
      <c r="E26" s="55">
        <f>G8</f>
        <v>2025</v>
      </c>
      <c r="G26" s="55" t="s">
        <v>36</v>
      </c>
      <c r="H26" s="296"/>
      <c r="J26" s="328"/>
      <c r="N26" s="296"/>
    </row>
    <row r="27" spans="1:31" s="106" customFormat="1" ht="14.1" customHeight="1">
      <c r="C27" s="329" t="s">
        <v>37</v>
      </c>
      <c r="D27" s="121"/>
      <c r="E27" s="330">
        <v>226</v>
      </c>
      <c r="F27" s="106" t="s">
        <v>38</v>
      </c>
      <c r="G27" s="106" t="s">
        <v>39</v>
      </c>
      <c r="H27" s="296"/>
      <c r="J27" s="331" t="s">
        <v>40</v>
      </c>
      <c r="M27" s="153"/>
      <c r="N27" s="332">
        <v>0.01</v>
      </c>
    </row>
    <row r="28" spans="1:31" s="106" customFormat="1" ht="14.1" customHeight="1">
      <c r="C28" s="329" t="s">
        <v>41</v>
      </c>
      <c r="D28" s="121"/>
      <c r="E28" s="330">
        <v>66.2</v>
      </c>
      <c r="F28" s="106" t="s">
        <v>38</v>
      </c>
      <c r="G28" s="106" t="s">
        <v>39</v>
      </c>
      <c r="H28" s="296"/>
      <c r="J28" s="333" t="s">
        <v>42</v>
      </c>
      <c r="N28" s="332">
        <v>0.06</v>
      </c>
    </row>
    <row r="29" spans="1:31" s="106" customFormat="1" ht="14.1" customHeight="1">
      <c r="C29" s="329" t="s">
        <v>43</v>
      </c>
      <c r="D29" s="126"/>
      <c r="E29" s="330">
        <v>23.5</v>
      </c>
      <c r="F29" s="106" t="s">
        <v>44</v>
      </c>
      <c r="G29" s="106" t="s">
        <v>45</v>
      </c>
      <c r="H29" s="296"/>
      <c r="J29" s="333" t="s">
        <v>46</v>
      </c>
      <c r="N29" s="332">
        <v>0.06</v>
      </c>
    </row>
    <row r="30" spans="1:31" s="106" customFormat="1" ht="15.6" customHeight="1">
      <c r="C30" s="329" t="s">
        <v>47</v>
      </c>
      <c r="D30" s="126"/>
      <c r="E30" s="330">
        <v>43.5</v>
      </c>
      <c r="F30" s="106" t="s">
        <v>44</v>
      </c>
      <c r="G30" s="106" t="s">
        <v>45</v>
      </c>
      <c r="H30" s="296"/>
      <c r="J30" s="297"/>
      <c r="N30" s="296"/>
    </row>
    <row r="31" spans="1:31" s="106" customFormat="1" ht="14.1" customHeight="1">
      <c r="C31" s="329" t="s">
        <v>48</v>
      </c>
      <c r="D31" s="126"/>
      <c r="E31" s="330">
        <v>2</v>
      </c>
      <c r="F31" s="106" t="s">
        <v>44</v>
      </c>
      <c r="G31" s="106" t="s">
        <v>45</v>
      </c>
      <c r="H31" s="296"/>
      <c r="J31" s="297"/>
      <c r="N31" s="296"/>
    </row>
    <row r="32" spans="1:31" s="106" customFormat="1" ht="15.6" customHeight="1">
      <c r="C32" s="334" t="s">
        <v>49</v>
      </c>
      <c r="D32" s="304"/>
      <c r="E32" s="335">
        <v>3.9</v>
      </c>
      <c r="F32" s="305" t="s">
        <v>44</v>
      </c>
      <c r="G32" s="305" t="s">
        <v>45</v>
      </c>
      <c r="H32" s="306"/>
      <c r="J32" s="307"/>
      <c r="K32" s="305"/>
      <c r="L32" s="305"/>
      <c r="M32" s="305"/>
      <c r="N32" s="306"/>
    </row>
    <row r="33" spans="1:31" s="106" customFormat="1" ht="14.1" customHeight="1"/>
    <row r="34" spans="1:31" s="106" customFormat="1" ht="6" customHeight="1"/>
    <row r="35" spans="1:31" s="97" customFormat="1" ht="15.95" customHeight="1">
      <c r="A35" s="311"/>
      <c r="B35" s="311"/>
      <c r="C35" s="88" t="s">
        <v>50</v>
      </c>
      <c r="D35" s="98"/>
      <c r="E35" s="98"/>
      <c r="F35" s="98"/>
      <c r="G35" s="98"/>
      <c r="H35" s="99"/>
      <c r="I35" s="311"/>
      <c r="J35" s="88" t="s">
        <v>51</v>
      </c>
      <c r="K35" s="98"/>
      <c r="L35" s="98"/>
      <c r="M35" s="98"/>
      <c r="N35" s="99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1"/>
      <c r="AB35" s="311"/>
      <c r="AC35" s="311"/>
      <c r="AD35" s="311"/>
      <c r="AE35" s="311"/>
    </row>
    <row r="36" spans="1:31" ht="3" customHeight="1">
      <c r="C36" s="91"/>
      <c r="D36" s="92"/>
      <c r="E36" s="92"/>
      <c r="F36" s="92"/>
      <c r="G36" s="92"/>
      <c r="H36" s="93"/>
      <c r="J36" s="91"/>
      <c r="K36" s="92"/>
      <c r="L36" s="92"/>
      <c r="M36" s="92"/>
      <c r="N36" s="93"/>
    </row>
    <row r="37" spans="1:31" ht="3" customHeight="1">
      <c r="C37" s="94"/>
      <c r="D37" s="95"/>
      <c r="E37" s="95"/>
      <c r="F37" s="95"/>
      <c r="G37" s="95"/>
      <c r="H37" s="96"/>
      <c r="J37" s="94"/>
      <c r="K37" s="95"/>
      <c r="L37" s="95"/>
      <c r="M37" s="95"/>
      <c r="N37" s="96"/>
    </row>
    <row r="38" spans="1:31" s="106" customFormat="1" ht="14.1" customHeight="1">
      <c r="C38" s="294" t="s">
        <v>18</v>
      </c>
      <c r="D38" s="337" t="s">
        <v>52</v>
      </c>
      <c r="H38" s="338" t="s">
        <v>53</v>
      </c>
      <c r="J38" s="297"/>
      <c r="N38" s="296"/>
    </row>
    <row r="39" spans="1:31" s="106" customFormat="1" ht="14.1" customHeight="1">
      <c r="C39" s="294" t="s">
        <v>18</v>
      </c>
      <c r="D39" s="339" t="s">
        <v>54</v>
      </c>
      <c r="H39" s="340">
        <v>25</v>
      </c>
      <c r="J39" s="341" t="s">
        <v>55</v>
      </c>
      <c r="N39" s="342">
        <v>0.35</v>
      </c>
    </row>
    <row r="40" spans="1:31" s="106" customFormat="1" ht="14.1" customHeight="1">
      <c r="C40" s="303" t="s">
        <v>18</v>
      </c>
      <c r="D40" s="343" t="s">
        <v>56</v>
      </c>
      <c r="E40" s="305"/>
      <c r="F40" s="305"/>
      <c r="G40" s="305"/>
      <c r="H40" s="344">
        <v>30</v>
      </c>
      <c r="J40" s="345" t="s">
        <v>57</v>
      </c>
      <c r="K40" s="305"/>
      <c r="L40" s="305"/>
      <c r="M40" s="305"/>
      <c r="N40" s="346"/>
    </row>
    <row r="41" spans="1:31" s="106" customFormat="1" ht="15" customHeight="1">
      <c r="B41" s="137"/>
      <c r="C41" s="137"/>
      <c r="D41" s="347"/>
      <c r="E41" s="115"/>
      <c r="F41" s="115"/>
      <c r="G41" s="115"/>
      <c r="H41" s="115"/>
      <c r="I41" s="137"/>
      <c r="J41" s="137"/>
      <c r="K41" s="137"/>
      <c r="L41" s="137"/>
      <c r="M41" s="137"/>
      <c r="N41" s="137"/>
      <c r="O41" s="137"/>
    </row>
    <row r="42" spans="1:31" s="106" customFormat="1" ht="14.1" customHeight="1">
      <c r="C42" s="348"/>
      <c r="D42" s="349"/>
      <c r="H42" s="350"/>
    </row>
    <row r="43" spans="1:31" s="106" customFormat="1" ht="14.1" customHeight="1">
      <c r="C43" s="348"/>
      <c r="J43" s="351"/>
    </row>
    <row r="44" spans="1:31" s="106" customFormat="1" ht="22.5" customHeight="1">
      <c r="B44" s="108" t="s">
        <v>181</v>
      </c>
      <c r="C44" s="102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1:31" s="106" customFormat="1" ht="18.75" customHeight="1">
      <c r="B45" s="289" t="s">
        <v>15</v>
      </c>
      <c r="C45" s="289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1:31" s="106" customFormat="1" ht="3" customHeight="1" thickBot="1">
      <c r="B46" s="290"/>
      <c r="C46" s="290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</row>
    <row r="47" spans="1:31" s="106" customFormat="1" ht="12" customHeight="1">
      <c r="C47" s="348"/>
      <c r="J47" s="351"/>
    </row>
    <row r="48" spans="1:31" s="97" customFormat="1" ht="15.95" customHeight="1">
      <c r="A48" s="311"/>
      <c r="B48" s="311"/>
      <c r="C48" s="88" t="s">
        <v>58</v>
      </c>
      <c r="D48" s="98"/>
      <c r="E48" s="98"/>
      <c r="F48" s="98"/>
      <c r="G48" s="98"/>
      <c r="H48" s="98"/>
      <c r="I48" s="336"/>
      <c r="J48" s="100">
        <f>G8</f>
        <v>2025</v>
      </c>
      <c r="K48" s="100">
        <f>J48+1</f>
        <v>2026</v>
      </c>
      <c r="L48" s="100">
        <f>K48+1</f>
        <v>2027</v>
      </c>
      <c r="M48" s="100">
        <f>L48+1</f>
        <v>2028</v>
      </c>
      <c r="N48" s="101">
        <f>M48+1</f>
        <v>2029</v>
      </c>
      <c r="O48" s="311"/>
      <c r="P48" s="311"/>
      <c r="Q48" s="352"/>
      <c r="R48" s="311"/>
      <c r="S48" s="311"/>
      <c r="T48" s="311"/>
      <c r="U48" s="311"/>
      <c r="V48" s="311"/>
      <c r="W48" s="311"/>
      <c r="X48" s="311"/>
      <c r="Y48" s="311"/>
      <c r="Z48" s="311"/>
      <c r="AA48" s="311"/>
      <c r="AB48" s="311"/>
      <c r="AC48" s="311"/>
      <c r="AD48" s="311"/>
      <c r="AE48" s="311"/>
    </row>
    <row r="49" spans="1:31" s="97" customFormat="1" ht="3" customHeight="1">
      <c r="A49" s="311"/>
      <c r="B49" s="311"/>
      <c r="C49" s="91"/>
      <c r="D49" s="92"/>
      <c r="E49" s="92"/>
      <c r="F49" s="92"/>
      <c r="G49" s="92"/>
      <c r="H49" s="93"/>
      <c r="I49" s="293"/>
      <c r="J49" s="93"/>
      <c r="K49" s="93"/>
      <c r="L49" s="93"/>
      <c r="M49" s="93"/>
      <c r="N49" s="93"/>
      <c r="O49" s="311"/>
      <c r="P49" s="311"/>
      <c r="Q49" s="352"/>
      <c r="R49" s="311"/>
      <c r="S49" s="311"/>
      <c r="T49" s="311"/>
      <c r="U49" s="311"/>
      <c r="V49" s="311"/>
      <c r="W49" s="311"/>
      <c r="X49" s="311"/>
      <c r="Y49" s="311"/>
      <c r="Z49" s="311"/>
      <c r="AA49" s="311"/>
      <c r="AB49" s="311"/>
      <c r="AC49" s="311"/>
      <c r="AD49" s="311"/>
      <c r="AE49" s="311"/>
    </row>
    <row r="50" spans="1:31" s="97" customFormat="1" ht="3" customHeight="1">
      <c r="A50" s="311"/>
      <c r="B50" s="311"/>
      <c r="C50" s="94"/>
      <c r="D50" s="95"/>
      <c r="E50" s="95"/>
      <c r="F50" s="95"/>
      <c r="G50" s="95"/>
      <c r="H50" s="95"/>
      <c r="I50" s="292"/>
      <c r="J50" s="95"/>
      <c r="K50" s="95"/>
      <c r="L50" s="95"/>
      <c r="M50" s="95"/>
      <c r="N50" s="96"/>
      <c r="O50" s="311"/>
      <c r="P50" s="311"/>
      <c r="Q50" s="352"/>
      <c r="R50" s="311"/>
      <c r="S50" s="311"/>
      <c r="T50" s="311"/>
      <c r="U50" s="311"/>
      <c r="V50" s="311"/>
      <c r="W50" s="311"/>
      <c r="X50" s="311"/>
      <c r="Y50" s="311"/>
      <c r="Z50" s="311"/>
      <c r="AA50" s="311"/>
      <c r="AB50" s="311"/>
      <c r="AC50" s="311"/>
      <c r="AD50" s="311"/>
      <c r="AE50" s="311"/>
    </row>
    <row r="51" spans="1:31" s="106" customFormat="1" ht="8.1" customHeight="1">
      <c r="C51" s="297"/>
      <c r="L51" s="351"/>
      <c r="N51" s="296"/>
    </row>
    <row r="52" spans="1:31" s="106" customFormat="1" ht="14.1" customHeight="1">
      <c r="C52" s="353" t="s">
        <v>59</v>
      </c>
      <c r="K52" s="204"/>
      <c r="L52" s="204"/>
      <c r="M52" s="204"/>
      <c r="N52" s="354"/>
      <c r="Q52" s="355"/>
    </row>
    <row r="53" spans="1:31" s="106" customFormat="1" ht="14.1" customHeight="1">
      <c r="C53" s="353"/>
      <c r="D53" s="106" t="s">
        <v>60</v>
      </c>
      <c r="G53" s="106" t="s">
        <v>44</v>
      </c>
      <c r="J53" s="356">
        <v>0</v>
      </c>
      <c r="K53" s="356">
        <v>0</v>
      </c>
      <c r="L53" s="356">
        <v>0</v>
      </c>
      <c r="M53" s="356">
        <v>0</v>
      </c>
      <c r="N53" s="357">
        <v>0</v>
      </c>
    </row>
    <row r="54" spans="1:31" s="106" customFormat="1" ht="6" customHeight="1">
      <c r="C54" s="297"/>
      <c r="L54" s="358"/>
      <c r="N54" s="359"/>
    </row>
    <row r="55" spans="1:31" s="106" customFormat="1" ht="14.1" customHeight="1">
      <c r="C55" s="353" t="s">
        <v>61</v>
      </c>
      <c r="J55" s="356"/>
      <c r="K55" s="356"/>
      <c r="L55" s="356"/>
      <c r="M55" s="356"/>
      <c r="N55" s="357"/>
      <c r="Q55" s="355"/>
    </row>
    <row r="56" spans="1:31" s="106" customFormat="1" ht="14.1" customHeight="1">
      <c r="C56" s="353"/>
      <c r="D56" s="106" t="s">
        <v>62</v>
      </c>
      <c r="G56" s="106" t="s">
        <v>44</v>
      </c>
      <c r="J56" s="356">
        <v>0</v>
      </c>
      <c r="K56" s="356">
        <v>0</v>
      </c>
      <c r="L56" s="356">
        <v>0</v>
      </c>
      <c r="M56" s="356">
        <v>0</v>
      </c>
      <c r="N56" s="357">
        <v>0</v>
      </c>
    </row>
    <row r="57" spans="1:31" s="106" customFormat="1" ht="6" customHeight="1">
      <c r="C57" s="297"/>
      <c r="L57" s="358"/>
      <c r="N57" s="359"/>
    </row>
    <row r="58" spans="1:31" s="106" customFormat="1" ht="14.1" customHeight="1">
      <c r="C58" s="353" t="s">
        <v>63</v>
      </c>
      <c r="G58" s="106" t="s">
        <v>44</v>
      </c>
      <c r="J58" s="356">
        <v>16</v>
      </c>
      <c r="K58" s="356">
        <v>17</v>
      </c>
      <c r="L58" s="356">
        <v>17.3</v>
      </c>
      <c r="M58" s="356">
        <v>17.5</v>
      </c>
      <c r="N58" s="357">
        <v>18</v>
      </c>
      <c r="Q58" s="355"/>
    </row>
    <row r="59" spans="1:31" s="106" customFormat="1" ht="6" customHeight="1">
      <c r="C59" s="297"/>
      <c r="L59" s="358"/>
      <c r="N59" s="359"/>
    </row>
    <row r="60" spans="1:31" s="106" customFormat="1" ht="14.25" customHeight="1">
      <c r="C60" s="353" t="s">
        <v>64</v>
      </c>
      <c r="L60" s="358"/>
      <c r="N60" s="359"/>
    </row>
    <row r="61" spans="1:31" s="106" customFormat="1" ht="14.25" customHeight="1">
      <c r="C61" s="297"/>
      <c r="D61" s="106" t="s">
        <v>65</v>
      </c>
      <c r="G61" s="106" t="s">
        <v>44</v>
      </c>
      <c r="J61" s="356">
        <v>5</v>
      </c>
      <c r="K61" s="356">
        <v>5</v>
      </c>
      <c r="L61" s="356">
        <v>5</v>
      </c>
      <c r="M61" s="356">
        <v>5</v>
      </c>
      <c r="N61" s="357">
        <v>5</v>
      </c>
    </row>
    <row r="62" spans="1:31" s="106" customFormat="1" ht="6" customHeight="1">
      <c r="C62" s="297"/>
      <c r="L62" s="358"/>
      <c r="N62" s="359"/>
    </row>
    <row r="63" spans="1:31" s="106" customFormat="1" ht="14.25" customHeight="1">
      <c r="C63" s="353" t="s">
        <v>66</v>
      </c>
      <c r="L63" s="358"/>
      <c r="N63" s="359"/>
    </row>
    <row r="64" spans="1:31" s="106" customFormat="1" ht="14.1" customHeight="1">
      <c r="C64" s="297"/>
      <c r="D64" s="360" t="s">
        <v>67</v>
      </c>
      <c r="J64" s="361">
        <v>48</v>
      </c>
      <c r="K64" s="361">
        <v>44</v>
      </c>
      <c r="L64" s="361">
        <v>40</v>
      </c>
      <c r="M64" s="361">
        <v>40</v>
      </c>
      <c r="N64" s="362">
        <v>40</v>
      </c>
    </row>
    <row r="65" spans="2:15" s="106" customFormat="1" ht="14.1" customHeight="1">
      <c r="C65" s="328"/>
      <c r="D65" s="360" t="s">
        <v>68</v>
      </c>
      <c r="J65" s="361">
        <v>70</v>
      </c>
      <c r="K65" s="361">
        <v>65</v>
      </c>
      <c r="L65" s="361">
        <v>60</v>
      </c>
      <c r="M65" s="361">
        <v>60</v>
      </c>
      <c r="N65" s="362">
        <v>55</v>
      </c>
    </row>
    <row r="66" spans="2:15" s="106" customFormat="1" ht="14.1" customHeight="1">
      <c r="C66" s="328"/>
      <c r="D66" s="360" t="s">
        <v>69</v>
      </c>
      <c r="J66" s="361">
        <v>30</v>
      </c>
      <c r="K66" s="361">
        <v>30</v>
      </c>
      <c r="L66" s="361">
        <v>30</v>
      </c>
      <c r="M66" s="361">
        <v>30</v>
      </c>
      <c r="N66" s="362">
        <v>30</v>
      </c>
    </row>
    <row r="67" spans="2:15" s="106" customFormat="1" ht="14.1" customHeight="1">
      <c r="C67" s="328"/>
      <c r="D67" s="360" t="s">
        <v>70</v>
      </c>
      <c r="J67" s="361">
        <v>3</v>
      </c>
      <c r="K67" s="361">
        <v>3</v>
      </c>
      <c r="L67" s="361">
        <v>3</v>
      </c>
      <c r="M67" s="361">
        <v>3</v>
      </c>
      <c r="N67" s="362">
        <v>3</v>
      </c>
    </row>
    <row r="68" spans="2:15" s="106" customFormat="1" ht="14.1" customHeight="1">
      <c r="C68" s="294"/>
      <c r="D68" s="360" t="s">
        <v>71</v>
      </c>
      <c r="J68" s="361">
        <v>40</v>
      </c>
      <c r="K68" s="361">
        <v>40</v>
      </c>
      <c r="L68" s="361">
        <v>40</v>
      </c>
      <c r="M68" s="361">
        <v>40</v>
      </c>
      <c r="N68" s="362">
        <v>40</v>
      </c>
    </row>
    <row r="69" spans="2:15" s="106" customFormat="1" ht="14.1" customHeight="1">
      <c r="C69" s="294"/>
      <c r="D69" s="360" t="s">
        <v>72</v>
      </c>
      <c r="J69" s="361">
        <v>10</v>
      </c>
      <c r="K69" s="361">
        <v>10</v>
      </c>
      <c r="L69" s="361">
        <v>10</v>
      </c>
      <c r="M69" s="361">
        <v>10</v>
      </c>
      <c r="N69" s="362">
        <v>10</v>
      </c>
    </row>
    <row r="70" spans="2:15" s="106" customFormat="1" ht="6" customHeight="1">
      <c r="C70" s="294"/>
      <c r="N70" s="359"/>
    </row>
    <row r="71" spans="2:15" s="106" customFormat="1" ht="14.1" customHeight="1">
      <c r="C71" s="363" t="s">
        <v>73</v>
      </c>
      <c r="N71" s="359"/>
    </row>
    <row r="72" spans="2:15" s="106" customFormat="1" ht="14.1" customHeight="1">
      <c r="C72" s="329"/>
      <c r="D72" s="106" t="s">
        <v>74</v>
      </c>
      <c r="G72" s="106" t="s">
        <v>44</v>
      </c>
      <c r="J72" s="356">
        <v>-25</v>
      </c>
      <c r="K72" s="356">
        <v>-25</v>
      </c>
      <c r="L72" s="356">
        <v>-25</v>
      </c>
      <c r="M72" s="356">
        <v>-25</v>
      </c>
      <c r="N72" s="357">
        <v>-25</v>
      </c>
    </row>
    <row r="73" spans="2:15" s="106" customFormat="1" ht="14.1" customHeight="1">
      <c r="C73" s="294"/>
      <c r="D73" s="106" t="s">
        <v>75</v>
      </c>
      <c r="G73" s="106" t="s">
        <v>44</v>
      </c>
      <c r="J73" s="356">
        <v>0</v>
      </c>
      <c r="K73" s="356">
        <v>0</v>
      </c>
      <c r="L73" s="356">
        <v>0</v>
      </c>
      <c r="M73" s="356">
        <v>0</v>
      </c>
      <c r="N73" s="357">
        <v>0</v>
      </c>
    </row>
    <row r="74" spans="2:15" s="106" customFormat="1" ht="12" customHeight="1">
      <c r="C74" s="303"/>
      <c r="D74" s="305"/>
      <c r="E74" s="305"/>
      <c r="F74" s="305"/>
      <c r="G74" s="305"/>
      <c r="H74" s="305"/>
      <c r="I74" s="305"/>
      <c r="J74" s="364"/>
      <c r="K74" s="364"/>
      <c r="L74" s="364"/>
      <c r="M74" s="364"/>
      <c r="N74" s="365"/>
    </row>
    <row r="75" spans="2:15" s="106" customFormat="1" ht="9" customHeight="1">
      <c r="B75" s="137"/>
      <c r="C75" s="137"/>
      <c r="D75" s="347"/>
      <c r="E75" s="115"/>
      <c r="F75" s="115"/>
      <c r="G75" s="115"/>
      <c r="H75" s="115"/>
      <c r="I75" s="137"/>
      <c r="J75" s="137"/>
      <c r="K75" s="137"/>
      <c r="L75" s="137"/>
      <c r="M75" s="137"/>
      <c r="N75" s="137"/>
      <c r="O75" s="137"/>
    </row>
    <row r="76" spans="2:15" s="106" customFormat="1" ht="12.75" customHeight="1">
      <c r="D76" s="366"/>
      <c r="E76" s="103"/>
      <c r="F76" s="103"/>
      <c r="G76" s="103"/>
      <c r="H76" s="103"/>
    </row>
    <row r="77" spans="2:15" s="106" customFormat="1">
      <c r="D77" s="351"/>
    </row>
    <row r="78" spans="2:15" s="106" customFormat="1">
      <c r="D78" s="351"/>
    </row>
    <row r="79" spans="2:15" s="106" customFormat="1"/>
    <row r="80" spans="2:15" s="106" customFormat="1"/>
    <row r="81" s="106" customFormat="1"/>
    <row r="82" s="106" customFormat="1"/>
    <row r="83" s="106" customFormat="1"/>
    <row r="84" s="106" customFormat="1"/>
    <row r="85" s="106" customFormat="1"/>
    <row r="86" s="106" customFormat="1"/>
    <row r="87" s="106" customFormat="1"/>
    <row r="88" s="106" customFormat="1"/>
    <row r="89" s="106" customFormat="1"/>
    <row r="90" s="106" customFormat="1"/>
    <row r="91" s="106" customFormat="1"/>
    <row r="92" s="106" customFormat="1"/>
    <row r="93" s="106" customFormat="1"/>
    <row r="94" s="106" customFormat="1"/>
    <row r="95" s="106" customFormat="1"/>
    <row r="96" s="106" customFormat="1"/>
    <row r="97" s="106" customFormat="1"/>
    <row r="98" s="106" customFormat="1"/>
    <row r="99" s="106" customFormat="1"/>
    <row r="100" s="106" customFormat="1"/>
    <row r="101" s="106" customFormat="1"/>
    <row r="102" s="106" customFormat="1"/>
    <row r="103" s="106" customFormat="1"/>
    <row r="104" s="106" customFormat="1"/>
    <row r="105" s="106" customFormat="1"/>
    <row r="106" s="106" customFormat="1"/>
    <row r="107" s="106" customFormat="1"/>
    <row r="108" s="106" customFormat="1"/>
    <row r="109" s="106" customFormat="1"/>
    <row r="110" s="106" customFormat="1"/>
    <row r="111" s="106" customFormat="1"/>
    <row r="112" s="106" customFormat="1"/>
    <row r="113" s="106" customFormat="1"/>
    <row r="114" s="106" customFormat="1"/>
    <row r="115" s="106" customFormat="1"/>
    <row r="116" s="106" customFormat="1"/>
    <row r="117" s="106" customFormat="1"/>
    <row r="118" s="106" customFormat="1"/>
    <row r="119" s="106" customFormat="1"/>
    <row r="120" s="106" customFormat="1"/>
    <row r="121" s="106" customFormat="1"/>
    <row r="122" s="106" customFormat="1"/>
    <row r="123" s="106" customFormat="1"/>
    <row r="124" s="106" customFormat="1"/>
    <row r="125" s="106" customFormat="1"/>
    <row r="126" s="106" customFormat="1"/>
    <row r="127" s="106" customFormat="1"/>
    <row r="128" s="106" customFormat="1"/>
    <row r="129" s="106" customFormat="1"/>
    <row r="130" s="106" customFormat="1"/>
    <row r="131" s="106" customFormat="1"/>
    <row r="132" s="106" customFormat="1"/>
    <row r="133" s="106" customFormat="1"/>
    <row r="134" s="106" customFormat="1"/>
    <row r="135" s="106" customFormat="1"/>
    <row r="136" s="106" customFormat="1"/>
    <row r="137" s="106" customFormat="1"/>
    <row r="138" s="106" customFormat="1"/>
    <row r="139" s="106" customFormat="1"/>
    <row r="140" s="106" customFormat="1"/>
    <row r="141" s="106" customFormat="1"/>
    <row r="142" s="106" customFormat="1"/>
    <row r="143" s="106" customFormat="1"/>
    <row r="144" s="106" customFormat="1"/>
    <row r="145" s="106" customFormat="1"/>
    <row r="146" s="106" customFormat="1"/>
    <row r="147" s="106" customFormat="1"/>
    <row r="148" s="106" customFormat="1"/>
    <row r="149" s="106" customFormat="1"/>
    <row r="150" s="106" customFormat="1"/>
    <row r="151" s="106" customFormat="1"/>
    <row r="152" s="106" customFormat="1"/>
    <row r="153" s="106" customFormat="1"/>
    <row r="154" s="106" customFormat="1"/>
    <row r="155" s="106" customFormat="1"/>
    <row r="156" s="106" customFormat="1"/>
    <row r="157" s="106" customFormat="1"/>
    <row r="158" s="106" customFormat="1"/>
    <row r="159" s="106" customFormat="1"/>
    <row r="160" s="106" customFormat="1"/>
    <row r="161" s="106" customFormat="1"/>
    <row r="162" s="106" customFormat="1"/>
  </sheetData>
  <conditionalFormatting sqref="J349:N353">
    <cfRule type="cellIs" dxfId="2" priority="2" stopIfTrue="1" operator="greaterThan">
      <formula>330</formula>
    </cfRule>
  </conditionalFormatting>
  <conditionalFormatting sqref="N19">
    <cfRule type="cellIs" dxfId="1" priority="1" operator="greaterThan">
      <formula>0.9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  <headerFooter>
    <oddFooter>&amp;CPage &amp;P Of &amp;N&amp;R&amp;D&amp;T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topLeftCell="A10" zoomScaleNormal="100" workbookViewId="0">
      <selection activeCell="G8" sqref="G8"/>
    </sheetView>
  </sheetViews>
  <sheetFormatPr defaultColWidth="10.625" defaultRowHeight="12.75"/>
  <cols>
    <col min="1" max="1" width="4.25" style="220" bestFit="1" customWidth="1"/>
    <col min="2" max="2" width="1.625" style="220" customWidth="1"/>
    <col min="3" max="3" width="18.625" style="220" customWidth="1"/>
    <col min="4" max="4" width="11.625" style="245" customWidth="1"/>
    <col min="5" max="5" width="1.625" style="245" customWidth="1"/>
    <col min="6" max="6" width="6.75" style="220" customWidth="1"/>
    <col min="7" max="11" width="12.75" style="220" customWidth="1"/>
    <col min="12" max="12" width="13.625" style="220" customWidth="1"/>
    <col min="13" max="13" width="10.375" style="220" customWidth="1"/>
    <col min="14" max="17" width="13.625" style="220" customWidth="1"/>
    <col min="18" max="16384" width="10.625" style="220"/>
  </cols>
  <sheetData>
    <row r="1" spans="1:11" s="217" customFormat="1" ht="22.7" customHeight="1">
      <c r="B1" s="218" t="str">
        <f>Cover!B12</f>
        <v>Blue Containers Company</v>
      </c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>
      <c r="B2" s="221" t="s">
        <v>76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3" customHeight="1" thickBot="1">
      <c r="B3" s="222"/>
      <c r="C3" s="222"/>
      <c r="D3" s="223"/>
      <c r="E3" s="223"/>
      <c r="F3" s="222"/>
      <c r="G3" s="222"/>
      <c r="H3" s="222"/>
      <c r="I3" s="222"/>
      <c r="J3" s="222"/>
      <c r="K3" s="222"/>
    </row>
    <row r="4" spans="1:11" ht="12.75" customHeight="1">
      <c r="C4" s="224"/>
      <c r="D4" s="225"/>
      <c r="E4" s="225"/>
      <c r="F4" s="224"/>
    </row>
    <row r="5" spans="1:11" ht="6" customHeight="1">
      <c r="B5" s="226"/>
      <c r="C5" s="227"/>
      <c r="D5" s="228"/>
      <c r="E5" s="229"/>
      <c r="G5" s="230"/>
      <c r="H5" s="230"/>
      <c r="I5" s="230"/>
      <c r="J5" s="230"/>
      <c r="K5" s="230"/>
    </row>
    <row r="6" spans="1:11" ht="16.149999999999999" customHeight="1">
      <c r="B6" s="231" t="s">
        <v>77</v>
      </c>
      <c r="C6" s="232"/>
      <c r="D6" s="233">
        <v>1</v>
      </c>
      <c r="E6" s="234"/>
      <c r="F6" s="232"/>
      <c r="G6" s="235">
        <f>Assumptions!G8</f>
        <v>2025</v>
      </c>
      <c r="H6" s="235">
        <f>G6+1</f>
        <v>2026</v>
      </c>
      <c r="I6" s="235">
        <f>H6+1</f>
        <v>2027</v>
      </c>
      <c r="J6" s="235">
        <f>I6+1</f>
        <v>2028</v>
      </c>
      <c r="K6" s="235">
        <f>J6+1</f>
        <v>2029</v>
      </c>
    </row>
    <row r="7" spans="1:11" ht="6" customHeight="1">
      <c r="B7" s="236"/>
      <c r="C7" s="237"/>
      <c r="D7" s="238"/>
      <c r="E7" s="239"/>
      <c r="F7" s="232"/>
      <c r="G7" s="240"/>
      <c r="H7" s="240"/>
      <c r="I7" s="241"/>
      <c r="J7" s="241"/>
      <c r="K7" s="240"/>
    </row>
    <row r="8" spans="1:11">
      <c r="B8" s="232"/>
      <c r="C8" s="232"/>
      <c r="D8" s="242"/>
      <c r="E8" s="242"/>
      <c r="F8" s="232"/>
      <c r="G8" s="240"/>
      <c r="H8" s="240"/>
      <c r="I8" s="241"/>
      <c r="J8" s="241"/>
      <c r="K8" s="240"/>
    </row>
    <row r="9" spans="1:11">
      <c r="B9" s="232"/>
      <c r="C9" s="232"/>
      <c r="D9" s="242"/>
      <c r="E9" s="242"/>
      <c r="F9" s="232"/>
      <c r="G9" s="240"/>
      <c r="H9" s="240"/>
      <c r="I9" s="241"/>
      <c r="J9" s="241"/>
      <c r="K9" s="240"/>
    </row>
    <row r="10" spans="1:11" ht="15.75">
      <c r="A10" s="243"/>
      <c r="B10" s="244" t="s">
        <v>78</v>
      </c>
    </row>
    <row r="11" spans="1:11" ht="12.75" customHeight="1"/>
    <row r="12" spans="1:11" ht="16.149999999999999" customHeight="1">
      <c r="B12" s="246" t="s">
        <v>79</v>
      </c>
      <c r="D12" s="247"/>
      <c r="E12" s="247"/>
      <c r="G12" s="248">
        <f>CHOOSE($D$6,G14,G15,G16)</f>
        <v>0.02</v>
      </c>
      <c r="H12" s="249">
        <f ca="1">OFFSET(H13,$D$6,0)</f>
        <v>0.02</v>
      </c>
      <c r="I12" s="249">
        <f>INDEX(I14:I16,$D$6)</f>
        <v>0.02</v>
      </c>
      <c r="J12" s="249">
        <f>CHOOSE($D$6,J14,J15,J16)</f>
        <v>2.5000000000000001E-2</v>
      </c>
      <c r="K12" s="250">
        <f>CHOOSE($D$6,K14,K15,K16)</f>
        <v>2.5000000000000001E-2</v>
      </c>
    </row>
    <row r="13" spans="1:11" ht="4.3499999999999996" customHeight="1">
      <c r="B13" s="251"/>
      <c r="D13" s="247"/>
      <c r="E13" s="247"/>
      <c r="G13" s="252"/>
      <c r="H13" s="120"/>
      <c r="I13" s="120"/>
      <c r="J13" s="120"/>
      <c r="K13" s="120"/>
    </row>
    <row r="14" spans="1:11">
      <c r="B14" s="251"/>
      <c r="C14" s="220" t="s">
        <v>28</v>
      </c>
      <c r="D14" s="247"/>
      <c r="E14" s="247"/>
      <c r="G14" s="253">
        <v>0.02</v>
      </c>
      <c r="H14" s="254">
        <v>0.02</v>
      </c>
      <c r="I14" s="254">
        <v>0.02</v>
      </c>
      <c r="J14" s="254">
        <v>2.5000000000000001E-2</v>
      </c>
      <c r="K14" s="255">
        <v>2.5000000000000001E-2</v>
      </c>
    </row>
    <row r="15" spans="1:11">
      <c r="B15" s="251"/>
      <c r="C15" s="220" t="s">
        <v>30</v>
      </c>
      <c r="D15" s="247"/>
      <c r="E15" s="247"/>
      <c r="G15" s="256">
        <v>1.7999999999999999E-2</v>
      </c>
      <c r="H15" s="257">
        <v>1.7999999999999999E-2</v>
      </c>
      <c r="I15" s="257">
        <v>1.7999999999999999E-2</v>
      </c>
      <c r="J15" s="257">
        <v>0.02</v>
      </c>
      <c r="K15" s="258">
        <v>0.02</v>
      </c>
    </row>
    <row r="16" spans="1:11">
      <c r="B16" s="251"/>
      <c r="C16" s="220" t="s">
        <v>32</v>
      </c>
      <c r="D16" s="247"/>
      <c r="E16" s="247"/>
      <c r="G16" s="259">
        <v>2.5000000000000001E-2</v>
      </c>
      <c r="H16" s="260">
        <v>2.5000000000000001E-2</v>
      </c>
      <c r="I16" s="260">
        <v>2.5000000000000001E-2</v>
      </c>
      <c r="J16" s="260">
        <v>2.5000000000000001E-2</v>
      </c>
      <c r="K16" s="261">
        <v>2.5000000000000001E-2</v>
      </c>
    </row>
    <row r="17" spans="1:13">
      <c r="C17" s="262"/>
      <c r="D17" s="263"/>
      <c r="E17" s="263"/>
      <c r="G17" s="264"/>
      <c r="H17" s="264"/>
      <c r="I17" s="264"/>
      <c r="J17" s="264"/>
      <c r="K17" s="265"/>
    </row>
    <row r="18" spans="1:13">
      <c r="B18" s="266"/>
      <c r="C18" s="266"/>
      <c r="D18" s="267"/>
      <c r="E18" s="267"/>
      <c r="F18" s="266"/>
      <c r="G18" s="266"/>
      <c r="H18" s="266"/>
      <c r="I18" s="266"/>
      <c r="J18" s="266"/>
      <c r="K18" s="266"/>
    </row>
    <row r="20" spans="1:13" ht="12.75" customHeight="1"/>
    <row r="21" spans="1:13" ht="12.75" customHeight="1">
      <c r="B21" s="244" t="s">
        <v>80</v>
      </c>
    </row>
    <row r="22" spans="1:13" ht="12.75" customHeight="1"/>
    <row r="23" spans="1:13" s="268" customFormat="1" ht="16.149999999999999" customHeight="1">
      <c r="B23" s="246" t="s">
        <v>81</v>
      </c>
      <c r="D23" s="233"/>
      <c r="E23" s="233"/>
      <c r="G23" s="370">
        <f>CHOOSE($D$6,G25,G26,G27)</f>
        <v>800</v>
      </c>
      <c r="H23" s="369">
        <f t="shared" ref="H23:K23" si="0">CHOOSE($D$6,H25,H26,H27)</f>
        <v>725</v>
      </c>
      <c r="I23" s="369">
        <f t="shared" si="0"/>
        <v>825</v>
      </c>
      <c r="J23" s="369">
        <f t="shared" si="0"/>
        <v>800</v>
      </c>
      <c r="K23" s="371">
        <f t="shared" si="0"/>
        <v>750</v>
      </c>
    </row>
    <row r="24" spans="1:13" ht="4.3499999999999996" customHeight="1">
      <c r="B24" s="269"/>
      <c r="D24" s="247"/>
      <c r="E24" s="247"/>
      <c r="G24" s="270"/>
      <c r="H24" s="270"/>
      <c r="I24" s="270"/>
      <c r="J24" s="270"/>
      <c r="K24" s="270"/>
    </row>
    <row r="25" spans="1:13">
      <c r="C25" s="262" t="str">
        <f>C14</f>
        <v>Base Case</v>
      </c>
      <c r="D25" s="263"/>
      <c r="E25" s="263"/>
      <c r="G25" s="271">
        <v>800</v>
      </c>
      <c r="H25" s="272">
        <v>725</v>
      </c>
      <c r="I25" s="272">
        <v>825</v>
      </c>
      <c r="J25" s="272">
        <v>800</v>
      </c>
      <c r="K25" s="273">
        <v>750</v>
      </c>
      <c r="L25" s="274"/>
      <c r="M25" s="275"/>
    </row>
    <row r="26" spans="1:13">
      <c r="A26" s="276">
        <f>Assumptions!F19</f>
        <v>0.04</v>
      </c>
      <c r="C26" s="262" t="str">
        <f t="shared" ref="C26:C27" si="1">C15</f>
        <v>Best Case</v>
      </c>
      <c r="D26" s="263"/>
      <c r="E26" s="263"/>
      <c r="G26" s="277">
        <f>G$25*(1+$A26)</f>
        <v>832</v>
      </c>
      <c r="H26" s="278">
        <f t="shared" ref="H26:K27" si="2">H$25*(1+$A26)</f>
        <v>754</v>
      </c>
      <c r="I26" s="278">
        <f t="shared" si="2"/>
        <v>858</v>
      </c>
      <c r="J26" s="278">
        <f t="shared" si="2"/>
        <v>832</v>
      </c>
      <c r="K26" s="279">
        <f t="shared" si="2"/>
        <v>780</v>
      </c>
      <c r="L26" s="274"/>
      <c r="M26" s="275"/>
    </row>
    <row r="27" spans="1:13">
      <c r="A27" s="276">
        <f>Assumptions!F20</f>
        <v>-0.04</v>
      </c>
      <c r="C27" s="262" t="str">
        <f t="shared" si="1"/>
        <v>Worst Case</v>
      </c>
      <c r="D27" s="263"/>
      <c r="E27" s="263"/>
      <c r="G27" s="280">
        <f>G$25*(1+$A27)</f>
        <v>768</v>
      </c>
      <c r="H27" s="281">
        <f t="shared" si="2"/>
        <v>696</v>
      </c>
      <c r="I27" s="281">
        <f t="shared" si="2"/>
        <v>792</v>
      </c>
      <c r="J27" s="281">
        <f t="shared" si="2"/>
        <v>768</v>
      </c>
      <c r="K27" s="282">
        <f t="shared" si="2"/>
        <v>720</v>
      </c>
      <c r="L27" s="274"/>
      <c r="M27" s="275"/>
    </row>
    <row r="28" spans="1:13">
      <c r="C28" s="283"/>
      <c r="D28" s="263"/>
      <c r="E28" s="263"/>
      <c r="G28" s="284"/>
      <c r="H28" s="284"/>
      <c r="I28" s="284"/>
      <c r="J28" s="284"/>
      <c r="K28" s="285"/>
      <c r="L28" s="274"/>
    </row>
    <row r="29" spans="1:13">
      <c r="C29" s="283"/>
      <c r="D29" s="263"/>
      <c r="E29" s="263"/>
      <c r="G29" s="284"/>
      <c r="H29" s="284"/>
      <c r="I29" s="284"/>
      <c r="J29" s="284"/>
      <c r="K29" s="285"/>
      <c r="L29" s="274"/>
    </row>
    <row r="30" spans="1:13" ht="16.149999999999999" customHeight="1">
      <c r="B30" s="246" t="s">
        <v>82</v>
      </c>
      <c r="D30" s="247"/>
      <c r="E30" s="247"/>
      <c r="G30" s="372">
        <f>CHOOSE($D$6,G32,G33,G34)</f>
        <v>0.05</v>
      </c>
      <c r="H30" s="373">
        <f t="shared" ref="H30:K30" si="3">CHOOSE($D$6,H32,H33,H34)</f>
        <v>0.04</v>
      </c>
      <c r="I30" s="373">
        <f t="shared" si="3"/>
        <v>0.04</v>
      </c>
      <c r="J30" s="373">
        <f t="shared" si="3"/>
        <v>0.04</v>
      </c>
      <c r="K30" s="374">
        <f t="shared" si="3"/>
        <v>0.04</v>
      </c>
    </row>
    <row r="31" spans="1:13" ht="4.3499999999999996" customHeight="1">
      <c r="B31" s="251"/>
      <c r="D31" s="247"/>
      <c r="E31" s="247"/>
      <c r="G31" s="252"/>
      <c r="H31" s="120"/>
      <c r="I31" s="120"/>
      <c r="J31" s="120"/>
      <c r="K31" s="120"/>
    </row>
    <row r="32" spans="1:13">
      <c r="B32" s="251"/>
      <c r="C32" s="220" t="str">
        <f>C14</f>
        <v>Base Case</v>
      </c>
      <c r="D32" s="247"/>
      <c r="E32" s="247"/>
      <c r="G32" s="253">
        <v>0.05</v>
      </c>
      <c r="H32" s="254">
        <v>0.04</v>
      </c>
      <c r="I32" s="254">
        <v>0.04</v>
      </c>
      <c r="J32" s="254">
        <v>0.04</v>
      </c>
      <c r="K32" s="255">
        <v>0.04</v>
      </c>
    </row>
    <row r="33" spans="2:12">
      <c r="B33" s="251"/>
      <c r="C33" s="220" t="str">
        <f>C15</f>
        <v>Best Case</v>
      </c>
      <c r="D33" s="247"/>
      <c r="E33" s="247"/>
      <c r="G33" s="256">
        <v>0.05</v>
      </c>
      <c r="H33" s="257">
        <v>0.04</v>
      </c>
      <c r="I33" s="257">
        <v>0.05</v>
      </c>
      <c r="J33" s="257">
        <v>0.05</v>
      </c>
      <c r="K33" s="258">
        <v>0.04</v>
      </c>
    </row>
    <row r="34" spans="2:12">
      <c r="B34" s="251"/>
      <c r="C34" s="220" t="str">
        <f>C16</f>
        <v>Worst Case</v>
      </c>
      <c r="D34" s="247"/>
      <c r="E34" s="247"/>
      <c r="G34" s="259">
        <v>0.04</v>
      </c>
      <c r="H34" s="260">
        <v>0.04</v>
      </c>
      <c r="I34" s="260">
        <v>0.03</v>
      </c>
      <c r="J34" s="260">
        <v>0.03</v>
      </c>
      <c r="K34" s="261">
        <v>0.02</v>
      </c>
    </row>
    <row r="35" spans="2:12">
      <c r="C35" s="283"/>
      <c r="D35" s="263"/>
      <c r="E35" s="263"/>
      <c r="G35" s="284"/>
      <c r="H35" s="284"/>
      <c r="I35" s="284"/>
      <c r="J35" s="284"/>
      <c r="K35" s="285"/>
      <c r="L35" s="274"/>
    </row>
    <row r="36" spans="2:12">
      <c r="B36" s="286"/>
      <c r="C36" s="286"/>
      <c r="D36" s="287"/>
      <c r="E36" s="287"/>
      <c r="F36" s="286"/>
      <c r="G36" s="286"/>
      <c r="H36" s="286"/>
      <c r="I36" s="286"/>
      <c r="J36" s="286"/>
      <c r="K36" s="286"/>
    </row>
    <row r="39" spans="2:12">
      <c r="C39" s="232"/>
      <c r="D39" s="247"/>
      <c r="E39" s="247"/>
      <c r="G39" s="288"/>
    </row>
    <row r="40" spans="2:12">
      <c r="D40" s="263"/>
      <c r="E40" s="263"/>
      <c r="H40" s="275"/>
    </row>
    <row r="41" spans="2:12">
      <c r="D41" s="263"/>
      <c r="E41" s="263"/>
    </row>
    <row r="42" spans="2:12">
      <c r="G42" s="288"/>
    </row>
  </sheetData>
  <conditionalFormatting sqref="J348:M352">
    <cfRule type="cellIs" dxfId="0" priority="1" stopIfTrue="1" operator="greaterThan">
      <formula>330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  <headerFooter>
    <oddFooter>&amp;CPage &amp;P Of &amp;N&amp;R&amp;D&amp;T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9525</xdr:colOff>
                    <xdr:row>4</xdr:row>
                    <xdr:rowOff>38100</xdr:rowOff>
                  </from>
                  <to>
                    <xdr:col>4</xdr:col>
                    <xdr:colOff>95250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I348"/>
  <sheetViews>
    <sheetView topLeftCell="A121" workbookViewId="0">
      <selection activeCell="R128" sqref="R128"/>
    </sheetView>
  </sheetViews>
  <sheetFormatPr defaultColWidth="8.25" defaultRowHeight="14.25"/>
  <cols>
    <col min="1" max="1" width="3.125" style="1" customWidth="1"/>
    <col min="2" max="2" width="1.625" style="1" customWidth="1"/>
    <col min="3" max="3" width="2.125" style="1" customWidth="1"/>
    <col min="4" max="4" width="10" style="1" customWidth="1"/>
    <col min="5" max="5" width="11" style="1" customWidth="1"/>
    <col min="6" max="6" width="9.125" style="112" customWidth="1"/>
    <col min="7" max="7" width="1.625" style="1" customWidth="1"/>
    <col min="8" max="15" width="9.375" style="1" customWidth="1"/>
    <col min="16" max="17" width="8.25" style="1"/>
    <col min="18" max="18" width="15" style="1" bestFit="1" customWidth="1"/>
    <col min="19" max="16384" width="8.25" style="1"/>
  </cols>
  <sheetData>
    <row r="1" spans="1:15" ht="12.75" customHeight="1">
      <c r="A1" s="377"/>
      <c r="B1" s="378"/>
      <c r="C1" s="379"/>
      <c r="D1" s="379"/>
      <c r="E1" s="379"/>
      <c r="F1" s="104"/>
      <c r="G1" s="379"/>
      <c r="H1" s="379"/>
      <c r="I1" s="379"/>
      <c r="J1" s="379"/>
      <c r="K1" s="379"/>
      <c r="L1" s="379"/>
      <c r="M1" s="379"/>
      <c r="N1" s="379"/>
      <c r="O1" s="105" t="str">
        <f>"CURRENTLY RUNNING: "&amp;UPPER(CHOOSE(Scenarios!$D$6,Scenarios!C14,Scenarios!C15,Scenarios!C16))&amp;" SCENARIO"</f>
        <v>CURRENTLY RUNNING: BASE CASE SCENARIO</v>
      </c>
    </row>
    <row r="2" spans="1:15" ht="23.25">
      <c r="A2" s="107"/>
      <c r="B2" s="108" t="str">
        <f>Cover!B12</f>
        <v>Blue Containers Company</v>
      </c>
      <c r="C2" s="379"/>
      <c r="D2" s="379"/>
      <c r="E2" s="379"/>
      <c r="F2" s="104"/>
      <c r="G2" s="379"/>
      <c r="H2" s="379"/>
      <c r="I2" s="379"/>
      <c r="J2" s="379"/>
      <c r="K2" s="379"/>
      <c r="L2" s="379"/>
      <c r="M2" s="379"/>
      <c r="N2" s="379"/>
      <c r="O2" s="379"/>
    </row>
    <row r="3" spans="1:15" ht="18.75">
      <c r="A3" s="109"/>
      <c r="B3" s="110" t="s">
        <v>83</v>
      </c>
      <c r="C3" s="380"/>
      <c r="D3" s="380"/>
      <c r="E3" s="380"/>
      <c r="F3" s="381"/>
      <c r="G3" s="380"/>
      <c r="H3" s="380"/>
      <c r="I3" s="380"/>
      <c r="J3" s="380"/>
      <c r="K3" s="380"/>
      <c r="L3" s="380"/>
      <c r="M3" s="380"/>
      <c r="N3" s="380"/>
      <c r="O3" s="380"/>
    </row>
    <row r="4" spans="1:15" ht="3" customHeight="1" thickBot="1">
      <c r="A4" s="109"/>
      <c r="B4" s="111"/>
      <c r="C4" s="382"/>
      <c r="D4" s="382"/>
      <c r="E4" s="382"/>
      <c r="F4" s="383"/>
      <c r="G4" s="382"/>
      <c r="H4" s="382"/>
      <c r="I4" s="382"/>
      <c r="J4" s="382"/>
      <c r="K4" s="382"/>
      <c r="L4" s="382"/>
      <c r="M4" s="382"/>
      <c r="N4" s="382"/>
      <c r="O4" s="382"/>
    </row>
    <row r="5" spans="1:15" ht="12.75" customHeight="1">
      <c r="A5" s="110"/>
      <c r="B5" s="380"/>
      <c r="C5" s="380"/>
      <c r="D5" s="380"/>
      <c r="E5" s="380"/>
      <c r="F5" s="381"/>
      <c r="G5" s="380"/>
      <c r="H5" s="380"/>
      <c r="I5" s="380"/>
      <c r="J5" s="380"/>
      <c r="K5" s="380"/>
      <c r="L5" s="380"/>
      <c r="M5" s="380"/>
      <c r="N5" s="380"/>
      <c r="O5" s="380"/>
    </row>
    <row r="6" spans="1:15">
      <c r="G6" s="113"/>
      <c r="K6" s="114" t="s">
        <v>2</v>
      </c>
      <c r="L6" s="384"/>
      <c r="M6" s="384"/>
      <c r="N6" s="384"/>
      <c r="O6" s="384"/>
    </row>
    <row r="7" spans="1:15">
      <c r="G7" s="55"/>
      <c r="H7" s="116">
        <f>I7-1</f>
        <v>2022</v>
      </c>
      <c r="I7" s="116">
        <f>J7-1</f>
        <v>2023</v>
      </c>
      <c r="J7" s="116">
        <f>K7-1</f>
        <v>2024</v>
      </c>
      <c r="K7" s="117">
        <f>Scenarios!G6</f>
        <v>2025</v>
      </c>
      <c r="L7" s="117">
        <f>Scenarios!H6</f>
        <v>2026</v>
      </c>
      <c r="M7" s="117">
        <f>Scenarios!I6</f>
        <v>2027</v>
      </c>
      <c r="N7" s="117">
        <f>Scenarios!J6</f>
        <v>2028</v>
      </c>
      <c r="O7" s="117">
        <f>Scenarios!K6</f>
        <v>2029</v>
      </c>
    </row>
    <row r="8" spans="1:15" ht="12.75" customHeight="1">
      <c r="H8" s="385"/>
      <c r="I8" s="385"/>
      <c r="J8" s="385"/>
    </row>
    <row r="9" spans="1:15">
      <c r="B9" s="118" t="s">
        <v>84</v>
      </c>
      <c r="F9" s="119"/>
      <c r="H9" s="385"/>
      <c r="I9" s="385"/>
      <c r="J9" s="385"/>
      <c r="K9" s="386"/>
    </row>
    <row r="10" spans="1:15">
      <c r="C10" s="387" t="s">
        <v>85</v>
      </c>
      <c r="F10" s="122" t="s">
        <v>86</v>
      </c>
      <c r="H10" s="123"/>
      <c r="I10" s="123"/>
      <c r="J10" s="388">
        <v>694.4</v>
      </c>
      <c r="K10" s="389">
        <f>Scenarios!G23</f>
        <v>800</v>
      </c>
      <c r="L10" s="389">
        <f>Scenarios!H23</f>
        <v>725</v>
      </c>
      <c r="M10" s="389">
        <f>Scenarios!I23</f>
        <v>825</v>
      </c>
      <c r="N10" s="389">
        <f>Scenarios!J23</f>
        <v>800</v>
      </c>
      <c r="O10" s="389">
        <f>Scenarios!K23</f>
        <v>750</v>
      </c>
    </row>
    <row r="11" spans="1:15">
      <c r="C11" s="1" t="s">
        <v>79</v>
      </c>
      <c r="F11" s="119" t="s">
        <v>9</v>
      </c>
      <c r="H11" s="390"/>
      <c r="I11" s="124"/>
      <c r="J11" s="124"/>
      <c r="K11" s="125">
        <f>Scenarios!G12</f>
        <v>0.02</v>
      </c>
      <c r="L11" s="125">
        <f ca="1">Scenarios!H12</f>
        <v>0.02</v>
      </c>
      <c r="M11" s="125">
        <f>Scenarios!I12</f>
        <v>0.02</v>
      </c>
      <c r="N11" s="125">
        <f>Scenarios!J12</f>
        <v>2.5000000000000001E-2</v>
      </c>
      <c r="O11" s="125">
        <f>Scenarios!K12</f>
        <v>2.5000000000000001E-2</v>
      </c>
    </row>
    <row r="12" spans="1:15">
      <c r="C12" s="391" t="s">
        <v>87</v>
      </c>
      <c r="F12" s="122" t="s">
        <v>86</v>
      </c>
      <c r="H12" s="392"/>
      <c r="I12" s="392"/>
      <c r="J12" s="393">
        <v>100</v>
      </c>
      <c r="K12" s="394">
        <f>J12*(1+K11)</f>
        <v>102</v>
      </c>
      <c r="L12" s="394">
        <f t="shared" ref="L12:O12" ca="1" si="0">K12*(1+L11)</f>
        <v>104.04</v>
      </c>
      <c r="M12" s="394">
        <f t="shared" ca="1" si="0"/>
        <v>106.1208</v>
      </c>
      <c r="N12" s="394">
        <f t="shared" ca="1" si="0"/>
        <v>108.77381999999999</v>
      </c>
      <c r="O12" s="394">
        <f t="shared" ca="1" si="0"/>
        <v>111.49316549999998</v>
      </c>
    </row>
    <row r="13" spans="1:15">
      <c r="C13" s="127" t="s">
        <v>88</v>
      </c>
      <c r="F13" s="128" t="s">
        <v>86</v>
      </c>
      <c r="H13" s="129"/>
      <c r="I13" s="129"/>
      <c r="J13" s="395">
        <f t="shared" ref="J13:O13" si="1">J10-J12</f>
        <v>594.4</v>
      </c>
      <c r="K13" s="395">
        <f t="shared" si="1"/>
        <v>698</v>
      </c>
      <c r="L13" s="395">
        <f t="shared" ca="1" si="1"/>
        <v>620.96</v>
      </c>
      <c r="M13" s="395">
        <f t="shared" ca="1" si="1"/>
        <v>718.87919999999997</v>
      </c>
      <c r="N13" s="395">
        <f t="shared" ca="1" si="1"/>
        <v>691.22618</v>
      </c>
      <c r="O13" s="395">
        <f t="shared" ca="1" si="1"/>
        <v>638.50683449999997</v>
      </c>
    </row>
    <row r="14" spans="1:15">
      <c r="B14" s="396"/>
      <c r="C14" s="130"/>
      <c r="D14" s="396"/>
      <c r="E14" s="396"/>
      <c r="F14" s="131"/>
      <c r="G14" s="396"/>
      <c r="H14" s="397"/>
      <c r="I14" s="397"/>
      <c r="J14" s="397"/>
      <c r="K14" s="132"/>
      <c r="L14" s="132"/>
      <c r="M14" s="132"/>
      <c r="N14" s="132"/>
      <c r="O14" s="132"/>
    </row>
    <row r="15" spans="1:15">
      <c r="C15" s="118"/>
      <c r="F15" s="128"/>
      <c r="H15" s="398"/>
      <c r="I15" s="398"/>
      <c r="J15" s="398"/>
      <c r="K15" s="399"/>
      <c r="L15" s="399"/>
      <c r="M15" s="399"/>
      <c r="N15" s="399"/>
      <c r="O15" s="399"/>
    </row>
    <row r="16" spans="1:15">
      <c r="B16" s="127" t="s">
        <v>89</v>
      </c>
      <c r="F16" s="119"/>
    </row>
    <row r="17" spans="1:15">
      <c r="B17" s="127"/>
      <c r="C17" s="1" t="s">
        <v>182</v>
      </c>
      <c r="F17" s="119" t="s">
        <v>184</v>
      </c>
      <c r="H17" s="388"/>
      <c r="I17" s="388"/>
      <c r="J17" s="388"/>
      <c r="K17" s="389">
        <f>Assumptions!$N$17</f>
        <v>420</v>
      </c>
      <c r="L17" s="400">
        <f>K17</f>
        <v>420</v>
      </c>
      <c r="M17" s="400">
        <f t="shared" ref="M17:O17" si="2">L17</f>
        <v>420</v>
      </c>
      <c r="N17" s="400">
        <f t="shared" si="2"/>
        <v>420</v>
      </c>
      <c r="O17" s="400">
        <f t="shared" si="2"/>
        <v>420</v>
      </c>
    </row>
    <row r="18" spans="1:15">
      <c r="B18" s="127"/>
      <c r="F18" s="119"/>
    </row>
    <row r="19" spans="1:15">
      <c r="C19" s="1" t="s">
        <v>82</v>
      </c>
      <c r="F19" s="119" t="s">
        <v>183</v>
      </c>
      <c r="H19" s="390"/>
      <c r="I19" s="124"/>
      <c r="J19" s="401"/>
      <c r="K19" s="402">
        <f>Scenarios!G30</f>
        <v>0.05</v>
      </c>
      <c r="L19" s="402">
        <f>Scenarios!H30</f>
        <v>0.04</v>
      </c>
      <c r="M19" s="402">
        <f>Scenarios!I30</f>
        <v>0.04</v>
      </c>
      <c r="N19" s="402">
        <f>Scenarios!J30</f>
        <v>0.04</v>
      </c>
      <c r="O19" s="402">
        <f>Scenarios!K30</f>
        <v>0.04</v>
      </c>
    </row>
    <row r="20" spans="1:15">
      <c r="C20" s="117" t="s">
        <v>90</v>
      </c>
      <c r="F20" s="133" t="s">
        <v>184</v>
      </c>
      <c r="H20" s="134"/>
      <c r="I20" s="134"/>
      <c r="J20" s="395">
        <f>J26*1000/J10</f>
        <v>344.4700460829493</v>
      </c>
      <c r="K20" s="395">
        <f>MIN(J20*(1+K19),$K$17)</f>
        <v>361.69354838709677</v>
      </c>
      <c r="L20" s="395">
        <f t="shared" ref="L20:O20" si="3">MIN(K20*(1+L19),$K$17)</f>
        <v>376.16129032258067</v>
      </c>
      <c r="M20" s="395">
        <f t="shared" si="3"/>
        <v>391.20774193548391</v>
      </c>
      <c r="N20" s="395">
        <f t="shared" si="3"/>
        <v>406.85605161290329</v>
      </c>
      <c r="O20" s="395">
        <f t="shared" si="3"/>
        <v>420</v>
      </c>
    </row>
    <row r="21" spans="1:15" ht="6" customHeight="1">
      <c r="C21" s="117"/>
      <c r="F21" s="133"/>
      <c r="H21" s="399"/>
      <c r="I21" s="399"/>
      <c r="J21" s="399"/>
      <c r="K21" s="399"/>
      <c r="L21" s="399"/>
      <c r="M21" s="399"/>
      <c r="N21" s="399"/>
      <c r="O21" s="399"/>
    </row>
    <row r="22" spans="1:15">
      <c r="C22" s="1" t="s">
        <v>91</v>
      </c>
      <c r="F22" s="133"/>
      <c r="H22" s="403"/>
      <c r="I22" s="403"/>
      <c r="J22" s="403"/>
      <c r="K22" s="403">
        <f>K20/K17</f>
        <v>0.86117511520737322</v>
      </c>
      <c r="L22" s="403">
        <f t="shared" ref="L22:O22" si="4">L20/L17</f>
        <v>0.8956221198156683</v>
      </c>
      <c r="M22" s="403">
        <f t="shared" si="4"/>
        <v>0.93144700460829499</v>
      </c>
      <c r="N22" s="403">
        <f t="shared" si="4"/>
        <v>0.96870488479262684</v>
      </c>
      <c r="O22" s="403">
        <f t="shared" si="4"/>
        <v>1</v>
      </c>
    </row>
    <row r="23" spans="1:15" ht="12.75" customHeight="1">
      <c r="B23" s="396"/>
      <c r="C23" s="396"/>
      <c r="D23" s="396"/>
      <c r="E23" s="396"/>
      <c r="F23" s="135"/>
      <c r="G23" s="396"/>
      <c r="H23" s="396"/>
      <c r="I23" s="396"/>
      <c r="J23" s="396"/>
      <c r="K23" s="396"/>
      <c r="L23" s="396"/>
      <c r="M23" s="396"/>
      <c r="N23" s="396"/>
      <c r="O23" s="396"/>
    </row>
    <row r="24" spans="1:15" ht="12.75" customHeight="1">
      <c r="F24" s="119"/>
    </row>
    <row r="25" spans="1:15">
      <c r="B25" s="117" t="s">
        <v>92</v>
      </c>
      <c r="F25" s="119"/>
    </row>
    <row r="26" spans="1:15">
      <c r="A26" s="404"/>
      <c r="C26" s="387" t="s">
        <v>102</v>
      </c>
      <c r="F26" s="119" t="s">
        <v>185</v>
      </c>
      <c r="H26" s="405"/>
      <c r="I26" s="405"/>
      <c r="J26" s="406">
        <f>J83</f>
        <v>239.2</v>
      </c>
      <c r="K26" s="406">
        <f>K$20*K10/1000</f>
        <v>289.35483870967738</v>
      </c>
      <c r="L26" s="406">
        <f t="shared" ref="L26:O26" si="5">L$20*L10/1000</f>
        <v>272.716935483871</v>
      </c>
      <c r="M26" s="406">
        <f t="shared" si="5"/>
        <v>322.74638709677424</v>
      </c>
      <c r="N26" s="406">
        <f t="shared" si="5"/>
        <v>325.48484129032266</v>
      </c>
      <c r="O26" s="406">
        <f t="shared" si="5"/>
        <v>315</v>
      </c>
    </row>
    <row r="27" spans="1:15">
      <c r="C27" s="391" t="s">
        <v>87</v>
      </c>
      <c r="F27" s="119" t="s">
        <v>185</v>
      </c>
      <c r="H27" s="405"/>
      <c r="I27" s="405"/>
      <c r="J27" s="406">
        <f>J84</f>
        <v>34.4</v>
      </c>
      <c r="K27" s="406">
        <f>K$20*K12/1000</f>
        <v>36.892741935483869</v>
      </c>
      <c r="L27" s="406">
        <f t="shared" ref="L27:O27" ca="1" si="6">L$20*L12/1000</f>
        <v>39.135820645161296</v>
      </c>
      <c r="M27" s="406">
        <f t="shared" ca="1" si="6"/>
        <v>41.515278540387101</v>
      </c>
      <c r="N27" s="406">
        <f t="shared" ca="1" si="6"/>
        <v>44.255286924052648</v>
      </c>
      <c r="O27" s="406">
        <f t="shared" ca="1" si="6"/>
        <v>46.827129509999992</v>
      </c>
    </row>
    <row r="28" spans="1:15">
      <c r="C28" s="117" t="s">
        <v>6</v>
      </c>
      <c r="F28" s="133"/>
      <c r="H28" s="136"/>
      <c r="I28" s="136"/>
      <c r="J28" s="407">
        <f>J26-J27</f>
        <v>204.79999999999998</v>
      </c>
      <c r="K28" s="407">
        <f t="shared" ref="K28:O28" si="7">K26-K27</f>
        <v>252.46209677419353</v>
      </c>
      <c r="L28" s="407">
        <f t="shared" ca="1" si="7"/>
        <v>233.58111483870971</v>
      </c>
      <c r="M28" s="407">
        <f t="shared" ca="1" si="7"/>
        <v>281.23110855638714</v>
      </c>
      <c r="N28" s="407">
        <f t="shared" ca="1" si="7"/>
        <v>281.22955436627001</v>
      </c>
      <c r="O28" s="407">
        <f t="shared" ca="1" si="7"/>
        <v>268.17287049000004</v>
      </c>
    </row>
    <row r="29" spans="1:15" ht="12.75" customHeight="1">
      <c r="B29" s="408"/>
      <c r="C29" s="408"/>
      <c r="D29" s="408"/>
      <c r="E29" s="408"/>
      <c r="F29" s="138"/>
      <c r="G29" s="408"/>
      <c r="H29" s="408"/>
      <c r="I29" s="408"/>
      <c r="J29" s="408"/>
      <c r="K29" s="408"/>
      <c r="L29" s="408"/>
      <c r="M29" s="408"/>
      <c r="N29" s="408"/>
      <c r="O29" s="408"/>
    </row>
    <row r="30" spans="1:15" ht="12.75" customHeight="1"/>
    <row r="31" spans="1:15" ht="12.75" customHeight="1">
      <c r="A31" s="107"/>
      <c r="B31" s="108"/>
      <c r="C31" s="379"/>
      <c r="D31" s="379"/>
      <c r="E31" s="379"/>
      <c r="F31" s="104"/>
      <c r="G31" s="379"/>
      <c r="H31" s="379"/>
      <c r="I31" s="379"/>
      <c r="J31" s="379"/>
      <c r="K31" s="379"/>
      <c r="L31" s="379"/>
      <c r="M31" s="379"/>
      <c r="N31" s="379"/>
      <c r="O31" s="139" t="str">
        <f>$O$1</f>
        <v>CURRENTLY RUNNING: BASE CASE SCENARIO</v>
      </c>
    </row>
    <row r="32" spans="1:15" ht="23.25">
      <c r="A32" s="107"/>
      <c r="B32" s="108" t="str">
        <f>B$2</f>
        <v>Blue Containers Company</v>
      </c>
      <c r="C32" s="379"/>
      <c r="D32" s="379"/>
      <c r="E32" s="379"/>
      <c r="F32" s="104"/>
      <c r="G32" s="379"/>
      <c r="H32" s="379"/>
      <c r="I32" s="379"/>
      <c r="J32" s="379"/>
      <c r="K32" s="379"/>
      <c r="L32" s="379"/>
      <c r="M32" s="379"/>
      <c r="N32" s="379"/>
      <c r="O32" s="379"/>
    </row>
    <row r="33" spans="1:15" ht="18.75">
      <c r="A33" s="109"/>
      <c r="B33" s="110" t="s">
        <v>93</v>
      </c>
      <c r="C33" s="380"/>
      <c r="D33" s="380"/>
      <c r="E33" s="380"/>
      <c r="F33" s="381"/>
      <c r="G33" s="380"/>
      <c r="H33" s="380"/>
      <c r="I33" s="380"/>
      <c r="J33" s="380"/>
      <c r="K33" s="380"/>
      <c r="L33" s="380"/>
      <c r="M33" s="380"/>
      <c r="N33" s="380"/>
      <c r="O33" s="380"/>
    </row>
    <row r="34" spans="1:15" ht="3" customHeight="1" thickBot="1">
      <c r="A34" s="109"/>
      <c r="B34" s="111"/>
      <c r="C34" s="382"/>
      <c r="D34" s="382"/>
      <c r="E34" s="382"/>
      <c r="F34" s="383"/>
      <c r="G34" s="382"/>
      <c r="H34" s="382"/>
      <c r="I34" s="382"/>
      <c r="J34" s="382"/>
      <c r="K34" s="382"/>
      <c r="L34" s="382"/>
      <c r="M34" s="382"/>
      <c r="N34" s="382"/>
      <c r="O34" s="382"/>
    </row>
    <row r="35" spans="1:15" ht="12.75" customHeight="1">
      <c r="A35" s="110"/>
      <c r="B35" s="380"/>
      <c r="C35" s="380"/>
      <c r="D35" s="380"/>
      <c r="E35" s="380"/>
      <c r="F35" s="381"/>
      <c r="G35" s="380"/>
      <c r="H35" s="380"/>
      <c r="I35" s="380"/>
      <c r="J35" s="380"/>
      <c r="K35" s="380"/>
      <c r="L35" s="380"/>
      <c r="M35" s="380"/>
      <c r="N35" s="380"/>
      <c r="O35" s="380"/>
    </row>
    <row r="36" spans="1:15">
      <c r="G36" s="113"/>
      <c r="K36" s="114" t="s">
        <v>2</v>
      </c>
      <c r="L36" s="384"/>
      <c r="M36" s="384"/>
      <c r="N36" s="384"/>
      <c r="O36" s="384"/>
    </row>
    <row r="37" spans="1:15">
      <c r="G37" s="55"/>
      <c r="H37" s="116">
        <f t="shared" ref="H37:J37" si="8">H$7</f>
        <v>2022</v>
      </c>
      <c r="I37" s="116">
        <f t="shared" si="8"/>
        <v>2023</v>
      </c>
      <c r="J37" s="116">
        <f t="shared" si="8"/>
        <v>2024</v>
      </c>
      <c r="K37" s="140">
        <f>K$7</f>
        <v>2025</v>
      </c>
      <c r="L37" s="140">
        <f>L$7</f>
        <v>2026</v>
      </c>
      <c r="M37" s="140">
        <f>M$7</f>
        <v>2027</v>
      </c>
      <c r="N37" s="140">
        <f>N$7</f>
        <v>2028</v>
      </c>
      <c r="O37" s="140">
        <f>O$7</f>
        <v>2029</v>
      </c>
    </row>
    <row r="38" spans="1:15" ht="12.95" customHeight="1">
      <c r="G38" s="55"/>
      <c r="H38" s="55"/>
      <c r="I38" s="55"/>
      <c r="J38" s="55"/>
      <c r="K38" s="55"/>
      <c r="L38" s="55"/>
      <c r="M38" s="55"/>
      <c r="N38" s="55"/>
      <c r="O38" s="55"/>
    </row>
    <row r="39" spans="1:15" ht="12.95" customHeight="1">
      <c r="B39" s="409" t="s">
        <v>90</v>
      </c>
      <c r="C39" s="410"/>
      <c r="D39" s="410"/>
      <c r="E39" s="410"/>
      <c r="F39" s="141" t="s">
        <v>94</v>
      </c>
      <c r="G39" s="142"/>
      <c r="H39" s="411"/>
      <c r="I39" s="411"/>
      <c r="J39" s="411">
        <f>J20</f>
        <v>344.4700460829493</v>
      </c>
      <c r="K39" s="411">
        <f t="shared" ref="K39:O39" si="9">K20</f>
        <v>361.69354838709677</v>
      </c>
      <c r="L39" s="411">
        <f t="shared" si="9"/>
        <v>376.16129032258067</v>
      </c>
      <c r="M39" s="411">
        <f t="shared" si="9"/>
        <v>391.20774193548391</v>
      </c>
      <c r="N39" s="411">
        <f t="shared" si="9"/>
        <v>406.85605161290329</v>
      </c>
      <c r="O39" s="412">
        <f t="shared" si="9"/>
        <v>420</v>
      </c>
    </row>
    <row r="40" spans="1:15">
      <c r="B40" s="413" t="s">
        <v>79</v>
      </c>
      <c r="C40" s="396"/>
      <c r="D40" s="396"/>
      <c r="E40" s="396"/>
      <c r="F40" s="135" t="s">
        <v>9</v>
      </c>
      <c r="G40" s="143"/>
      <c r="H40" s="414"/>
      <c r="I40" s="414"/>
      <c r="J40" s="414"/>
      <c r="K40" s="414">
        <f t="shared" ref="K40:O40" si="10">K11</f>
        <v>0.02</v>
      </c>
      <c r="L40" s="415">
        <f t="shared" ca="1" si="10"/>
        <v>0.02</v>
      </c>
      <c r="M40" s="415">
        <f t="shared" si="10"/>
        <v>0.02</v>
      </c>
      <c r="N40" s="415">
        <f t="shared" si="10"/>
        <v>2.5000000000000001E-2</v>
      </c>
      <c r="O40" s="416">
        <f t="shared" si="10"/>
        <v>2.5000000000000001E-2</v>
      </c>
    </row>
    <row r="41" spans="1:15" ht="12.95" customHeight="1">
      <c r="B41" s="144"/>
      <c r="G41" s="55"/>
      <c r="H41" s="55"/>
      <c r="I41" s="55"/>
      <c r="J41" s="55"/>
      <c r="K41" s="55"/>
      <c r="L41" s="55"/>
      <c r="M41" s="55"/>
      <c r="N41" s="55"/>
      <c r="O41" s="55"/>
    </row>
    <row r="42" spans="1:15" ht="12.75" customHeight="1">
      <c r="B42" s="145" t="s">
        <v>95</v>
      </c>
      <c r="G42" s="55"/>
      <c r="H42" s="55"/>
      <c r="I42" s="55"/>
      <c r="J42" s="55"/>
      <c r="K42" s="55"/>
      <c r="M42" s="55"/>
      <c r="N42" s="55"/>
      <c r="O42" s="55"/>
    </row>
    <row r="43" spans="1:15">
      <c r="A43" s="404">
        <v>1</v>
      </c>
      <c r="C43" s="117" t="s">
        <v>96</v>
      </c>
    </row>
    <row r="44" spans="1:15">
      <c r="D44" s="391" t="str">
        <f>Assumptions!C27</f>
        <v>Raw Materials</v>
      </c>
      <c r="F44" s="112" t="s">
        <v>86</v>
      </c>
      <c r="H44" s="417"/>
      <c r="I44" s="417"/>
      <c r="J44" s="417"/>
      <c r="K44" s="146">
        <f>Assumptions!E27</f>
        <v>226</v>
      </c>
      <c r="L44" s="418">
        <f ca="1">K44*(1+L$40)</f>
        <v>230.52</v>
      </c>
      <c r="M44" s="418">
        <f t="shared" ref="M44:O45" ca="1" si="11">L44*(1+M$40)</f>
        <v>235.13040000000001</v>
      </c>
      <c r="N44" s="418">
        <f t="shared" ca="1" si="11"/>
        <v>241.00865999999999</v>
      </c>
      <c r="O44" s="418">
        <f t="shared" ca="1" si="11"/>
        <v>247.03387649999996</v>
      </c>
    </row>
    <row r="45" spans="1:15">
      <c r="D45" s="391" t="str">
        <f>Assumptions!C28</f>
        <v>Utilities</v>
      </c>
      <c r="F45" s="112" t="s">
        <v>86</v>
      </c>
      <c r="H45" s="417"/>
      <c r="I45" s="417"/>
      <c r="J45" s="417"/>
      <c r="K45" s="376">
        <f>Assumptions!E28</f>
        <v>66.2</v>
      </c>
      <c r="L45" s="419">
        <f ca="1">K45*(1+L$40)</f>
        <v>67.524000000000001</v>
      </c>
      <c r="M45" s="419">
        <f t="shared" ca="1" si="11"/>
        <v>68.874480000000005</v>
      </c>
      <c r="N45" s="419">
        <f t="shared" ca="1" si="11"/>
        <v>70.596341999999993</v>
      </c>
      <c r="O45" s="419">
        <f t="shared" ca="1" si="11"/>
        <v>72.36125054999998</v>
      </c>
    </row>
    <row r="46" spans="1:15">
      <c r="D46" s="117" t="s">
        <v>97</v>
      </c>
      <c r="F46" s="147" t="s">
        <v>86</v>
      </c>
      <c r="H46" s="148"/>
      <c r="I46" s="148"/>
      <c r="J46" s="148"/>
      <c r="K46" s="148">
        <f>SUM(K44:K45)</f>
        <v>292.2</v>
      </c>
      <c r="L46" s="148">
        <f t="shared" ref="L46:O46" ca="1" si="12">SUM(L44:L45)</f>
        <v>298.04399999999998</v>
      </c>
      <c r="M46" s="148">
        <f t="shared" ca="1" si="12"/>
        <v>304.00488000000001</v>
      </c>
      <c r="N46" s="148">
        <f t="shared" ca="1" si="12"/>
        <v>311.60500200000001</v>
      </c>
      <c r="O46" s="148">
        <f t="shared" ca="1" si="12"/>
        <v>319.39512704999993</v>
      </c>
    </row>
    <row r="47" spans="1:15" ht="6" customHeight="1">
      <c r="D47" s="391"/>
      <c r="H47" s="420"/>
      <c r="I47" s="420"/>
      <c r="J47" s="420"/>
      <c r="K47" s="420"/>
      <c r="L47" s="420"/>
      <c r="M47" s="420"/>
      <c r="N47" s="420"/>
      <c r="O47" s="420"/>
    </row>
    <row r="48" spans="1:15" ht="12.75" customHeight="1">
      <c r="A48" s="1">
        <v>4</v>
      </c>
      <c r="C48" s="127" t="s">
        <v>98</v>
      </c>
      <c r="D48" s="391"/>
      <c r="H48" s="421"/>
      <c r="I48" s="421"/>
      <c r="J48" s="421"/>
      <c r="K48" s="421"/>
      <c r="L48" s="422"/>
      <c r="M48" s="422"/>
      <c r="N48" s="422"/>
      <c r="O48" s="422"/>
    </row>
    <row r="49" spans="1:16" ht="12.75" customHeight="1">
      <c r="D49" s="391" t="str">
        <f>Assumptions!C29</f>
        <v>Rent</v>
      </c>
      <c r="F49" s="112" t="s">
        <v>86</v>
      </c>
      <c r="H49" s="418"/>
      <c r="I49" s="418"/>
      <c r="J49" s="418"/>
      <c r="K49" s="418">
        <f>K64*1000/K$39</f>
        <v>64.972129319955414</v>
      </c>
      <c r="L49" s="418">
        <f t="shared" ref="L49:O51" ca="1" si="13">L64*1000/L$39</f>
        <v>63.722665294571648</v>
      </c>
      <c r="M49" s="418">
        <f t="shared" ca="1" si="13"/>
        <v>62.497229423522192</v>
      </c>
      <c r="N49" s="418">
        <f t="shared" ca="1" si="13"/>
        <v>61.595827076067536</v>
      </c>
      <c r="O49" s="418">
        <f t="shared" ca="1" si="13"/>
        <v>61.159883035714273</v>
      </c>
    </row>
    <row r="50" spans="1:16">
      <c r="D50" s="391" t="str">
        <f>Assumptions!C30</f>
        <v>Operating Labour</v>
      </c>
      <c r="F50" s="112" t="s">
        <v>86</v>
      </c>
      <c r="H50" s="418"/>
      <c r="I50" s="418"/>
      <c r="J50" s="418"/>
      <c r="K50" s="418">
        <f>K65*1000/K$39</f>
        <v>120.2675585284281</v>
      </c>
      <c r="L50" s="418">
        <f t="shared" ca="1" si="13"/>
        <v>117.95472086441985</v>
      </c>
      <c r="M50" s="418">
        <f t="shared" ca="1" si="13"/>
        <v>115.68636084779638</v>
      </c>
      <c r="N50" s="418">
        <f t="shared" ca="1" si="13"/>
        <v>114.01780756633777</v>
      </c>
      <c r="O50" s="418">
        <f t="shared" ca="1" si="13"/>
        <v>113.21084732142855</v>
      </c>
    </row>
    <row r="51" spans="1:16" ht="12.75" customHeight="1">
      <c r="D51" s="1" t="str">
        <f>Assumptions!C31</f>
        <v>Others</v>
      </c>
      <c r="F51" s="112" t="s">
        <v>86</v>
      </c>
      <c r="H51" s="418"/>
      <c r="I51" s="418"/>
      <c r="J51" s="418"/>
      <c r="K51" s="419">
        <f>K66*1000/K$39</f>
        <v>5.5295429208472688</v>
      </c>
      <c r="L51" s="419">
        <f t="shared" ca="1" si="13"/>
        <v>5.4232055569848212</v>
      </c>
      <c r="M51" s="419">
        <f t="shared" ca="1" si="13"/>
        <v>5.3189131424274203</v>
      </c>
      <c r="N51" s="419">
        <f t="shared" ca="1" si="13"/>
        <v>5.2421980490270235</v>
      </c>
      <c r="O51" s="419">
        <f t="shared" ca="1" si="13"/>
        <v>5.2050964285714274</v>
      </c>
    </row>
    <row r="52" spans="1:16">
      <c r="D52" s="118" t="s">
        <v>99</v>
      </c>
      <c r="F52" s="147" t="s">
        <v>86</v>
      </c>
      <c r="H52" s="148"/>
      <c r="I52" s="148"/>
      <c r="J52" s="148"/>
      <c r="K52" s="148">
        <f>SUM(K49:K51)</f>
        <v>190.76923076923077</v>
      </c>
      <c r="L52" s="148">
        <f ca="1">SUM(L49:L51)</f>
        <v>187.10059171597632</v>
      </c>
      <c r="M52" s="148">
        <f ca="1">SUM(M49:M51)</f>
        <v>183.50250341374598</v>
      </c>
      <c r="N52" s="148">
        <f ca="1">SUM(N49:N51)</f>
        <v>180.85583269143234</v>
      </c>
      <c r="O52" s="148">
        <f ca="1">SUM(O49:O51)</f>
        <v>179.57582678571424</v>
      </c>
      <c r="P52" s="423"/>
    </row>
    <row r="53" spans="1:16" ht="6" customHeight="1">
      <c r="C53" s="117"/>
      <c r="F53" s="147"/>
      <c r="H53" s="149"/>
      <c r="I53" s="149"/>
      <c r="J53" s="149"/>
      <c r="K53" s="149"/>
      <c r="L53" s="149"/>
      <c r="M53" s="149"/>
      <c r="N53" s="149"/>
      <c r="O53" s="149"/>
      <c r="P53" s="423"/>
    </row>
    <row r="54" spans="1:16" ht="15" thickBot="1">
      <c r="C54" s="118" t="s">
        <v>100</v>
      </c>
      <c r="F54" s="147" t="s">
        <v>86</v>
      </c>
      <c r="H54" s="136"/>
      <c r="I54" s="136"/>
      <c r="J54" s="136"/>
      <c r="K54" s="192">
        <f>SUM(K52,K46)</f>
        <v>482.96923076923076</v>
      </c>
      <c r="L54" s="192">
        <f t="shared" ref="L54:O54" ca="1" si="14">SUM(L52,L46)</f>
        <v>485.14459171597628</v>
      </c>
      <c r="M54" s="192">
        <f t="shared" ca="1" si="14"/>
        <v>487.50738341374597</v>
      </c>
      <c r="N54" s="192">
        <f t="shared" ca="1" si="14"/>
        <v>492.46083469143235</v>
      </c>
      <c r="O54" s="192">
        <f t="shared" ca="1" si="14"/>
        <v>498.97095383571417</v>
      </c>
    </row>
    <row r="55" spans="1:16" ht="12.95" customHeight="1" thickTop="1">
      <c r="B55" s="130"/>
      <c r="C55" s="150"/>
      <c r="D55" s="396"/>
      <c r="E55" s="396"/>
      <c r="F55" s="151"/>
      <c r="G55" s="152"/>
      <c r="H55" s="152"/>
      <c r="I55" s="152"/>
      <c r="J55" s="152"/>
      <c r="K55" s="152"/>
      <c r="L55" s="152"/>
      <c r="M55" s="152"/>
      <c r="N55" s="152"/>
      <c r="O55" s="152"/>
    </row>
    <row r="56" spans="1:16" ht="12.95" customHeight="1">
      <c r="B56" s="118"/>
      <c r="C56" s="117"/>
      <c r="F56" s="147"/>
      <c r="H56" s="149"/>
      <c r="I56" s="149"/>
      <c r="J56" s="149"/>
      <c r="K56" s="149"/>
      <c r="L56" s="149"/>
      <c r="M56" s="149"/>
      <c r="N56" s="149"/>
      <c r="O56" s="149"/>
    </row>
    <row r="57" spans="1:16">
      <c r="B57" s="145" t="s">
        <v>101</v>
      </c>
      <c r="C57" s="117"/>
      <c r="F57" s="147"/>
      <c r="H57" s="149"/>
      <c r="I57" s="149"/>
      <c r="J57" s="149"/>
      <c r="K57" s="149"/>
      <c r="L57" s="149"/>
      <c r="M57" s="149"/>
      <c r="N57" s="149"/>
      <c r="O57" s="149"/>
    </row>
    <row r="58" spans="1:16">
      <c r="A58" s="1">
        <v>2</v>
      </c>
      <c r="C58" s="117" t="s">
        <v>96</v>
      </c>
      <c r="F58" s="147"/>
      <c r="H58" s="149"/>
      <c r="I58" s="149"/>
      <c r="J58" s="149"/>
      <c r="K58" s="149"/>
      <c r="L58" s="149"/>
      <c r="M58" s="149"/>
      <c r="N58" s="149"/>
      <c r="O58" s="149"/>
    </row>
    <row r="59" spans="1:16">
      <c r="D59" s="391" t="str">
        <f>D44</f>
        <v>Raw Materials</v>
      </c>
      <c r="F59" s="112" t="s">
        <v>185</v>
      </c>
      <c r="H59" s="418"/>
      <c r="I59" s="418"/>
      <c r="J59" s="418"/>
      <c r="K59" s="418">
        <f>K44*K$39/1000</f>
        <v>81.742741935483863</v>
      </c>
      <c r="L59" s="418">
        <f t="shared" ref="L59:O60" ca="1" si="15">L44*L$39/1000</f>
        <v>86.712700645161291</v>
      </c>
      <c r="M59" s="418">
        <f t="shared" ca="1" si="15"/>
        <v>91.984832844387114</v>
      </c>
      <c r="N59" s="418">
        <f t="shared" ca="1" si="15"/>
        <v>98.055831812116651</v>
      </c>
      <c r="O59" s="418">
        <f t="shared" ca="1" si="15"/>
        <v>103.75422812999999</v>
      </c>
    </row>
    <row r="60" spans="1:16">
      <c r="D60" s="391" t="str">
        <f>D45</f>
        <v>Utilities</v>
      </c>
      <c r="F60" s="112" t="s">
        <v>185</v>
      </c>
      <c r="H60" s="418"/>
      <c r="I60" s="418"/>
      <c r="J60" s="418"/>
      <c r="K60" s="419">
        <f>K45*K$39/1000</f>
        <v>23.944112903225808</v>
      </c>
      <c r="L60" s="419">
        <f t="shared" ca="1" si="15"/>
        <v>25.399914967741939</v>
      </c>
      <c r="M60" s="419">
        <f t="shared" ca="1" si="15"/>
        <v>26.944229797780647</v>
      </c>
      <c r="N60" s="419">
        <f t="shared" ca="1" si="15"/>
        <v>28.722548964434168</v>
      </c>
      <c r="O60" s="419">
        <f t="shared" ca="1" si="15"/>
        <v>30.391725230999992</v>
      </c>
    </row>
    <row r="61" spans="1:16" ht="12.75" customHeight="1">
      <c r="D61" s="117" t="s">
        <v>97</v>
      </c>
      <c r="F61" s="147" t="s">
        <v>185</v>
      </c>
      <c r="H61" s="148"/>
      <c r="I61" s="148"/>
      <c r="J61" s="148"/>
      <c r="K61" s="148">
        <f>SUM(K59:K60)</f>
        <v>105.68685483870968</v>
      </c>
      <c r="L61" s="148">
        <f t="shared" ref="L61:O61" ca="1" si="16">SUM(L59:L60)</f>
        <v>112.11261561290323</v>
      </c>
      <c r="M61" s="148">
        <f t="shared" ca="1" si="16"/>
        <v>118.92906264216776</v>
      </c>
      <c r="N61" s="148">
        <f t="shared" ca="1" si="16"/>
        <v>126.77838077655082</v>
      </c>
      <c r="O61" s="148">
        <f t="shared" ca="1" si="16"/>
        <v>134.14595336099998</v>
      </c>
    </row>
    <row r="62" spans="1:16" ht="6" customHeight="1">
      <c r="D62" s="391"/>
      <c r="F62" s="147"/>
      <c r="H62" s="149"/>
      <c r="I62" s="149"/>
      <c r="J62" s="149"/>
      <c r="K62" s="149"/>
      <c r="L62" s="149"/>
      <c r="M62" s="149"/>
      <c r="N62" s="149"/>
      <c r="O62" s="149"/>
    </row>
    <row r="63" spans="1:16" ht="12.75" customHeight="1">
      <c r="A63" s="1">
        <v>3</v>
      </c>
      <c r="C63" s="127" t="s">
        <v>98</v>
      </c>
      <c r="D63" s="391"/>
      <c r="F63" s="147"/>
      <c r="H63" s="149"/>
      <c r="I63" s="149"/>
      <c r="J63" s="149"/>
      <c r="K63" s="149"/>
      <c r="L63" s="149"/>
      <c r="M63" s="149"/>
      <c r="N63" s="149"/>
      <c r="O63" s="149"/>
    </row>
    <row r="64" spans="1:16" ht="12.75" customHeight="1">
      <c r="A64" s="424"/>
      <c r="D64" s="391" t="str">
        <f>D49</f>
        <v>Rent</v>
      </c>
      <c r="F64" s="112" t="s">
        <v>185</v>
      </c>
      <c r="H64" s="417"/>
      <c r="I64" s="417"/>
      <c r="J64" s="417"/>
      <c r="K64" s="146">
        <f>Assumptions!E29</f>
        <v>23.5</v>
      </c>
      <c r="L64" s="418">
        <f ca="1">K64*(1+L$40)</f>
        <v>23.97</v>
      </c>
      <c r="M64" s="418">
        <f t="shared" ref="M64:O64" ca="1" si="17">L64*(1+M$40)</f>
        <v>24.449400000000001</v>
      </c>
      <c r="N64" s="418">
        <f t="shared" ca="1" si="17"/>
        <v>25.060634999999998</v>
      </c>
      <c r="O64" s="418">
        <f t="shared" ca="1" si="17"/>
        <v>25.687150874999997</v>
      </c>
    </row>
    <row r="65" spans="1:15" ht="12.75" customHeight="1">
      <c r="D65" s="391" t="str">
        <f t="shared" ref="D65:D66" si="18">D50</f>
        <v>Operating Labour</v>
      </c>
      <c r="F65" s="112" t="s">
        <v>185</v>
      </c>
      <c r="H65" s="417"/>
      <c r="I65" s="417"/>
      <c r="J65" s="417"/>
      <c r="K65" s="146">
        <f>Assumptions!E30</f>
        <v>43.5</v>
      </c>
      <c r="L65" s="418">
        <f t="shared" ref="L65:O65" ca="1" si="19">K65*(1+L$40)</f>
        <v>44.37</v>
      </c>
      <c r="M65" s="418">
        <f t="shared" ca="1" si="19"/>
        <v>45.257399999999997</v>
      </c>
      <c r="N65" s="418">
        <f t="shared" ca="1" si="19"/>
        <v>46.388834999999993</v>
      </c>
      <c r="O65" s="418">
        <f t="shared" ca="1" si="19"/>
        <v>47.548555874999991</v>
      </c>
    </row>
    <row r="66" spans="1:15" ht="12.95" customHeight="1">
      <c r="D66" s="1" t="str">
        <f t="shared" si="18"/>
        <v>Others</v>
      </c>
      <c r="F66" s="112" t="s">
        <v>185</v>
      </c>
      <c r="H66" s="417"/>
      <c r="I66" s="417"/>
      <c r="J66" s="417"/>
      <c r="K66" s="376">
        <f>Assumptions!E31</f>
        <v>2</v>
      </c>
      <c r="L66" s="419">
        <f ca="1">K66*(1+L$40)</f>
        <v>2.04</v>
      </c>
      <c r="M66" s="419">
        <f t="shared" ref="M66:O66" ca="1" si="20">L66*(1+M$40)</f>
        <v>2.0808</v>
      </c>
      <c r="N66" s="419">
        <f t="shared" ca="1" si="20"/>
        <v>2.1328199999999997</v>
      </c>
      <c r="O66" s="419">
        <f t="shared" ca="1" si="20"/>
        <v>2.1861404999999996</v>
      </c>
    </row>
    <row r="67" spans="1:15" ht="12.95" customHeight="1">
      <c r="D67" s="118" t="s">
        <v>99</v>
      </c>
      <c r="F67" s="147" t="s">
        <v>185</v>
      </c>
      <c r="H67" s="148"/>
      <c r="I67" s="148"/>
      <c r="J67" s="148"/>
      <c r="K67" s="148">
        <f>SUM(K64:K66)</f>
        <v>69</v>
      </c>
      <c r="L67" s="148">
        <f t="shared" ref="L67:O67" ca="1" si="21">SUM(L64:L66)</f>
        <v>70.38000000000001</v>
      </c>
      <c r="M67" s="148">
        <f t="shared" ca="1" si="21"/>
        <v>71.787599999999998</v>
      </c>
      <c r="N67" s="148">
        <f t="shared" ca="1" si="21"/>
        <v>73.582289999999986</v>
      </c>
      <c r="O67" s="148">
        <f t="shared" ca="1" si="21"/>
        <v>75.421847249999985</v>
      </c>
    </row>
    <row r="68" spans="1:15" ht="6" customHeight="1">
      <c r="C68" s="117"/>
      <c r="H68" s="420"/>
      <c r="I68" s="420"/>
      <c r="J68" s="420"/>
      <c r="K68" s="420"/>
      <c r="L68" s="420"/>
      <c r="M68" s="420"/>
      <c r="N68" s="420"/>
      <c r="O68" s="420"/>
    </row>
    <row r="69" spans="1:15" ht="15" thickBot="1">
      <c r="C69" s="118" t="s">
        <v>100</v>
      </c>
      <c r="F69" s="147" t="s">
        <v>185</v>
      </c>
      <c r="H69" s="136"/>
      <c r="I69" s="136"/>
      <c r="J69" s="136"/>
      <c r="K69" s="192">
        <f>SUM(K67,K61)</f>
        <v>174.68685483870968</v>
      </c>
      <c r="L69" s="192">
        <f t="shared" ref="L69:O69" ca="1" si="22">SUM(L67,L61)</f>
        <v>182.49261561290325</v>
      </c>
      <c r="M69" s="192">
        <f t="shared" ca="1" si="22"/>
        <v>190.71666264216776</v>
      </c>
      <c r="N69" s="192">
        <f t="shared" ca="1" si="22"/>
        <v>200.36067077655082</v>
      </c>
      <c r="O69" s="192">
        <f t="shared" ca="1" si="22"/>
        <v>209.56780061099997</v>
      </c>
    </row>
    <row r="70" spans="1:15" ht="12.75" customHeight="1" thickTop="1">
      <c r="B70" s="154"/>
      <c r="C70" s="155"/>
      <c r="D70" s="408"/>
      <c r="E70" s="408"/>
      <c r="F70" s="156"/>
      <c r="G70" s="157"/>
      <c r="H70" s="157"/>
      <c r="I70" s="157"/>
      <c r="J70" s="157"/>
      <c r="K70" s="157"/>
      <c r="L70" s="157"/>
      <c r="M70" s="157"/>
      <c r="N70" s="157"/>
      <c r="O70" s="157"/>
    </row>
    <row r="71" spans="1:15">
      <c r="H71" s="425"/>
      <c r="I71" s="425"/>
      <c r="J71" s="425"/>
      <c r="K71" s="425"/>
      <c r="L71" s="425"/>
      <c r="M71" s="425"/>
      <c r="N71" s="425"/>
      <c r="O71" s="425"/>
    </row>
    <row r="72" spans="1:15" ht="12.75" customHeight="1">
      <c r="A72" s="107"/>
      <c r="B72" s="108"/>
      <c r="C72" s="379"/>
      <c r="D72" s="379"/>
      <c r="E72" s="379"/>
      <c r="F72" s="104"/>
      <c r="G72" s="379"/>
      <c r="H72" s="379"/>
      <c r="I72" s="379"/>
      <c r="J72" s="379"/>
      <c r="K72" s="379"/>
      <c r="L72" s="379"/>
      <c r="M72" s="379"/>
      <c r="N72" s="379"/>
      <c r="O72" s="139" t="str">
        <f>$O$1</f>
        <v>CURRENTLY RUNNING: BASE CASE SCENARIO</v>
      </c>
    </row>
    <row r="73" spans="1:15" ht="23.25">
      <c r="A73" s="107"/>
      <c r="B73" s="108" t="str">
        <f>B$2</f>
        <v>Blue Containers Company</v>
      </c>
      <c r="C73" s="379"/>
      <c r="D73" s="379"/>
      <c r="E73" s="379"/>
      <c r="F73" s="104"/>
      <c r="G73" s="379"/>
      <c r="H73" s="379"/>
      <c r="I73" s="379"/>
      <c r="J73" s="379"/>
      <c r="K73" s="379"/>
      <c r="L73" s="379"/>
      <c r="M73" s="379"/>
      <c r="N73" s="379"/>
      <c r="O73" s="379"/>
    </row>
    <row r="74" spans="1:15" ht="18.75">
      <c r="A74" s="109"/>
      <c r="B74" s="110" t="s">
        <v>59</v>
      </c>
      <c r="C74" s="380"/>
      <c r="D74" s="380"/>
      <c r="E74" s="380"/>
      <c r="F74" s="381"/>
      <c r="G74" s="380"/>
      <c r="H74" s="380"/>
      <c r="I74" s="380"/>
      <c r="J74" s="380"/>
      <c r="K74" s="380"/>
      <c r="L74" s="380"/>
      <c r="M74" s="380"/>
      <c r="N74" s="380"/>
      <c r="O74" s="380"/>
    </row>
    <row r="75" spans="1:15" ht="3" customHeight="1" thickBot="1">
      <c r="A75" s="109"/>
      <c r="B75" s="111"/>
      <c r="C75" s="382"/>
      <c r="D75" s="382"/>
      <c r="E75" s="382"/>
      <c r="F75" s="383"/>
      <c r="G75" s="382"/>
      <c r="H75" s="382"/>
      <c r="I75" s="382"/>
      <c r="J75" s="382"/>
      <c r="K75" s="382"/>
      <c r="L75" s="382"/>
      <c r="M75" s="382"/>
      <c r="N75" s="382"/>
      <c r="O75" s="382"/>
    </row>
    <row r="76" spans="1:15" ht="15" customHeight="1">
      <c r="A76" s="110"/>
      <c r="B76" s="158" t="s">
        <v>3</v>
      </c>
      <c r="C76" s="380"/>
      <c r="D76" s="380"/>
      <c r="E76" s="380"/>
      <c r="F76" s="381"/>
      <c r="G76" s="380"/>
      <c r="H76" s="380"/>
      <c r="I76" s="380"/>
      <c r="J76" s="380"/>
      <c r="K76" s="380"/>
      <c r="L76" s="380"/>
      <c r="M76" s="380"/>
      <c r="N76" s="380"/>
      <c r="O76" s="380"/>
    </row>
    <row r="77" spans="1:15">
      <c r="G77" s="113"/>
      <c r="K77" s="114" t="s">
        <v>2</v>
      </c>
      <c r="L77" s="384"/>
      <c r="M77" s="384"/>
      <c r="N77" s="384"/>
      <c r="O77" s="384"/>
    </row>
    <row r="78" spans="1:15">
      <c r="G78" s="55"/>
      <c r="H78" s="116">
        <f t="shared" ref="H78:J78" si="23">H$7</f>
        <v>2022</v>
      </c>
      <c r="I78" s="116">
        <f t="shared" si="23"/>
        <v>2023</v>
      </c>
      <c r="J78" s="116">
        <f t="shared" si="23"/>
        <v>2024</v>
      </c>
      <c r="K78" s="140">
        <f>K$7</f>
        <v>2025</v>
      </c>
      <c r="L78" s="140">
        <f>L$7</f>
        <v>2026</v>
      </c>
      <c r="M78" s="140">
        <f>M$7</f>
        <v>2027</v>
      </c>
      <c r="N78" s="140">
        <f>N$7</f>
        <v>2028</v>
      </c>
      <c r="O78" s="140">
        <f>O$7</f>
        <v>2029</v>
      </c>
    </row>
    <row r="79" spans="1:15" ht="6" customHeight="1">
      <c r="G79" s="55"/>
      <c r="H79" s="55"/>
      <c r="I79" s="55"/>
      <c r="J79" s="55"/>
      <c r="K79" s="426"/>
      <c r="L79" s="426"/>
      <c r="M79" s="426"/>
      <c r="N79" s="252"/>
      <c r="O79" s="386"/>
    </row>
    <row r="80" spans="1:15">
      <c r="B80" s="427" t="s">
        <v>89</v>
      </c>
      <c r="C80" s="428"/>
      <c r="D80" s="428"/>
      <c r="E80" s="428"/>
      <c r="F80" s="428" t="s">
        <v>94</v>
      </c>
      <c r="G80" s="159"/>
      <c r="H80" s="429"/>
      <c r="I80" s="429"/>
      <c r="J80" s="429">
        <f>J20</f>
        <v>344.4700460829493</v>
      </c>
      <c r="K80" s="429">
        <f t="shared" ref="K80:O80" si="24">K20</f>
        <v>361.69354838709677</v>
      </c>
      <c r="L80" s="429">
        <f t="shared" si="24"/>
        <v>376.16129032258067</v>
      </c>
      <c r="M80" s="429">
        <f t="shared" si="24"/>
        <v>391.20774193548391</v>
      </c>
      <c r="N80" s="429">
        <f t="shared" si="24"/>
        <v>406.85605161290329</v>
      </c>
      <c r="O80" s="430">
        <f t="shared" si="24"/>
        <v>420</v>
      </c>
    </row>
    <row r="81" spans="1:15" ht="6" customHeight="1">
      <c r="F81" s="119"/>
      <c r="G81" s="55"/>
      <c r="H81" s="55"/>
      <c r="I81" s="55"/>
      <c r="J81" s="55"/>
      <c r="K81" s="426"/>
      <c r="L81" s="426"/>
      <c r="M81" s="426"/>
      <c r="N81" s="252"/>
      <c r="O81" s="386"/>
    </row>
    <row r="82" spans="1:15">
      <c r="B82" s="117" t="s">
        <v>92</v>
      </c>
      <c r="F82" s="119"/>
      <c r="G82" s="55"/>
      <c r="H82" s="55"/>
      <c r="I82" s="55"/>
      <c r="J82" s="55"/>
      <c r="K82" s="426"/>
      <c r="L82" s="426"/>
      <c r="M82" s="426"/>
      <c r="N82" s="252"/>
      <c r="O82" s="386"/>
    </row>
    <row r="83" spans="1:15">
      <c r="C83" s="1" t="s">
        <v>102</v>
      </c>
      <c r="F83" s="119"/>
      <c r="G83" s="55"/>
      <c r="H83" s="417">
        <v>244.79999999999998</v>
      </c>
      <c r="I83" s="417">
        <v>269.3</v>
      </c>
      <c r="J83" s="417">
        <v>239.2</v>
      </c>
      <c r="K83" s="431">
        <f>K26</f>
        <v>289.35483870967738</v>
      </c>
      <c r="L83" s="431">
        <f t="shared" ref="L83:O83" si="25">L26</f>
        <v>272.716935483871</v>
      </c>
      <c r="M83" s="431">
        <f t="shared" si="25"/>
        <v>322.74638709677424</v>
      </c>
      <c r="N83" s="431">
        <f t="shared" si="25"/>
        <v>325.48484129032266</v>
      </c>
      <c r="O83" s="431">
        <f t="shared" si="25"/>
        <v>315</v>
      </c>
    </row>
    <row r="84" spans="1:15">
      <c r="C84" s="391" t="s">
        <v>87</v>
      </c>
      <c r="F84" s="119"/>
      <c r="G84" s="55"/>
      <c r="H84" s="432">
        <v>31.3</v>
      </c>
      <c r="I84" s="432">
        <v>32.700000000000003</v>
      </c>
      <c r="J84" s="432">
        <v>34.4</v>
      </c>
      <c r="K84" s="433">
        <f>K27</f>
        <v>36.892741935483869</v>
      </c>
      <c r="L84" s="433">
        <f t="shared" ref="L84:O84" ca="1" si="26">L27</f>
        <v>39.135820645161296</v>
      </c>
      <c r="M84" s="433">
        <f t="shared" ca="1" si="26"/>
        <v>41.515278540387101</v>
      </c>
      <c r="N84" s="433">
        <f t="shared" ca="1" si="26"/>
        <v>44.255286924052648</v>
      </c>
      <c r="O84" s="433">
        <f t="shared" ca="1" si="26"/>
        <v>46.827129509999992</v>
      </c>
    </row>
    <row r="85" spans="1:15">
      <c r="C85" s="117" t="s">
        <v>6</v>
      </c>
      <c r="F85" s="133"/>
      <c r="G85" s="55"/>
      <c r="H85" s="160">
        <f t="shared" ref="H85:O85" si="27">+H83-H84</f>
        <v>213.49999999999997</v>
      </c>
      <c r="I85" s="160">
        <f t="shared" si="27"/>
        <v>236.60000000000002</v>
      </c>
      <c r="J85" s="160">
        <f t="shared" si="27"/>
        <v>204.79999999999998</v>
      </c>
      <c r="K85" s="160">
        <f t="shared" si="27"/>
        <v>252.46209677419353</v>
      </c>
      <c r="L85" s="160">
        <f t="shared" ca="1" si="27"/>
        <v>233.58111483870971</v>
      </c>
      <c r="M85" s="160">
        <f t="shared" ca="1" si="27"/>
        <v>281.23110855638714</v>
      </c>
      <c r="N85" s="160">
        <f t="shared" ca="1" si="27"/>
        <v>281.22955436627001</v>
      </c>
      <c r="O85" s="160">
        <f t="shared" ca="1" si="27"/>
        <v>268.17287049000004</v>
      </c>
    </row>
    <row r="86" spans="1:15">
      <c r="F86" s="119"/>
      <c r="G86" s="55"/>
      <c r="H86" s="161"/>
      <c r="I86" s="161"/>
      <c r="J86" s="161"/>
      <c r="K86" s="434"/>
      <c r="L86" s="434"/>
      <c r="M86" s="434"/>
      <c r="N86" s="434"/>
      <c r="O86" s="423"/>
    </row>
    <row r="87" spans="1:15">
      <c r="C87" s="1" t="s">
        <v>103</v>
      </c>
      <c r="F87" s="119"/>
      <c r="G87" s="55"/>
      <c r="H87" s="435">
        <v>159.9</v>
      </c>
      <c r="I87" s="435">
        <v>164.6</v>
      </c>
      <c r="J87" s="435">
        <v>167.9</v>
      </c>
      <c r="K87" s="431">
        <f>K69</f>
        <v>174.68685483870968</v>
      </c>
      <c r="L87" s="431">
        <f t="shared" ref="L87:O87" ca="1" si="28">L69</f>
        <v>182.49261561290325</v>
      </c>
      <c r="M87" s="431">
        <f t="shared" ca="1" si="28"/>
        <v>190.71666264216776</v>
      </c>
      <c r="N87" s="431">
        <f t="shared" ca="1" si="28"/>
        <v>200.36067077655082</v>
      </c>
      <c r="O87" s="431">
        <f t="shared" ca="1" si="28"/>
        <v>209.56780061099997</v>
      </c>
    </row>
    <row r="88" spans="1:15">
      <c r="A88" s="404"/>
      <c r="C88" s="387" t="s">
        <v>104</v>
      </c>
      <c r="F88" s="119"/>
      <c r="G88" s="55"/>
      <c r="H88" s="436">
        <v>3.4</v>
      </c>
      <c r="I88" s="436">
        <v>3.6</v>
      </c>
      <c r="J88" s="436">
        <v>3.8</v>
      </c>
      <c r="K88" s="437">
        <f>Assumptions!E32</f>
        <v>3.9</v>
      </c>
      <c r="L88" s="433">
        <f ca="1">K88*(1+L40)</f>
        <v>3.9779999999999998</v>
      </c>
      <c r="M88" s="433">
        <f t="shared" ref="M88:O88" ca="1" si="29">L88*(1+M40)</f>
        <v>4.0575599999999996</v>
      </c>
      <c r="N88" s="433">
        <f t="shared" ca="1" si="29"/>
        <v>4.1589989999999997</v>
      </c>
      <c r="O88" s="433">
        <f t="shared" ca="1" si="29"/>
        <v>4.2629739749999995</v>
      </c>
    </row>
    <row r="89" spans="1:15">
      <c r="C89" s="118" t="s">
        <v>100</v>
      </c>
      <c r="F89" s="133"/>
      <c r="G89" s="55"/>
      <c r="H89" s="160">
        <f t="shared" ref="H89:O89" si="30">SUM(H87:H88)</f>
        <v>163.30000000000001</v>
      </c>
      <c r="I89" s="160">
        <f t="shared" si="30"/>
        <v>168.2</v>
      </c>
      <c r="J89" s="160">
        <f t="shared" si="30"/>
        <v>171.70000000000002</v>
      </c>
      <c r="K89" s="160">
        <f t="shared" si="30"/>
        <v>178.58685483870968</v>
      </c>
      <c r="L89" s="160">
        <f t="shared" ca="1" si="30"/>
        <v>186.47061561290326</v>
      </c>
      <c r="M89" s="160">
        <f t="shared" ca="1" si="30"/>
        <v>194.77422264216776</v>
      </c>
      <c r="N89" s="160">
        <f t="shared" ca="1" si="30"/>
        <v>204.51966977655081</v>
      </c>
      <c r="O89" s="160">
        <f t="shared" ca="1" si="30"/>
        <v>213.83077458599996</v>
      </c>
    </row>
    <row r="90" spans="1:15">
      <c r="C90" s="118"/>
      <c r="F90" s="133"/>
      <c r="G90" s="55"/>
      <c r="H90" s="162"/>
      <c r="I90" s="162"/>
      <c r="J90" s="162"/>
      <c r="K90" s="162"/>
      <c r="L90" s="162"/>
      <c r="M90" s="162"/>
      <c r="N90" s="162"/>
      <c r="O90" s="162"/>
    </row>
    <row r="91" spans="1:15">
      <c r="A91" s="404"/>
      <c r="C91" s="387" t="s">
        <v>60</v>
      </c>
      <c r="F91" s="119"/>
      <c r="G91" s="55"/>
      <c r="H91" s="436">
        <v>0</v>
      </c>
      <c r="I91" s="436">
        <v>0</v>
      </c>
      <c r="J91" s="436">
        <v>0</v>
      </c>
      <c r="K91" s="437">
        <f>Assumptions!J53</f>
        <v>0</v>
      </c>
      <c r="L91" s="437">
        <f>Assumptions!K53</f>
        <v>0</v>
      </c>
      <c r="M91" s="437">
        <f>Assumptions!L53</f>
        <v>0</v>
      </c>
      <c r="N91" s="437">
        <f>Assumptions!M53</f>
        <v>0</v>
      </c>
      <c r="O91" s="437">
        <f>Assumptions!N53</f>
        <v>0</v>
      </c>
    </row>
    <row r="92" spans="1:15">
      <c r="B92" s="117"/>
      <c r="C92" s="117" t="s">
        <v>10</v>
      </c>
      <c r="F92" s="133"/>
      <c r="H92" s="148">
        <f t="shared" ref="H92:O92" si="31">H85-H89+H91</f>
        <v>50.19999999999996</v>
      </c>
      <c r="I92" s="148">
        <f t="shared" si="31"/>
        <v>68.400000000000034</v>
      </c>
      <c r="J92" s="148">
        <f t="shared" si="31"/>
        <v>33.099999999999966</v>
      </c>
      <c r="K92" s="148">
        <f t="shared" si="31"/>
        <v>73.875241935483842</v>
      </c>
      <c r="L92" s="148">
        <f t="shared" ca="1" si="31"/>
        <v>47.11049922580645</v>
      </c>
      <c r="M92" s="148">
        <f t="shared" ca="1" si="31"/>
        <v>86.456885914219384</v>
      </c>
      <c r="N92" s="148">
        <f t="shared" ca="1" si="31"/>
        <v>76.709884589719195</v>
      </c>
      <c r="O92" s="148">
        <f t="shared" ca="1" si="31"/>
        <v>54.342095904000075</v>
      </c>
    </row>
    <row r="93" spans="1:15">
      <c r="F93" s="119"/>
      <c r="H93" s="420"/>
      <c r="I93" s="420"/>
      <c r="J93" s="438"/>
      <c r="K93" s="438"/>
      <c r="L93" s="438"/>
      <c r="M93" s="438"/>
      <c r="N93" s="438"/>
      <c r="O93" s="438"/>
    </row>
    <row r="94" spans="1:15">
      <c r="C94" s="1" t="s">
        <v>105</v>
      </c>
      <c r="F94" s="119"/>
      <c r="H94" s="439">
        <v>15.4</v>
      </c>
      <c r="I94" s="439">
        <v>15.5</v>
      </c>
      <c r="J94" s="439">
        <v>15.8</v>
      </c>
      <c r="K94" s="419">
        <f>K215</f>
        <v>16.174666666666667</v>
      </c>
      <c r="L94" s="419">
        <f t="shared" ref="L94:O94" si="32">L215</f>
        <v>16.724666666666668</v>
      </c>
      <c r="M94" s="419">
        <f t="shared" si="32"/>
        <v>17.296333333333333</v>
      </c>
      <c r="N94" s="419">
        <f t="shared" si="32"/>
        <v>17.876333333333335</v>
      </c>
      <c r="O94" s="419">
        <f t="shared" si="32"/>
        <v>18.468</v>
      </c>
    </row>
    <row r="95" spans="1:15">
      <c r="C95" s="118" t="s">
        <v>106</v>
      </c>
      <c r="F95" s="133"/>
      <c r="H95" s="148">
        <f t="shared" ref="H95:I95" si="33">H92-H94</f>
        <v>34.799999999999962</v>
      </c>
      <c r="I95" s="148">
        <f t="shared" si="33"/>
        <v>52.900000000000034</v>
      </c>
      <c r="J95" s="148">
        <f>J92-J94</f>
        <v>17.299999999999965</v>
      </c>
      <c r="K95" s="148">
        <f t="shared" ref="K95:O95" si="34">K92-K94</f>
        <v>57.700575268817175</v>
      </c>
      <c r="L95" s="148">
        <f t="shared" ca="1" si="34"/>
        <v>30.385832559139782</v>
      </c>
      <c r="M95" s="148">
        <f t="shared" ca="1" si="34"/>
        <v>69.160552580886048</v>
      </c>
      <c r="N95" s="148">
        <f t="shared" ca="1" si="34"/>
        <v>58.83355125638586</v>
      </c>
      <c r="O95" s="148">
        <f t="shared" ca="1" si="34"/>
        <v>35.874095904000072</v>
      </c>
    </row>
    <row r="96" spans="1:15" ht="6" customHeight="1">
      <c r="C96" s="118"/>
      <c r="F96" s="133"/>
      <c r="H96" s="149"/>
      <c r="I96" s="149"/>
      <c r="J96" s="149"/>
      <c r="K96" s="149"/>
      <c r="L96" s="149"/>
      <c r="M96" s="149"/>
      <c r="N96" s="149"/>
      <c r="O96" s="149"/>
    </row>
    <row r="97" spans="2:16">
      <c r="C97" s="391" t="s">
        <v>107</v>
      </c>
      <c r="F97" s="119"/>
      <c r="H97" s="432">
        <v>15</v>
      </c>
      <c r="I97" s="432">
        <v>15</v>
      </c>
      <c r="J97" s="432">
        <v>14</v>
      </c>
      <c r="K97" s="419">
        <f ca="1">K322</f>
        <v>11.266365835715913</v>
      </c>
      <c r="L97" s="419">
        <f t="shared" ref="L97:O97" ca="1" si="35">L322</f>
        <v>9.959564964131312</v>
      </c>
      <c r="M97" s="419">
        <f t="shared" ca="1" si="35"/>
        <v>8.4387023231594593</v>
      </c>
      <c r="N97" s="419">
        <f t="shared" ca="1" si="35"/>
        <v>6.7600926776362122</v>
      </c>
      <c r="O97" s="419">
        <f t="shared" ca="1" si="35"/>
        <v>5.4851491745997638</v>
      </c>
    </row>
    <row r="98" spans="2:16">
      <c r="C98" s="127" t="s">
        <v>108</v>
      </c>
      <c r="F98" s="133"/>
      <c r="H98" s="418">
        <f t="shared" ref="H98:O98" si="36">H95-H97</f>
        <v>19.799999999999962</v>
      </c>
      <c r="I98" s="418">
        <f t="shared" si="36"/>
        <v>37.900000000000034</v>
      </c>
      <c r="J98" s="418">
        <f t="shared" si="36"/>
        <v>3.2999999999999652</v>
      </c>
      <c r="K98" s="418">
        <f t="shared" ca="1" si="36"/>
        <v>46.434209433101259</v>
      </c>
      <c r="L98" s="418">
        <f t="shared" ca="1" si="36"/>
        <v>20.426267595008468</v>
      </c>
      <c r="M98" s="418">
        <f t="shared" ca="1" si="36"/>
        <v>60.721850257726587</v>
      </c>
      <c r="N98" s="418">
        <f t="shared" ca="1" si="36"/>
        <v>52.073458578749651</v>
      </c>
      <c r="O98" s="418">
        <f t="shared" ca="1" si="36"/>
        <v>30.38894672940031</v>
      </c>
    </row>
    <row r="99" spans="2:16" ht="6" customHeight="1">
      <c r="C99" s="118"/>
      <c r="F99" s="133"/>
      <c r="H99" s="163"/>
      <c r="I99" s="163"/>
      <c r="J99" s="163"/>
      <c r="K99" s="163"/>
      <c r="L99" s="149"/>
      <c r="M99" s="148"/>
      <c r="N99" s="148"/>
      <c r="O99" s="149"/>
    </row>
    <row r="100" spans="2:16">
      <c r="C100" s="1" t="s">
        <v>109</v>
      </c>
      <c r="F100" s="119"/>
      <c r="H100" s="417">
        <v>3</v>
      </c>
      <c r="I100" s="417">
        <v>8</v>
      </c>
      <c r="J100" s="417">
        <v>0</v>
      </c>
      <c r="K100" s="418">
        <f ca="1">K237</f>
        <v>14.501973301585439</v>
      </c>
      <c r="L100" s="418">
        <f t="shared" ref="L100:O100" ca="1" si="37">L237</f>
        <v>5.3991936582529636</v>
      </c>
      <c r="M100" s="418">
        <f t="shared" ca="1" si="37"/>
        <v>19.502647590204305</v>
      </c>
      <c r="N100" s="418">
        <f t="shared" ca="1" si="37"/>
        <v>16.475710502562379</v>
      </c>
      <c r="O100" s="418">
        <f t="shared" ca="1" si="37"/>
        <v>8.8861313552901073</v>
      </c>
    </row>
    <row r="101" spans="2:16">
      <c r="C101" s="1" t="s">
        <v>110</v>
      </c>
      <c r="F101" s="119"/>
      <c r="H101" s="432">
        <v>2.7</v>
      </c>
      <c r="I101" s="432">
        <v>6.2</v>
      </c>
      <c r="J101" s="417">
        <v>1.1000000000000001</v>
      </c>
      <c r="K101" s="418">
        <f ca="1">K238</f>
        <v>1.7500000000000018</v>
      </c>
      <c r="L101" s="418">
        <f t="shared" ref="L101:O101" ca="1" si="38">L238</f>
        <v>1.75</v>
      </c>
      <c r="M101" s="418">
        <f t="shared" ca="1" si="38"/>
        <v>1.75</v>
      </c>
      <c r="N101" s="418">
        <f t="shared" ca="1" si="38"/>
        <v>1.7499999999999964</v>
      </c>
      <c r="O101" s="418">
        <f t="shared" ca="1" si="38"/>
        <v>1.75</v>
      </c>
    </row>
    <row r="102" spans="2:16">
      <c r="C102" s="117" t="s">
        <v>111</v>
      </c>
      <c r="F102" s="133"/>
      <c r="H102" s="440">
        <f t="shared" ref="H102:N102" si="39">SUM(H100:H101)</f>
        <v>5.7</v>
      </c>
      <c r="I102" s="440">
        <f t="shared" si="39"/>
        <v>14.2</v>
      </c>
      <c r="J102" s="546">
        <f t="shared" si="39"/>
        <v>1.1000000000000001</v>
      </c>
      <c r="K102" s="546">
        <f ca="1">SUM(K100:K101)</f>
        <v>16.251973301585441</v>
      </c>
      <c r="L102" s="546">
        <f t="shared" ca="1" si="39"/>
        <v>7.1491936582529636</v>
      </c>
      <c r="M102" s="546">
        <f t="shared" ca="1" si="39"/>
        <v>21.252647590204305</v>
      </c>
      <c r="N102" s="546">
        <f t="shared" ca="1" si="39"/>
        <v>18.225710502562375</v>
      </c>
      <c r="O102" s="546">
        <f ca="1">SUM(O100:O101)</f>
        <v>10.636131355290107</v>
      </c>
    </row>
    <row r="103" spans="2:16">
      <c r="F103" s="119"/>
    </row>
    <row r="104" spans="2:16" ht="15" thickBot="1">
      <c r="C104" s="164" t="s">
        <v>12</v>
      </c>
      <c r="D104" s="117"/>
      <c r="E104" s="117"/>
      <c r="F104" s="133"/>
      <c r="H104" s="165">
        <f t="shared" ref="H104:O104" si="40">H98-H102</f>
        <v>14.099999999999962</v>
      </c>
      <c r="I104" s="165">
        <f t="shared" si="40"/>
        <v>23.700000000000035</v>
      </c>
      <c r="J104" s="165">
        <f t="shared" si="40"/>
        <v>2.1999999999999651</v>
      </c>
      <c r="K104" s="165">
        <f ca="1">K98-K102</f>
        <v>30.182236131515818</v>
      </c>
      <c r="L104" s="165">
        <f t="shared" ca="1" si="40"/>
        <v>13.277073936755505</v>
      </c>
      <c r="M104" s="165">
        <f t="shared" ca="1" si="40"/>
        <v>39.469202667522282</v>
      </c>
      <c r="N104" s="165">
        <f t="shared" ca="1" si="40"/>
        <v>33.847748076187273</v>
      </c>
      <c r="O104" s="165">
        <f t="shared" ca="1" si="40"/>
        <v>19.752815374110202</v>
      </c>
    </row>
    <row r="105" spans="2:16" ht="15" thickTop="1">
      <c r="C105" s="167"/>
      <c r="F105" s="1"/>
      <c r="H105" s="166"/>
      <c r="I105" s="166"/>
      <c r="J105" s="166"/>
      <c r="K105" s="166"/>
      <c r="L105" s="166"/>
      <c r="M105" s="166"/>
      <c r="N105" s="166"/>
      <c r="O105" s="166"/>
    </row>
    <row r="106" spans="2:16">
      <c r="H106" s="425"/>
      <c r="I106" s="425"/>
      <c r="J106" s="425"/>
      <c r="K106" s="441"/>
      <c r="L106" s="441"/>
      <c r="M106" s="441"/>
      <c r="N106" s="441"/>
      <c r="O106" s="441"/>
    </row>
    <row r="107" spans="2:16">
      <c r="B107" s="168" t="s">
        <v>112</v>
      </c>
      <c r="C107" s="442"/>
      <c r="D107" s="442"/>
      <c r="E107" s="442"/>
      <c r="F107" s="169"/>
      <c r="G107" s="442"/>
      <c r="H107" s="443"/>
      <c r="I107" s="443"/>
      <c r="J107" s="443"/>
      <c r="K107" s="443"/>
      <c r="L107" s="443"/>
      <c r="M107" s="443"/>
      <c r="N107" s="443"/>
      <c r="O107" s="444"/>
    </row>
    <row r="108" spans="2:16">
      <c r="B108" s="445"/>
      <c r="C108" s="1" t="s">
        <v>113</v>
      </c>
      <c r="H108" s="83">
        <f t="shared" ref="H108:I108" si="41">H92/H85</f>
        <v>0.23512880562060876</v>
      </c>
      <c r="I108" s="83">
        <f t="shared" si="41"/>
        <v>0.28909551986475074</v>
      </c>
      <c r="J108" s="83">
        <f>J92/J85</f>
        <v>0.16162109374999983</v>
      </c>
      <c r="K108" s="83">
        <f t="shared" ref="K108:O108" si="42">K92/K85</f>
        <v>0.29261914116778937</v>
      </c>
      <c r="L108" s="83">
        <f t="shared" ca="1" si="42"/>
        <v>0.20168796290888824</v>
      </c>
      <c r="M108" s="83">
        <f t="shared" ca="1" si="42"/>
        <v>0.30742291049528286</v>
      </c>
      <c r="N108" s="83">
        <f t="shared" ca="1" si="42"/>
        <v>0.27276608520956924</v>
      </c>
      <c r="O108" s="170">
        <f t="shared" ca="1" si="42"/>
        <v>0.20263830492885912</v>
      </c>
      <c r="P108" s="171"/>
    </row>
    <row r="109" spans="2:16">
      <c r="B109" s="445"/>
      <c r="C109" s="1" t="s">
        <v>114</v>
      </c>
      <c r="F109" s="172"/>
      <c r="H109" s="83">
        <f t="shared" ref="H109:J109" si="43">H95/H85</f>
        <v>0.16299765807962513</v>
      </c>
      <c r="I109" s="83">
        <f t="shared" si="43"/>
        <v>0.22358410819949293</v>
      </c>
      <c r="J109" s="83">
        <f t="shared" si="43"/>
        <v>8.4472656249999833E-2</v>
      </c>
      <c r="K109" s="83">
        <f t="shared" ref="K109:O109" si="44">K95/K85</f>
        <v>0.22855143804190761</v>
      </c>
      <c r="L109" s="83">
        <f t="shared" ca="1" si="44"/>
        <v>0.13008685475331142</v>
      </c>
      <c r="M109" s="83">
        <f t="shared" ca="1" si="44"/>
        <v>0.24592070534408636</v>
      </c>
      <c r="N109" s="83">
        <f t="shared" ca="1" si="44"/>
        <v>0.20920116802433128</v>
      </c>
      <c r="O109" s="170">
        <f t="shared" ca="1" si="44"/>
        <v>0.13377227845028339</v>
      </c>
    </row>
    <row r="110" spans="2:16">
      <c r="B110" s="446"/>
      <c r="C110" s="408" t="s">
        <v>115</v>
      </c>
      <c r="D110" s="408"/>
      <c r="E110" s="408"/>
      <c r="F110" s="173"/>
      <c r="G110" s="408"/>
      <c r="H110" s="174"/>
      <c r="I110" s="174"/>
      <c r="J110" s="175">
        <f>J104/J184</f>
        <v>8.5106382978722053E-3</v>
      </c>
      <c r="K110" s="175">
        <f ca="1">K104/K184</f>
        <v>0.10678466588312641</v>
      </c>
      <c r="L110" s="175">
        <f t="shared" ref="L110:O110" ca="1" si="45">L104/L184</f>
        <v>4.5272920758265778E-2</v>
      </c>
      <c r="M110" s="175">
        <f t="shared" ca="1" si="45"/>
        <v>0.12150246651481275</v>
      </c>
      <c r="N110" s="175">
        <f t="shared" ca="1" si="45"/>
        <v>9.6179958696044204E-2</v>
      </c>
      <c r="O110" s="176">
        <f t="shared" ca="1" si="45"/>
        <v>5.3716524005416592E-2</v>
      </c>
    </row>
    <row r="111" spans="2:16">
      <c r="B111" s="408"/>
      <c r="C111" s="408"/>
      <c r="D111" s="408"/>
      <c r="E111" s="408"/>
      <c r="F111" s="408"/>
      <c r="G111" s="408"/>
      <c r="H111" s="408"/>
      <c r="I111" s="408"/>
      <c r="J111" s="408"/>
      <c r="K111" s="408"/>
      <c r="L111" s="408"/>
      <c r="M111" s="408"/>
      <c r="N111" s="408"/>
      <c r="O111" s="408"/>
    </row>
    <row r="112" spans="2:16">
      <c r="C112" s="177"/>
      <c r="F112" s="172"/>
      <c r="H112" s="447"/>
      <c r="I112" s="447"/>
      <c r="J112" s="447"/>
      <c r="K112" s="447"/>
      <c r="L112" s="447"/>
      <c r="M112" s="447"/>
      <c r="N112" s="447"/>
      <c r="O112" s="447"/>
    </row>
    <row r="113" spans="1:15" ht="12.75" customHeight="1">
      <c r="A113" s="107"/>
      <c r="B113" s="108"/>
      <c r="C113" s="379"/>
      <c r="D113" s="379"/>
      <c r="E113" s="379"/>
      <c r="F113" s="104"/>
      <c r="G113" s="379"/>
      <c r="H113" s="379"/>
      <c r="I113" s="379"/>
      <c r="J113" s="379"/>
      <c r="K113" s="379"/>
      <c r="L113" s="379"/>
      <c r="M113" s="379"/>
      <c r="N113" s="379"/>
      <c r="O113" s="139" t="str">
        <f>$O$1</f>
        <v>CURRENTLY RUNNING: BASE CASE SCENARIO</v>
      </c>
    </row>
    <row r="114" spans="1:15" ht="23.25">
      <c r="B114" s="108" t="str">
        <f>B$2</f>
        <v>Blue Containers Company</v>
      </c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79"/>
      <c r="N114" s="379"/>
      <c r="O114" s="379"/>
    </row>
    <row r="115" spans="1:15" ht="18">
      <c r="B115" s="110" t="s">
        <v>61</v>
      </c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</row>
    <row r="116" spans="1:15" ht="3" customHeight="1" thickBot="1">
      <c r="A116" s="109"/>
      <c r="B116" s="111"/>
      <c r="C116" s="382"/>
      <c r="D116" s="382"/>
      <c r="E116" s="382"/>
      <c r="F116" s="383"/>
      <c r="G116" s="382"/>
      <c r="H116" s="382"/>
      <c r="I116" s="382"/>
      <c r="J116" s="382"/>
      <c r="K116" s="382"/>
      <c r="L116" s="382"/>
      <c r="M116" s="382"/>
      <c r="N116" s="382"/>
      <c r="O116" s="382"/>
    </row>
    <row r="117" spans="1:15">
      <c r="B117" s="158" t="s">
        <v>3</v>
      </c>
      <c r="F117" s="1"/>
    </row>
    <row r="118" spans="1:15">
      <c r="F118" s="1"/>
      <c r="K118" s="114" t="s">
        <v>2</v>
      </c>
      <c r="L118" s="384"/>
      <c r="M118" s="384"/>
      <c r="N118" s="384"/>
      <c r="O118" s="384"/>
    </row>
    <row r="119" spans="1:15">
      <c r="B119" s="178"/>
      <c r="F119" s="448"/>
      <c r="G119" s="179"/>
      <c r="H119" s="116">
        <f t="shared" ref="H119:J119" si="46">H$7</f>
        <v>2022</v>
      </c>
      <c r="I119" s="116">
        <f t="shared" si="46"/>
        <v>2023</v>
      </c>
      <c r="J119" s="116">
        <f t="shared" si="46"/>
        <v>2024</v>
      </c>
      <c r="K119" s="180">
        <f>K$7</f>
        <v>2025</v>
      </c>
      <c r="L119" s="180">
        <f>L$7</f>
        <v>2026</v>
      </c>
      <c r="M119" s="180">
        <f>M$7</f>
        <v>2027</v>
      </c>
      <c r="N119" s="180">
        <f>N$7</f>
        <v>2028</v>
      </c>
      <c r="O119" s="180">
        <f>O$7</f>
        <v>2029</v>
      </c>
    </row>
    <row r="120" spans="1:15">
      <c r="B120" s="117" t="s">
        <v>205</v>
      </c>
      <c r="F120" s="549" t="s">
        <v>208</v>
      </c>
      <c r="G120" s="549"/>
      <c r="H120" s="549"/>
      <c r="I120" s="549"/>
      <c r="J120" s="549"/>
    </row>
    <row r="121" spans="1:15">
      <c r="C121" s="1" t="s">
        <v>12</v>
      </c>
      <c r="F121" s="1"/>
      <c r="G121" s="449"/>
      <c r="H121" s="450">
        <v>14.099999999999962</v>
      </c>
      <c r="I121" s="450">
        <v>23.700000000000035</v>
      </c>
      <c r="J121" s="450">
        <v>2.2000000000000002</v>
      </c>
      <c r="K121" s="451">
        <f ca="1">K104</f>
        <v>30.182236131515818</v>
      </c>
      <c r="L121" s="451">
        <f t="shared" ref="L121:O121" ca="1" si="47">L104</f>
        <v>13.277073936755505</v>
      </c>
      <c r="M121" s="451">
        <f t="shared" ca="1" si="47"/>
        <v>39.469202667522282</v>
      </c>
      <c r="N121" s="451">
        <f t="shared" ca="1" si="47"/>
        <v>33.847748076187273</v>
      </c>
      <c r="O121" s="451">
        <f t="shared" ca="1" si="47"/>
        <v>19.752815374110202</v>
      </c>
    </row>
    <row r="122" spans="1:15">
      <c r="C122" s="1" t="s">
        <v>116</v>
      </c>
      <c r="F122" s="1"/>
      <c r="G122" s="449"/>
      <c r="H122" s="450">
        <v>15.4</v>
      </c>
      <c r="I122" s="450">
        <v>15.5</v>
      </c>
      <c r="J122" s="450">
        <v>15.8</v>
      </c>
      <c r="K122" s="451">
        <f>K215</f>
        <v>16.174666666666667</v>
      </c>
      <c r="L122" s="451">
        <f t="shared" ref="L122:O122" si="48">L215</f>
        <v>16.724666666666668</v>
      </c>
      <c r="M122" s="451">
        <f t="shared" si="48"/>
        <v>17.296333333333333</v>
      </c>
      <c r="N122" s="451">
        <f t="shared" si="48"/>
        <v>17.876333333333335</v>
      </c>
      <c r="O122" s="451">
        <f t="shared" si="48"/>
        <v>18.468</v>
      </c>
    </row>
    <row r="123" spans="1:15">
      <c r="C123" s="1" t="s">
        <v>110</v>
      </c>
      <c r="F123" s="1"/>
      <c r="G123" s="449"/>
      <c r="H123" s="450">
        <v>2.7</v>
      </c>
      <c r="I123" s="450">
        <v>6.2</v>
      </c>
      <c r="J123" s="450">
        <v>1.1000000000000001</v>
      </c>
      <c r="K123" s="451">
        <f ca="1">K101</f>
        <v>1.7500000000000018</v>
      </c>
      <c r="L123" s="451">
        <f t="shared" ref="L123:O123" ca="1" si="49">L101</f>
        <v>1.75</v>
      </c>
      <c r="M123" s="451">
        <f t="shared" ca="1" si="49"/>
        <v>1.75</v>
      </c>
      <c r="N123" s="451">
        <f t="shared" ca="1" si="49"/>
        <v>1.7499999999999964</v>
      </c>
      <c r="O123" s="451">
        <f t="shared" ca="1" si="49"/>
        <v>1.75</v>
      </c>
    </row>
    <row r="124" spans="1:15">
      <c r="C124" s="1" t="s">
        <v>117</v>
      </c>
      <c r="F124" s="1"/>
      <c r="G124" s="452"/>
      <c r="H124" s="182">
        <v>0</v>
      </c>
      <c r="I124" s="182">
        <v>0</v>
      </c>
      <c r="J124" s="453">
        <v>0</v>
      </c>
      <c r="K124" s="419">
        <f>K275</f>
        <v>-2.0659834290764323</v>
      </c>
      <c r="L124" s="419">
        <f t="shared" ref="L124:O124" ca="1" si="50">L275</f>
        <v>6.4092310939460759</v>
      </c>
      <c r="M124" s="419">
        <f t="shared" ca="1" si="50"/>
        <v>-1.1310855713592147</v>
      </c>
      <c r="N124" s="419">
        <f t="shared" ca="1" si="50"/>
        <v>-0.98727416466475404</v>
      </c>
      <c r="O124" s="419">
        <f t="shared" ca="1" si="50"/>
        <v>3.0682867483652956</v>
      </c>
    </row>
    <row r="125" spans="1:15">
      <c r="C125" s="118" t="s">
        <v>118</v>
      </c>
      <c r="F125" s="1"/>
      <c r="G125" s="149"/>
      <c r="H125" s="454">
        <f t="shared" ref="H125:O125" si="51">SUM(H121:H124)</f>
        <v>32.199999999999967</v>
      </c>
      <c r="I125" s="454">
        <f t="shared" si="51"/>
        <v>45.400000000000034</v>
      </c>
      <c r="J125" s="454">
        <f t="shared" si="51"/>
        <v>19.100000000000001</v>
      </c>
      <c r="K125" s="454">
        <f ca="1">SUM(K121:K124)</f>
        <v>46.040919369106057</v>
      </c>
      <c r="L125" s="454">
        <f t="shared" ca="1" si="51"/>
        <v>38.160971697368247</v>
      </c>
      <c r="M125" s="454">
        <f t="shared" ca="1" si="51"/>
        <v>57.384450429496404</v>
      </c>
      <c r="N125" s="454">
        <f t="shared" ca="1" si="51"/>
        <v>52.486807244855854</v>
      </c>
      <c r="O125" s="454">
        <f t="shared" ca="1" si="51"/>
        <v>43.039102122475498</v>
      </c>
    </row>
    <row r="126" spans="1:15">
      <c r="B126" s="387"/>
      <c r="F126" s="1"/>
      <c r="G126" s="425"/>
      <c r="H126" s="455"/>
      <c r="I126" s="455"/>
      <c r="J126" s="455"/>
      <c r="K126" s="455"/>
      <c r="L126" s="455"/>
      <c r="M126" s="455"/>
      <c r="N126" s="455"/>
      <c r="O126" s="455"/>
    </row>
    <row r="127" spans="1:15">
      <c r="B127" s="387"/>
      <c r="F127" s="1"/>
      <c r="G127" s="425"/>
      <c r="H127" s="455"/>
      <c r="I127" s="455"/>
      <c r="J127" s="455"/>
      <c r="K127" s="455"/>
      <c r="L127" s="455"/>
      <c r="M127" s="455"/>
      <c r="N127" s="455"/>
      <c r="O127" s="455"/>
    </row>
    <row r="128" spans="1:15">
      <c r="B128" s="117" t="s">
        <v>206</v>
      </c>
      <c r="F128" s="549" t="s">
        <v>210</v>
      </c>
      <c r="G128" s="550"/>
      <c r="H128" s="551"/>
      <c r="I128" s="551"/>
      <c r="J128" s="551"/>
      <c r="K128" s="552"/>
      <c r="L128" s="449"/>
      <c r="M128" s="449"/>
      <c r="N128" s="449"/>
      <c r="O128" s="449"/>
    </row>
    <row r="129" spans="1:15">
      <c r="C129" s="1" t="s">
        <v>119</v>
      </c>
      <c r="H129" s="456">
        <v>-14.1</v>
      </c>
      <c r="I129" s="456">
        <v>-15</v>
      </c>
      <c r="J129" s="456">
        <v>-15.5</v>
      </c>
      <c r="K129" s="146">
        <f>-Assumptions!J58</f>
        <v>-16</v>
      </c>
      <c r="L129" s="146">
        <f>-Assumptions!K58</f>
        <v>-17</v>
      </c>
      <c r="M129" s="146">
        <f>-Assumptions!L58</f>
        <v>-17.3</v>
      </c>
      <c r="N129" s="146">
        <f>-Assumptions!M58</f>
        <v>-17.5</v>
      </c>
      <c r="O129" s="146">
        <f>-Assumptions!N58</f>
        <v>-18</v>
      </c>
    </row>
    <row r="130" spans="1:15">
      <c r="C130" s="1" t="s">
        <v>120</v>
      </c>
      <c r="H130" s="439">
        <v>-5</v>
      </c>
      <c r="I130" s="439">
        <v>4</v>
      </c>
      <c r="J130" s="439">
        <v>3</v>
      </c>
      <c r="K130" s="437">
        <f>Assumptions!J56</f>
        <v>0</v>
      </c>
      <c r="L130" s="437">
        <f>Assumptions!K56</f>
        <v>0</v>
      </c>
      <c r="M130" s="437">
        <f>Assumptions!L56</f>
        <v>0</v>
      </c>
      <c r="N130" s="437">
        <f>Assumptions!M56</f>
        <v>0</v>
      </c>
      <c r="O130" s="437">
        <f>Assumptions!N56</f>
        <v>0</v>
      </c>
    </row>
    <row r="131" spans="1:15">
      <c r="A131" s="117"/>
      <c r="C131" s="117" t="s">
        <v>121</v>
      </c>
      <c r="F131" s="1"/>
      <c r="G131" s="149"/>
      <c r="H131" s="183">
        <f t="shared" ref="H131:I131" si="52">SUM(H129:H130)</f>
        <v>-19.100000000000001</v>
      </c>
      <c r="I131" s="183">
        <f t="shared" si="52"/>
        <v>-11</v>
      </c>
      <c r="J131" s="183">
        <f>SUM(J129:J130)</f>
        <v>-12.5</v>
      </c>
      <c r="K131" s="183">
        <f t="shared" ref="K131:O131" si="53">SUM(K129:K130)</f>
        <v>-16</v>
      </c>
      <c r="L131" s="183">
        <f t="shared" si="53"/>
        <v>-17</v>
      </c>
      <c r="M131" s="183">
        <f t="shared" si="53"/>
        <v>-17.3</v>
      </c>
      <c r="N131" s="183">
        <f t="shared" si="53"/>
        <v>-17.5</v>
      </c>
      <c r="O131" s="183">
        <f t="shared" si="53"/>
        <v>-18</v>
      </c>
    </row>
    <row r="132" spans="1:15">
      <c r="A132" s="117"/>
      <c r="B132" s="127"/>
      <c r="F132" s="1"/>
      <c r="G132" s="149"/>
      <c r="H132" s="457"/>
      <c r="I132" s="457"/>
      <c r="J132" s="458"/>
      <c r="K132" s="459"/>
      <c r="L132" s="459"/>
      <c r="M132" s="459"/>
      <c r="N132" s="459"/>
      <c r="O132" s="459"/>
    </row>
    <row r="133" spans="1:15">
      <c r="A133" s="117"/>
      <c r="B133" s="127"/>
      <c r="F133" s="1"/>
      <c r="G133" s="149"/>
      <c r="H133" s="457"/>
      <c r="I133" s="457"/>
      <c r="J133" s="457"/>
      <c r="K133" s="459"/>
      <c r="L133" s="459"/>
      <c r="M133" s="459"/>
      <c r="N133" s="459"/>
      <c r="O133" s="459"/>
    </row>
    <row r="134" spans="1:15">
      <c r="A134" s="117"/>
      <c r="B134" s="127" t="s">
        <v>207</v>
      </c>
      <c r="F134" s="549" t="s">
        <v>209</v>
      </c>
      <c r="G134" s="149"/>
      <c r="H134" s="460"/>
      <c r="I134" s="460"/>
      <c r="J134" s="460"/>
      <c r="K134" s="461"/>
      <c r="L134" s="461"/>
      <c r="M134" s="461"/>
      <c r="N134" s="461"/>
      <c r="O134" s="461"/>
    </row>
    <row r="135" spans="1:15">
      <c r="A135" s="117"/>
      <c r="B135" s="127"/>
      <c r="C135" s="1" t="s">
        <v>122</v>
      </c>
      <c r="F135" s="1"/>
      <c r="G135" s="149"/>
      <c r="H135" s="456">
        <v>0</v>
      </c>
      <c r="I135" s="456">
        <v>0</v>
      </c>
      <c r="J135" s="456">
        <v>0</v>
      </c>
      <c r="K135" s="451">
        <f ca="1">K306</f>
        <v>0.69552785719710353</v>
      </c>
      <c r="L135" s="451">
        <f t="shared" ref="L135:O135" ca="1" si="54">L306</f>
        <v>5.8944430899828504</v>
      </c>
      <c r="M135" s="451">
        <f t="shared" ca="1" si="54"/>
        <v>-6.5899709471799541</v>
      </c>
      <c r="N135" s="451">
        <f t="shared" ca="1" si="54"/>
        <v>0</v>
      </c>
      <c r="O135" s="451">
        <f t="shared" ca="1" si="54"/>
        <v>6.5293575307769371</v>
      </c>
    </row>
    <row r="136" spans="1:15">
      <c r="A136" s="117"/>
      <c r="B136" s="127"/>
      <c r="C136" s="1" t="s">
        <v>123</v>
      </c>
      <c r="F136" s="1"/>
      <c r="G136" s="149"/>
      <c r="H136" s="456">
        <v>-25</v>
      </c>
      <c r="I136" s="456">
        <v>-25</v>
      </c>
      <c r="J136" s="456">
        <v>-25</v>
      </c>
      <c r="K136" s="451">
        <f>K315</f>
        <v>-25</v>
      </c>
      <c r="L136" s="451">
        <f t="shared" ref="L136:O136" si="55">L315</f>
        <v>-25</v>
      </c>
      <c r="M136" s="451">
        <f t="shared" si="55"/>
        <v>-25</v>
      </c>
      <c r="N136" s="451">
        <f t="shared" si="55"/>
        <v>-25</v>
      </c>
      <c r="O136" s="451">
        <f t="shared" si="55"/>
        <v>-25</v>
      </c>
    </row>
    <row r="137" spans="1:15">
      <c r="A137" s="117"/>
      <c r="B137" s="127"/>
      <c r="C137" s="1" t="s">
        <v>124</v>
      </c>
      <c r="F137" s="1"/>
      <c r="G137" s="149"/>
      <c r="H137" s="456">
        <v>0</v>
      </c>
      <c r="I137" s="456">
        <v>0</v>
      </c>
      <c r="J137" s="456">
        <v>0</v>
      </c>
      <c r="K137" s="451">
        <f>K335</f>
        <v>0</v>
      </c>
      <c r="L137" s="451">
        <f t="shared" ref="L137:O137" si="56">L335</f>
        <v>0</v>
      </c>
      <c r="M137" s="451">
        <f t="shared" si="56"/>
        <v>0</v>
      </c>
      <c r="N137" s="451">
        <f t="shared" si="56"/>
        <v>0</v>
      </c>
      <c r="O137" s="451">
        <f t="shared" si="56"/>
        <v>0</v>
      </c>
    </row>
    <row r="138" spans="1:15">
      <c r="A138" s="117"/>
      <c r="B138" s="127"/>
      <c r="C138" s="1" t="s">
        <v>125</v>
      </c>
      <c r="F138" s="1"/>
      <c r="G138" s="149"/>
      <c r="H138" s="439">
        <v>-2.8</v>
      </c>
      <c r="I138" s="439">
        <v>-4.7</v>
      </c>
      <c r="J138" s="439">
        <v>-2.4</v>
      </c>
      <c r="K138" s="451">
        <f ca="1">K346</f>
        <v>-6.0364472263031637</v>
      </c>
      <c r="L138" s="451">
        <f t="shared" ref="L138:O138" ca="1" si="57">L346</f>
        <v>-2.6554147873511011</v>
      </c>
      <c r="M138" s="451">
        <f t="shared" ca="1" si="57"/>
        <v>-7.8938405335044566</v>
      </c>
      <c r="N138" s="451">
        <f t="shared" ca="1" si="57"/>
        <v>-6.7695496152374552</v>
      </c>
      <c r="O138" s="451">
        <f t="shared" ca="1" si="57"/>
        <v>-3.9505630748220408</v>
      </c>
    </row>
    <row r="139" spans="1:15">
      <c r="A139" s="117"/>
      <c r="B139" s="127"/>
      <c r="C139" s="117" t="s">
        <v>126</v>
      </c>
      <c r="F139" s="1"/>
      <c r="G139" s="149"/>
      <c r="H139" s="183">
        <f t="shared" ref="H139:O139" si="58">SUM(H135:H138)</f>
        <v>-27.8</v>
      </c>
      <c r="I139" s="183">
        <f t="shared" si="58"/>
        <v>-29.7</v>
      </c>
      <c r="J139" s="183">
        <f t="shared" si="58"/>
        <v>-27.4</v>
      </c>
      <c r="K139" s="183">
        <f t="shared" ca="1" si="58"/>
        <v>-30.340919369106061</v>
      </c>
      <c r="L139" s="183">
        <f t="shared" ca="1" si="58"/>
        <v>-21.760971697368252</v>
      </c>
      <c r="M139" s="183">
        <f t="shared" ca="1" si="58"/>
        <v>-39.483811480684409</v>
      </c>
      <c r="N139" s="183">
        <f t="shared" ca="1" si="58"/>
        <v>-31.769549615237455</v>
      </c>
      <c r="O139" s="183">
        <f t="shared" ca="1" si="58"/>
        <v>-22.421205544045101</v>
      </c>
    </row>
    <row r="140" spans="1:15">
      <c r="A140" s="117"/>
      <c r="B140" s="127"/>
      <c r="F140" s="1"/>
      <c r="G140" s="149"/>
      <c r="H140" s="460"/>
      <c r="I140" s="460"/>
      <c r="J140" s="460"/>
      <c r="K140" s="460"/>
      <c r="L140" s="460"/>
      <c r="M140" s="460"/>
      <c r="N140" s="460"/>
      <c r="O140" s="460"/>
    </row>
    <row r="141" spans="1:15">
      <c r="A141" s="117"/>
      <c r="C141" s="118"/>
      <c r="F141" s="1"/>
      <c r="G141" s="149"/>
      <c r="H141" s="460"/>
      <c r="I141" s="460"/>
      <c r="J141" s="460"/>
      <c r="K141" s="460"/>
      <c r="L141" s="460"/>
      <c r="M141" s="460"/>
      <c r="N141" s="460"/>
      <c r="O141" s="460"/>
    </row>
    <row r="142" spans="1:15">
      <c r="A142" s="117"/>
      <c r="B142" s="462" t="s">
        <v>127</v>
      </c>
      <c r="C142" s="184"/>
      <c r="D142" s="442"/>
      <c r="E142" s="442"/>
      <c r="F142" s="442"/>
      <c r="G142" s="185"/>
      <c r="H142" s="463">
        <f t="shared" ref="H142:O142" si="59">H139+H131+H125</f>
        <v>-14.700000000000038</v>
      </c>
      <c r="I142" s="463">
        <f t="shared" si="59"/>
        <v>4.7000000000000313</v>
      </c>
      <c r="J142" s="463">
        <f t="shared" si="59"/>
        <v>-20.799999999999997</v>
      </c>
      <c r="K142" s="463">
        <f t="shared" ca="1" si="59"/>
        <v>-0.30000000000000426</v>
      </c>
      <c r="L142" s="463">
        <f ca="1">L139+L131+L125</f>
        <v>-0.60000000000000142</v>
      </c>
      <c r="M142" s="463">
        <f t="shared" ca="1" si="59"/>
        <v>0.60063894881199786</v>
      </c>
      <c r="N142" s="463">
        <f t="shared" ca="1" si="59"/>
        <v>3.2172576296184019</v>
      </c>
      <c r="O142" s="464">
        <f t="shared" ca="1" si="59"/>
        <v>2.6178965784303969</v>
      </c>
    </row>
    <row r="143" spans="1:15">
      <c r="A143" s="117"/>
      <c r="B143" s="445" t="s">
        <v>128</v>
      </c>
      <c r="C143" s="118"/>
      <c r="F143" s="1"/>
      <c r="G143" s="149"/>
      <c r="H143" s="186">
        <v>31.1</v>
      </c>
      <c r="I143" s="187">
        <f t="shared" ref="I143:J143" si="60">+H144</f>
        <v>16.399999999999963</v>
      </c>
      <c r="J143" s="187">
        <f t="shared" si="60"/>
        <v>21.099999999999994</v>
      </c>
      <c r="K143" s="187">
        <f>J144</f>
        <v>0.29999999999999716</v>
      </c>
      <c r="L143" s="187">
        <f t="shared" ref="L143:O143" ca="1" si="61">K144</f>
        <v>-7.1054273576010019E-15</v>
      </c>
      <c r="M143" s="187">
        <f t="shared" ca="1" si="61"/>
        <v>-0.60000000000000853</v>
      </c>
      <c r="N143" s="187">
        <f t="shared" ca="1" si="61"/>
        <v>6.3894881198933717E-4</v>
      </c>
      <c r="O143" s="188">
        <f t="shared" ca="1" si="61"/>
        <v>3.2178965784303912</v>
      </c>
    </row>
    <row r="144" spans="1:15">
      <c r="A144" s="117"/>
      <c r="B144" s="465" t="s">
        <v>129</v>
      </c>
      <c r="C144" s="154"/>
      <c r="D144" s="408"/>
      <c r="E144" s="408"/>
      <c r="F144" s="408"/>
      <c r="G144" s="157"/>
      <c r="H144" s="466">
        <f t="shared" ref="H144:O144" si="62">H143+H142</f>
        <v>16.399999999999963</v>
      </c>
      <c r="I144" s="466">
        <f t="shared" si="62"/>
        <v>21.099999999999994</v>
      </c>
      <c r="J144" s="466">
        <f>J143+J142</f>
        <v>0.29999999999999716</v>
      </c>
      <c r="K144" s="466">
        <f t="shared" ca="1" si="62"/>
        <v>-7.1054273576010019E-15</v>
      </c>
      <c r="L144" s="466">
        <f t="shared" ca="1" si="62"/>
        <v>-0.60000000000000853</v>
      </c>
      <c r="M144" s="466">
        <f t="shared" ca="1" si="62"/>
        <v>6.3894881198933717E-4</v>
      </c>
      <c r="N144" s="466">
        <f t="shared" ca="1" si="62"/>
        <v>3.2178965784303912</v>
      </c>
      <c r="O144" s="467">
        <f t="shared" ca="1" si="62"/>
        <v>5.8357931568607881</v>
      </c>
    </row>
    <row r="145" spans="1:19">
      <c r="B145" s="408"/>
      <c r="C145" s="408"/>
      <c r="D145" s="408"/>
      <c r="E145" s="408"/>
      <c r="F145" s="408"/>
      <c r="G145" s="408"/>
      <c r="H145" s="408"/>
      <c r="I145" s="408"/>
      <c r="J145" s="408"/>
      <c r="K145" s="408"/>
      <c r="L145" s="408"/>
      <c r="M145" s="408"/>
      <c r="N145" s="408"/>
      <c r="O145" s="408"/>
    </row>
    <row r="146" spans="1:19">
      <c r="F146" s="1"/>
    </row>
    <row r="147" spans="1:19" ht="12.75" customHeight="1">
      <c r="A147" s="107"/>
      <c r="B147" s="108"/>
      <c r="C147" s="379"/>
      <c r="D147" s="379"/>
      <c r="E147" s="379"/>
      <c r="F147" s="104"/>
      <c r="G147" s="379"/>
      <c r="H147" s="379"/>
      <c r="I147" s="379"/>
      <c r="J147" s="379"/>
      <c r="K147" s="379"/>
      <c r="L147" s="379"/>
      <c r="M147" s="379"/>
      <c r="N147" s="379"/>
      <c r="O147" s="139" t="str">
        <f>$O$1</f>
        <v>CURRENTLY RUNNING: BASE CASE SCENARIO</v>
      </c>
    </row>
    <row r="148" spans="1:19" ht="23.25">
      <c r="B148" s="108" t="str">
        <f>B$2</f>
        <v>Blue Containers Company</v>
      </c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79"/>
    </row>
    <row r="149" spans="1:19" ht="18">
      <c r="B149" s="110" t="s">
        <v>130</v>
      </c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79"/>
      <c r="O149" s="379"/>
    </row>
    <row r="150" spans="1:19" ht="3" customHeight="1" thickBot="1">
      <c r="A150" s="109"/>
      <c r="B150" s="111"/>
      <c r="C150" s="382"/>
      <c r="D150" s="382"/>
      <c r="E150" s="382"/>
      <c r="F150" s="383"/>
      <c r="G150" s="382"/>
      <c r="H150" s="382"/>
      <c r="I150" s="382"/>
      <c r="J150" s="382"/>
      <c r="K150" s="382"/>
      <c r="L150" s="382"/>
      <c r="M150" s="382"/>
      <c r="N150" s="382"/>
      <c r="O150" s="382"/>
    </row>
    <row r="151" spans="1:19">
      <c r="B151" s="158" t="s">
        <v>3</v>
      </c>
      <c r="F151" s="1"/>
      <c r="O151" s="391"/>
    </row>
    <row r="152" spans="1:19">
      <c r="F152" s="1"/>
      <c r="H152" s="189"/>
      <c r="I152" s="189"/>
      <c r="J152" s="189"/>
      <c r="K152" s="114" t="s">
        <v>2</v>
      </c>
      <c r="L152" s="384"/>
      <c r="M152" s="384"/>
      <c r="N152" s="384"/>
      <c r="O152" s="384"/>
    </row>
    <row r="153" spans="1:19">
      <c r="B153" s="190"/>
      <c r="F153" s="191"/>
      <c r="G153" s="179"/>
      <c r="H153" s="116">
        <f t="shared" ref="H153:J153" si="63">H$7</f>
        <v>2022</v>
      </c>
      <c r="I153" s="116">
        <f t="shared" si="63"/>
        <v>2023</v>
      </c>
      <c r="J153" s="116">
        <f t="shared" si="63"/>
        <v>2024</v>
      </c>
      <c r="K153" s="180">
        <f>K$7</f>
        <v>2025</v>
      </c>
      <c r="L153" s="180">
        <f>L$7</f>
        <v>2026</v>
      </c>
      <c r="M153" s="180">
        <f>M$7</f>
        <v>2027</v>
      </c>
      <c r="N153" s="180">
        <f>N$7</f>
        <v>2028</v>
      </c>
      <c r="O153" s="180">
        <f>O$7</f>
        <v>2029</v>
      </c>
    </row>
    <row r="154" spans="1:19">
      <c r="B154" s="190"/>
      <c r="F154" s="1"/>
      <c r="G154" s="179"/>
      <c r="H154" s="191"/>
      <c r="I154" s="191"/>
      <c r="J154" s="191"/>
      <c r="K154" s="191"/>
      <c r="L154" s="191"/>
      <c r="M154" s="191"/>
      <c r="N154" s="191"/>
      <c r="O154" s="191"/>
    </row>
    <row r="155" spans="1:19">
      <c r="B155" s="117" t="s">
        <v>131</v>
      </c>
      <c r="F155" s="1"/>
    </row>
    <row r="156" spans="1:19">
      <c r="C156" s="1" t="s">
        <v>132</v>
      </c>
      <c r="F156" s="119"/>
      <c r="G156" s="452"/>
      <c r="H156" s="456">
        <v>16.399999999999963</v>
      </c>
      <c r="I156" s="456">
        <v>21.099999999999994</v>
      </c>
      <c r="J156" s="456">
        <v>0.3</v>
      </c>
      <c r="K156" s="468">
        <f ca="1">K144</f>
        <v>-7.1054273576010019E-15</v>
      </c>
      <c r="L156" s="468">
        <f t="shared" ref="L156:O156" ca="1" si="64">L144</f>
        <v>-0.60000000000000853</v>
      </c>
      <c r="M156" s="468">
        <f t="shared" ca="1" si="64"/>
        <v>6.3894881198933717E-4</v>
      </c>
      <c r="N156" s="468">
        <f t="shared" ca="1" si="64"/>
        <v>3.2178965784303912</v>
      </c>
      <c r="O156" s="468">
        <f t="shared" ca="1" si="64"/>
        <v>5.8357931568607881</v>
      </c>
      <c r="R156" s="440"/>
      <c r="S156" s="440"/>
    </row>
    <row r="157" spans="1:19">
      <c r="C157" s="1" t="s">
        <v>67</v>
      </c>
      <c r="F157" s="119"/>
      <c r="G157" s="452"/>
      <c r="H157" s="456">
        <v>27</v>
      </c>
      <c r="I157" s="456">
        <v>27.8</v>
      </c>
      <c r="J157" s="456">
        <v>28.3</v>
      </c>
      <c r="K157" s="451">
        <f>K267</f>
        <v>33.200494918250108</v>
      </c>
      <c r="L157" s="451">
        <f t="shared" ref="L157:O157" ca="1" si="65">L267</f>
        <v>28.157723432611579</v>
      </c>
      <c r="M157" s="451">
        <f t="shared" ca="1" si="65"/>
        <v>30.819847513028726</v>
      </c>
      <c r="N157" s="451">
        <f t="shared" ca="1" si="65"/>
        <v>30.73547042254317</v>
      </c>
      <c r="O157" s="451">
        <f t="shared" ca="1" si="65"/>
        <v>29.38880772493151</v>
      </c>
    </row>
    <row r="158" spans="1:19">
      <c r="C158" s="1" t="s">
        <v>133</v>
      </c>
      <c r="F158" s="119"/>
      <c r="G158" s="452"/>
      <c r="H158" s="456">
        <v>36.5</v>
      </c>
      <c r="I158" s="456">
        <v>36.1</v>
      </c>
      <c r="J158" s="456">
        <v>35.1</v>
      </c>
      <c r="K158" s="451">
        <f>K268</f>
        <v>33.501588599204595</v>
      </c>
      <c r="L158" s="451">
        <f t="shared" ref="L158:O158" ca="1" si="66">L268</f>
        <v>32.498684972160852</v>
      </c>
      <c r="M158" s="451">
        <f t="shared" ca="1" si="66"/>
        <v>31.350684269945383</v>
      </c>
      <c r="N158" s="451">
        <f t="shared" ca="1" si="66"/>
        <v>32.846011602713247</v>
      </c>
      <c r="O158" s="451">
        <f t="shared" ca="1" si="66"/>
        <v>31.578709681109586</v>
      </c>
    </row>
    <row r="159" spans="1:19">
      <c r="C159" s="1" t="s">
        <v>69</v>
      </c>
      <c r="F159" s="119"/>
      <c r="G159" s="452"/>
      <c r="H159" s="456">
        <v>14.6</v>
      </c>
      <c r="I159" s="456">
        <v>14.4</v>
      </c>
      <c r="J159" s="456">
        <v>14.9</v>
      </c>
      <c r="K159" s="451">
        <f>K269</f>
        <v>14.357823685373399</v>
      </c>
      <c r="L159" s="451">
        <f t="shared" ref="L159:O159" ca="1" si="67">L269</f>
        <v>14.999393064074239</v>
      </c>
      <c r="M159" s="451">
        <f t="shared" ca="1" si="67"/>
        <v>15.675342134972691</v>
      </c>
      <c r="N159" s="451">
        <f t="shared" ca="1" si="67"/>
        <v>16.423005801356624</v>
      </c>
      <c r="O159" s="451">
        <f t="shared" ca="1" si="67"/>
        <v>17.224750735150682</v>
      </c>
    </row>
    <row r="160" spans="1:19">
      <c r="C160" s="391" t="s">
        <v>120</v>
      </c>
      <c r="F160" s="119"/>
      <c r="G160" s="452"/>
      <c r="H160" s="439">
        <v>1.4</v>
      </c>
      <c r="I160" s="439">
        <v>1.8</v>
      </c>
      <c r="J160" s="439">
        <v>1.2</v>
      </c>
      <c r="K160" s="419">
        <f>K270</f>
        <v>1.4357823685373399</v>
      </c>
      <c r="L160" s="419">
        <f t="shared" ref="L160:O160" ca="1" si="68">L270</f>
        <v>1.4999393064074238</v>
      </c>
      <c r="M160" s="419">
        <f t="shared" ca="1" si="68"/>
        <v>1.5675342134972692</v>
      </c>
      <c r="N160" s="419">
        <f t="shared" ca="1" si="68"/>
        <v>1.6423005801356625</v>
      </c>
      <c r="O160" s="419">
        <f t="shared" ca="1" si="68"/>
        <v>1.7224750735150685</v>
      </c>
    </row>
    <row r="161" spans="2:15">
      <c r="C161" s="118" t="s">
        <v>134</v>
      </c>
      <c r="F161" s="133"/>
      <c r="G161" s="420"/>
      <c r="H161" s="451">
        <f t="shared" ref="H161:O161" si="69">SUM(H156:H160)</f>
        <v>95.899999999999963</v>
      </c>
      <c r="I161" s="451">
        <f t="shared" si="69"/>
        <v>101.2</v>
      </c>
      <c r="J161" s="451">
        <f t="shared" si="69"/>
        <v>79.800000000000011</v>
      </c>
      <c r="K161" s="451">
        <f t="shared" ca="1" si="69"/>
        <v>82.495689571365446</v>
      </c>
      <c r="L161" s="451">
        <f t="shared" ca="1" si="69"/>
        <v>76.555740775254094</v>
      </c>
      <c r="M161" s="451">
        <f t="shared" ca="1" si="69"/>
        <v>79.414047080256054</v>
      </c>
      <c r="N161" s="451">
        <f t="shared" ca="1" si="69"/>
        <v>84.864684985179096</v>
      </c>
      <c r="O161" s="451">
        <f t="shared" ca="1" si="69"/>
        <v>85.750536371567634</v>
      </c>
    </row>
    <row r="162" spans="2:15">
      <c r="F162" s="420"/>
      <c r="G162" s="449"/>
      <c r="H162" s="420"/>
      <c r="I162" s="420"/>
      <c r="J162" s="469"/>
      <c r="K162" s="469"/>
      <c r="L162" s="469"/>
      <c r="M162" s="469"/>
      <c r="N162" s="469"/>
      <c r="O162" s="469"/>
    </row>
    <row r="163" spans="2:15">
      <c r="C163" s="1" t="s">
        <v>135</v>
      </c>
      <c r="F163" s="119"/>
      <c r="G163" s="452"/>
      <c r="H163" s="456">
        <v>398.5</v>
      </c>
      <c r="I163" s="456">
        <v>398</v>
      </c>
      <c r="J163" s="456">
        <v>397.7</v>
      </c>
      <c r="K163" s="451">
        <f>K217</f>
        <v>397.52533333333332</v>
      </c>
      <c r="L163" s="451">
        <f t="shared" ref="L163:O163" si="70">L217</f>
        <v>397.80066666666664</v>
      </c>
      <c r="M163" s="451">
        <f t="shared" si="70"/>
        <v>397.80433333333332</v>
      </c>
      <c r="N163" s="451">
        <f t="shared" si="70"/>
        <v>397.428</v>
      </c>
      <c r="O163" s="451">
        <f t="shared" si="70"/>
        <v>396.96</v>
      </c>
    </row>
    <row r="164" spans="2:15">
      <c r="C164" s="391" t="s">
        <v>120</v>
      </c>
      <c r="F164" s="119"/>
      <c r="G164" s="452"/>
      <c r="H164" s="439">
        <v>19</v>
      </c>
      <c r="I164" s="439">
        <v>15</v>
      </c>
      <c r="J164" s="439">
        <v>12</v>
      </c>
      <c r="K164" s="419">
        <f>J164-K130</f>
        <v>12</v>
      </c>
      <c r="L164" s="419">
        <f t="shared" ref="L164:O164" si="71">K164-L130</f>
        <v>12</v>
      </c>
      <c r="M164" s="419">
        <f t="shared" si="71"/>
        <v>12</v>
      </c>
      <c r="N164" s="419">
        <f t="shared" si="71"/>
        <v>12</v>
      </c>
      <c r="O164" s="419">
        <f t="shared" si="71"/>
        <v>12</v>
      </c>
    </row>
    <row r="165" spans="2:15">
      <c r="C165" s="127" t="s">
        <v>136</v>
      </c>
      <c r="F165" s="119"/>
      <c r="G165" s="452"/>
      <c r="H165" s="470">
        <f>SUM(H163:H164)</f>
        <v>417.5</v>
      </c>
      <c r="I165" s="470">
        <f t="shared" ref="I165:O165" si="72">SUM(I163:I164)</f>
        <v>413</v>
      </c>
      <c r="J165" s="470">
        <f t="shared" si="72"/>
        <v>409.7</v>
      </c>
      <c r="K165" s="470">
        <f>SUM(K163:K164)</f>
        <v>409.52533333333332</v>
      </c>
      <c r="L165" s="470">
        <f t="shared" si="72"/>
        <v>409.80066666666664</v>
      </c>
      <c r="M165" s="470">
        <f t="shared" si="72"/>
        <v>409.80433333333332</v>
      </c>
      <c r="N165" s="470">
        <f t="shared" si="72"/>
        <v>409.428</v>
      </c>
      <c r="O165" s="470">
        <f t="shared" si="72"/>
        <v>408.96</v>
      </c>
    </row>
    <row r="166" spans="2:15">
      <c r="C166" s="391"/>
      <c r="F166" s="119"/>
      <c r="G166" s="452"/>
      <c r="H166" s="456"/>
      <c r="I166" s="456"/>
      <c r="J166" s="456"/>
      <c r="K166" s="451"/>
      <c r="L166" s="451"/>
      <c r="M166" s="451"/>
      <c r="N166" s="451"/>
      <c r="O166" s="451"/>
    </row>
    <row r="167" spans="2:15" ht="15" thickBot="1">
      <c r="C167" s="117" t="s">
        <v>137</v>
      </c>
      <c r="F167" s="133"/>
      <c r="G167" s="149"/>
      <c r="H167" s="192">
        <f>+H161+H165</f>
        <v>513.4</v>
      </c>
      <c r="I167" s="192">
        <f t="shared" ref="I167:O167" si="73">+I161+I165</f>
        <v>514.20000000000005</v>
      </c>
      <c r="J167" s="192">
        <f t="shared" si="73"/>
        <v>489.5</v>
      </c>
      <c r="K167" s="192">
        <f t="shared" ca="1" si="73"/>
        <v>492.02102290469878</v>
      </c>
      <c r="L167" s="192">
        <f t="shared" ca="1" si="73"/>
        <v>486.35640744192074</v>
      </c>
      <c r="M167" s="192">
        <f t="shared" ca="1" si="73"/>
        <v>489.21838041358939</v>
      </c>
      <c r="N167" s="192">
        <f t="shared" ca="1" si="73"/>
        <v>494.29268498517911</v>
      </c>
      <c r="O167" s="192">
        <f t="shared" ca="1" si="73"/>
        <v>494.71053637156763</v>
      </c>
    </row>
    <row r="168" spans="2:15" ht="15" thickTop="1">
      <c r="F168" s="420"/>
      <c r="G168" s="449"/>
      <c r="H168" s="420"/>
      <c r="I168" s="420"/>
      <c r="J168" s="449"/>
      <c r="K168" s="449"/>
      <c r="L168" s="449"/>
      <c r="M168" s="449"/>
      <c r="N168" s="449"/>
      <c r="O168" s="449"/>
    </row>
    <row r="169" spans="2:15">
      <c r="F169" s="420"/>
      <c r="G169" s="449"/>
      <c r="H169" s="420"/>
      <c r="I169" s="420"/>
      <c r="J169" s="449"/>
      <c r="K169" s="449"/>
      <c r="L169" s="449"/>
      <c r="M169" s="449"/>
      <c r="N169" s="449"/>
      <c r="O169" s="449"/>
    </row>
    <row r="170" spans="2:15">
      <c r="B170" s="118" t="s">
        <v>138</v>
      </c>
      <c r="F170" s="420"/>
      <c r="G170" s="449"/>
      <c r="H170" s="420"/>
      <c r="I170" s="420"/>
      <c r="J170" s="449"/>
      <c r="K170" s="449"/>
      <c r="L170" s="449"/>
      <c r="M170" s="449"/>
      <c r="N170" s="449"/>
      <c r="O170" s="449"/>
    </row>
    <row r="171" spans="2:15">
      <c r="C171" s="391" t="s">
        <v>139</v>
      </c>
      <c r="F171" s="119"/>
      <c r="G171" s="452"/>
      <c r="H171" s="456">
        <v>0</v>
      </c>
      <c r="I171" s="456">
        <v>0</v>
      </c>
      <c r="J171" s="456">
        <v>0</v>
      </c>
      <c r="K171" s="451">
        <f ca="1">K307</f>
        <v>0.69552785719710353</v>
      </c>
      <c r="L171" s="451">
        <f t="shared" ref="L171:O171" ca="1" si="74">L307</f>
        <v>6.5899709471799541</v>
      </c>
      <c r="M171" s="451">
        <f t="shared" ca="1" si="74"/>
        <v>0</v>
      </c>
      <c r="N171" s="451">
        <f t="shared" ca="1" si="74"/>
        <v>0</v>
      </c>
      <c r="O171" s="451">
        <f t="shared" ca="1" si="74"/>
        <v>6.5293575307769371</v>
      </c>
    </row>
    <row r="172" spans="2:15">
      <c r="C172" s="391" t="s">
        <v>71</v>
      </c>
      <c r="F172" s="119"/>
      <c r="G172" s="452"/>
      <c r="H172" s="181">
        <v>18.299999999999997</v>
      </c>
      <c r="I172" s="181">
        <v>18.700000000000003</v>
      </c>
      <c r="J172" s="181">
        <v>18.2</v>
      </c>
      <c r="K172" s="418">
        <f>K271</f>
        <v>19.143764913831198</v>
      </c>
      <c r="L172" s="418">
        <f t="shared" ref="L172:O172" ca="1" si="75">L271</f>
        <v>19.999190752098986</v>
      </c>
      <c r="M172" s="418">
        <f t="shared" ca="1" si="75"/>
        <v>20.900456179963591</v>
      </c>
      <c r="N172" s="418">
        <f t="shared" ca="1" si="75"/>
        <v>21.897341068475498</v>
      </c>
      <c r="O172" s="418">
        <f t="shared" ca="1" si="75"/>
        <v>22.966334313534244</v>
      </c>
    </row>
    <row r="173" spans="2:15">
      <c r="C173" s="391" t="s">
        <v>120</v>
      </c>
      <c r="F173" s="119"/>
      <c r="G173" s="452"/>
      <c r="H173" s="439">
        <v>4.7</v>
      </c>
      <c r="I173" s="439">
        <v>4.9000000000000004</v>
      </c>
      <c r="J173" s="439">
        <v>4.8</v>
      </c>
      <c r="K173" s="419">
        <f>K272</f>
        <v>4.7859412284577996</v>
      </c>
      <c r="L173" s="419">
        <f t="shared" ref="L173:O173" ca="1" si="76">L272</f>
        <v>4.9997976880247466</v>
      </c>
      <c r="M173" s="419">
        <f t="shared" ca="1" si="76"/>
        <v>5.2251140449908977</v>
      </c>
      <c r="N173" s="419">
        <f t="shared" ca="1" si="76"/>
        <v>5.4743352671188745</v>
      </c>
      <c r="O173" s="419">
        <f t="shared" ca="1" si="76"/>
        <v>5.7415835783835609</v>
      </c>
    </row>
    <row r="174" spans="2:15">
      <c r="C174" s="118" t="s">
        <v>140</v>
      </c>
      <c r="F174" s="133"/>
      <c r="G174" s="420"/>
      <c r="H174" s="418">
        <f t="shared" ref="H174:O174" si="77">SUM(H171:H173)</f>
        <v>22.999999999999996</v>
      </c>
      <c r="I174" s="418">
        <f t="shared" si="77"/>
        <v>23.6</v>
      </c>
      <c r="J174" s="418">
        <f t="shared" si="77"/>
        <v>23</v>
      </c>
      <c r="K174" s="418">
        <f t="shared" ca="1" si="77"/>
        <v>24.625233999486099</v>
      </c>
      <c r="L174" s="418">
        <f t="shared" ca="1" si="77"/>
        <v>31.588959387303685</v>
      </c>
      <c r="M174" s="418">
        <f t="shared" ca="1" si="77"/>
        <v>26.125570224954487</v>
      </c>
      <c r="N174" s="418">
        <f t="shared" ca="1" si="77"/>
        <v>27.371676335594373</v>
      </c>
      <c r="O174" s="418">
        <f t="shared" ca="1" si="77"/>
        <v>35.237275422694744</v>
      </c>
    </row>
    <row r="175" spans="2:15">
      <c r="F175" s="420"/>
      <c r="G175" s="449"/>
      <c r="H175" s="420"/>
      <c r="I175" s="420"/>
      <c r="J175" s="449"/>
      <c r="K175" s="449"/>
      <c r="L175" s="449"/>
      <c r="M175" s="451"/>
      <c r="N175" s="449"/>
      <c r="O175" s="449"/>
    </row>
    <row r="176" spans="2:15">
      <c r="C176" s="1" t="s">
        <v>110</v>
      </c>
      <c r="F176" s="119"/>
      <c r="G176" s="449"/>
      <c r="H176" s="471">
        <v>0.70000000000000018</v>
      </c>
      <c r="I176" s="471">
        <v>6.9</v>
      </c>
      <c r="J176" s="471">
        <v>8</v>
      </c>
      <c r="K176" s="451">
        <f ca="1">J176+K238</f>
        <v>9.7500000000000018</v>
      </c>
      <c r="L176" s="451">
        <f t="shared" ref="L176:O176" ca="1" si="78">K176+L238</f>
        <v>11.500000000000002</v>
      </c>
      <c r="M176" s="451">
        <f t="shared" ca="1" si="78"/>
        <v>13.250000000000002</v>
      </c>
      <c r="N176" s="451">
        <f t="shared" ca="1" si="78"/>
        <v>14.999999999999998</v>
      </c>
      <c r="O176" s="451">
        <f t="shared" ca="1" si="78"/>
        <v>16.75</v>
      </c>
    </row>
    <row r="177" spans="1:15">
      <c r="C177" s="391" t="s">
        <v>141</v>
      </c>
      <c r="F177" s="119"/>
      <c r="G177" s="472"/>
      <c r="H177" s="439">
        <v>250</v>
      </c>
      <c r="I177" s="439">
        <v>225</v>
      </c>
      <c r="J177" s="439">
        <v>200</v>
      </c>
      <c r="K177" s="419">
        <f>K316</f>
        <v>175</v>
      </c>
      <c r="L177" s="419">
        <f t="shared" ref="L177:O177" si="79">L316</f>
        <v>150</v>
      </c>
      <c r="M177" s="419">
        <f t="shared" si="79"/>
        <v>125</v>
      </c>
      <c r="N177" s="419">
        <f t="shared" si="79"/>
        <v>100</v>
      </c>
      <c r="O177" s="419">
        <f t="shared" si="79"/>
        <v>75</v>
      </c>
    </row>
    <row r="178" spans="1:15">
      <c r="C178" s="127" t="s">
        <v>142</v>
      </c>
      <c r="F178" s="133"/>
      <c r="G178" s="452"/>
      <c r="H178" s="451">
        <f t="shared" ref="H178:O178" si="80">SUM(H176:H177)</f>
        <v>250.7</v>
      </c>
      <c r="I178" s="451">
        <f t="shared" si="80"/>
        <v>231.9</v>
      </c>
      <c r="J178" s="451">
        <f t="shared" si="80"/>
        <v>208</v>
      </c>
      <c r="K178" s="451">
        <f t="shared" ca="1" si="80"/>
        <v>184.75</v>
      </c>
      <c r="L178" s="451">
        <f t="shared" ca="1" si="80"/>
        <v>161.5</v>
      </c>
      <c r="M178" s="451">
        <f t="shared" ca="1" si="80"/>
        <v>138.25</v>
      </c>
      <c r="N178" s="451">
        <f t="shared" ca="1" si="80"/>
        <v>115</v>
      </c>
      <c r="O178" s="451">
        <f t="shared" ca="1" si="80"/>
        <v>91.75</v>
      </c>
    </row>
    <row r="179" spans="1:15">
      <c r="C179" s="118"/>
      <c r="F179" s="420"/>
      <c r="G179" s="449"/>
      <c r="H179" s="420"/>
      <c r="I179" s="420"/>
      <c r="J179" s="449"/>
      <c r="K179" s="449"/>
      <c r="L179" s="449"/>
      <c r="M179" s="449"/>
      <c r="N179" s="449"/>
      <c r="O179" s="449"/>
    </row>
    <row r="180" spans="1:15">
      <c r="C180" s="127" t="s">
        <v>143</v>
      </c>
      <c r="F180" s="133"/>
      <c r="G180" s="149"/>
      <c r="H180" s="148">
        <f t="shared" ref="H180:O180" si="81">H178+H174</f>
        <v>273.7</v>
      </c>
      <c r="I180" s="148">
        <f t="shared" si="81"/>
        <v>255.5</v>
      </c>
      <c r="J180" s="148">
        <f t="shared" si="81"/>
        <v>231</v>
      </c>
      <c r="K180" s="148">
        <f t="shared" ca="1" si="81"/>
        <v>209.37523399948611</v>
      </c>
      <c r="L180" s="148">
        <f t="shared" ca="1" si="81"/>
        <v>193.08895938730367</v>
      </c>
      <c r="M180" s="148">
        <f t="shared" ca="1" si="81"/>
        <v>164.37557022495449</v>
      </c>
      <c r="N180" s="148">
        <f t="shared" ca="1" si="81"/>
        <v>142.37167633559437</v>
      </c>
      <c r="O180" s="148">
        <f t="shared" ca="1" si="81"/>
        <v>126.98727542269475</v>
      </c>
    </row>
    <row r="181" spans="1:15">
      <c r="F181" s="420"/>
      <c r="G181" s="420"/>
      <c r="H181" s="420"/>
      <c r="I181" s="420"/>
      <c r="J181" s="449"/>
      <c r="K181" s="449"/>
      <c r="L181" s="449"/>
      <c r="M181" s="449"/>
      <c r="N181" s="449"/>
      <c r="O181" s="449"/>
    </row>
    <row r="182" spans="1:15">
      <c r="C182" s="1" t="s">
        <v>144</v>
      </c>
      <c r="F182" s="119"/>
      <c r="G182" s="420"/>
      <c r="H182" s="456">
        <v>120</v>
      </c>
      <c r="I182" s="456">
        <v>120</v>
      </c>
      <c r="J182" s="456">
        <v>120</v>
      </c>
      <c r="K182" s="451">
        <f>K336</f>
        <v>120</v>
      </c>
      <c r="L182" s="451">
        <f t="shared" ref="L182:O182" si="82">L336</f>
        <v>120</v>
      </c>
      <c r="M182" s="451">
        <f t="shared" si="82"/>
        <v>120</v>
      </c>
      <c r="N182" s="451">
        <f t="shared" si="82"/>
        <v>120</v>
      </c>
      <c r="O182" s="451">
        <f t="shared" si="82"/>
        <v>120</v>
      </c>
    </row>
    <row r="183" spans="1:15">
      <c r="C183" s="1" t="s">
        <v>145</v>
      </c>
      <c r="F183" s="119"/>
      <c r="G183" s="420"/>
      <c r="H183" s="439">
        <v>119.70000000000002</v>
      </c>
      <c r="I183" s="439">
        <v>138.70000000000007</v>
      </c>
      <c r="J183" s="439">
        <v>138.50000000000003</v>
      </c>
      <c r="K183" s="419">
        <f ca="1">K347</f>
        <v>162.6457889052127</v>
      </c>
      <c r="L183" s="419">
        <f t="shared" ref="L183:O183" ca="1" si="83">L347</f>
        <v>173.26744805461709</v>
      </c>
      <c r="M183" s="419">
        <f t="shared" ca="1" si="83"/>
        <v>204.8428101886349</v>
      </c>
      <c r="N183" s="419">
        <f t="shared" ca="1" si="83"/>
        <v>231.92100864958473</v>
      </c>
      <c r="O183" s="419">
        <f t="shared" ca="1" si="83"/>
        <v>247.72326094887291</v>
      </c>
    </row>
    <row r="184" spans="1:15">
      <c r="C184" s="118" t="s">
        <v>146</v>
      </c>
      <c r="F184" s="133"/>
      <c r="G184" s="452"/>
      <c r="H184" s="454">
        <f>SUM(H182:H183)</f>
        <v>239.70000000000002</v>
      </c>
      <c r="I184" s="454">
        <f>SUM(I182:I183)</f>
        <v>258.70000000000005</v>
      </c>
      <c r="J184" s="454">
        <f t="shared" ref="J184:O184" si="84">SUM(J182:J183)</f>
        <v>258.5</v>
      </c>
      <c r="K184" s="454">
        <f t="shared" ca="1" si="84"/>
        <v>282.64578890521273</v>
      </c>
      <c r="L184" s="454">
        <f t="shared" ca="1" si="84"/>
        <v>293.26744805461709</v>
      </c>
      <c r="M184" s="454">
        <f t="shared" ca="1" si="84"/>
        <v>324.84281018863487</v>
      </c>
      <c r="N184" s="454">
        <f t="shared" ca="1" si="84"/>
        <v>351.92100864958473</v>
      </c>
      <c r="O184" s="454">
        <f t="shared" ca="1" si="84"/>
        <v>367.72326094887291</v>
      </c>
    </row>
    <row r="185" spans="1:15">
      <c r="F185" s="420"/>
      <c r="G185" s="420"/>
      <c r="H185" s="449"/>
      <c r="I185" s="449"/>
      <c r="J185" s="449"/>
      <c r="K185" s="449"/>
      <c r="L185" s="449"/>
      <c r="M185" s="449"/>
      <c r="N185" s="449"/>
      <c r="O185" s="449"/>
    </row>
    <row r="186" spans="1:15" ht="15" thickBot="1">
      <c r="B186" s="118" t="s">
        <v>147</v>
      </c>
      <c r="F186" s="133"/>
      <c r="G186" s="149"/>
      <c r="H186" s="192">
        <f>H184+H180</f>
        <v>513.4</v>
      </c>
      <c r="I186" s="192">
        <f>I184+I180</f>
        <v>514.20000000000005</v>
      </c>
      <c r="J186" s="192">
        <f t="shared" ref="J186:O186" si="85">J184+J180</f>
        <v>489.5</v>
      </c>
      <c r="K186" s="192">
        <f t="shared" ca="1" si="85"/>
        <v>492.02102290469884</v>
      </c>
      <c r="L186" s="192">
        <f t="shared" ca="1" si="85"/>
        <v>486.35640744192074</v>
      </c>
      <c r="M186" s="192">
        <f t="shared" ca="1" si="85"/>
        <v>489.21838041358933</v>
      </c>
      <c r="N186" s="192">
        <f t="shared" ca="1" si="85"/>
        <v>494.29268498517911</v>
      </c>
      <c r="O186" s="192">
        <f t="shared" ca="1" si="85"/>
        <v>494.71053637156763</v>
      </c>
    </row>
    <row r="187" spans="1:15" ht="15" thickTop="1">
      <c r="F187" s="473"/>
      <c r="G187" s="473"/>
      <c r="H187" s="400"/>
      <c r="I187" s="400"/>
      <c r="J187" s="400"/>
      <c r="K187" s="400"/>
      <c r="L187" s="400"/>
      <c r="M187" s="400"/>
      <c r="N187" s="400"/>
      <c r="O187" s="400"/>
    </row>
    <row r="188" spans="1:15">
      <c r="B188" s="178"/>
      <c r="D188" s="193" t="s">
        <v>148</v>
      </c>
      <c r="F188" s="194"/>
      <c r="G188" s="194"/>
      <c r="H188" s="474">
        <f>ROUND(H167-H186,3)</f>
        <v>0</v>
      </c>
      <c r="I188" s="474">
        <f t="shared" ref="I188:O188" si="86">ROUND(I167-I186,3)</f>
        <v>0</v>
      </c>
      <c r="J188" s="474">
        <f t="shared" si="86"/>
        <v>0</v>
      </c>
      <c r="K188" s="474">
        <f t="shared" ca="1" si="86"/>
        <v>0</v>
      </c>
      <c r="L188" s="474">
        <f t="shared" ca="1" si="86"/>
        <v>0</v>
      </c>
      <c r="M188" s="474">
        <f t="shared" ca="1" si="86"/>
        <v>0</v>
      </c>
      <c r="N188" s="474">
        <f t="shared" ca="1" si="86"/>
        <v>0</v>
      </c>
      <c r="O188" s="474">
        <f t="shared" ca="1" si="86"/>
        <v>0</v>
      </c>
    </row>
    <row r="189" spans="1:15">
      <c r="B189" s="195"/>
      <c r="C189" s="408"/>
      <c r="D189" s="408"/>
      <c r="E189" s="408"/>
      <c r="F189" s="408"/>
      <c r="G189" s="408"/>
      <c r="H189" s="408"/>
      <c r="I189" s="408"/>
      <c r="J189" s="408"/>
      <c r="K189" s="475"/>
      <c r="L189" s="475"/>
      <c r="M189" s="475"/>
      <c r="N189" s="475"/>
      <c r="O189" s="475"/>
    </row>
    <row r="190" spans="1:15">
      <c r="F190" s="1"/>
    </row>
    <row r="191" spans="1:15" ht="12.75" customHeight="1">
      <c r="A191" s="107"/>
      <c r="B191" s="108"/>
      <c r="C191" s="379"/>
      <c r="D191" s="379"/>
      <c r="E191" s="379"/>
      <c r="F191" s="104"/>
      <c r="G191" s="379"/>
      <c r="H191" s="379"/>
      <c r="I191" s="379"/>
      <c r="J191" s="379"/>
      <c r="K191" s="379"/>
      <c r="L191" s="379"/>
      <c r="M191" s="379"/>
      <c r="N191" s="379"/>
      <c r="O191" s="139" t="str">
        <f>$O$1</f>
        <v>CURRENTLY RUNNING: BASE CASE SCENARIO</v>
      </c>
    </row>
    <row r="192" spans="1:15" ht="22.7" customHeight="1">
      <c r="B192" s="476" t="str">
        <f>B$2</f>
        <v>Blue Containers Company</v>
      </c>
      <c r="C192" s="477"/>
      <c r="D192" s="477"/>
      <c r="E192" s="478"/>
      <c r="F192" s="478"/>
      <c r="G192" s="196"/>
      <c r="H192" s="196"/>
      <c r="I192" s="196"/>
      <c r="J192" s="196"/>
      <c r="K192" s="196"/>
      <c r="L192" s="196"/>
      <c r="M192" s="196"/>
      <c r="N192" s="196"/>
      <c r="O192" s="196"/>
    </row>
    <row r="193" spans="1:243" ht="18">
      <c r="B193" s="110" t="s">
        <v>191</v>
      </c>
      <c r="C193" s="110"/>
      <c r="D193" s="110"/>
      <c r="E193" s="197"/>
      <c r="F193" s="197"/>
      <c r="G193" s="110"/>
      <c r="H193" s="110"/>
      <c r="I193" s="110"/>
      <c r="J193" s="110"/>
      <c r="K193" s="110"/>
      <c r="L193" s="110"/>
      <c r="M193" s="110"/>
      <c r="N193" s="110"/>
      <c r="O193" s="110"/>
    </row>
    <row r="194" spans="1:243" ht="3" customHeight="1" thickBot="1">
      <c r="A194" s="109"/>
      <c r="B194" s="111"/>
      <c r="C194" s="382"/>
      <c r="D194" s="382"/>
      <c r="E194" s="382"/>
      <c r="F194" s="383"/>
      <c r="G194" s="382"/>
      <c r="H194" s="382"/>
      <c r="I194" s="382"/>
      <c r="J194" s="382"/>
      <c r="K194" s="382"/>
      <c r="L194" s="382"/>
      <c r="M194" s="382"/>
      <c r="N194" s="382"/>
      <c r="O194" s="382"/>
    </row>
    <row r="195" spans="1:243">
      <c r="B195" s="158" t="s">
        <v>3</v>
      </c>
      <c r="C195" s="178"/>
      <c r="E195" s="112"/>
      <c r="G195" s="178"/>
    </row>
    <row r="196" spans="1:243">
      <c r="E196" s="112"/>
      <c r="K196" s="114" t="s">
        <v>2</v>
      </c>
      <c r="L196" s="198"/>
      <c r="M196" s="198"/>
      <c r="N196" s="198"/>
      <c r="O196" s="198"/>
    </row>
    <row r="197" spans="1:243">
      <c r="C197" s="117"/>
      <c r="D197" s="117"/>
      <c r="E197" s="147"/>
      <c r="F197" s="199"/>
      <c r="G197" s="200"/>
      <c r="H197" s="116">
        <f t="shared" ref="H197:J197" si="87">H$7</f>
        <v>2022</v>
      </c>
      <c r="I197" s="116">
        <f t="shared" si="87"/>
        <v>2023</v>
      </c>
      <c r="J197" s="116">
        <f t="shared" si="87"/>
        <v>2024</v>
      </c>
      <c r="K197" s="201">
        <f>K$7</f>
        <v>2025</v>
      </c>
      <c r="L197" s="201">
        <f>L$7</f>
        <v>2026</v>
      </c>
      <c r="M197" s="201">
        <f>M$7</f>
        <v>2027</v>
      </c>
      <c r="N197" s="201">
        <f>N$7</f>
        <v>2028</v>
      </c>
      <c r="O197" s="201">
        <f>O$7</f>
        <v>2029</v>
      </c>
    </row>
    <row r="198" spans="1:243">
      <c r="C198" s="117"/>
      <c r="D198" s="117"/>
      <c r="E198" s="147"/>
      <c r="F198" s="199"/>
      <c r="G198" s="200"/>
      <c r="H198" s="116"/>
      <c r="I198" s="116"/>
      <c r="J198" s="116"/>
      <c r="K198" s="537"/>
      <c r="L198" s="537"/>
      <c r="M198" s="537"/>
      <c r="N198" s="537"/>
      <c r="O198" s="537"/>
    </row>
    <row r="199" spans="1:243">
      <c r="B199" s="538" t="s">
        <v>187</v>
      </c>
      <c r="F199" s="112">
        <v>2</v>
      </c>
    </row>
    <row r="200" spans="1:243" ht="13.35" customHeight="1">
      <c r="A200" s="479"/>
      <c r="B200" s="480" t="s">
        <v>149</v>
      </c>
      <c r="C200" s="442"/>
      <c r="D200" s="442"/>
      <c r="E200" s="442"/>
      <c r="F200" s="202">
        <f>Assumptions!H39</f>
        <v>25</v>
      </c>
      <c r="K200" s="481"/>
      <c r="L200" s="482"/>
      <c r="M200" s="482"/>
      <c r="N200" s="482"/>
      <c r="P200" s="483"/>
      <c r="Q200" s="483"/>
      <c r="R200" s="483"/>
      <c r="S200" s="483"/>
      <c r="T200" s="483"/>
      <c r="U200" s="483"/>
      <c r="V200" s="483"/>
      <c r="W200" s="483"/>
      <c r="X200" s="483"/>
      <c r="Y200" s="483"/>
      <c r="Z200" s="483"/>
      <c r="AA200" s="483"/>
      <c r="AB200" s="483"/>
      <c r="AC200" s="483"/>
      <c r="AD200" s="483"/>
      <c r="AE200" s="483"/>
      <c r="AF200" s="483"/>
      <c r="AG200" s="483"/>
      <c r="AH200" s="483"/>
      <c r="AI200" s="483"/>
      <c r="AJ200" s="483"/>
      <c r="AK200" s="483"/>
      <c r="AL200" s="483"/>
      <c r="AM200" s="483"/>
      <c r="AN200" s="483"/>
      <c r="AO200" s="483"/>
      <c r="AP200" s="483"/>
      <c r="AQ200" s="483"/>
      <c r="AR200" s="483"/>
      <c r="AS200" s="483"/>
      <c r="AT200" s="483"/>
      <c r="AU200" s="483"/>
      <c r="AV200" s="483"/>
      <c r="AW200" s="483"/>
      <c r="AX200" s="483"/>
      <c r="AY200" s="483"/>
      <c r="AZ200" s="483"/>
      <c r="BA200" s="483"/>
      <c r="BB200" s="483"/>
      <c r="BC200" s="483"/>
      <c r="BD200" s="483"/>
      <c r="BE200" s="483"/>
      <c r="BF200" s="483"/>
      <c r="BG200" s="483"/>
      <c r="BH200" s="483"/>
      <c r="BI200" s="483"/>
      <c r="BJ200" s="483"/>
      <c r="BK200" s="483"/>
      <c r="BL200" s="483"/>
      <c r="BM200" s="483"/>
      <c r="BN200" s="483"/>
      <c r="BO200" s="483"/>
      <c r="BP200" s="483"/>
      <c r="BQ200" s="483"/>
      <c r="BR200" s="483"/>
      <c r="BS200" s="483"/>
      <c r="BT200" s="483"/>
      <c r="BU200" s="483"/>
      <c r="BV200" s="483"/>
      <c r="BW200" s="483"/>
      <c r="BX200" s="483"/>
      <c r="BY200" s="483"/>
      <c r="BZ200" s="483"/>
      <c r="CA200" s="483"/>
      <c r="CB200" s="483"/>
      <c r="CC200" s="483"/>
      <c r="CD200" s="483"/>
      <c r="CE200" s="483"/>
      <c r="CF200" s="483"/>
      <c r="CG200" s="483"/>
      <c r="CH200" s="483"/>
      <c r="CI200" s="483"/>
      <c r="CJ200" s="483"/>
      <c r="CK200" s="483"/>
      <c r="CL200" s="483"/>
      <c r="CM200" s="483"/>
      <c r="CN200" s="483"/>
      <c r="CO200" s="483"/>
      <c r="CP200" s="483"/>
      <c r="CQ200" s="483"/>
      <c r="CR200" s="483"/>
      <c r="CS200" s="483"/>
      <c r="CT200" s="483"/>
      <c r="CU200" s="483"/>
      <c r="CV200" s="483"/>
      <c r="CW200" s="483"/>
      <c r="CX200" s="483"/>
      <c r="CY200" s="483"/>
      <c r="CZ200" s="483"/>
      <c r="DA200" s="483"/>
      <c r="DB200" s="483"/>
      <c r="DC200" s="483"/>
      <c r="DD200" s="483"/>
      <c r="DE200" s="483"/>
      <c r="DF200" s="483"/>
      <c r="DG200" s="483"/>
      <c r="DH200" s="483"/>
      <c r="DI200" s="483"/>
      <c r="DJ200" s="483"/>
      <c r="DK200" s="483"/>
      <c r="DL200" s="483"/>
      <c r="DM200" s="483"/>
      <c r="DN200" s="483"/>
      <c r="DO200" s="483"/>
      <c r="DP200" s="483"/>
      <c r="DQ200" s="483"/>
      <c r="DR200" s="483"/>
      <c r="DS200" s="483"/>
      <c r="DT200" s="483"/>
      <c r="DU200" s="483"/>
      <c r="DV200" s="483"/>
      <c r="DW200" s="483"/>
      <c r="DX200" s="483"/>
      <c r="DY200" s="483"/>
      <c r="DZ200" s="483"/>
      <c r="EA200" s="483"/>
      <c r="EB200" s="483"/>
      <c r="EC200" s="483"/>
      <c r="ED200" s="483"/>
      <c r="EE200" s="483"/>
      <c r="EF200" s="483"/>
      <c r="EG200" s="483"/>
      <c r="EH200" s="483"/>
      <c r="EI200" s="483"/>
      <c r="EJ200" s="483"/>
      <c r="EK200" s="483"/>
      <c r="EL200" s="483"/>
      <c r="EM200" s="483"/>
      <c r="EN200" s="483"/>
      <c r="EO200" s="483"/>
      <c r="EP200" s="483"/>
      <c r="EQ200" s="483"/>
      <c r="ER200" s="483"/>
      <c r="ES200" s="483"/>
      <c r="ET200" s="483"/>
      <c r="EU200" s="483"/>
      <c r="EV200" s="483"/>
      <c r="EW200" s="483"/>
      <c r="EX200" s="483"/>
      <c r="EY200" s="483"/>
      <c r="EZ200" s="483"/>
      <c r="FA200" s="483"/>
      <c r="FB200" s="483"/>
      <c r="FC200" s="483"/>
      <c r="FD200" s="483"/>
      <c r="FE200" s="483"/>
      <c r="FF200" s="483"/>
      <c r="FG200" s="483"/>
      <c r="FH200" s="483"/>
      <c r="FI200" s="483"/>
      <c r="FJ200" s="483"/>
      <c r="FK200" s="483"/>
      <c r="FL200" s="483"/>
      <c r="FM200" s="483"/>
      <c r="FN200" s="483"/>
      <c r="FO200" s="483"/>
      <c r="FP200" s="483"/>
      <c r="FQ200" s="483"/>
      <c r="FR200" s="483"/>
      <c r="FS200" s="483"/>
      <c r="FT200" s="483"/>
      <c r="FU200" s="483"/>
      <c r="FV200" s="483"/>
      <c r="FW200" s="483"/>
      <c r="FX200" s="483"/>
      <c r="FY200" s="483"/>
      <c r="FZ200" s="483"/>
      <c r="GA200" s="483"/>
      <c r="GB200" s="483"/>
      <c r="GC200" s="483"/>
      <c r="GD200" s="483"/>
      <c r="GE200" s="483"/>
      <c r="GF200" s="483"/>
      <c r="GG200" s="483"/>
      <c r="GH200" s="483"/>
      <c r="GI200" s="483"/>
      <c r="GJ200" s="483"/>
      <c r="GK200" s="483"/>
      <c r="GL200" s="483"/>
      <c r="GM200" s="483"/>
      <c r="GN200" s="483"/>
      <c r="GO200" s="483"/>
      <c r="GP200" s="483"/>
      <c r="GQ200" s="483"/>
      <c r="GR200" s="483"/>
      <c r="GS200" s="483"/>
      <c r="GT200" s="483"/>
      <c r="GU200" s="483"/>
      <c r="GV200" s="483"/>
      <c r="GW200" s="483"/>
      <c r="GX200" s="483"/>
      <c r="GY200" s="483"/>
      <c r="GZ200" s="483"/>
      <c r="HA200" s="483"/>
      <c r="HB200" s="483"/>
      <c r="HC200" s="483"/>
      <c r="HD200" s="483"/>
      <c r="HE200" s="483"/>
      <c r="HF200" s="483"/>
      <c r="HG200" s="483"/>
      <c r="HH200" s="483"/>
      <c r="HI200" s="483"/>
      <c r="HJ200" s="483"/>
      <c r="HK200" s="483"/>
      <c r="HL200" s="483"/>
      <c r="HM200" s="483"/>
      <c r="HN200" s="483"/>
      <c r="HO200" s="483"/>
      <c r="HP200" s="483"/>
      <c r="HQ200" s="483"/>
      <c r="HR200" s="483"/>
      <c r="HS200" s="483"/>
      <c r="HT200" s="483"/>
      <c r="HU200" s="483"/>
      <c r="HV200" s="483"/>
      <c r="HW200" s="483"/>
      <c r="HX200" s="483"/>
      <c r="HY200" s="483"/>
      <c r="HZ200" s="483"/>
      <c r="IA200" s="483"/>
      <c r="IB200" s="483"/>
      <c r="IC200" s="483"/>
      <c r="ID200" s="483"/>
      <c r="IE200" s="483"/>
      <c r="IF200" s="483"/>
      <c r="IG200" s="483"/>
      <c r="IH200" s="483"/>
      <c r="II200" s="483"/>
    </row>
    <row r="201" spans="1:243" ht="13.35" customHeight="1">
      <c r="A201" s="479"/>
      <c r="B201" s="484" t="s">
        <v>150</v>
      </c>
      <c r="C201" s="408"/>
      <c r="D201" s="485"/>
      <c r="E201" s="486"/>
      <c r="F201" s="203">
        <f>Assumptions!H40</f>
        <v>30</v>
      </c>
      <c r="K201" s="481"/>
      <c r="L201" s="482"/>
      <c r="M201" s="482"/>
      <c r="N201" s="482"/>
      <c r="P201" s="483"/>
      <c r="Q201" s="483"/>
      <c r="R201" s="483"/>
      <c r="S201" s="483"/>
      <c r="T201" s="483"/>
      <c r="U201" s="483"/>
      <c r="V201" s="483"/>
      <c r="W201" s="483"/>
      <c r="X201" s="483"/>
      <c r="Y201" s="483"/>
      <c r="Z201" s="483"/>
      <c r="AA201" s="483"/>
      <c r="AB201" s="483"/>
      <c r="AC201" s="483"/>
      <c r="AD201" s="483"/>
      <c r="AE201" s="483"/>
      <c r="AF201" s="483"/>
      <c r="AG201" s="483"/>
      <c r="AH201" s="483"/>
      <c r="AI201" s="483"/>
      <c r="AJ201" s="483"/>
      <c r="AK201" s="483"/>
      <c r="AL201" s="483"/>
      <c r="AM201" s="483"/>
      <c r="AN201" s="483"/>
      <c r="AO201" s="483"/>
      <c r="AP201" s="483"/>
      <c r="AQ201" s="483"/>
      <c r="AR201" s="483"/>
      <c r="AS201" s="483"/>
      <c r="AT201" s="483"/>
      <c r="AU201" s="483"/>
      <c r="AV201" s="483"/>
      <c r="AW201" s="483"/>
      <c r="AX201" s="483"/>
      <c r="AY201" s="483"/>
      <c r="AZ201" s="483"/>
      <c r="BA201" s="483"/>
      <c r="BB201" s="483"/>
      <c r="BC201" s="483"/>
      <c r="BD201" s="483"/>
      <c r="BE201" s="483"/>
      <c r="BF201" s="483"/>
      <c r="BG201" s="483"/>
      <c r="BH201" s="483"/>
      <c r="BI201" s="483"/>
      <c r="BJ201" s="483"/>
      <c r="BK201" s="483"/>
      <c r="BL201" s="483"/>
      <c r="BM201" s="483"/>
      <c r="BN201" s="483"/>
      <c r="BO201" s="483"/>
      <c r="BP201" s="483"/>
      <c r="BQ201" s="483"/>
      <c r="BR201" s="483"/>
      <c r="BS201" s="483"/>
      <c r="BT201" s="483"/>
      <c r="BU201" s="483"/>
      <c r="BV201" s="483"/>
      <c r="BW201" s="483"/>
      <c r="BX201" s="483"/>
      <c r="BY201" s="483"/>
      <c r="BZ201" s="483"/>
      <c r="CA201" s="483"/>
      <c r="CB201" s="483"/>
      <c r="CC201" s="483"/>
      <c r="CD201" s="483"/>
      <c r="CE201" s="483"/>
      <c r="CF201" s="483"/>
      <c r="CG201" s="483"/>
      <c r="CH201" s="483"/>
      <c r="CI201" s="483"/>
      <c r="CJ201" s="483"/>
      <c r="CK201" s="483"/>
      <c r="CL201" s="483"/>
      <c r="CM201" s="483"/>
      <c r="CN201" s="483"/>
      <c r="CO201" s="483"/>
      <c r="CP201" s="483"/>
      <c r="CQ201" s="483"/>
      <c r="CR201" s="483"/>
      <c r="CS201" s="483"/>
      <c r="CT201" s="483"/>
      <c r="CU201" s="483"/>
      <c r="CV201" s="483"/>
      <c r="CW201" s="483"/>
      <c r="CX201" s="483"/>
      <c r="CY201" s="483"/>
      <c r="CZ201" s="483"/>
      <c r="DA201" s="483"/>
      <c r="DB201" s="483"/>
      <c r="DC201" s="483"/>
      <c r="DD201" s="483"/>
      <c r="DE201" s="483"/>
      <c r="DF201" s="483"/>
      <c r="DG201" s="483"/>
      <c r="DH201" s="483"/>
      <c r="DI201" s="483"/>
      <c r="DJ201" s="483"/>
      <c r="DK201" s="483"/>
      <c r="DL201" s="483"/>
      <c r="DM201" s="483"/>
      <c r="DN201" s="483"/>
      <c r="DO201" s="483"/>
      <c r="DP201" s="483"/>
      <c r="DQ201" s="483"/>
      <c r="DR201" s="483"/>
      <c r="DS201" s="483"/>
      <c r="DT201" s="483"/>
      <c r="DU201" s="483"/>
      <c r="DV201" s="483"/>
      <c r="DW201" s="483"/>
      <c r="DX201" s="483"/>
      <c r="DY201" s="483"/>
      <c r="DZ201" s="483"/>
      <c r="EA201" s="483"/>
      <c r="EB201" s="483"/>
      <c r="EC201" s="483"/>
      <c r="ED201" s="483"/>
      <c r="EE201" s="483"/>
      <c r="EF201" s="483"/>
      <c r="EG201" s="483"/>
      <c r="EH201" s="483"/>
      <c r="EI201" s="483"/>
      <c r="EJ201" s="483"/>
      <c r="EK201" s="483"/>
      <c r="EL201" s="483"/>
      <c r="EM201" s="483"/>
      <c r="EN201" s="483"/>
      <c r="EO201" s="483"/>
      <c r="EP201" s="483"/>
      <c r="EQ201" s="483"/>
      <c r="ER201" s="483"/>
      <c r="ES201" s="483"/>
      <c r="ET201" s="483"/>
      <c r="EU201" s="483"/>
      <c r="EV201" s="483"/>
      <c r="EW201" s="483"/>
      <c r="EX201" s="483"/>
      <c r="EY201" s="483"/>
      <c r="EZ201" s="483"/>
      <c r="FA201" s="483"/>
      <c r="FB201" s="483"/>
      <c r="FC201" s="483"/>
      <c r="FD201" s="483"/>
      <c r="FE201" s="483"/>
      <c r="FF201" s="483"/>
      <c r="FG201" s="483"/>
      <c r="FH201" s="483"/>
      <c r="FI201" s="483"/>
      <c r="FJ201" s="483"/>
      <c r="FK201" s="483"/>
      <c r="FL201" s="483"/>
      <c r="FM201" s="483"/>
      <c r="FN201" s="483"/>
      <c r="FO201" s="483"/>
      <c r="FP201" s="483"/>
      <c r="FQ201" s="483"/>
      <c r="FR201" s="483"/>
      <c r="FS201" s="483"/>
      <c r="FT201" s="483"/>
      <c r="FU201" s="483"/>
      <c r="FV201" s="483"/>
      <c r="FW201" s="483"/>
      <c r="FX201" s="483"/>
      <c r="FY201" s="483"/>
      <c r="FZ201" s="483"/>
      <c r="GA201" s="483"/>
      <c r="GB201" s="483"/>
      <c r="GC201" s="483"/>
      <c r="GD201" s="483"/>
      <c r="GE201" s="483"/>
      <c r="GF201" s="483"/>
      <c r="GG201" s="483"/>
      <c r="GH201" s="483"/>
      <c r="GI201" s="483"/>
      <c r="GJ201" s="483"/>
      <c r="GK201" s="483"/>
      <c r="GL201" s="483"/>
      <c r="GM201" s="483"/>
      <c r="GN201" s="483"/>
      <c r="GO201" s="483"/>
      <c r="GP201" s="483"/>
      <c r="GQ201" s="483"/>
      <c r="GR201" s="483"/>
      <c r="GS201" s="483"/>
      <c r="GT201" s="483"/>
      <c r="GU201" s="483"/>
      <c r="GV201" s="483"/>
      <c r="GW201" s="483"/>
      <c r="GX201" s="483"/>
      <c r="GY201" s="483"/>
      <c r="GZ201" s="483"/>
      <c r="HA201" s="483"/>
      <c r="HB201" s="483"/>
      <c r="HC201" s="483"/>
      <c r="HD201" s="483"/>
      <c r="HE201" s="483"/>
      <c r="HF201" s="483"/>
      <c r="HG201" s="483"/>
      <c r="HH201" s="483"/>
      <c r="HI201" s="483"/>
      <c r="HJ201" s="483"/>
      <c r="HK201" s="483"/>
      <c r="HL201" s="483"/>
      <c r="HM201" s="483"/>
      <c r="HN201" s="483"/>
      <c r="HO201" s="483"/>
      <c r="HP201" s="483"/>
      <c r="HQ201" s="483"/>
      <c r="HR201" s="483"/>
      <c r="HS201" s="483"/>
      <c r="HT201" s="483"/>
      <c r="HU201" s="483"/>
      <c r="HV201" s="483"/>
      <c r="HW201" s="483"/>
      <c r="HX201" s="483"/>
      <c r="HY201" s="483"/>
      <c r="HZ201" s="483"/>
      <c r="IA201" s="483"/>
      <c r="IB201" s="483"/>
      <c r="IC201" s="483"/>
      <c r="ID201" s="483"/>
      <c r="IE201" s="483"/>
      <c r="IF201" s="483"/>
      <c r="IG201" s="483"/>
      <c r="IH201" s="483"/>
      <c r="II201" s="483"/>
    </row>
    <row r="202" spans="1:243" ht="13.35" customHeight="1">
      <c r="A202" s="479"/>
      <c r="B202" s="539"/>
      <c r="C202" s="540"/>
      <c r="D202" s="541"/>
      <c r="E202" s="542"/>
      <c r="F202" s="543"/>
      <c r="K202" s="481"/>
      <c r="L202" s="482"/>
      <c r="M202" s="482"/>
      <c r="N202" s="482"/>
      <c r="P202" s="483"/>
      <c r="Q202" s="483"/>
      <c r="R202" s="483"/>
      <c r="S202" s="483"/>
      <c r="T202" s="483"/>
      <c r="U202" s="483"/>
      <c r="V202" s="483"/>
      <c r="W202" s="483"/>
      <c r="X202" s="483"/>
      <c r="Y202" s="483"/>
      <c r="Z202" s="483"/>
      <c r="AA202" s="483"/>
      <c r="AB202" s="483"/>
      <c r="AC202" s="483"/>
      <c r="AD202" s="483"/>
      <c r="AE202" s="483"/>
      <c r="AF202" s="483"/>
      <c r="AG202" s="483"/>
      <c r="AH202" s="483"/>
      <c r="AI202" s="483"/>
      <c r="AJ202" s="483"/>
      <c r="AK202" s="483"/>
      <c r="AL202" s="483"/>
      <c r="AM202" s="483"/>
      <c r="AN202" s="483"/>
      <c r="AO202" s="483"/>
      <c r="AP202" s="483"/>
      <c r="AQ202" s="483"/>
      <c r="AR202" s="483"/>
      <c r="AS202" s="483"/>
      <c r="AT202" s="483"/>
      <c r="AU202" s="483"/>
      <c r="AV202" s="483"/>
      <c r="AW202" s="483"/>
      <c r="AX202" s="483"/>
      <c r="AY202" s="483"/>
      <c r="AZ202" s="483"/>
      <c r="BA202" s="483"/>
      <c r="BB202" s="483"/>
      <c r="BC202" s="483"/>
      <c r="BD202" s="483"/>
      <c r="BE202" s="483"/>
      <c r="BF202" s="483"/>
      <c r="BG202" s="483"/>
      <c r="BH202" s="483"/>
      <c r="BI202" s="483"/>
      <c r="BJ202" s="483"/>
      <c r="BK202" s="483"/>
      <c r="BL202" s="483"/>
      <c r="BM202" s="483"/>
      <c r="BN202" s="483"/>
      <c r="BO202" s="483"/>
      <c r="BP202" s="483"/>
      <c r="BQ202" s="483"/>
      <c r="BR202" s="483"/>
      <c r="BS202" s="483"/>
      <c r="BT202" s="483"/>
      <c r="BU202" s="483"/>
      <c r="BV202" s="483"/>
      <c r="BW202" s="483"/>
      <c r="BX202" s="483"/>
      <c r="BY202" s="483"/>
      <c r="BZ202" s="483"/>
      <c r="CA202" s="483"/>
      <c r="CB202" s="483"/>
      <c r="CC202" s="483"/>
      <c r="CD202" s="483"/>
      <c r="CE202" s="483"/>
      <c r="CF202" s="483"/>
      <c r="CG202" s="483"/>
      <c r="CH202" s="483"/>
      <c r="CI202" s="483"/>
      <c r="CJ202" s="483"/>
      <c r="CK202" s="483"/>
      <c r="CL202" s="483"/>
      <c r="CM202" s="483"/>
      <c r="CN202" s="483"/>
      <c r="CO202" s="483"/>
      <c r="CP202" s="483"/>
      <c r="CQ202" s="483"/>
      <c r="CR202" s="483"/>
      <c r="CS202" s="483"/>
      <c r="CT202" s="483"/>
      <c r="CU202" s="483"/>
      <c r="CV202" s="483"/>
      <c r="CW202" s="483"/>
      <c r="CX202" s="483"/>
      <c r="CY202" s="483"/>
      <c r="CZ202" s="483"/>
      <c r="DA202" s="483"/>
      <c r="DB202" s="483"/>
      <c r="DC202" s="483"/>
      <c r="DD202" s="483"/>
      <c r="DE202" s="483"/>
      <c r="DF202" s="483"/>
      <c r="DG202" s="483"/>
      <c r="DH202" s="483"/>
      <c r="DI202" s="483"/>
      <c r="DJ202" s="483"/>
      <c r="DK202" s="483"/>
      <c r="DL202" s="483"/>
      <c r="DM202" s="483"/>
      <c r="DN202" s="483"/>
      <c r="DO202" s="483"/>
      <c r="DP202" s="483"/>
      <c r="DQ202" s="483"/>
      <c r="DR202" s="483"/>
      <c r="DS202" s="483"/>
      <c r="DT202" s="483"/>
      <c r="DU202" s="483"/>
      <c r="DV202" s="483"/>
      <c r="DW202" s="483"/>
      <c r="DX202" s="483"/>
      <c r="DY202" s="483"/>
      <c r="DZ202" s="483"/>
      <c r="EA202" s="483"/>
      <c r="EB202" s="483"/>
      <c r="EC202" s="483"/>
      <c r="ED202" s="483"/>
      <c r="EE202" s="483"/>
      <c r="EF202" s="483"/>
      <c r="EG202" s="483"/>
      <c r="EH202" s="483"/>
      <c r="EI202" s="483"/>
      <c r="EJ202" s="483"/>
      <c r="EK202" s="483"/>
      <c r="EL202" s="483"/>
      <c r="EM202" s="483"/>
      <c r="EN202" s="483"/>
      <c r="EO202" s="483"/>
      <c r="EP202" s="483"/>
      <c r="EQ202" s="483"/>
      <c r="ER202" s="483"/>
      <c r="ES202" s="483"/>
      <c r="ET202" s="483"/>
      <c r="EU202" s="483"/>
      <c r="EV202" s="483"/>
      <c r="EW202" s="483"/>
      <c r="EX202" s="483"/>
      <c r="EY202" s="483"/>
      <c r="EZ202" s="483"/>
      <c r="FA202" s="483"/>
      <c r="FB202" s="483"/>
      <c r="FC202" s="483"/>
      <c r="FD202" s="483"/>
      <c r="FE202" s="483"/>
      <c r="FF202" s="483"/>
      <c r="FG202" s="483"/>
      <c r="FH202" s="483"/>
      <c r="FI202" s="483"/>
      <c r="FJ202" s="483"/>
      <c r="FK202" s="483"/>
      <c r="FL202" s="483"/>
      <c r="FM202" s="483"/>
      <c r="FN202" s="483"/>
      <c r="FO202" s="483"/>
      <c r="FP202" s="483"/>
      <c r="FQ202" s="483"/>
      <c r="FR202" s="483"/>
      <c r="FS202" s="483"/>
      <c r="FT202" s="483"/>
      <c r="FU202" s="483"/>
      <c r="FV202" s="483"/>
      <c r="FW202" s="483"/>
      <c r="FX202" s="483"/>
      <c r="FY202" s="483"/>
      <c r="FZ202" s="483"/>
      <c r="GA202" s="483"/>
      <c r="GB202" s="483"/>
      <c r="GC202" s="483"/>
      <c r="GD202" s="483"/>
      <c r="GE202" s="483"/>
      <c r="GF202" s="483"/>
      <c r="GG202" s="483"/>
      <c r="GH202" s="483"/>
      <c r="GI202" s="483"/>
      <c r="GJ202" s="483"/>
      <c r="GK202" s="483"/>
      <c r="GL202" s="483"/>
      <c r="GM202" s="483"/>
      <c r="GN202" s="483"/>
      <c r="GO202" s="483"/>
      <c r="GP202" s="483"/>
      <c r="GQ202" s="483"/>
      <c r="GR202" s="483"/>
      <c r="GS202" s="483"/>
      <c r="GT202" s="483"/>
      <c r="GU202" s="483"/>
      <c r="GV202" s="483"/>
      <c r="GW202" s="483"/>
      <c r="GX202" s="483"/>
      <c r="GY202" s="483"/>
      <c r="GZ202" s="483"/>
      <c r="HA202" s="483"/>
      <c r="HB202" s="483"/>
      <c r="HC202" s="483"/>
      <c r="HD202" s="483"/>
      <c r="HE202" s="483"/>
      <c r="HF202" s="483"/>
      <c r="HG202" s="483"/>
      <c r="HH202" s="483"/>
      <c r="HI202" s="483"/>
      <c r="HJ202" s="483"/>
      <c r="HK202" s="483"/>
      <c r="HL202" s="483"/>
      <c r="HM202" s="483"/>
      <c r="HN202" s="483"/>
      <c r="HO202" s="483"/>
      <c r="HP202" s="483"/>
      <c r="HQ202" s="483"/>
      <c r="HR202" s="483"/>
      <c r="HS202" s="483"/>
      <c r="HT202" s="483"/>
      <c r="HU202" s="483"/>
      <c r="HV202" s="483"/>
      <c r="HW202" s="483"/>
      <c r="HX202" s="483"/>
      <c r="HY202" s="483"/>
      <c r="HZ202" s="483"/>
      <c r="IA202" s="483"/>
      <c r="IB202" s="483"/>
      <c r="IC202" s="483"/>
      <c r="ID202" s="483"/>
      <c r="IE202" s="483"/>
      <c r="IF202" s="483"/>
      <c r="IG202" s="483"/>
      <c r="IH202" s="483"/>
      <c r="II202" s="483"/>
    </row>
    <row r="203" spans="1:243" ht="13.35" customHeight="1">
      <c r="A203" s="479"/>
      <c r="B203" s="539" t="s">
        <v>189</v>
      </c>
      <c r="C203" s="540"/>
      <c r="D203" s="541"/>
      <c r="E203" s="542"/>
      <c r="F203" s="543"/>
      <c r="K203" s="545">
        <f>J217</f>
        <v>397.7</v>
      </c>
      <c r="L203" s="545">
        <f t="shared" ref="L203:O203" si="88">K217</f>
        <v>397.52533333333332</v>
      </c>
      <c r="M203" s="545">
        <f t="shared" si="88"/>
        <v>397.80066666666664</v>
      </c>
      <c r="N203" s="545">
        <f t="shared" si="88"/>
        <v>397.80433333333332</v>
      </c>
      <c r="O203" s="545">
        <f t="shared" si="88"/>
        <v>397.428</v>
      </c>
      <c r="P203" s="483"/>
      <c r="Q203" s="483"/>
      <c r="R203" s="483"/>
      <c r="S203" s="483"/>
      <c r="T203" s="483"/>
      <c r="U203" s="483"/>
      <c r="V203" s="483"/>
      <c r="W203" s="483"/>
      <c r="X203" s="483"/>
      <c r="Y203" s="483"/>
      <c r="Z203" s="483"/>
      <c r="AA203" s="483"/>
      <c r="AB203" s="483"/>
      <c r="AC203" s="483"/>
      <c r="AD203" s="483"/>
      <c r="AE203" s="483"/>
      <c r="AF203" s="483"/>
      <c r="AG203" s="483"/>
      <c r="AH203" s="483"/>
      <c r="AI203" s="483"/>
      <c r="AJ203" s="483"/>
      <c r="AK203" s="483"/>
      <c r="AL203" s="483"/>
      <c r="AM203" s="483"/>
      <c r="AN203" s="483"/>
      <c r="AO203" s="483"/>
      <c r="AP203" s="483"/>
      <c r="AQ203" s="483"/>
      <c r="AR203" s="483"/>
      <c r="AS203" s="483"/>
      <c r="AT203" s="483"/>
      <c r="AU203" s="483"/>
      <c r="AV203" s="483"/>
      <c r="AW203" s="483"/>
      <c r="AX203" s="483"/>
      <c r="AY203" s="483"/>
      <c r="AZ203" s="483"/>
      <c r="BA203" s="483"/>
      <c r="BB203" s="483"/>
      <c r="BC203" s="483"/>
      <c r="BD203" s="483"/>
      <c r="BE203" s="483"/>
      <c r="BF203" s="483"/>
      <c r="BG203" s="483"/>
      <c r="BH203" s="483"/>
      <c r="BI203" s="483"/>
      <c r="BJ203" s="483"/>
      <c r="BK203" s="483"/>
      <c r="BL203" s="483"/>
      <c r="BM203" s="483"/>
      <c r="BN203" s="483"/>
      <c r="BO203" s="483"/>
      <c r="BP203" s="483"/>
      <c r="BQ203" s="483"/>
      <c r="BR203" s="483"/>
      <c r="BS203" s="483"/>
      <c r="BT203" s="483"/>
      <c r="BU203" s="483"/>
      <c r="BV203" s="483"/>
      <c r="BW203" s="483"/>
      <c r="BX203" s="483"/>
      <c r="BY203" s="483"/>
      <c r="BZ203" s="483"/>
      <c r="CA203" s="483"/>
      <c r="CB203" s="483"/>
      <c r="CC203" s="483"/>
      <c r="CD203" s="483"/>
      <c r="CE203" s="483"/>
      <c r="CF203" s="483"/>
      <c r="CG203" s="483"/>
      <c r="CH203" s="483"/>
      <c r="CI203" s="483"/>
      <c r="CJ203" s="483"/>
      <c r="CK203" s="483"/>
      <c r="CL203" s="483"/>
      <c r="CM203" s="483"/>
      <c r="CN203" s="483"/>
      <c r="CO203" s="483"/>
      <c r="CP203" s="483"/>
      <c r="CQ203" s="483"/>
      <c r="CR203" s="483"/>
      <c r="CS203" s="483"/>
      <c r="CT203" s="483"/>
      <c r="CU203" s="483"/>
      <c r="CV203" s="483"/>
      <c r="CW203" s="483"/>
      <c r="CX203" s="483"/>
      <c r="CY203" s="483"/>
      <c r="CZ203" s="483"/>
      <c r="DA203" s="483"/>
      <c r="DB203" s="483"/>
      <c r="DC203" s="483"/>
      <c r="DD203" s="483"/>
      <c r="DE203" s="483"/>
      <c r="DF203" s="483"/>
      <c r="DG203" s="483"/>
      <c r="DH203" s="483"/>
      <c r="DI203" s="483"/>
      <c r="DJ203" s="483"/>
      <c r="DK203" s="483"/>
      <c r="DL203" s="483"/>
      <c r="DM203" s="483"/>
      <c r="DN203" s="483"/>
      <c r="DO203" s="483"/>
      <c r="DP203" s="483"/>
      <c r="DQ203" s="483"/>
      <c r="DR203" s="483"/>
      <c r="DS203" s="483"/>
      <c r="DT203" s="483"/>
      <c r="DU203" s="483"/>
      <c r="DV203" s="483"/>
      <c r="DW203" s="483"/>
      <c r="DX203" s="483"/>
      <c r="DY203" s="483"/>
      <c r="DZ203" s="483"/>
      <c r="EA203" s="483"/>
      <c r="EB203" s="483"/>
      <c r="EC203" s="483"/>
      <c r="ED203" s="483"/>
      <c r="EE203" s="483"/>
      <c r="EF203" s="483"/>
      <c r="EG203" s="483"/>
      <c r="EH203" s="483"/>
      <c r="EI203" s="483"/>
      <c r="EJ203" s="483"/>
      <c r="EK203" s="483"/>
      <c r="EL203" s="483"/>
      <c r="EM203" s="483"/>
      <c r="EN203" s="483"/>
      <c r="EO203" s="483"/>
      <c r="EP203" s="483"/>
      <c r="EQ203" s="483"/>
      <c r="ER203" s="483"/>
      <c r="ES203" s="483"/>
      <c r="ET203" s="483"/>
      <c r="EU203" s="483"/>
      <c r="EV203" s="483"/>
      <c r="EW203" s="483"/>
      <c r="EX203" s="483"/>
      <c r="EY203" s="483"/>
      <c r="EZ203" s="483"/>
      <c r="FA203" s="483"/>
      <c r="FB203" s="483"/>
      <c r="FC203" s="483"/>
      <c r="FD203" s="483"/>
      <c r="FE203" s="483"/>
      <c r="FF203" s="483"/>
      <c r="FG203" s="483"/>
      <c r="FH203" s="483"/>
      <c r="FI203" s="483"/>
      <c r="FJ203" s="483"/>
      <c r="FK203" s="483"/>
      <c r="FL203" s="483"/>
      <c r="FM203" s="483"/>
      <c r="FN203" s="483"/>
      <c r="FO203" s="483"/>
      <c r="FP203" s="483"/>
      <c r="FQ203" s="483"/>
      <c r="FR203" s="483"/>
      <c r="FS203" s="483"/>
      <c r="FT203" s="483"/>
      <c r="FU203" s="483"/>
      <c r="FV203" s="483"/>
      <c r="FW203" s="483"/>
      <c r="FX203" s="483"/>
      <c r="FY203" s="483"/>
      <c r="FZ203" s="483"/>
      <c r="GA203" s="483"/>
      <c r="GB203" s="483"/>
      <c r="GC203" s="483"/>
      <c r="GD203" s="483"/>
      <c r="GE203" s="483"/>
      <c r="GF203" s="483"/>
      <c r="GG203" s="483"/>
      <c r="GH203" s="483"/>
      <c r="GI203" s="483"/>
      <c r="GJ203" s="483"/>
      <c r="GK203" s="483"/>
      <c r="GL203" s="483"/>
      <c r="GM203" s="483"/>
      <c r="GN203" s="483"/>
      <c r="GO203" s="483"/>
      <c r="GP203" s="483"/>
      <c r="GQ203" s="483"/>
      <c r="GR203" s="483"/>
      <c r="GS203" s="483"/>
      <c r="GT203" s="483"/>
      <c r="GU203" s="483"/>
      <c r="GV203" s="483"/>
      <c r="GW203" s="483"/>
      <c r="GX203" s="483"/>
      <c r="GY203" s="483"/>
      <c r="GZ203" s="483"/>
      <c r="HA203" s="483"/>
      <c r="HB203" s="483"/>
      <c r="HC203" s="483"/>
      <c r="HD203" s="483"/>
      <c r="HE203" s="483"/>
      <c r="HF203" s="483"/>
      <c r="HG203" s="483"/>
      <c r="HH203" s="483"/>
      <c r="HI203" s="483"/>
      <c r="HJ203" s="483"/>
      <c r="HK203" s="483"/>
      <c r="HL203" s="483"/>
      <c r="HM203" s="483"/>
      <c r="HN203" s="483"/>
      <c r="HO203" s="483"/>
      <c r="HP203" s="483"/>
      <c r="HQ203" s="483"/>
      <c r="HR203" s="483"/>
      <c r="HS203" s="483"/>
      <c r="HT203" s="483"/>
      <c r="HU203" s="483"/>
      <c r="HV203" s="483"/>
      <c r="HW203" s="483"/>
      <c r="HX203" s="483"/>
      <c r="HY203" s="483"/>
      <c r="HZ203" s="483"/>
      <c r="IA203" s="483"/>
      <c r="IB203" s="483"/>
      <c r="IC203" s="483"/>
      <c r="ID203" s="483"/>
      <c r="IE203" s="483"/>
      <c r="IF203" s="483"/>
      <c r="IG203" s="483"/>
      <c r="IH203" s="483"/>
      <c r="II203" s="483"/>
    </row>
    <row r="204" spans="1:243" ht="13.35" customHeight="1">
      <c r="A204" s="479"/>
      <c r="B204" s="539" t="s">
        <v>188</v>
      </c>
      <c r="C204" s="540"/>
      <c r="D204" s="541"/>
      <c r="E204" s="542"/>
      <c r="F204" s="543"/>
      <c r="K204" s="545">
        <f>K129*-1</f>
        <v>16</v>
      </c>
      <c r="L204" s="545">
        <f t="shared" ref="L204:O204" si="89">L129*-1</f>
        <v>17</v>
      </c>
      <c r="M204" s="545">
        <f t="shared" si="89"/>
        <v>17.3</v>
      </c>
      <c r="N204" s="545">
        <f t="shared" si="89"/>
        <v>17.5</v>
      </c>
      <c r="O204" s="545">
        <f t="shared" si="89"/>
        <v>18</v>
      </c>
      <c r="P204" s="483"/>
      <c r="Q204" s="483"/>
      <c r="R204" s="483"/>
      <c r="S204" s="483"/>
      <c r="T204" s="483"/>
      <c r="U204" s="483"/>
      <c r="V204" s="483"/>
      <c r="W204" s="483"/>
      <c r="X204" s="483"/>
      <c r="Y204" s="483"/>
      <c r="Z204" s="483"/>
      <c r="AA204" s="483"/>
      <c r="AB204" s="483"/>
      <c r="AC204" s="483"/>
      <c r="AD204" s="483"/>
      <c r="AE204" s="483"/>
      <c r="AF204" s="483"/>
      <c r="AG204" s="483"/>
      <c r="AH204" s="483"/>
      <c r="AI204" s="483"/>
      <c r="AJ204" s="483"/>
      <c r="AK204" s="483"/>
      <c r="AL204" s="483"/>
      <c r="AM204" s="483"/>
      <c r="AN204" s="483"/>
      <c r="AO204" s="483"/>
      <c r="AP204" s="483"/>
      <c r="AQ204" s="483"/>
      <c r="AR204" s="483"/>
      <c r="AS204" s="483"/>
      <c r="AT204" s="483"/>
      <c r="AU204" s="483"/>
      <c r="AV204" s="483"/>
      <c r="AW204" s="483"/>
      <c r="AX204" s="483"/>
      <c r="AY204" s="483"/>
      <c r="AZ204" s="483"/>
      <c r="BA204" s="483"/>
      <c r="BB204" s="483"/>
      <c r="BC204" s="483"/>
      <c r="BD204" s="483"/>
      <c r="BE204" s="483"/>
      <c r="BF204" s="483"/>
      <c r="BG204" s="483"/>
      <c r="BH204" s="483"/>
      <c r="BI204" s="483"/>
      <c r="BJ204" s="483"/>
      <c r="BK204" s="483"/>
      <c r="BL204" s="483"/>
      <c r="BM204" s="483"/>
      <c r="BN204" s="483"/>
      <c r="BO204" s="483"/>
      <c r="BP204" s="483"/>
      <c r="BQ204" s="483"/>
      <c r="BR204" s="483"/>
      <c r="BS204" s="483"/>
      <c r="BT204" s="483"/>
      <c r="BU204" s="483"/>
      <c r="BV204" s="483"/>
      <c r="BW204" s="483"/>
      <c r="BX204" s="483"/>
      <c r="BY204" s="483"/>
      <c r="BZ204" s="483"/>
      <c r="CA204" s="483"/>
      <c r="CB204" s="483"/>
      <c r="CC204" s="483"/>
      <c r="CD204" s="483"/>
      <c r="CE204" s="483"/>
      <c r="CF204" s="483"/>
      <c r="CG204" s="483"/>
      <c r="CH204" s="483"/>
      <c r="CI204" s="483"/>
      <c r="CJ204" s="483"/>
      <c r="CK204" s="483"/>
      <c r="CL204" s="483"/>
      <c r="CM204" s="483"/>
      <c r="CN204" s="483"/>
      <c r="CO204" s="483"/>
      <c r="CP204" s="483"/>
      <c r="CQ204" s="483"/>
      <c r="CR204" s="483"/>
      <c r="CS204" s="483"/>
      <c r="CT204" s="483"/>
      <c r="CU204" s="483"/>
      <c r="CV204" s="483"/>
      <c r="CW204" s="483"/>
      <c r="CX204" s="483"/>
      <c r="CY204" s="483"/>
      <c r="CZ204" s="483"/>
      <c r="DA204" s="483"/>
      <c r="DB204" s="483"/>
      <c r="DC204" s="483"/>
      <c r="DD204" s="483"/>
      <c r="DE204" s="483"/>
      <c r="DF204" s="483"/>
      <c r="DG204" s="483"/>
      <c r="DH204" s="483"/>
      <c r="DI204" s="483"/>
      <c r="DJ204" s="483"/>
      <c r="DK204" s="483"/>
      <c r="DL204" s="483"/>
      <c r="DM204" s="483"/>
      <c r="DN204" s="483"/>
      <c r="DO204" s="483"/>
      <c r="DP204" s="483"/>
      <c r="DQ204" s="483"/>
      <c r="DR204" s="483"/>
      <c r="DS204" s="483"/>
      <c r="DT204" s="483"/>
      <c r="DU204" s="483"/>
      <c r="DV204" s="483"/>
      <c r="DW204" s="483"/>
      <c r="DX204" s="483"/>
      <c r="DY204" s="483"/>
      <c r="DZ204" s="483"/>
      <c r="EA204" s="483"/>
      <c r="EB204" s="483"/>
      <c r="EC204" s="483"/>
      <c r="ED204" s="483"/>
      <c r="EE204" s="483"/>
      <c r="EF204" s="483"/>
      <c r="EG204" s="483"/>
      <c r="EH204" s="483"/>
      <c r="EI204" s="483"/>
      <c r="EJ204" s="483"/>
      <c r="EK204" s="483"/>
      <c r="EL204" s="483"/>
      <c r="EM204" s="483"/>
      <c r="EN204" s="483"/>
      <c r="EO204" s="483"/>
      <c r="EP204" s="483"/>
      <c r="EQ204" s="483"/>
      <c r="ER204" s="483"/>
      <c r="ES204" s="483"/>
      <c r="ET204" s="483"/>
      <c r="EU204" s="483"/>
      <c r="EV204" s="483"/>
      <c r="EW204" s="483"/>
      <c r="EX204" s="483"/>
      <c r="EY204" s="483"/>
      <c r="EZ204" s="483"/>
      <c r="FA204" s="483"/>
      <c r="FB204" s="483"/>
      <c r="FC204" s="483"/>
      <c r="FD204" s="483"/>
      <c r="FE204" s="483"/>
      <c r="FF204" s="483"/>
      <c r="FG204" s="483"/>
      <c r="FH204" s="483"/>
      <c r="FI204" s="483"/>
      <c r="FJ204" s="483"/>
      <c r="FK204" s="483"/>
      <c r="FL204" s="483"/>
      <c r="FM204" s="483"/>
      <c r="FN204" s="483"/>
      <c r="FO204" s="483"/>
      <c r="FP204" s="483"/>
      <c r="FQ204" s="483"/>
      <c r="FR204" s="483"/>
      <c r="FS204" s="483"/>
      <c r="FT204" s="483"/>
      <c r="FU204" s="483"/>
      <c r="FV204" s="483"/>
      <c r="FW204" s="483"/>
      <c r="FX204" s="483"/>
      <c r="FY204" s="483"/>
      <c r="FZ204" s="483"/>
      <c r="GA204" s="483"/>
      <c r="GB204" s="483"/>
      <c r="GC204" s="483"/>
      <c r="GD204" s="483"/>
      <c r="GE204" s="483"/>
      <c r="GF204" s="483"/>
      <c r="GG204" s="483"/>
      <c r="GH204" s="483"/>
      <c r="GI204" s="483"/>
      <c r="GJ204" s="483"/>
      <c r="GK204" s="483"/>
      <c r="GL204" s="483"/>
      <c r="GM204" s="483"/>
      <c r="GN204" s="483"/>
      <c r="GO204" s="483"/>
      <c r="GP204" s="483"/>
      <c r="GQ204" s="483"/>
      <c r="GR204" s="483"/>
      <c r="GS204" s="483"/>
      <c r="GT204" s="483"/>
      <c r="GU204" s="483"/>
      <c r="GV204" s="483"/>
      <c r="GW204" s="483"/>
      <c r="GX204" s="483"/>
      <c r="GY204" s="483"/>
      <c r="GZ204" s="483"/>
      <c r="HA204" s="483"/>
      <c r="HB204" s="483"/>
      <c r="HC204" s="483"/>
      <c r="HD204" s="483"/>
      <c r="HE204" s="483"/>
      <c r="HF204" s="483"/>
      <c r="HG204" s="483"/>
      <c r="HH204" s="483"/>
      <c r="HI204" s="483"/>
      <c r="HJ204" s="483"/>
      <c r="HK204" s="483"/>
      <c r="HL204" s="483"/>
      <c r="HM204" s="483"/>
      <c r="HN204" s="483"/>
      <c r="HO204" s="483"/>
      <c r="HP204" s="483"/>
      <c r="HQ204" s="483"/>
      <c r="HR204" s="483"/>
      <c r="HS204" s="483"/>
      <c r="HT204" s="483"/>
      <c r="HU204" s="483"/>
      <c r="HV204" s="483"/>
      <c r="HW204" s="483"/>
      <c r="HX204" s="483"/>
      <c r="HY204" s="483"/>
      <c r="HZ204" s="483"/>
      <c r="IA204" s="483"/>
      <c r="IB204" s="483"/>
      <c r="IC204" s="483"/>
      <c r="ID204" s="483"/>
      <c r="IE204" s="483"/>
      <c r="IF204" s="483"/>
      <c r="IG204" s="483"/>
      <c r="IH204" s="483"/>
      <c r="II204" s="483"/>
    </row>
    <row r="205" spans="1:243" ht="12.75" customHeight="1">
      <c r="F205" s="1"/>
      <c r="K205" s="487"/>
    </row>
    <row r="206" spans="1:243">
      <c r="D206" s="1" t="s">
        <v>151</v>
      </c>
      <c r="F206" s="1"/>
      <c r="H206" s="488"/>
      <c r="I206" s="488"/>
      <c r="J206" s="488"/>
      <c r="K206" s="489">
        <f>J163/$F$200</f>
        <v>15.907999999999999</v>
      </c>
      <c r="L206" s="489">
        <f>K206</f>
        <v>15.907999999999999</v>
      </c>
      <c r="M206" s="489">
        <f t="shared" ref="M206:O206" si="90">L206</f>
        <v>15.907999999999999</v>
      </c>
      <c r="N206" s="489">
        <f t="shared" si="90"/>
        <v>15.907999999999999</v>
      </c>
      <c r="O206" s="489">
        <f t="shared" si="90"/>
        <v>15.907999999999999</v>
      </c>
    </row>
    <row r="207" spans="1:243">
      <c r="F207" s="1"/>
    </row>
    <row r="208" spans="1:243">
      <c r="D208" s="490" t="s">
        <v>119</v>
      </c>
      <c r="F208" s="1"/>
    </row>
    <row r="209" spans="1:15">
      <c r="D209" s="491">
        <f>K197</f>
        <v>2025</v>
      </c>
      <c r="E209" s="492">
        <f>-HLOOKUP($D209,$K$119:$O$130,ROWS(K$119:K$129),FALSE)</f>
        <v>16</v>
      </c>
      <c r="F209" s="536">
        <f t="array" ref="F209:F213">-TRANSPOSE(K129:O129)</f>
        <v>16</v>
      </c>
      <c r="H209" s="482"/>
      <c r="I209" s="482"/>
      <c r="J209" s="482"/>
      <c r="K209" s="493">
        <f>IF(K$197&lt;$D209,"",IF($D209=K$197,($E209/$F$201)/$F$199,MIN($E209/$F$201,$E209-SUM($J209:J209))))</f>
        <v>0.26666666666666666</v>
      </c>
      <c r="L209" s="493">
        <f>IF(L$197&lt;$D209,"",IF($D209=L$197,($E209/$F$201)/$F$199,MIN($E209/$F$201,$E209-SUM($J209:K209))))</f>
        <v>0.53333333333333333</v>
      </c>
      <c r="M209" s="493">
        <f>IF(M$197&lt;$D209,"",IF($D209=M$197,($E209/$F$201)/$F$199,MIN($E209/$F$201,$E209-SUM($J209:L209))))</f>
        <v>0.53333333333333333</v>
      </c>
      <c r="N209" s="493">
        <f>IF(N$197&lt;$D209,"",IF($D209=N$197,($E209/$F$201)/$F$199,MIN($E209/$F$201,$E209-SUM($J209:M209))))</f>
        <v>0.53333333333333333</v>
      </c>
      <c r="O209" s="493">
        <f>IF(O$197&lt;$D209,"",IF($D209=O$197,($E209/$F$201)/$F$199,MIN($E209/$F$201,$E209-SUM($J209:N209))))</f>
        <v>0.53333333333333333</v>
      </c>
    </row>
    <row r="210" spans="1:15">
      <c r="D210" s="491">
        <f>D209+1</f>
        <v>2026</v>
      </c>
      <c r="E210" s="494">
        <f t="shared" ref="E210:E213" si="91">-HLOOKUP($D210,$K$119:$O$130,ROWS(K$119:K$129),FALSE)</f>
        <v>17</v>
      </c>
      <c r="F210" s="536">
        <v>17</v>
      </c>
      <c r="H210" s="482"/>
      <c r="I210" s="482"/>
      <c r="J210" s="482"/>
      <c r="K210" s="493" t="str">
        <f>IF(K$197&lt;$D210,"",IF($D210=K$197,($E210/$F$201)/$F$199,MIN($E210/$F$201,$E210-SUM($J210:J210))))</f>
        <v/>
      </c>
      <c r="L210" s="493">
        <f>IF(L$197&lt;$D210,"",IF($D210=L$197,($E210/$F$201)/$F$199,MIN($E210/$F$201,$E210-SUM($J210:K210))))</f>
        <v>0.28333333333333333</v>
      </c>
      <c r="M210" s="493">
        <f>IF(M$197&lt;$D210,"",IF($D210=M$197,($E210/$F$201)/$F$199,MIN($E210/$F$201,$E210-SUM($J210:L210))))</f>
        <v>0.56666666666666665</v>
      </c>
      <c r="N210" s="493">
        <f>IF(N$197&lt;$D210,"",IF($D210=N$197,($E210/$F$201)/$F$199,MIN($E210/$F$201,$E210-SUM($J210:M210))))</f>
        <v>0.56666666666666665</v>
      </c>
      <c r="O210" s="493">
        <f>IF(O$197&lt;$D210,"",IF($D210=O$197,($E210/$F$201)/$F$199,MIN($E210/$F$201,$E210-SUM($J210:N210))))</f>
        <v>0.56666666666666665</v>
      </c>
    </row>
    <row r="211" spans="1:15">
      <c r="D211" s="491">
        <f t="shared" ref="D211:D213" si="92">D210+1</f>
        <v>2027</v>
      </c>
      <c r="E211" s="494">
        <f t="shared" si="91"/>
        <v>17.3</v>
      </c>
      <c r="F211" s="536">
        <v>17.3</v>
      </c>
      <c r="H211" s="423"/>
      <c r="I211" s="423"/>
      <c r="J211" s="423"/>
      <c r="K211" s="493" t="str">
        <f>IF(K$197&lt;$D211,"",IF($D211=K$197,($E211/$F$201)/$F$199,MIN($E211/$F$201,$E211-SUM($J211:J211))))</f>
        <v/>
      </c>
      <c r="L211" s="493" t="str">
        <f>IF(L$197&lt;$D211,"",IF($D211=L$197,($E211/$F$201)/$F$199,MIN($E211/$F$201,$E211-SUM($J211:K211))))</f>
        <v/>
      </c>
      <c r="M211" s="493">
        <f>IF(M$197&lt;$D211,"",IF($D211=M$197,($E211/$F$201)/$F$199,MIN($E211/$F$201,$E211-SUM($J211:L211))))</f>
        <v>0.28833333333333333</v>
      </c>
      <c r="N211" s="493">
        <f>IF(N$197&lt;$D211,"",IF($D211=N$197,($E211/$F$201)/$F$199,MIN($E211/$F$201,$E211-SUM($J211:M211))))</f>
        <v>0.57666666666666666</v>
      </c>
      <c r="O211" s="493">
        <f>IF(O$197&lt;$D211,"",IF($D211=O$197,($E211/$F$201)/$F$199,MIN($E211/$F$201,$E211-SUM($J211:N211))))</f>
        <v>0.57666666666666666</v>
      </c>
    </row>
    <row r="212" spans="1:15">
      <c r="D212" s="491">
        <f t="shared" si="92"/>
        <v>2028</v>
      </c>
      <c r="E212" s="494">
        <f t="shared" si="91"/>
        <v>17.5</v>
      </c>
      <c r="F212" s="536">
        <v>17.5</v>
      </c>
      <c r="H212" s="423"/>
      <c r="I212" s="423"/>
      <c r="J212" s="423"/>
      <c r="K212" s="493" t="str">
        <f>IF(K$197&lt;$D212,"",IF($D212=K$197,($E212/$F$201)/$F$199,MIN($E212/$F$201,$E212-SUM($J212:J212))))</f>
        <v/>
      </c>
      <c r="L212" s="493" t="str">
        <f>IF(L$197&lt;$D212,"",IF($D212=L$197,($E212/$F$201)/$F$199,MIN($E212/$F$201,$E212-SUM($J212:K212))))</f>
        <v/>
      </c>
      <c r="M212" s="493" t="str">
        <f>IF(M$197&lt;$D212,"",IF($D212=M$197,($E212/$F$201)/$F$199,MIN($E212/$F$201,$E212-SUM($J212:L212))))</f>
        <v/>
      </c>
      <c r="N212" s="493">
        <f>IF(N$197&lt;$D212,"",IF($D212=N$197,($E212/$F$201)/$F$199,MIN($E212/$F$201,$E212-SUM($J212:M212))))</f>
        <v>0.29166666666666669</v>
      </c>
      <c r="O212" s="493">
        <f>IF(O$197&lt;$D212,"",IF($D212=O$197,($E212/$F$201)/$F$199,MIN($E212/$F$201,$E212-SUM($J212:N212))))</f>
        <v>0.58333333333333337</v>
      </c>
    </row>
    <row r="213" spans="1:15">
      <c r="D213" s="491">
        <f t="shared" si="92"/>
        <v>2029</v>
      </c>
      <c r="E213" s="495">
        <f t="shared" si="91"/>
        <v>18</v>
      </c>
      <c r="F213" s="536">
        <v>18</v>
      </c>
      <c r="H213" s="423"/>
      <c r="I213" s="423"/>
      <c r="J213" s="423"/>
      <c r="K213" s="493" t="str">
        <f>IF(K$197&lt;$D213,"",IF($D213=K$197,($E213/$F$201)/$F$199,MIN($E213/$F$201,$E213-SUM($J213:J213))))</f>
        <v/>
      </c>
      <c r="L213" s="493" t="str">
        <f>IF(L$197&lt;$D213,"",IF($D213=L$197,($E213/$F$201)/$F$199,MIN($E213/$F$201,$E213-SUM($J213:K213))))</f>
        <v/>
      </c>
      <c r="M213" s="493" t="str">
        <f>IF(M$197&lt;$D213,"",IF($D213=M$197,($E213/$F$201)/$F$199,MIN($E213/$F$201,$E213-SUM($J213:L213))))</f>
        <v/>
      </c>
      <c r="N213" s="493" t="str">
        <f>IF(N$197&lt;$D213,"",IF($D213=N$197,($E213/$F$201)/$F$199,MIN($E213/$F$201,$E213-SUM($J213:M213))))</f>
        <v/>
      </c>
      <c r="O213" s="493">
        <f>IF(O$197&lt;$D213,"",IF($D213=O$197,($E213/$F$201)/$F$199,MIN($E213/$F$201,$E213-SUM($J213:N213))))</f>
        <v>0.3</v>
      </c>
    </row>
    <row r="214" spans="1:15">
      <c r="D214" s="491"/>
      <c r="K214" s="493"/>
      <c r="L214" s="493"/>
      <c r="M214" s="493"/>
      <c r="N214" s="493"/>
      <c r="O214" s="493"/>
    </row>
    <row r="215" spans="1:15" ht="15" thickBot="1">
      <c r="D215" s="496" t="s">
        <v>152</v>
      </c>
      <c r="H215" s="497"/>
      <c r="I215" s="497"/>
      <c r="J215" s="497"/>
      <c r="K215" s="497">
        <f>SUM(K206:K213)</f>
        <v>16.174666666666667</v>
      </c>
      <c r="L215" s="497">
        <f>SUM(L206:L213)</f>
        <v>16.724666666666668</v>
      </c>
      <c r="M215" s="497">
        <f>SUM(M206:M213)</f>
        <v>17.296333333333333</v>
      </c>
      <c r="N215" s="497">
        <f>SUM(N206:N213)</f>
        <v>17.876333333333335</v>
      </c>
      <c r="O215" s="497">
        <f>SUM(O206:O213)</f>
        <v>18.468</v>
      </c>
    </row>
    <row r="216" spans="1:15" ht="15" thickTop="1">
      <c r="D216" s="496"/>
      <c r="H216" s="544"/>
      <c r="I216" s="544"/>
      <c r="J216" s="544"/>
      <c r="K216" s="544"/>
      <c r="L216" s="544"/>
      <c r="M216" s="544"/>
      <c r="N216" s="544"/>
      <c r="O216" s="544"/>
    </row>
    <row r="217" spans="1:15">
      <c r="C217" s="539" t="s">
        <v>190</v>
      </c>
      <c r="D217" s="496"/>
      <c r="H217" s="544"/>
      <c r="I217" s="544"/>
      <c r="J217" s="544">
        <f>J163</f>
        <v>397.7</v>
      </c>
      <c r="K217" s="544">
        <f>K203+K204-K215</f>
        <v>397.52533333333332</v>
      </c>
      <c r="L217" s="544">
        <f t="shared" ref="L217:O217" si="93">L203+L204-L215</f>
        <v>397.80066666666664</v>
      </c>
      <c r="M217" s="544">
        <f t="shared" si="93"/>
        <v>397.80433333333332</v>
      </c>
      <c r="N217" s="544">
        <f t="shared" si="93"/>
        <v>397.428</v>
      </c>
      <c r="O217" s="544">
        <f t="shared" si="93"/>
        <v>396.96</v>
      </c>
    </row>
    <row r="218" spans="1:15">
      <c r="B218" s="408"/>
      <c r="C218" s="408"/>
      <c r="D218" s="408"/>
      <c r="E218" s="408"/>
      <c r="F218" s="138"/>
      <c r="G218" s="408"/>
      <c r="H218" s="498"/>
      <c r="I218" s="498"/>
      <c r="J218" s="498"/>
      <c r="K218" s="498"/>
      <c r="L218" s="498"/>
      <c r="M218" s="498"/>
      <c r="N218" s="498"/>
      <c r="O218" s="408"/>
    </row>
    <row r="219" spans="1:15">
      <c r="F219" s="1"/>
    </row>
    <row r="220" spans="1:15" ht="12.75" customHeight="1">
      <c r="A220" s="107"/>
      <c r="B220" s="108"/>
      <c r="C220" s="379"/>
      <c r="D220" s="379"/>
      <c r="E220" s="379"/>
      <c r="F220" s="104"/>
      <c r="G220" s="379"/>
      <c r="H220" s="379"/>
      <c r="I220" s="379"/>
      <c r="J220" s="379"/>
      <c r="K220" s="379"/>
      <c r="L220" s="379"/>
      <c r="M220" s="379"/>
      <c r="N220" s="379"/>
      <c r="O220" s="139" t="str">
        <f>$O$1</f>
        <v>CURRENTLY RUNNING: BASE CASE SCENARIO</v>
      </c>
    </row>
    <row r="221" spans="1:15" ht="23.25">
      <c r="B221" s="108" t="str">
        <f>B$2</f>
        <v>Blue Containers Company</v>
      </c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</row>
    <row r="222" spans="1:15" ht="18">
      <c r="B222" s="110" t="s">
        <v>153</v>
      </c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</row>
    <row r="223" spans="1:15" ht="3" customHeight="1" thickBot="1">
      <c r="A223" s="109"/>
      <c r="B223" s="111"/>
      <c r="C223" s="382"/>
      <c r="D223" s="382"/>
      <c r="E223" s="382"/>
      <c r="F223" s="383"/>
      <c r="G223" s="382"/>
      <c r="H223" s="382"/>
      <c r="I223" s="382"/>
      <c r="J223" s="382"/>
      <c r="K223" s="382"/>
      <c r="L223" s="382"/>
      <c r="M223" s="382"/>
      <c r="N223" s="382"/>
      <c r="O223" s="382"/>
    </row>
    <row r="224" spans="1:15">
      <c r="B224" s="158" t="s">
        <v>3</v>
      </c>
      <c r="F224" s="1"/>
    </row>
    <row r="225" spans="2:16">
      <c r="F225" s="1"/>
      <c r="H225" s="189"/>
      <c r="I225" s="189"/>
      <c r="J225" s="189"/>
      <c r="K225" s="114" t="s">
        <v>2</v>
      </c>
      <c r="L225" s="384"/>
      <c r="M225" s="384"/>
      <c r="N225" s="384"/>
      <c r="O225" s="384"/>
    </row>
    <row r="226" spans="2:16">
      <c r="B226" s="499"/>
      <c r="C226" s="205" t="s">
        <v>154</v>
      </c>
      <c r="D226" s="500"/>
      <c r="E226" s="206">
        <f>Assumptions!N39</f>
        <v>0.35</v>
      </c>
      <c r="F226" s="1"/>
      <c r="H226" s="200"/>
      <c r="I226" s="200"/>
      <c r="J226" s="200"/>
      <c r="K226" s="180">
        <f>K$7</f>
        <v>2025</v>
      </c>
      <c r="L226" s="180">
        <f>L$7</f>
        <v>2026</v>
      </c>
      <c r="M226" s="180">
        <f>M$7</f>
        <v>2027</v>
      </c>
      <c r="N226" s="180">
        <f>N$7</f>
        <v>2028</v>
      </c>
      <c r="O226" s="180">
        <f>O$7</f>
        <v>2029</v>
      </c>
    </row>
    <row r="227" spans="2:16">
      <c r="B227" s="499"/>
      <c r="C227" s="117"/>
      <c r="E227" s="207"/>
      <c r="F227" s="1"/>
      <c r="H227" s="200"/>
      <c r="I227" s="200"/>
      <c r="J227" s="200"/>
      <c r="K227" s="180"/>
      <c r="L227" s="180"/>
      <c r="M227" s="180"/>
      <c r="N227" s="180"/>
      <c r="O227" s="180"/>
    </row>
    <row r="228" spans="2:16">
      <c r="F228" s="1"/>
    </row>
    <row r="229" spans="2:16">
      <c r="D229" s="118" t="s">
        <v>155</v>
      </c>
      <c r="F229" s="1"/>
      <c r="H229" s="501" t="s">
        <v>156</v>
      </c>
      <c r="I229" s="482"/>
      <c r="J229" s="482"/>
      <c r="K229" s="502">
        <f ca="1">K98</f>
        <v>46.434209433101259</v>
      </c>
      <c r="L229" s="502">
        <f t="shared" ref="L229:O229" ca="1" si="94">L98</f>
        <v>20.426267595008468</v>
      </c>
      <c r="M229" s="502">
        <f t="shared" ca="1" si="94"/>
        <v>60.721850257726587</v>
      </c>
      <c r="N229" s="502">
        <f t="shared" ca="1" si="94"/>
        <v>52.073458578749651</v>
      </c>
      <c r="O229" s="502">
        <f t="shared" ca="1" si="94"/>
        <v>30.38894672940031</v>
      </c>
    </row>
    <row r="230" spans="2:16" ht="6" customHeight="1">
      <c r="E230" s="284"/>
      <c r="F230" s="284"/>
      <c r="H230" s="434"/>
      <c r="I230" s="434"/>
      <c r="J230" s="434"/>
      <c r="K230" s="434"/>
      <c r="L230" s="434"/>
      <c r="M230" s="434"/>
      <c r="N230" s="434"/>
      <c r="O230" s="434"/>
    </row>
    <row r="231" spans="2:16">
      <c r="D231" s="1" t="s">
        <v>157</v>
      </c>
      <c r="F231" s="1"/>
      <c r="K231" s="503">
        <f>Assumptions!J61</f>
        <v>5</v>
      </c>
      <c r="L231" s="503">
        <f>Assumptions!K61</f>
        <v>5</v>
      </c>
      <c r="M231" s="503">
        <f>Assumptions!L61</f>
        <v>5</v>
      </c>
      <c r="N231" s="503">
        <f>Assumptions!M61</f>
        <v>5</v>
      </c>
      <c r="O231" s="503">
        <f>Assumptions!N61</f>
        <v>5</v>
      </c>
    </row>
    <row r="232" spans="2:16">
      <c r="D232" s="118" t="s">
        <v>158</v>
      </c>
      <c r="F232" s="284"/>
      <c r="H232" s="501" t="s">
        <v>159</v>
      </c>
      <c r="I232" s="504"/>
      <c r="J232" s="504"/>
      <c r="K232" s="502">
        <f ca="1">K229-K231</f>
        <v>41.434209433101259</v>
      </c>
      <c r="L232" s="502">
        <f t="shared" ref="L232:O232" ca="1" si="95">L229-L231</f>
        <v>15.426267595008468</v>
      </c>
      <c r="M232" s="502">
        <f t="shared" ca="1" si="95"/>
        <v>55.721850257726587</v>
      </c>
      <c r="N232" s="502">
        <f t="shared" ca="1" si="95"/>
        <v>47.073458578749651</v>
      </c>
      <c r="O232" s="502">
        <f t="shared" ca="1" si="95"/>
        <v>25.38894672940031</v>
      </c>
    </row>
    <row r="233" spans="2:16">
      <c r="E233" s="117"/>
      <c r="F233" s="1"/>
      <c r="H233" s="482"/>
      <c r="I233" s="482"/>
      <c r="J233" s="482"/>
      <c r="K233" s="493"/>
      <c r="L233" s="493"/>
      <c r="M233" s="493"/>
      <c r="N233" s="493"/>
      <c r="O233" s="493"/>
      <c r="P233" s="440"/>
    </row>
    <row r="234" spans="2:16">
      <c r="D234" s="391" t="str">
        <f>CONCATENATE("Accounting Taxes (",$E$226*100,"% of A)")</f>
        <v>Accounting Taxes (35% of A)</v>
      </c>
      <c r="E234" s="284"/>
      <c r="F234" s="434"/>
      <c r="G234" s="434"/>
      <c r="H234" s="482"/>
      <c r="I234" s="482"/>
      <c r="J234" s="482"/>
      <c r="K234" s="493">
        <f ca="1">K229*$E$226</f>
        <v>16.251973301585441</v>
      </c>
      <c r="L234" s="493">
        <f t="shared" ref="L234:O234" ca="1" si="96">L229*$E$226</f>
        <v>7.1491936582529636</v>
      </c>
      <c r="M234" s="493">
        <f t="shared" ca="1" si="96"/>
        <v>21.252647590204305</v>
      </c>
      <c r="N234" s="493">
        <f t="shared" ca="1" si="96"/>
        <v>18.225710502562375</v>
      </c>
      <c r="O234" s="493">
        <f t="shared" ca="1" si="96"/>
        <v>10.636131355290107</v>
      </c>
    </row>
    <row r="235" spans="2:16">
      <c r="F235" s="505"/>
      <c r="H235" s="482"/>
      <c r="I235" s="482"/>
      <c r="J235" s="482"/>
      <c r="K235" s="482"/>
      <c r="L235" s="482"/>
      <c r="M235" s="482"/>
      <c r="N235" s="482"/>
      <c r="O235" s="482"/>
    </row>
    <row r="236" spans="2:16">
      <c r="D236" s="168" t="s">
        <v>160</v>
      </c>
      <c r="E236" s="506"/>
      <c r="F236" s="507"/>
      <c r="G236" s="507"/>
      <c r="H236" s="507"/>
      <c r="I236" s="507"/>
      <c r="J236" s="507"/>
      <c r="K236" s="507"/>
      <c r="L236" s="507"/>
      <c r="M236" s="507"/>
      <c r="N236" s="507"/>
      <c r="O236" s="508"/>
    </row>
    <row r="237" spans="2:16">
      <c r="D237" s="509" t="str">
        <f>CONCATENATE("Current Tax (",$E$226*100,"% of B)")</f>
        <v>Current Tax (35% of B)</v>
      </c>
      <c r="E237" s="284"/>
      <c r="F237" s="434"/>
      <c r="G237" s="510"/>
      <c r="H237" s="482"/>
      <c r="I237" s="482"/>
      <c r="J237" s="482"/>
      <c r="K237" s="493">
        <f ca="1">K232*$E$226</f>
        <v>14.501973301585439</v>
      </c>
      <c r="L237" s="493">
        <f t="shared" ref="L237:O237" ca="1" si="97">L232*$E$226</f>
        <v>5.3991936582529636</v>
      </c>
      <c r="M237" s="493">
        <f t="shared" ca="1" si="97"/>
        <v>19.502647590204305</v>
      </c>
      <c r="N237" s="493">
        <f t="shared" ca="1" si="97"/>
        <v>16.475710502562379</v>
      </c>
      <c r="O237" s="511">
        <f t="shared" ca="1" si="97"/>
        <v>8.8861313552901073</v>
      </c>
    </row>
    <row r="238" spans="2:16">
      <c r="D238" s="445" t="s">
        <v>161</v>
      </c>
      <c r="E238" s="284"/>
      <c r="F238" s="434"/>
      <c r="G238" s="434"/>
      <c r="H238" s="482"/>
      <c r="I238" s="482"/>
      <c r="J238" s="482"/>
      <c r="K238" s="512">
        <f ca="1">K234-K237</f>
        <v>1.7500000000000018</v>
      </c>
      <c r="L238" s="512">
        <f t="shared" ref="L238:O238" ca="1" si="98">L234-L237</f>
        <v>1.75</v>
      </c>
      <c r="M238" s="512">
        <f t="shared" ca="1" si="98"/>
        <v>1.75</v>
      </c>
      <c r="N238" s="512">
        <f t="shared" ca="1" si="98"/>
        <v>1.7499999999999964</v>
      </c>
      <c r="O238" s="513">
        <f t="shared" ca="1" si="98"/>
        <v>1.75</v>
      </c>
    </row>
    <row r="239" spans="2:16">
      <c r="D239" s="208" t="s">
        <v>162</v>
      </c>
      <c r="E239" s="514"/>
      <c r="F239" s="515"/>
      <c r="G239" s="515"/>
      <c r="H239" s="516"/>
      <c r="I239" s="516"/>
      <c r="J239" s="516"/>
      <c r="K239" s="517">
        <f ca="1">SUM(K237:K238)</f>
        <v>16.251973301585441</v>
      </c>
      <c r="L239" s="517">
        <f t="shared" ref="L239:O239" ca="1" si="99">SUM(L237:L238)</f>
        <v>7.1491936582529636</v>
      </c>
      <c r="M239" s="517">
        <f t="shared" ca="1" si="99"/>
        <v>21.252647590204305</v>
      </c>
      <c r="N239" s="517">
        <f t="shared" ca="1" si="99"/>
        <v>18.225710502562375</v>
      </c>
      <c r="O239" s="518">
        <f t="shared" ca="1" si="99"/>
        <v>10.636131355290107</v>
      </c>
    </row>
    <row r="240" spans="2:16">
      <c r="E240" s="284"/>
      <c r="F240" s="434"/>
      <c r="G240" s="434"/>
      <c r="H240" s="434"/>
      <c r="I240" s="434"/>
      <c r="J240" s="434"/>
      <c r="K240" s="434"/>
      <c r="L240" s="434"/>
      <c r="M240" s="434"/>
      <c r="N240" s="434"/>
      <c r="O240" s="434"/>
    </row>
    <row r="241" spans="1:18">
      <c r="C241" s="209" t="s">
        <v>163</v>
      </c>
      <c r="E241" s="284"/>
      <c r="F241" s="434"/>
      <c r="G241" s="434"/>
      <c r="H241" s="434"/>
      <c r="I241" s="434"/>
      <c r="J241" s="434"/>
      <c r="K241" s="434"/>
      <c r="L241" s="434"/>
      <c r="M241" s="434"/>
      <c r="N241" s="434"/>
      <c r="O241" s="434"/>
    </row>
    <row r="242" spans="1:18" ht="6" customHeight="1">
      <c r="B242" s="408"/>
      <c r="C242" s="408"/>
      <c r="D242" s="408"/>
      <c r="E242" s="519"/>
      <c r="F242" s="519"/>
      <c r="G242" s="520"/>
      <c r="H242" s="520"/>
      <c r="I242" s="520"/>
      <c r="J242" s="520"/>
      <c r="K242" s="520"/>
      <c r="L242" s="520"/>
      <c r="M242" s="520"/>
      <c r="N242" s="520"/>
      <c r="O242" s="408"/>
    </row>
    <row r="244" spans="1:18" ht="12.75" customHeight="1">
      <c r="A244" s="107"/>
      <c r="B244" s="108"/>
      <c r="C244" s="379"/>
      <c r="D244" s="379"/>
      <c r="E244" s="379"/>
      <c r="F244" s="104"/>
      <c r="G244" s="379"/>
      <c r="H244" s="379"/>
      <c r="I244" s="379"/>
      <c r="J244" s="379"/>
      <c r="K244" s="379"/>
      <c r="L244" s="379"/>
      <c r="M244" s="379"/>
      <c r="N244" s="379"/>
      <c r="O244" s="139" t="str">
        <f>$O$1</f>
        <v>CURRENTLY RUNNING: BASE CASE SCENARIO</v>
      </c>
    </row>
    <row r="245" spans="1:18" ht="23.25">
      <c r="B245" s="108" t="str">
        <f>B$2</f>
        <v>Blue Containers Company</v>
      </c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79"/>
      <c r="O245" s="379"/>
    </row>
    <row r="246" spans="1:18" ht="18">
      <c r="B246" s="110" t="s">
        <v>164</v>
      </c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Q246" s="547" t="s">
        <v>192</v>
      </c>
    </row>
    <row r="247" spans="1:18" ht="3" customHeight="1" thickBot="1">
      <c r="A247" s="109"/>
      <c r="B247" s="111"/>
      <c r="C247" s="382"/>
      <c r="D247" s="382"/>
      <c r="E247" s="382"/>
      <c r="F247" s="383"/>
      <c r="G247" s="382"/>
      <c r="H247" s="382"/>
      <c r="I247" s="382"/>
      <c r="J247" s="382"/>
      <c r="K247" s="382"/>
      <c r="L247" s="382"/>
      <c r="M247" s="382"/>
      <c r="N247" s="382"/>
      <c r="O247" s="382"/>
    </row>
    <row r="248" spans="1:18">
      <c r="B248" s="158" t="s">
        <v>3</v>
      </c>
      <c r="F248" s="1"/>
      <c r="O248" s="391"/>
    </row>
    <row r="249" spans="1:18">
      <c r="F249" s="1"/>
      <c r="H249" s="379"/>
      <c r="I249" s="379"/>
      <c r="J249" s="379"/>
      <c r="K249" s="114" t="s">
        <v>2</v>
      </c>
      <c r="L249" s="384"/>
      <c r="M249" s="384"/>
      <c r="N249" s="384"/>
      <c r="O249" s="384"/>
    </row>
    <row r="250" spans="1:18" ht="12" customHeight="1">
      <c r="F250" s="1"/>
      <c r="G250" s="179"/>
      <c r="H250" s="116">
        <f t="shared" ref="H250:J250" si="100">H$7</f>
        <v>2022</v>
      </c>
      <c r="I250" s="116">
        <f t="shared" si="100"/>
        <v>2023</v>
      </c>
      <c r="J250" s="116">
        <f t="shared" si="100"/>
        <v>2024</v>
      </c>
      <c r="K250" s="180">
        <f>K$7</f>
        <v>2025</v>
      </c>
      <c r="L250" s="180">
        <f>L$7</f>
        <v>2026</v>
      </c>
      <c r="M250" s="180">
        <f>M$7</f>
        <v>2027</v>
      </c>
      <c r="N250" s="180">
        <f>N$7</f>
        <v>2028</v>
      </c>
      <c r="O250" s="180">
        <f>O$7</f>
        <v>2029</v>
      </c>
    </row>
    <row r="251" spans="1:18" ht="12" customHeight="1">
      <c r="F251" s="1"/>
    </row>
    <row r="252" spans="1:18">
      <c r="B252" s="427" t="s">
        <v>165</v>
      </c>
      <c r="C252" s="428"/>
      <c r="D252" s="428"/>
      <c r="E252" s="428"/>
      <c r="F252" s="210" t="s">
        <v>166</v>
      </c>
      <c r="G252" s="428"/>
      <c r="H252" s="428"/>
      <c r="I252" s="521">
        <f>DATE(I250,12,31)-DATE(H250,12,31)</f>
        <v>365</v>
      </c>
      <c r="J252" s="521">
        <f t="shared" ref="J252:O252" si="101">DATE(J250,12,31)-DATE(I250,12,31)</f>
        <v>366</v>
      </c>
      <c r="K252" s="521">
        <f t="shared" si="101"/>
        <v>365</v>
      </c>
      <c r="L252" s="521">
        <f t="shared" si="101"/>
        <v>365</v>
      </c>
      <c r="M252" s="521">
        <f t="shared" si="101"/>
        <v>365</v>
      </c>
      <c r="N252" s="521">
        <f t="shared" si="101"/>
        <v>366</v>
      </c>
      <c r="O252" s="521">
        <f t="shared" si="101"/>
        <v>365</v>
      </c>
    </row>
    <row r="253" spans="1:18">
      <c r="F253" s="119"/>
    </row>
    <row r="254" spans="1:18">
      <c r="B254" s="117" t="s">
        <v>5</v>
      </c>
      <c r="F254" s="119"/>
    </row>
    <row r="255" spans="1:18">
      <c r="C255" s="1" t="s">
        <v>6</v>
      </c>
      <c r="F255" s="119" t="s">
        <v>185</v>
      </c>
      <c r="H255" s="406"/>
      <c r="I255" s="406">
        <f t="shared" ref="I255:O255" si="102">I85</f>
        <v>236.60000000000002</v>
      </c>
      <c r="J255" s="406">
        <f t="shared" si="102"/>
        <v>204.79999999999998</v>
      </c>
      <c r="K255" s="406">
        <f t="shared" si="102"/>
        <v>252.46209677419353</v>
      </c>
      <c r="L255" s="406">
        <f t="shared" ca="1" si="102"/>
        <v>233.58111483870971</v>
      </c>
      <c r="M255" s="406">
        <f t="shared" ca="1" si="102"/>
        <v>281.23110855638714</v>
      </c>
      <c r="N255" s="406">
        <f t="shared" ca="1" si="102"/>
        <v>281.22955436627001</v>
      </c>
      <c r="O255" s="406">
        <f t="shared" ca="1" si="102"/>
        <v>268.17287049000004</v>
      </c>
    </row>
    <row r="256" spans="1:18">
      <c r="C256" s="1" t="s">
        <v>193</v>
      </c>
      <c r="F256" s="119" t="s">
        <v>185</v>
      </c>
      <c r="H256" s="406"/>
      <c r="I256" s="406">
        <f>I87</f>
        <v>164.6</v>
      </c>
      <c r="J256" s="406">
        <f t="shared" ref="J256:O256" si="103">J87</f>
        <v>167.9</v>
      </c>
      <c r="K256" s="406">
        <f t="shared" si="103"/>
        <v>174.68685483870968</v>
      </c>
      <c r="L256" s="406">
        <f t="shared" ca="1" si="103"/>
        <v>182.49261561290325</v>
      </c>
      <c r="M256" s="406">
        <f t="shared" ca="1" si="103"/>
        <v>190.71666264216776</v>
      </c>
      <c r="N256" s="406">
        <f t="shared" ca="1" si="103"/>
        <v>200.36067077655082</v>
      </c>
      <c r="O256" s="406">
        <f t="shared" ca="1" si="103"/>
        <v>209.56780061099997</v>
      </c>
      <c r="R256" s="548"/>
    </row>
    <row r="257" spans="2:18">
      <c r="F257" s="119"/>
      <c r="R257" s="548"/>
    </row>
    <row r="258" spans="2:18">
      <c r="B258" s="211" t="s">
        <v>167</v>
      </c>
      <c r="C258" s="522"/>
      <c r="F258" s="119"/>
    </row>
    <row r="259" spans="2:18">
      <c r="B259" s="523"/>
      <c r="C259" s="522" t="s">
        <v>67</v>
      </c>
      <c r="F259" s="119" t="s">
        <v>194</v>
      </c>
      <c r="G259" s="524"/>
      <c r="H259" s="525"/>
      <c r="I259" s="406">
        <f>(I267/I$255)*I$252</f>
        <v>42.886728655959423</v>
      </c>
      <c r="J259" s="406">
        <f>(J267/J$255)*J$252</f>
        <v>50.575195312500007</v>
      </c>
      <c r="K259" s="526">
        <f>Assumptions!J64</f>
        <v>48</v>
      </c>
      <c r="L259" s="526">
        <f>Assumptions!K64</f>
        <v>44</v>
      </c>
      <c r="M259" s="526">
        <f>Assumptions!L64</f>
        <v>40</v>
      </c>
      <c r="N259" s="526">
        <f>Assumptions!M64</f>
        <v>40</v>
      </c>
      <c r="O259" s="526">
        <f>Assumptions!N64</f>
        <v>40</v>
      </c>
    </row>
    <row r="260" spans="2:18">
      <c r="B260" s="523"/>
      <c r="C260" s="527" t="s">
        <v>68</v>
      </c>
      <c r="F260" s="119" t="s">
        <v>194</v>
      </c>
      <c r="G260" s="524"/>
      <c r="H260" s="525"/>
      <c r="I260" s="406">
        <f>(I268/I$256)*I$252</f>
        <v>80.051640340218725</v>
      </c>
      <c r="J260" s="406">
        <f>(J268/J$256)*J$252</f>
        <v>76.513400833829664</v>
      </c>
      <c r="K260" s="526">
        <f>Assumptions!J65</f>
        <v>70</v>
      </c>
      <c r="L260" s="526">
        <f>Assumptions!K65</f>
        <v>65</v>
      </c>
      <c r="M260" s="526">
        <f>Assumptions!L65</f>
        <v>60</v>
      </c>
      <c r="N260" s="526">
        <f>Assumptions!M65</f>
        <v>60</v>
      </c>
      <c r="O260" s="526">
        <f>Assumptions!N65</f>
        <v>55</v>
      </c>
    </row>
    <row r="261" spans="2:18">
      <c r="B261" s="523"/>
      <c r="C261" s="527" t="s">
        <v>69</v>
      </c>
      <c r="F261" s="119" t="s">
        <v>194</v>
      </c>
      <c r="G261" s="524"/>
      <c r="H261" s="525"/>
      <c r="I261" s="406">
        <f>(I269/I$256)*I$252</f>
        <v>31.93195625759417</v>
      </c>
      <c r="J261" s="406">
        <f t="shared" ref="J261:J264" si="104">(J269/J$256)*J$252</f>
        <v>32.480047647409172</v>
      </c>
      <c r="K261" s="526">
        <f>Assumptions!J66</f>
        <v>30</v>
      </c>
      <c r="L261" s="526">
        <f>Assumptions!K66</f>
        <v>30</v>
      </c>
      <c r="M261" s="526">
        <f>Assumptions!L66</f>
        <v>30</v>
      </c>
      <c r="N261" s="526">
        <f>Assumptions!M66</f>
        <v>30</v>
      </c>
      <c r="O261" s="526">
        <f>Assumptions!N66</f>
        <v>30</v>
      </c>
    </row>
    <row r="262" spans="2:18">
      <c r="B262" s="523"/>
      <c r="C262" s="527" t="s">
        <v>70</v>
      </c>
      <c r="F262" s="119" t="s">
        <v>194</v>
      </c>
      <c r="G262" s="524"/>
      <c r="H262" s="525"/>
      <c r="I262" s="406">
        <f>(I270/I$256)*I$252</f>
        <v>3.9914945321992712</v>
      </c>
      <c r="J262" s="406">
        <f t="shared" si="104"/>
        <v>2.6158427635497321</v>
      </c>
      <c r="K262" s="526">
        <f>Assumptions!J67</f>
        <v>3</v>
      </c>
      <c r="L262" s="526">
        <f>Assumptions!K67</f>
        <v>3</v>
      </c>
      <c r="M262" s="526">
        <f>Assumptions!L67</f>
        <v>3</v>
      </c>
      <c r="N262" s="526">
        <f>Assumptions!M67</f>
        <v>3</v>
      </c>
      <c r="O262" s="526">
        <f>Assumptions!N67</f>
        <v>3</v>
      </c>
    </row>
    <row r="263" spans="2:18">
      <c r="B263" s="523"/>
      <c r="C263" s="522" t="s">
        <v>71</v>
      </c>
      <c r="F263" s="119" t="s">
        <v>194</v>
      </c>
      <c r="G263" s="524"/>
      <c r="H263" s="525"/>
      <c r="I263" s="406">
        <f>(I271/I$256)*I$252</f>
        <v>41.467193195625768</v>
      </c>
      <c r="J263" s="406">
        <f t="shared" si="104"/>
        <v>39.673615247170936</v>
      </c>
      <c r="K263" s="526">
        <f>Assumptions!J68</f>
        <v>40</v>
      </c>
      <c r="L263" s="526">
        <f>Assumptions!K68</f>
        <v>40</v>
      </c>
      <c r="M263" s="526">
        <f>Assumptions!L68</f>
        <v>40</v>
      </c>
      <c r="N263" s="526">
        <f>Assumptions!M68</f>
        <v>40</v>
      </c>
      <c r="O263" s="526">
        <f>Assumptions!N68</f>
        <v>40</v>
      </c>
    </row>
    <row r="264" spans="2:18">
      <c r="B264" s="523"/>
      <c r="C264" s="522" t="s">
        <v>72</v>
      </c>
      <c r="F264" s="119" t="s">
        <v>194</v>
      </c>
      <c r="G264" s="524"/>
      <c r="H264" s="525"/>
      <c r="I264" s="406">
        <f>(I272/I$256)*I$252</f>
        <v>10.865735115431351</v>
      </c>
      <c r="J264" s="406">
        <f t="shared" si="104"/>
        <v>10.463371054198928</v>
      </c>
      <c r="K264" s="526">
        <f>Assumptions!J69</f>
        <v>10</v>
      </c>
      <c r="L264" s="526">
        <f>Assumptions!K69</f>
        <v>10</v>
      </c>
      <c r="M264" s="526">
        <f>Assumptions!L69</f>
        <v>10</v>
      </c>
      <c r="N264" s="526">
        <f>Assumptions!M69</f>
        <v>10</v>
      </c>
      <c r="O264" s="526">
        <f>Assumptions!N69</f>
        <v>10</v>
      </c>
    </row>
    <row r="265" spans="2:18">
      <c r="B265" s="523"/>
      <c r="C265" s="522"/>
      <c r="F265" s="119"/>
      <c r="H265" s="491"/>
      <c r="I265" s="406"/>
      <c r="J265" s="491"/>
      <c r="K265" s="491"/>
      <c r="L265" s="491"/>
      <c r="M265" s="491"/>
      <c r="N265" s="491"/>
      <c r="O265" s="491"/>
    </row>
    <row r="266" spans="2:18">
      <c r="B266" s="211" t="s">
        <v>168</v>
      </c>
      <c r="C266" s="522"/>
      <c r="F266" s="119"/>
      <c r="H266" s="491"/>
      <c r="I266" s="491"/>
      <c r="J266" s="491"/>
      <c r="K266" s="491"/>
      <c r="L266" s="491"/>
      <c r="M266" s="491"/>
      <c r="N266" s="491"/>
      <c r="O266" s="491"/>
    </row>
    <row r="267" spans="2:18">
      <c r="B267" s="523"/>
      <c r="C267" s="522" t="s">
        <v>67</v>
      </c>
      <c r="F267" s="119" t="s">
        <v>185</v>
      </c>
      <c r="I267" s="405">
        <f>I157</f>
        <v>27.8</v>
      </c>
      <c r="J267" s="405">
        <f>J157</f>
        <v>28.3</v>
      </c>
      <c r="K267" s="406">
        <f>K255/K252*K259</f>
        <v>33.200494918250108</v>
      </c>
      <c r="L267" s="406">
        <f t="shared" ref="L267:O267" ca="1" si="105">L255/L252*L259</f>
        <v>28.157723432611579</v>
      </c>
      <c r="M267" s="406">
        <f t="shared" ca="1" si="105"/>
        <v>30.819847513028726</v>
      </c>
      <c r="N267" s="406">
        <f t="shared" ca="1" si="105"/>
        <v>30.73547042254317</v>
      </c>
      <c r="O267" s="406">
        <f t="shared" ca="1" si="105"/>
        <v>29.38880772493151</v>
      </c>
    </row>
    <row r="268" spans="2:18">
      <c r="B268" s="523"/>
      <c r="C268" s="527" t="s">
        <v>68</v>
      </c>
      <c r="F268" s="119" t="s">
        <v>185</v>
      </c>
      <c r="I268" s="405">
        <f>I158</f>
        <v>36.1</v>
      </c>
      <c r="J268" s="405">
        <f>J158</f>
        <v>35.1</v>
      </c>
      <c r="K268" s="406">
        <f>K$256/K$252*K260</f>
        <v>33.501588599204595</v>
      </c>
      <c r="L268" s="406">
        <f t="shared" ref="L268:O268" ca="1" si="106">L$256/L$252*L260</f>
        <v>32.498684972160852</v>
      </c>
      <c r="M268" s="406">
        <f t="shared" ca="1" si="106"/>
        <v>31.350684269945383</v>
      </c>
      <c r="N268" s="406">
        <f t="shared" ca="1" si="106"/>
        <v>32.846011602713247</v>
      </c>
      <c r="O268" s="406">
        <f t="shared" ca="1" si="106"/>
        <v>31.578709681109586</v>
      </c>
    </row>
    <row r="269" spans="2:18">
      <c r="B269" s="523"/>
      <c r="C269" s="527" t="s">
        <v>69</v>
      </c>
      <c r="F269" s="119" t="s">
        <v>185</v>
      </c>
      <c r="I269" s="405">
        <f t="shared" ref="I269:J270" si="107">I159</f>
        <v>14.4</v>
      </c>
      <c r="J269" s="405">
        <f t="shared" si="107"/>
        <v>14.9</v>
      </c>
      <c r="K269" s="406">
        <f t="shared" ref="K269:O269" si="108">K$256/K$252*K261</f>
        <v>14.357823685373399</v>
      </c>
      <c r="L269" s="406">
        <f t="shared" ca="1" si="108"/>
        <v>14.999393064074239</v>
      </c>
      <c r="M269" s="406">
        <f t="shared" ca="1" si="108"/>
        <v>15.675342134972691</v>
      </c>
      <c r="N269" s="406">
        <f t="shared" ca="1" si="108"/>
        <v>16.423005801356624</v>
      </c>
      <c r="O269" s="406">
        <f t="shared" ca="1" si="108"/>
        <v>17.224750735150682</v>
      </c>
    </row>
    <row r="270" spans="2:18">
      <c r="B270" s="523"/>
      <c r="C270" s="527" t="s">
        <v>70</v>
      </c>
      <c r="F270" s="119" t="s">
        <v>185</v>
      </c>
      <c r="I270" s="405">
        <f t="shared" si="107"/>
        <v>1.8</v>
      </c>
      <c r="J270" s="405">
        <f t="shared" si="107"/>
        <v>1.2</v>
      </c>
      <c r="K270" s="406">
        <f>K$256/K$252*K262</f>
        <v>1.4357823685373399</v>
      </c>
      <c r="L270" s="406">
        <f t="shared" ref="L270:O270" ca="1" si="109">L$256/L$252*L262</f>
        <v>1.4999393064074238</v>
      </c>
      <c r="M270" s="406">
        <f t="shared" ca="1" si="109"/>
        <v>1.5675342134972692</v>
      </c>
      <c r="N270" s="406">
        <f t="shared" ca="1" si="109"/>
        <v>1.6423005801356625</v>
      </c>
      <c r="O270" s="406">
        <f t="shared" ca="1" si="109"/>
        <v>1.7224750735150685</v>
      </c>
    </row>
    <row r="271" spans="2:18">
      <c r="B271" s="523"/>
      <c r="C271" s="522" t="s">
        <v>71</v>
      </c>
      <c r="F271" s="119" t="s">
        <v>185</v>
      </c>
      <c r="I271" s="405">
        <f>I172</f>
        <v>18.700000000000003</v>
      </c>
      <c r="J271" s="405">
        <f>J172</f>
        <v>18.2</v>
      </c>
      <c r="K271" s="406">
        <f t="shared" ref="K271:O271" si="110">K$256/K$252*K263</f>
        <v>19.143764913831198</v>
      </c>
      <c r="L271" s="406">
        <f t="shared" ca="1" si="110"/>
        <v>19.999190752098986</v>
      </c>
      <c r="M271" s="406">
        <f t="shared" ca="1" si="110"/>
        <v>20.900456179963591</v>
      </c>
      <c r="N271" s="406">
        <f t="shared" ca="1" si="110"/>
        <v>21.897341068475498</v>
      </c>
      <c r="O271" s="406">
        <f t="shared" ca="1" si="110"/>
        <v>22.966334313534244</v>
      </c>
    </row>
    <row r="272" spans="2:18">
      <c r="B272" s="523"/>
      <c r="C272" s="522" t="s">
        <v>72</v>
      </c>
      <c r="F272" s="119" t="s">
        <v>185</v>
      </c>
      <c r="I272" s="528">
        <f>I173</f>
        <v>4.9000000000000004</v>
      </c>
      <c r="J272" s="528">
        <f>J173</f>
        <v>4.8</v>
      </c>
      <c r="K272" s="528">
        <f t="shared" ref="K272:O272" si="111">K$256/K$252*K264</f>
        <v>4.7859412284577996</v>
      </c>
      <c r="L272" s="528">
        <f t="shared" ca="1" si="111"/>
        <v>4.9997976880247466</v>
      </c>
      <c r="M272" s="528">
        <f t="shared" ca="1" si="111"/>
        <v>5.2251140449908977</v>
      </c>
      <c r="N272" s="528">
        <f t="shared" ca="1" si="111"/>
        <v>5.4743352671188745</v>
      </c>
      <c r="O272" s="528">
        <f t="shared" ca="1" si="111"/>
        <v>5.7415835783835609</v>
      </c>
    </row>
    <row r="273" spans="1:15">
      <c r="B273" s="523"/>
      <c r="C273" s="212" t="s">
        <v>169</v>
      </c>
      <c r="D273" s="117"/>
      <c r="E273" s="117"/>
      <c r="F273" s="133" t="s">
        <v>185</v>
      </c>
      <c r="I273" s="213">
        <f>SUM(I267:I270)-SUM(I271:I272)</f>
        <v>56.500000000000007</v>
      </c>
      <c r="J273" s="213">
        <f t="shared" ref="J273:O273" si="112">SUM(J267:J270)-SUM(J271:J272)</f>
        <v>56.500000000000014</v>
      </c>
      <c r="K273" s="213">
        <f t="shared" si="112"/>
        <v>58.565983429076446</v>
      </c>
      <c r="L273" s="213">
        <f t="shared" ca="1" si="112"/>
        <v>52.156752335130371</v>
      </c>
      <c r="M273" s="213">
        <f t="shared" ca="1" si="112"/>
        <v>53.287837906489585</v>
      </c>
      <c r="N273" s="213">
        <f t="shared" ca="1" si="112"/>
        <v>54.275112071154339</v>
      </c>
      <c r="O273" s="213">
        <f t="shared" ca="1" si="112"/>
        <v>51.206825322789044</v>
      </c>
    </row>
    <row r="274" spans="1:15">
      <c r="B274" s="523"/>
      <c r="C274" s="522"/>
      <c r="F274" s="119"/>
      <c r="H274" s="491"/>
      <c r="I274" s="491"/>
      <c r="J274" s="491"/>
      <c r="K274" s="491"/>
      <c r="L274" s="491"/>
      <c r="M274" s="491"/>
      <c r="N274" s="491"/>
      <c r="O274" s="491"/>
    </row>
    <row r="275" spans="1:15" ht="15" thickBot="1">
      <c r="B275" s="212" t="s">
        <v>170</v>
      </c>
      <c r="C275" s="523"/>
      <c r="F275" s="133"/>
      <c r="H275" s="491"/>
      <c r="I275" s="192"/>
      <c r="J275" s="192">
        <f>I273-J273</f>
        <v>0</v>
      </c>
      <c r="K275" s="192">
        <f>J273-K273</f>
        <v>-2.0659834290764323</v>
      </c>
      <c r="L275" s="192">
        <f t="shared" ref="L275:O275" ca="1" si="113">K273-L273</f>
        <v>6.4092310939460759</v>
      </c>
      <c r="M275" s="192">
        <f t="shared" ca="1" si="113"/>
        <v>-1.1310855713592147</v>
      </c>
      <c r="N275" s="192">
        <f t="shared" ca="1" si="113"/>
        <v>-0.98727416466475404</v>
      </c>
      <c r="O275" s="192">
        <f t="shared" ca="1" si="113"/>
        <v>3.0682867483652956</v>
      </c>
    </row>
    <row r="276" spans="1:15" ht="15" thickTop="1">
      <c r="B276" s="408"/>
      <c r="C276" s="394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08"/>
    </row>
    <row r="278" spans="1:15" ht="12.75" customHeight="1">
      <c r="A278" s="107"/>
      <c r="B278" s="108"/>
      <c r="C278" s="379"/>
      <c r="D278" s="379"/>
      <c r="E278" s="379"/>
      <c r="F278" s="104"/>
      <c r="G278" s="379"/>
      <c r="H278" s="379"/>
      <c r="I278" s="379"/>
      <c r="J278" s="379"/>
      <c r="K278" s="379"/>
      <c r="L278" s="379"/>
      <c r="M278" s="379"/>
      <c r="N278" s="379"/>
      <c r="O278" s="139" t="str">
        <f>$O$1</f>
        <v>CURRENTLY RUNNING: BASE CASE SCENARIO</v>
      </c>
    </row>
    <row r="279" spans="1:15" ht="23.25">
      <c r="B279" s="108" t="str">
        <f>B$2</f>
        <v>Blue Containers Company</v>
      </c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</row>
    <row r="280" spans="1:15" ht="18">
      <c r="B280" s="110" t="s">
        <v>171</v>
      </c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79"/>
      <c r="O280" s="379"/>
    </row>
    <row r="281" spans="1:15" ht="3" customHeight="1" thickBot="1">
      <c r="A281" s="109"/>
      <c r="B281" s="111"/>
      <c r="C281" s="382"/>
      <c r="D281" s="382"/>
      <c r="E281" s="382"/>
      <c r="F281" s="383"/>
      <c r="G281" s="382"/>
      <c r="H281" s="382"/>
      <c r="I281" s="382"/>
      <c r="J281" s="382"/>
      <c r="K281" s="382"/>
      <c r="L281" s="382"/>
      <c r="M281" s="382"/>
      <c r="N281" s="382"/>
      <c r="O281" s="382"/>
    </row>
    <row r="282" spans="1:15">
      <c r="B282" s="158" t="s">
        <v>3</v>
      </c>
      <c r="F282" s="1"/>
      <c r="O282" s="391"/>
    </row>
    <row r="283" spans="1:15">
      <c r="F283" s="1"/>
      <c r="H283" s="379"/>
      <c r="I283" s="379"/>
      <c r="J283" s="379"/>
      <c r="K283" s="114" t="s">
        <v>2</v>
      </c>
      <c r="L283" s="384"/>
      <c r="M283" s="384"/>
      <c r="N283" s="384"/>
      <c r="O283" s="384"/>
    </row>
    <row r="284" spans="1:15">
      <c r="F284" s="1"/>
      <c r="G284" s="179"/>
      <c r="H284" s="214"/>
      <c r="I284" s="214"/>
      <c r="J284" s="116">
        <f t="shared" ref="J284:O284" si="114">J$7</f>
        <v>2024</v>
      </c>
      <c r="K284" s="180">
        <f t="shared" si="114"/>
        <v>2025</v>
      </c>
      <c r="L284" s="180">
        <f t="shared" si="114"/>
        <v>2026</v>
      </c>
      <c r="M284" s="180">
        <f t="shared" si="114"/>
        <v>2027</v>
      </c>
      <c r="N284" s="180">
        <f t="shared" si="114"/>
        <v>2028</v>
      </c>
      <c r="O284" s="180">
        <f t="shared" si="114"/>
        <v>2029</v>
      </c>
    </row>
    <row r="285" spans="1:15" ht="6" customHeight="1"/>
    <row r="286" spans="1:15">
      <c r="B286" s="117" t="s">
        <v>172</v>
      </c>
      <c r="K286" s="529"/>
      <c r="L286" s="529"/>
      <c r="M286" s="529"/>
      <c r="N286" s="529"/>
      <c r="O286" s="529"/>
    </row>
    <row r="287" spans="1:15" ht="6" customHeight="1"/>
    <row r="288" spans="1:15">
      <c r="A288" s="1">
        <v>1</v>
      </c>
      <c r="C288" s="117" t="s">
        <v>132</v>
      </c>
    </row>
    <row r="289" spans="1:15">
      <c r="D289" s="1" t="s">
        <v>195</v>
      </c>
      <c r="K289" s="440">
        <f>J291</f>
        <v>0.3</v>
      </c>
      <c r="L289" s="440">
        <f t="shared" ref="L289:O289" ca="1" si="115">K291</f>
        <v>0.60000000000000431</v>
      </c>
      <c r="M289" s="440">
        <f t="shared" ca="1" si="115"/>
        <v>1.2000000000000057</v>
      </c>
      <c r="N289" s="440">
        <f t="shared" ca="1" si="115"/>
        <v>0.59936105118800787</v>
      </c>
      <c r="O289" s="440">
        <f t="shared" ca="1" si="115"/>
        <v>-2.6178965784303942</v>
      </c>
    </row>
    <row r="290" spans="1:15">
      <c r="D290" s="1" t="s">
        <v>196</v>
      </c>
      <c r="J290" s="408"/>
      <c r="K290" s="530">
        <f ca="1">K142</f>
        <v>-0.30000000000000426</v>
      </c>
      <c r="L290" s="530">
        <f t="shared" ref="L290:O290" ca="1" si="116">L142</f>
        <v>-0.60000000000000142</v>
      </c>
      <c r="M290" s="530">
        <f t="shared" ca="1" si="116"/>
        <v>0.60063894881199786</v>
      </c>
      <c r="N290" s="530">
        <f t="shared" ca="1" si="116"/>
        <v>3.2172576296184019</v>
      </c>
      <c r="O290" s="530">
        <f t="shared" ca="1" si="116"/>
        <v>2.6178965784303969</v>
      </c>
    </row>
    <row r="291" spans="1:15">
      <c r="D291" s="1" t="s">
        <v>180</v>
      </c>
      <c r="I291" s="531"/>
      <c r="J291" s="489">
        <f>J156</f>
        <v>0.3</v>
      </c>
      <c r="K291" s="489">
        <f ca="1">K289-K290</f>
        <v>0.60000000000000431</v>
      </c>
      <c r="L291" s="489">
        <f t="shared" ref="L291:O291" ca="1" si="117">L289-L290</f>
        <v>1.2000000000000057</v>
      </c>
      <c r="M291" s="489">
        <f t="shared" ca="1" si="117"/>
        <v>0.59936105118800787</v>
      </c>
      <c r="N291" s="489">
        <f t="shared" ca="1" si="117"/>
        <v>-2.6178965784303942</v>
      </c>
      <c r="O291" s="489">
        <f t="shared" ca="1" si="117"/>
        <v>-5.2357931568607912</v>
      </c>
    </row>
    <row r="292" spans="1:15" ht="6" customHeight="1"/>
    <row r="293" spans="1:15">
      <c r="D293" t="s">
        <v>197</v>
      </c>
      <c r="K293" s="532">
        <f>Assumptions!N27</f>
        <v>0.01</v>
      </c>
      <c r="L293" s="533">
        <f>K293</f>
        <v>0.01</v>
      </c>
      <c r="M293" s="533">
        <f t="shared" ref="M293:O293" si="118">L293</f>
        <v>0.01</v>
      </c>
      <c r="N293" s="533">
        <f t="shared" si="118"/>
        <v>0.01</v>
      </c>
      <c r="O293" s="533">
        <f t="shared" si="118"/>
        <v>0.01</v>
      </c>
    </row>
    <row r="294" spans="1:15">
      <c r="D294" s="117" t="s">
        <v>173</v>
      </c>
      <c r="K294" s="534">
        <f ca="1">K293*AVERAGE(K289,K291)</f>
        <v>4.5000000000000222E-3</v>
      </c>
      <c r="L294" s="534">
        <f t="shared" ref="L294:O294" ca="1" si="119">L293*AVERAGE(L289,L291)</f>
        <v>9.0000000000000496E-3</v>
      </c>
      <c r="M294" s="534">
        <f t="shared" ca="1" si="119"/>
        <v>8.9968052559400678E-3</v>
      </c>
      <c r="N294" s="534">
        <f t="shared" ca="1" si="119"/>
        <v>-1.0092677636211933E-2</v>
      </c>
      <c r="O294" s="534">
        <f t="shared" ca="1" si="119"/>
        <v>-3.926844867645593E-2</v>
      </c>
    </row>
    <row r="295" spans="1:15" ht="6" customHeight="1"/>
    <row r="297" spans="1:15">
      <c r="A297" s="1">
        <v>3</v>
      </c>
      <c r="C297" s="117" t="s">
        <v>174</v>
      </c>
    </row>
    <row r="298" spans="1:15">
      <c r="B298" s="117"/>
      <c r="D298" s="1" t="s">
        <v>118</v>
      </c>
      <c r="H298" s="216"/>
      <c r="I298" s="216"/>
      <c r="J298" s="216"/>
      <c r="K298" s="451">
        <f ca="1">K125</f>
        <v>46.040919369106057</v>
      </c>
      <c r="L298" s="451">
        <f t="shared" ref="L298:O298" ca="1" si="120">L125</f>
        <v>38.160971697368247</v>
      </c>
      <c r="M298" s="451">
        <f t="shared" ca="1" si="120"/>
        <v>57.384450429496404</v>
      </c>
      <c r="N298" s="451">
        <f t="shared" ca="1" si="120"/>
        <v>52.486807244855854</v>
      </c>
      <c r="O298" s="451">
        <f t="shared" ca="1" si="120"/>
        <v>43.039102122475498</v>
      </c>
    </row>
    <row r="299" spans="1:15">
      <c r="B299" s="117"/>
      <c r="D299" s="1" t="s">
        <v>121</v>
      </c>
      <c r="H299" s="216"/>
      <c r="I299" s="216"/>
      <c r="J299" s="216"/>
      <c r="K299" s="451">
        <f>K131</f>
        <v>-16</v>
      </c>
      <c r="L299" s="451">
        <f t="shared" ref="L299:O299" si="121">L131</f>
        <v>-17</v>
      </c>
      <c r="M299" s="451">
        <f t="shared" si="121"/>
        <v>-17.3</v>
      </c>
      <c r="N299" s="451">
        <f t="shared" si="121"/>
        <v>-17.5</v>
      </c>
      <c r="O299" s="451">
        <f t="shared" si="121"/>
        <v>-18</v>
      </c>
    </row>
    <row r="300" spans="1:15">
      <c r="B300" s="117"/>
      <c r="D300" s="1" t="s">
        <v>198</v>
      </c>
      <c r="H300" s="216"/>
      <c r="I300" s="216"/>
      <c r="J300" s="216"/>
      <c r="K300" s="451">
        <f>K315</f>
        <v>-25</v>
      </c>
      <c r="L300" s="451">
        <f t="shared" ref="L300:O300" si="122">L315</f>
        <v>-25</v>
      </c>
      <c r="M300" s="451">
        <f t="shared" si="122"/>
        <v>-25</v>
      </c>
      <c r="N300" s="451">
        <f t="shared" si="122"/>
        <v>-25</v>
      </c>
      <c r="O300" s="451">
        <f t="shared" si="122"/>
        <v>-25</v>
      </c>
    </row>
    <row r="301" spans="1:15">
      <c r="B301" s="117"/>
      <c r="D301" s="1" t="s">
        <v>75</v>
      </c>
      <c r="H301" s="216"/>
      <c r="I301" s="216"/>
      <c r="J301" s="216"/>
      <c r="K301" s="451">
        <f>K335</f>
        <v>0</v>
      </c>
      <c r="L301" s="451">
        <f t="shared" ref="L301:O301" si="123">L335</f>
        <v>0</v>
      </c>
      <c r="M301" s="451">
        <f t="shared" si="123"/>
        <v>0</v>
      </c>
      <c r="N301" s="451">
        <f t="shared" si="123"/>
        <v>0</v>
      </c>
      <c r="O301" s="451">
        <f t="shared" si="123"/>
        <v>0</v>
      </c>
    </row>
    <row r="302" spans="1:15">
      <c r="B302" s="117"/>
      <c r="D302" s="1" t="s">
        <v>199</v>
      </c>
      <c r="H302" s="216"/>
      <c r="I302" s="216"/>
      <c r="J302" s="216"/>
      <c r="K302" s="419">
        <v>-6.0364472263031601</v>
      </c>
      <c r="L302" s="419">
        <f t="shared" ref="L302:O302" ca="1" si="124">-L340</f>
        <v>-2.6554147873511011</v>
      </c>
      <c r="M302" s="419">
        <f t="shared" ca="1" si="124"/>
        <v>-7.8938405335044566</v>
      </c>
      <c r="N302" s="419">
        <f t="shared" ca="1" si="124"/>
        <v>-6.7695496152374552</v>
      </c>
      <c r="O302" s="419">
        <f t="shared" ca="1" si="124"/>
        <v>-3.9505630748220408</v>
      </c>
    </row>
    <row r="303" spans="1:15">
      <c r="D303" s="117" t="s">
        <v>175</v>
      </c>
      <c r="K303" s="166">
        <f ca="1">SUM(K298:K302)</f>
        <v>-0.99552785719710357</v>
      </c>
      <c r="L303" s="166">
        <f t="shared" ref="L303:O303" ca="1" si="125">SUM(L298:L302)</f>
        <v>-6.4944430899828545</v>
      </c>
      <c r="M303" s="166">
        <f t="shared" ca="1" si="125"/>
        <v>7.1906098959919431</v>
      </c>
      <c r="N303" s="166">
        <f t="shared" ca="1" si="125"/>
        <v>3.2172576296183983</v>
      </c>
      <c r="O303" s="166">
        <f t="shared" ca="1" si="125"/>
        <v>-3.9114609523465429</v>
      </c>
    </row>
    <row r="304" spans="1:15">
      <c r="C304" s="117"/>
    </row>
    <row r="305" spans="1:15">
      <c r="D305" s="1" t="s">
        <v>200</v>
      </c>
      <c r="K305" s="440">
        <f>J307</f>
        <v>0</v>
      </c>
      <c r="L305" s="440">
        <f t="shared" ref="L305:O305" ca="1" si="126">K307</f>
        <v>0.69552785719710353</v>
      </c>
      <c r="M305" s="440">
        <f t="shared" ca="1" si="126"/>
        <v>6.5899709471799541</v>
      </c>
      <c r="N305" s="440">
        <f t="shared" ca="1" si="126"/>
        <v>0</v>
      </c>
      <c r="O305" s="440">
        <f t="shared" ca="1" si="126"/>
        <v>0</v>
      </c>
    </row>
    <row r="306" spans="1:15">
      <c r="D306" s="1" t="s">
        <v>201</v>
      </c>
      <c r="J306" s="408"/>
      <c r="K306" s="530">
        <f ca="1">-MIN(K303+K289,K305)</f>
        <v>0.69552785719710353</v>
      </c>
      <c r="L306" s="530">
        <f ca="1">-MIN(L303+L289,L305)</f>
        <v>5.8944430899828504</v>
      </c>
      <c r="M306" s="530">
        <f t="shared" ref="M306:O306" ca="1" si="127">-MIN(M303+M289,M305)</f>
        <v>-6.5899709471799541</v>
      </c>
      <c r="N306" s="530">
        <f t="shared" ca="1" si="127"/>
        <v>0</v>
      </c>
      <c r="O306" s="530">
        <f t="shared" ca="1" si="127"/>
        <v>6.5293575307769371</v>
      </c>
    </row>
    <row r="307" spans="1:15">
      <c r="D307" s="1" t="s">
        <v>202</v>
      </c>
      <c r="I307" s="531"/>
      <c r="J307" s="489">
        <f>J171</f>
        <v>0</v>
      </c>
      <c r="K307" s="489">
        <f ca="1">SUM(K305:K306)</f>
        <v>0.69552785719710353</v>
      </c>
      <c r="L307" s="489">
        <f t="shared" ref="L307:O307" ca="1" si="128">SUM(L305:L306)</f>
        <v>6.5899709471799541</v>
      </c>
      <c r="M307" s="489">
        <f t="shared" ca="1" si="128"/>
        <v>0</v>
      </c>
      <c r="N307" s="489">
        <f t="shared" ca="1" si="128"/>
        <v>0</v>
      </c>
      <c r="O307" s="489">
        <f t="shared" ca="1" si="128"/>
        <v>6.5293575307769371</v>
      </c>
    </row>
    <row r="308" spans="1:15" ht="6" customHeight="1"/>
    <row r="309" spans="1:15">
      <c r="D309" s="1" t="s">
        <v>197</v>
      </c>
      <c r="K309" s="215">
        <f>Assumptions!N28</f>
        <v>0.06</v>
      </c>
      <c r="L309" s="403">
        <f>K309</f>
        <v>0.06</v>
      </c>
      <c r="M309" s="403">
        <f t="shared" ref="M309:O309" si="129">L309</f>
        <v>0.06</v>
      </c>
      <c r="N309" s="403">
        <f t="shared" si="129"/>
        <v>0.06</v>
      </c>
      <c r="O309" s="403">
        <f t="shared" si="129"/>
        <v>0.06</v>
      </c>
    </row>
    <row r="310" spans="1:15">
      <c r="D310" s="117" t="s">
        <v>176</v>
      </c>
      <c r="K310" s="534">
        <f ca="1">K309*AVERAGE(K305,K307)</f>
        <v>2.0865835715913106E-2</v>
      </c>
      <c r="L310" s="534">
        <f t="shared" ref="L310:O310" ca="1" si="130">L309*AVERAGE(L305,L307)</f>
        <v>0.21856496413131174</v>
      </c>
      <c r="M310" s="534">
        <f t="shared" ca="1" si="130"/>
        <v>0.19769912841539861</v>
      </c>
      <c r="N310" s="534">
        <f t="shared" ca="1" si="130"/>
        <v>0</v>
      </c>
      <c r="O310" s="534">
        <f t="shared" ca="1" si="130"/>
        <v>0.1958807259233081</v>
      </c>
    </row>
    <row r="311" spans="1:15" ht="6" customHeight="1"/>
    <row r="313" spans="1:15">
      <c r="A313" s="1">
        <v>2</v>
      </c>
      <c r="C313" s="117" t="s">
        <v>141</v>
      </c>
    </row>
    <row r="314" spans="1:15">
      <c r="D314" s="1" t="s">
        <v>195</v>
      </c>
      <c r="K314" s="440">
        <f>J316</f>
        <v>200</v>
      </c>
      <c r="L314" s="440">
        <f t="shared" ref="L314:O314" si="131">K316</f>
        <v>175</v>
      </c>
      <c r="M314" s="440">
        <f t="shared" si="131"/>
        <v>150</v>
      </c>
      <c r="N314" s="440">
        <f t="shared" si="131"/>
        <v>125</v>
      </c>
      <c r="O314" s="440">
        <f t="shared" si="131"/>
        <v>100</v>
      </c>
    </row>
    <row r="315" spans="1:15">
      <c r="D315" s="1" t="s">
        <v>201</v>
      </c>
      <c r="J315" s="408"/>
      <c r="K315" s="535">
        <f>Assumptions!J72</f>
        <v>-25</v>
      </c>
      <c r="L315" s="535">
        <f>Assumptions!K72</f>
        <v>-25</v>
      </c>
      <c r="M315" s="535">
        <f>Assumptions!L72</f>
        <v>-25</v>
      </c>
      <c r="N315" s="535">
        <f>Assumptions!M72</f>
        <v>-25</v>
      </c>
      <c r="O315" s="535">
        <f>Assumptions!N72</f>
        <v>-25</v>
      </c>
    </row>
    <row r="316" spans="1:15">
      <c r="D316" s="1" t="s">
        <v>180</v>
      </c>
      <c r="I316" s="531"/>
      <c r="J316" s="489">
        <f>J177</f>
        <v>200</v>
      </c>
      <c r="K316" s="489">
        <f>K314+K315</f>
        <v>175</v>
      </c>
      <c r="L316" s="489">
        <f t="shared" ref="L316:O316" si="132">L314+L315</f>
        <v>150</v>
      </c>
      <c r="M316" s="489">
        <f t="shared" si="132"/>
        <v>125</v>
      </c>
      <c r="N316" s="489">
        <f t="shared" si="132"/>
        <v>100</v>
      </c>
      <c r="O316" s="489">
        <f t="shared" si="132"/>
        <v>75</v>
      </c>
    </row>
    <row r="317" spans="1:15" ht="6" customHeight="1"/>
    <row r="318" spans="1:15">
      <c r="D318" s="1" t="s">
        <v>197</v>
      </c>
      <c r="K318" s="215">
        <f>Assumptions!N29</f>
        <v>0.06</v>
      </c>
      <c r="L318" s="403">
        <f>K318</f>
        <v>0.06</v>
      </c>
      <c r="M318" s="403">
        <f t="shared" ref="M318:O318" si="133">L318</f>
        <v>0.06</v>
      </c>
      <c r="N318" s="403">
        <f t="shared" si="133"/>
        <v>0.06</v>
      </c>
      <c r="O318" s="403">
        <f t="shared" si="133"/>
        <v>0.06</v>
      </c>
    </row>
    <row r="319" spans="1:15">
      <c r="D319" s="117" t="s">
        <v>176</v>
      </c>
      <c r="K319" s="534">
        <f>K318*AVERAGE(K314,K316)</f>
        <v>11.25</v>
      </c>
      <c r="L319" s="534">
        <f t="shared" ref="L319:O319" si="134">L318*AVERAGE(L314,L316)</f>
        <v>9.75</v>
      </c>
      <c r="M319" s="534">
        <f t="shared" si="134"/>
        <v>8.25</v>
      </c>
      <c r="N319" s="534">
        <f t="shared" si="134"/>
        <v>6.75</v>
      </c>
      <c r="O319" s="534">
        <f t="shared" si="134"/>
        <v>5.25</v>
      </c>
    </row>
    <row r="322" spans="1:15" ht="15" thickBot="1">
      <c r="C322" s="117" t="s">
        <v>177</v>
      </c>
      <c r="K322" s="165">
        <f ca="1">SUM(K319,K310)-K294</f>
        <v>11.266365835715913</v>
      </c>
      <c r="L322" s="165">
        <f t="shared" ref="L322:O322" ca="1" si="135">SUM(L319,L310)-L294</f>
        <v>9.959564964131312</v>
      </c>
      <c r="M322" s="165">
        <f t="shared" ca="1" si="135"/>
        <v>8.4387023231594593</v>
      </c>
      <c r="N322" s="165">
        <f t="shared" ca="1" si="135"/>
        <v>6.7600926776362122</v>
      </c>
      <c r="O322" s="165">
        <f t="shared" ca="1" si="135"/>
        <v>5.4851491745997638</v>
      </c>
    </row>
    <row r="323" spans="1:15" ht="15" thickTop="1">
      <c r="B323" s="408"/>
      <c r="C323" s="408"/>
      <c r="D323" s="408"/>
      <c r="E323" s="408"/>
      <c r="F323" s="138"/>
      <c r="G323" s="408"/>
      <c r="H323" s="408"/>
      <c r="I323" s="408"/>
      <c r="J323" s="408"/>
      <c r="K323" s="408"/>
      <c r="L323" s="408"/>
      <c r="M323" s="408"/>
      <c r="N323" s="408"/>
      <c r="O323" s="408"/>
    </row>
    <row r="325" spans="1:15" ht="12.75" customHeight="1">
      <c r="A325" s="107"/>
      <c r="B325" s="108"/>
      <c r="C325" s="379"/>
      <c r="D325" s="379"/>
      <c r="E325" s="379"/>
      <c r="F325" s="104"/>
      <c r="G325" s="379"/>
      <c r="H325" s="379"/>
      <c r="I325" s="379"/>
      <c r="J325" s="379"/>
      <c r="K325" s="379"/>
      <c r="L325" s="379"/>
      <c r="M325" s="379"/>
      <c r="N325" s="379"/>
      <c r="O325" s="139" t="str">
        <f>$O$1</f>
        <v>CURRENTLY RUNNING: BASE CASE SCENARIO</v>
      </c>
    </row>
    <row r="326" spans="1:15" ht="23.25">
      <c r="B326" s="108" t="str">
        <f>B$2</f>
        <v>Blue Containers Company</v>
      </c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79"/>
    </row>
    <row r="327" spans="1:15" ht="18">
      <c r="B327" s="110" t="s">
        <v>178</v>
      </c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</row>
    <row r="328" spans="1:15" ht="3" customHeight="1" thickBot="1">
      <c r="A328" s="109"/>
      <c r="B328" s="111"/>
      <c r="C328" s="382"/>
      <c r="D328" s="382"/>
      <c r="E328" s="382"/>
      <c r="F328" s="383"/>
      <c r="G328" s="382"/>
      <c r="H328" s="382"/>
      <c r="I328" s="382"/>
      <c r="J328" s="382"/>
      <c r="K328" s="382"/>
      <c r="L328" s="382"/>
      <c r="M328" s="382"/>
      <c r="N328" s="382"/>
      <c r="O328" s="382"/>
    </row>
    <row r="329" spans="1:15">
      <c r="B329" s="158" t="s">
        <v>3</v>
      </c>
      <c r="F329" s="1"/>
      <c r="O329" s="391"/>
    </row>
    <row r="330" spans="1:15">
      <c r="F330" s="1"/>
      <c r="H330" s="379"/>
      <c r="I330" s="379"/>
      <c r="J330" s="379"/>
      <c r="K330" s="114" t="s">
        <v>2</v>
      </c>
      <c r="L330" s="384"/>
      <c r="M330" s="384"/>
      <c r="N330" s="384"/>
      <c r="O330" s="384"/>
    </row>
    <row r="331" spans="1:15">
      <c r="F331" s="1"/>
      <c r="G331" s="179"/>
      <c r="H331" s="214"/>
      <c r="I331" s="214"/>
      <c r="J331" s="116">
        <f t="shared" ref="J331:O331" si="136">J$7</f>
        <v>2024</v>
      </c>
      <c r="K331" s="180">
        <f t="shared" si="136"/>
        <v>2025</v>
      </c>
      <c r="L331" s="180">
        <f t="shared" si="136"/>
        <v>2026</v>
      </c>
      <c r="M331" s="180">
        <f t="shared" si="136"/>
        <v>2027</v>
      </c>
      <c r="N331" s="180">
        <f t="shared" si="136"/>
        <v>2028</v>
      </c>
      <c r="O331" s="180">
        <f t="shared" si="136"/>
        <v>2029</v>
      </c>
    </row>
    <row r="333" spans="1:15" ht="13.35" customHeight="1">
      <c r="B333" s="117"/>
      <c r="C333" s="117" t="s">
        <v>144</v>
      </c>
    </row>
    <row r="334" spans="1:15" ht="13.35" customHeight="1">
      <c r="D334" s="1" t="s">
        <v>195</v>
      </c>
      <c r="G334" s="119"/>
      <c r="K334" s="440">
        <f>J336</f>
        <v>120</v>
      </c>
      <c r="L334" s="440">
        <f t="shared" ref="L334:O334" si="137">K336</f>
        <v>120</v>
      </c>
      <c r="M334" s="440">
        <f t="shared" si="137"/>
        <v>120</v>
      </c>
      <c r="N334" s="440">
        <f t="shared" si="137"/>
        <v>120</v>
      </c>
      <c r="O334" s="440">
        <f t="shared" si="137"/>
        <v>120</v>
      </c>
    </row>
    <row r="335" spans="1:15" ht="13.35" customHeight="1">
      <c r="D335" s="1" t="s">
        <v>203</v>
      </c>
      <c r="J335" s="408"/>
      <c r="K335" s="535">
        <f>Assumptions!J73</f>
        <v>0</v>
      </c>
      <c r="L335" s="535">
        <f>Assumptions!K73</f>
        <v>0</v>
      </c>
      <c r="M335" s="535">
        <f>Assumptions!L73</f>
        <v>0</v>
      </c>
      <c r="N335" s="535">
        <f>Assumptions!M73</f>
        <v>0</v>
      </c>
      <c r="O335" s="535">
        <f>Assumptions!N73</f>
        <v>0</v>
      </c>
    </row>
    <row r="336" spans="1:15" ht="13.35" customHeight="1">
      <c r="D336" s="1" t="s">
        <v>180</v>
      </c>
      <c r="J336" s="489">
        <f>J182</f>
        <v>120</v>
      </c>
      <c r="K336" s="489">
        <f>SUM(K334:K335)</f>
        <v>120</v>
      </c>
      <c r="L336" s="489">
        <f t="shared" ref="L336:O336" si="138">SUM(L334:L335)</f>
        <v>120</v>
      </c>
      <c r="M336" s="489">
        <f t="shared" si="138"/>
        <v>120</v>
      </c>
      <c r="N336" s="489">
        <f t="shared" si="138"/>
        <v>120</v>
      </c>
      <c r="O336" s="489">
        <f t="shared" si="138"/>
        <v>120</v>
      </c>
    </row>
    <row r="337" spans="2:15" ht="6" customHeight="1"/>
    <row r="338" spans="2:15" ht="13.35" customHeight="1">
      <c r="D338" s="1" t="s">
        <v>204</v>
      </c>
      <c r="K338" s="215">
        <f>Assumptions!$N$10</f>
        <v>0.2</v>
      </c>
      <c r="L338" s="215">
        <f>Assumptions!$N$10</f>
        <v>0.2</v>
      </c>
      <c r="M338" s="215">
        <f>Assumptions!$N$10</f>
        <v>0.2</v>
      </c>
      <c r="N338" s="215">
        <f>Assumptions!$N$10</f>
        <v>0.2</v>
      </c>
      <c r="O338" s="215">
        <f>Assumptions!$N$10</f>
        <v>0.2</v>
      </c>
    </row>
    <row r="339" spans="2:15" ht="13.35" customHeight="1">
      <c r="D339" s="1" t="s">
        <v>12</v>
      </c>
      <c r="K339" s="440">
        <f ca="1">K104</f>
        <v>30.182236131515818</v>
      </c>
      <c r="L339" s="440">
        <f t="shared" ref="L339:O339" ca="1" si="139">L104</f>
        <v>13.277073936755505</v>
      </c>
      <c r="M339" s="440">
        <f t="shared" ca="1" si="139"/>
        <v>39.469202667522282</v>
      </c>
      <c r="N339" s="440">
        <f t="shared" ca="1" si="139"/>
        <v>33.847748076187273</v>
      </c>
      <c r="O339" s="440">
        <f t="shared" ca="1" si="139"/>
        <v>19.752815374110202</v>
      </c>
    </row>
    <row r="340" spans="2:15" ht="13.35" customHeight="1">
      <c r="C340" s="117"/>
      <c r="D340" s="117" t="s">
        <v>179</v>
      </c>
      <c r="K340" s="534">
        <f ca="1">MAX(K338*K339,0)</f>
        <v>6.0364472263031637</v>
      </c>
      <c r="L340" s="534">
        <f t="shared" ref="L340:O340" ca="1" si="140">MAX(L338*L339,0)</f>
        <v>2.6554147873511011</v>
      </c>
      <c r="M340" s="534">
        <f t="shared" ca="1" si="140"/>
        <v>7.8938405335044566</v>
      </c>
      <c r="N340" s="534">
        <f t="shared" ca="1" si="140"/>
        <v>6.7695496152374552</v>
      </c>
      <c r="O340" s="534">
        <f t="shared" ca="1" si="140"/>
        <v>3.9505630748220408</v>
      </c>
    </row>
    <row r="343" spans="2:15" ht="13.35" customHeight="1">
      <c r="B343" s="117"/>
      <c r="C343" s="117" t="s">
        <v>145</v>
      </c>
    </row>
    <row r="344" spans="2:15" ht="13.35" customHeight="1">
      <c r="D344" s="1" t="s">
        <v>195</v>
      </c>
      <c r="K344" s="440">
        <f>J347</f>
        <v>138.50000000000003</v>
      </c>
      <c r="L344" s="440">
        <f t="shared" ref="L344:O344" ca="1" si="141">K347</f>
        <v>162.6457889052127</v>
      </c>
      <c r="M344" s="440">
        <f t="shared" ca="1" si="141"/>
        <v>173.26744805461709</v>
      </c>
      <c r="N344" s="440">
        <f t="shared" ca="1" si="141"/>
        <v>204.8428101886349</v>
      </c>
      <c r="O344" s="440">
        <f t="shared" ca="1" si="141"/>
        <v>231.92100864958473</v>
      </c>
    </row>
    <row r="345" spans="2:15" ht="13.35" customHeight="1">
      <c r="D345" s="1" t="s">
        <v>12</v>
      </c>
      <c r="K345" s="440">
        <f ca="1">K339</f>
        <v>30.182236131515818</v>
      </c>
      <c r="L345" s="440">
        <f t="shared" ref="L345:O345" ca="1" si="142">L339</f>
        <v>13.277073936755505</v>
      </c>
      <c r="M345" s="440">
        <f t="shared" ca="1" si="142"/>
        <v>39.469202667522282</v>
      </c>
      <c r="N345" s="440">
        <f t="shared" ca="1" si="142"/>
        <v>33.847748076187273</v>
      </c>
      <c r="O345" s="440">
        <f t="shared" ca="1" si="142"/>
        <v>19.752815374110202</v>
      </c>
    </row>
    <row r="346" spans="2:15" ht="13.35" customHeight="1">
      <c r="D346" s="1" t="s">
        <v>179</v>
      </c>
      <c r="J346" s="408"/>
      <c r="K346" s="530">
        <f ca="1">-K340</f>
        <v>-6.0364472263031637</v>
      </c>
      <c r="L346" s="530">
        <f t="shared" ref="L346:O346" ca="1" si="143">-L340</f>
        <v>-2.6554147873511011</v>
      </c>
      <c r="M346" s="530">
        <f t="shared" ca="1" si="143"/>
        <v>-7.8938405335044566</v>
      </c>
      <c r="N346" s="530">
        <f t="shared" ca="1" si="143"/>
        <v>-6.7695496152374552</v>
      </c>
      <c r="O346" s="530">
        <f t="shared" ca="1" si="143"/>
        <v>-3.9505630748220408</v>
      </c>
    </row>
    <row r="347" spans="2:15" ht="13.35" customHeight="1">
      <c r="D347" s="117" t="s">
        <v>180</v>
      </c>
      <c r="E347" s="117"/>
      <c r="F347" s="147"/>
      <c r="G347" s="117"/>
      <c r="H347" s="117"/>
      <c r="I347" s="117"/>
      <c r="J347" s="166">
        <f>J183</f>
        <v>138.50000000000003</v>
      </c>
      <c r="K347" s="166">
        <f ca="1">SUM(K344:K346)</f>
        <v>162.6457889052127</v>
      </c>
      <c r="L347" s="166">
        <f t="shared" ref="L347:O347" ca="1" si="144">SUM(L344:L346)</f>
        <v>173.26744805461709</v>
      </c>
      <c r="M347" s="166">
        <f t="shared" ca="1" si="144"/>
        <v>204.8428101886349</v>
      </c>
      <c r="N347" s="166">
        <f t="shared" ca="1" si="144"/>
        <v>231.92100864958473</v>
      </c>
      <c r="O347" s="166">
        <f t="shared" ca="1" si="144"/>
        <v>247.72326094887291</v>
      </c>
    </row>
    <row r="348" spans="2:15">
      <c r="B348" s="408"/>
      <c r="C348" s="408"/>
      <c r="D348" s="408"/>
      <c r="E348" s="408"/>
      <c r="F348" s="138"/>
      <c r="G348" s="408"/>
      <c r="H348" s="408"/>
      <c r="I348" s="408"/>
      <c r="J348" s="408"/>
      <c r="K348" s="408"/>
      <c r="L348" s="408"/>
      <c r="M348" s="408"/>
      <c r="N348" s="408"/>
      <c r="O348" s="408"/>
    </row>
  </sheetData>
  <pageMargins left="0.70866141732283472" right="0.70866141732283472" top="0.74803149606299213" bottom="0.74803149606299213" header="0.31496062992125984" footer="0.31496062992125984"/>
  <pageSetup scale="10" fitToHeight="0" orientation="portrait" r:id="rId1"/>
  <headerFooter>
    <oddFooter>&amp;CPage &amp;P Of &amp;N&amp;R&amp;D&amp;T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Summary</vt:lpstr>
      <vt:lpstr>Assumptions</vt:lpstr>
      <vt:lpstr>Scenarios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Nzioka</dc:creator>
  <cp:lastModifiedBy>Charles</cp:lastModifiedBy>
  <cp:lastPrinted>2025-03-01T14:18:03Z</cp:lastPrinted>
  <dcterms:created xsi:type="dcterms:W3CDTF">2025-02-15T06:54:04Z</dcterms:created>
  <dcterms:modified xsi:type="dcterms:W3CDTF">2025-08-26T18:31:32Z</dcterms:modified>
</cp:coreProperties>
</file>