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us\Documents\GitHub\LTBO\Other Files\"/>
    </mc:Choice>
  </mc:AlternateContent>
  <xr:revisionPtr revIDLastSave="0" documentId="13_ncr:1_{4BA36AAC-68A3-4F9E-A699-6652B81A440C}" xr6:coauthVersionLast="47" xr6:coauthVersionMax="47" xr10:uidLastSave="{00000000-0000-0000-0000-000000000000}"/>
  <bookViews>
    <workbookView xWindow="-110" yWindow="-110" windowWidth="25820" windowHeight="15500" xr2:uid="{4DB07035-BDB7-4C75-89E4-DFC507B748B4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2901" sheetId="10" r:id="rId7"/>
    <sheet name="2501" sheetId="9" r:id="rId8"/>
    <sheet name="2401" sheetId="8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9" i="3" l="1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M33" i="3"/>
  <c r="AQ33" i="3" s="1"/>
  <c r="Q7" i="3"/>
  <c r="D6" i="5" s="1"/>
  <c r="P7" i="3"/>
  <c r="D6" i="6" s="1"/>
  <c r="B7" i="3"/>
  <c r="T46" i="10"/>
  <c r="R45" i="10"/>
  <c r="Q45" i="10"/>
  <c r="P45" i="10"/>
  <c r="O7" i="3" s="1"/>
  <c r="D6" i="4" s="1"/>
  <c r="C45" i="10"/>
  <c r="T44" i="10"/>
  <c r="AB39" i="10"/>
  <c r="AA39" i="10"/>
  <c r="Z39" i="10"/>
  <c r="AB38" i="10"/>
  <c r="AA38" i="10"/>
  <c r="Z38" i="10"/>
  <c r="X38" i="10"/>
  <c r="AB37" i="10"/>
  <c r="AA37" i="10"/>
  <c r="Z37" i="10"/>
  <c r="X37" i="10"/>
  <c r="AB36" i="10"/>
  <c r="AA36" i="10"/>
  <c r="Z36" i="10"/>
  <c r="X36" i="10"/>
  <c r="AB35" i="10"/>
  <c r="AA35" i="10"/>
  <c r="Z35" i="10"/>
  <c r="X35" i="10"/>
  <c r="AB34" i="10"/>
  <c r="AA34" i="10"/>
  <c r="Z34" i="10"/>
  <c r="X34" i="10"/>
  <c r="AB33" i="10"/>
  <c r="AA33" i="10"/>
  <c r="Z33" i="10"/>
  <c r="X33" i="10"/>
  <c r="AB32" i="10"/>
  <c r="AA32" i="10"/>
  <c r="Z32" i="10"/>
  <c r="X32" i="10"/>
  <c r="AB31" i="10"/>
  <c r="AA31" i="10"/>
  <c r="Z31" i="10"/>
  <c r="X31" i="10"/>
  <c r="AB30" i="10"/>
  <c r="AA30" i="10"/>
  <c r="Z30" i="10"/>
  <c r="X30" i="10"/>
  <c r="AB29" i="10"/>
  <c r="AA29" i="10"/>
  <c r="Z29" i="10"/>
  <c r="X29" i="10"/>
  <c r="AB28" i="10"/>
  <c r="AA28" i="10"/>
  <c r="Z28" i="10"/>
  <c r="X28" i="10"/>
  <c r="AB27" i="10"/>
  <c r="AA27" i="10"/>
  <c r="Z27" i="10"/>
  <c r="X27" i="10"/>
  <c r="AB26" i="10"/>
  <c r="AA26" i="10"/>
  <c r="Z26" i="10"/>
  <c r="X26" i="10"/>
  <c r="AB25" i="10"/>
  <c r="AA25" i="10"/>
  <c r="Z25" i="10"/>
  <c r="X25" i="10"/>
  <c r="AB24" i="10"/>
  <c r="AA24" i="10"/>
  <c r="Z24" i="10"/>
  <c r="X24" i="10"/>
  <c r="AB23" i="10"/>
  <c r="AA23" i="10"/>
  <c r="Z23" i="10"/>
  <c r="X23" i="10"/>
  <c r="T45" i="10" s="1"/>
  <c r="AB22" i="10"/>
  <c r="AA22" i="10"/>
  <c r="Z22" i="10"/>
  <c r="AB21" i="10"/>
  <c r="AA21" i="10"/>
  <c r="Z21" i="10"/>
  <c r="AB20" i="10"/>
  <c r="AA20" i="10"/>
  <c r="Z20" i="10"/>
  <c r="AB19" i="10"/>
  <c r="AA19" i="10"/>
  <c r="Z19" i="10"/>
  <c r="AB18" i="10"/>
  <c r="AA18" i="10"/>
  <c r="Z18" i="10"/>
  <c r="W18" i="10"/>
  <c r="T18" i="10" s="1"/>
  <c r="T38" i="10" s="1"/>
  <c r="V18" i="10"/>
  <c r="AN44" i="3" s="1"/>
  <c r="AR44" i="3" s="1"/>
  <c r="U18" i="10"/>
  <c r="AM44" i="3" s="1"/>
  <c r="AQ44" i="3" s="1"/>
  <c r="AB17" i="10"/>
  <c r="AA17" i="10"/>
  <c r="Z17" i="10"/>
  <c r="W17" i="10"/>
  <c r="W37" i="10" s="1"/>
  <c r="V17" i="10"/>
  <c r="V37" i="10" s="1"/>
  <c r="U17" i="10"/>
  <c r="U37" i="10" s="1"/>
  <c r="AB16" i="10"/>
  <c r="AA16" i="10"/>
  <c r="Z16" i="10"/>
  <c r="W16" i="10"/>
  <c r="W36" i="10" s="1"/>
  <c r="V16" i="10"/>
  <c r="V36" i="10" s="1"/>
  <c r="U16" i="10"/>
  <c r="U36" i="10" s="1"/>
  <c r="AB15" i="10"/>
  <c r="AA15" i="10"/>
  <c r="Z15" i="10"/>
  <c r="W15" i="10"/>
  <c r="W35" i="10" s="1"/>
  <c r="V15" i="10"/>
  <c r="V35" i="10" s="1"/>
  <c r="U15" i="10"/>
  <c r="U35" i="10" s="1"/>
  <c r="AB14" i="10"/>
  <c r="AA14" i="10"/>
  <c r="Z14" i="10"/>
  <c r="W14" i="10"/>
  <c r="W34" i="10" s="1"/>
  <c r="V14" i="10"/>
  <c r="V34" i="10" s="1"/>
  <c r="U14" i="10"/>
  <c r="U34" i="10" s="1"/>
  <c r="AB13" i="10"/>
  <c r="AA13" i="10"/>
  <c r="Z13" i="10"/>
  <c r="W13" i="10"/>
  <c r="W33" i="10" s="1"/>
  <c r="V13" i="10"/>
  <c r="V33" i="10" s="1"/>
  <c r="U13" i="10"/>
  <c r="U33" i="10" s="1"/>
  <c r="AB12" i="10"/>
  <c r="AA12" i="10"/>
  <c r="Z12" i="10"/>
  <c r="W12" i="10"/>
  <c r="W32" i="10" s="1"/>
  <c r="V12" i="10"/>
  <c r="V32" i="10" s="1"/>
  <c r="U12" i="10"/>
  <c r="U32" i="10" s="1"/>
  <c r="AB11" i="10"/>
  <c r="AA11" i="10"/>
  <c r="Z11" i="10"/>
  <c r="W11" i="10"/>
  <c r="W31" i="10" s="1"/>
  <c r="V11" i="10"/>
  <c r="AN37" i="3" s="1"/>
  <c r="AR37" i="3" s="1"/>
  <c r="U11" i="10"/>
  <c r="AM37" i="3" s="1"/>
  <c r="AQ37" i="3" s="1"/>
  <c r="AB10" i="10"/>
  <c r="AA10" i="10"/>
  <c r="Z10" i="10"/>
  <c r="W10" i="10"/>
  <c r="T10" i="10" s="1"/>
  <c r="T30" i="10" s="1"/>
  <c r="V10" i="10"/>
  <c r="V30" i="10" s="1"/>
  <c r="U10" i="10"/>
  <c r="AM36" i="3" s="1"/>
  <c r="AQ36" i="3" s="1"/>
  <c r="AB9" i="10"/>
  <c r="AA9" i="10"/>
  <c r="Z9" i="10"/>
  <c r="W9" i="10"/>
  <c r="W29" i="10" s="1"/>
  <c r="V9" i="10"/>
  <c r="V29" i="10" s="1"/>
  <c r="U9" i="10"/>
  <c r="U29" i="10" s="1"/>
  <c r="AB8" i="10"/>
  <c r="AA8" i="10"/>
  <c r="N5" i="10" s="1"/>
  <c r="Z8" i="10"/>
  <c r="W8" i="10"/>
  <c r="W28" i="10" s="1"/>
  <c r="V8" i="10"/>
  <c r="V28" i="10" s="1"/>
  <c r="U8" i="10"/>
  <c r="U28" i="10" s="1"/>
  <c r="AB7" i="10"/>
  <c r="AA7" i="10"/>
  <c r="Z7" i="10"/>
  <c r="W7" i="10"/>
  <c r="W27" i="10" s="1"/>
  <c r="V7" i="10"/>
  <c r="V27" i="10" s="1"/>
  <c r="U7" i="10"/>
  <c r="U27" i="10" s="1"/>
  <c r="AB6" i="10"/>
  <c r="AA6" i="10"/>
  <c r="Z6" i="10"/>
  <c r="W6" i="10"/>
  <c r="W26" i="10" s="1"/>
  <c r="V6" i="10"/>
  <c r="V26" i="10" s="1"/>
  <c r="U6" i="10"/>
  <c r="U26" i="10" s="1"/>
  <c r="AB5" i="10"/>
  <c r="N4" i="10" s="1"/>
  <c r="AA5" i="10"/>
  <c r="Z5" i="10"/>
  <c r="W5" i="10"/>
  <c r="W25" i="10" s="1"/>
  <c r="V5" i="10"/>
  <c r="V25" i="10" s="1"/>
  <c r="U5" i="10"/>
  <c r="U25" i="10" s="1"/>
  <c r="AB4" i="10"/>
  <c r="AA4" i="10"/>
  <c r="H45" i="10" s="1"/>
  <c r="G7" i="3" s="1"/>
  <c r="Z4" i="10"/>
  <c r="W4" i="10"/>
  <c r="W24" i="10" s="1"/>
  <c r="V4" i="10"/>
  <c r="V24" i="10" s="1"/>
  <c r="U4" i="10"/>
  <c r="U24" i="10" s="1"/>
  <c r="W3" i="10"/>
  <c r="W23" i="10" s="1"/>
  <c r="V3" i="10"/>
  <c r="V23" i="10" s="1"/>
  <c r="U3" i="10"/>
  <c r="U23" i="10" s="1"/>
  <c r="T46" i="7"/>
  <c r="R45" i="7"/>
  <c r="Q45" i="7"/>
  <c r="P45" i="7"/>
  <c r="C45" i="7"/>
  <c r="T44" i="7"/>
  <c r="AB39" i="7"/>
  <c r="AA39" i="7"/>
  <c r="Z39" i="7"/>
  <c r="AB38" i="7"/>
  <c r="AA38" i="7"/>
  <c r="Z38" i="7"/>
  <c r="X38" i="7"/>
  <c r="AB37" i="7"/>
  <c r="AA37" i="7"/>
  <c r="Z37" i="7"/>
  <c r="X37" i="7"/>
  <c r="AB36" i="7"/>
  <c r="AA36" i="7"/>
  <c r="Z36" i="7"/>
  <c r="X36" i="7"/>
  <c r="AB35" i="7"/>
  <c r="AA35" i="7"/>
  <c r="Z35" i="7"/>
  <c r="X35" i="7"/>
  <c r="AB34" i="7"/>
  <c r="AA34" i="7"/>
  <c r="Z34" i="7"/>
  <c r="X34" i="7"/>
  <c r="AB33" i="7"/>
  <c r="AA33" i="7"/>
  <c r="Z33" i="7"/>
  <c r="X33" i="7"/>
  <c r="AB32" i="7"/>
  <c r="AA32" i="7"/>
  <c r="Z32" i="7"/>
  <c r="X32" i="7"/>
  <c r="AB31" i="7"/>
  <c r="AA31" i="7"/>
  <c r="Z31" i="7"/>
  <c r="X31" i="7"/>
  <c r="AB30" i="7"/>
  <c r="AA30" i="7"/>
  <c r="Z30" i="7"/>
  <c r="X30" i="7"/>
  <c r="AB29" i="7"/>
  <c r="AA29" i="7"/>
  <c r="Z29" i="7"/>
  <c r="X29" i="7"/>
  <c r="AB28" i="7"/>
  <c r="AA28" i="7"/>
  <c r="Z28" i="7"/>
  <c r="X28" i="7"/>
  <c r="AB27" i="7"/>
  <c r="AA27" i="7"/>
  <c r="Z27" i="7"/>
  <c r="X27" i="7"/>
  <c r="AB26" i="7"/>
  <c r="AA26" i="7"/>
  <c r="Z26" i="7"/>
  <c r="X26" i="7"/>
  <c r="AB25" i="7"/>
  <c r="AA25" i="7"/>
  <c r="Z25" i="7"/>
  <c r="X25" i="7"/>
  <c r="AB24" i="7"/>
  <c r="AA24" i="7"/>
  <c r="Z24" i="7"/>
  <c r="X24" i="7"/>
  <c r="AB23" i="7"/>
  <c r="AA23" i="7"/>
  <c r="Z23" i="7"/>
  <c r="X23" i="7"/>
  <c r="T45" i="7" s="1"/>
  <c r="AB22" i="7"/>
  <c r="AA22" i="7"/>
  <c r="Z22" i="7"/>
  <c r="AB21" i="7"/>
  <c r="AA21" i="7"/>
  <c r="Z21" i="7"/>
  <c r="AB20" i="7"/>
  <c r="AA20" i="7"/>
  <c r="Z20" i="7"/>
  <c r="AB19" i="7"/>
  <c r="AA19" i="7"/>
  <c r="Z19" i="7"/>
  <c r="AB18" i="7"/>
  <c r="AA18" i="7"/>
  <c r="Z18" i="7"/>
  <c r="W18" i="7"/>
  <c r="T18" i="7" s="1"/>
  <c r="T38" i="7" s="1"/>
  <c r="V18" i="7"/>
  <c r="V38" i="7" s="1"/>
  <c r="U18" i="7"/>
  <c r="U38" i="7" s="1"/>
  <c r="AB17" i="7"/>
  <c r="AA17" i="7"/>
  <c r="Z17" i="7"/>
  <c r="W17" i="7"/>
  <c r="W37" i="7" s="1"/>
  <c r="V17" i="7"/>
  <c r="V37" i="7" s="1"/>
  <c r="U17" i="7"/>
  <c r="U37" i="7" s="1"/>
  <c r="AB16" i="7"/>
  <c r="AA16" i="7"/>
  <c r="Z16" i="7"/>
  <c r="W16" i="7"/>
  <c r="W36" i="7" s="1"/>
  <c r="V16" i="7"/>
  <c r="V36" i="7" s="1"/>
  <c r="U16" i="7"/>
  <c r="U36" i="7" s="1"/>
  <c r="T16" i="7"/>
  <c r="T36" i="7" s="1"/>
  <c r="AB15" i="7"/>
  <c r="AA15" i="7"/>
  <c r="Z15" i="7"/>
  <c r="W15" i="7"/>
  <c r="W35" i="7" s="1"/>
  <c r="V15" i="7"/>
  <c r="V35" i="7" s="1"/>
  <c r="U15" i="7"/>
  <c r="U35" i="7" s="1"/>
  <c r="AB14" i="7"/>
  <c r="AA14" i="7"/>
  <c r="Z14" i="7"/>
  <c r="W14" i="7"/>
  <c r="W34" i="7" s="1"/>
  <c r="V14" i="7"/>
  <c r="V34" i="7" s="1"/>
  <c r="U14" i="7"/>
  <c r="U34" i="7" s="1"/>
  <c r="AB13" i="7"/>
  <c r="AA13" i="7"/>
  <c r="Z13" i="7"/>
  <c r="W13" i="7"/>
  <c r="W33" i="7" s="1"/>
  <c r="V13" i="7"/>
  <c r="V33" i="7" s="1"/>
  <c r="U13" i="7"/>
  <c r="U33" i="7" s="1"/>
  <c r="AB12" i="7"/>
  <c r="AA12" i="7"/>
  <c r="Z12" i="7"/>
  <c r="W12" i="7"/>
  <c r="W32" i="7" s="1"/>
  <c r="V12" i="7"/>
  <c r="V32" i="7" s="1"/>
  <c r="U12" i="7"/>
  <c r="U32" i="7" s="1"/>
  <c r="AB11" i="7"/>
  <c r="AA11" i="7"/>
  <c r="Z11" i="7"/>
  <c r="W11" i="7"/>
  <c r="W31" i="7" s="1"/>
  <c r="V11" i="7"/>
  <c r="V31" i="7" s="1"/>
  <c r="U11" i="7"/>
  <c r="U31" i="7" s="1"/>
  <c r="T11" i="7"/>
  <c r="T31" i="7" s="1"/>
  <c r="AB10" i="7"/>
  <c r="AA10" i="7"/>
  <c r="Z10" i="7"/>
  <c r="W10" i="7"/>
  <c r="W30" i="7" s="1"/>
  <c r="V10" i="7"/>
  <c r="V30" i="7" s="1"/>
  <c r="U10" i="7"/>
  <c r="U30" i="7" s="1"/>
  <c r="T10" i="7"/>
  <c r="T30" i="7" s="1"/>
  <c r="AB9" i="7"/>
  <c r="AA9" i="7"/>
  <c r="Z9" i="7"/>
  <c r="W9" i="7"/>
  <c r="W29" i="7" s="1"/>
  <c r="V9" i="7"/>
  <c r="V29" i="7" s="1"/>
  <c r="U9" i="7"/>
  <c r="U29" i="7" s="1"/>
  <c r="T9" i="7"/>
  <c r="T29" i="7" s="1"/>
  <c r="AB8" i="7"/>
  <c r="AA8" i="7"/>
  <c r="Z8" i="7"/>
  <c r="W8" i="7"/>
  <c r="W28" i="7" s="1"/>
  <c r="V8" i="7"/>
  <c r="V28" i="7" s="1"/>
  <c r="U8" i="7"/>
  <c r="U28" i="7" s="1"/>
  <c r="T8" i="7"/>
  <c r="T28" i="7" s="1"/>
  <c r="AB7" i="7"/>
  <c r="AA7" i="7"/>
  <c r="Z7" i="7"/>
  <c r="W7" i="7"/>
  <c r="W27" i="7" s="1"/>
  <c r="V7" i="7"/>
  <c r="V27" i="7" s="1"/>
  <c r="U7" i="7"/>
  <c r="U27" i="7" s="1"/>
  <c r="AB6" i="7"/>
  <c r="AA6" i="7"/>
  <c r="Z6" i="7"/>
  <c r="W6" i="7"/>
  <c r="W26" i="7" s="1"/>
  <c r="V6" i="7"/>
  <c r="V26" i="7" s="1"/>
  <c r="U6" i="7"/>
  <c r="U26" i="7" s="1"/>
  <c r="AB5" i="7"/>
  <c r="AA5" i="7"/>
  <c r="Z5" i="7"/>
  <c r="W5" i="7"/>
  <c r="W25" i="7" s="1"/>
  <c r="V5" i="7"/>
  <c r="V25" i="7" s="1"/>
  <c r="U5" i="7"/>
  <c r="U25" i="7" s="1"/>
  <c r="AB4" i="7"/>
  <c r="L45" i="7" s="1"/>
  <c r="AA4" i="7"/>
  <c r="Z4" i="7"/>
  <c r="W4" i="7"/>
  <c r="W24" i="7" s="1"/>
  <c r="V4" i="7"/>
  <c r="V24" i="7" s="1"/>
  <c r="U4" i="7"/>
  <c r="U24" i="7" s="1"/>
  <c r="W3" i="7"/>
  <c r="W23" i="7" s="1"/>
  <c r="V3" i="7"/>
  <c r="V23" i="7" s="1"/>
  <c r="U3" i="7"/>
  <c r="U23" i="7" s="1"/>
  <c r="N3" i="7"/>
  <c r="N5" i="9"/>
  <c r="J45" i="9" s="1"/>
  <c r="I6" i="3" s="1"/>
  <c r="B5" i="6" s="1"/>
  <c r="N4" i="9"/>
  <c r="O5" i="9"/>
  <c r="O4" i="9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B6" i="3"/>
  <c r="R45" i="9"/>
  <c r="Q6" i="3" s="1"/>
  <c r="Q45" i="9"/>
  <c r="P6" i="3" s="1"/>
  <c r="C45" i="9"/>
  <c r="T44" i="9"/>
  <c r="AB39" i="9"/>
  <c r="AA39" i="9"/>
  <c r="Z39" i="9"/>
  <c r="AB38" i="9"/>
  <c r="AA38" i="9"/>
  <c r="Z38" i="9"/>
  <c r="X38" i="9"/>
  <c r="AB37" i="9"/>
  <c r="AA37" i="9"/>
  <c r="Z37" i="9"/>
  <c r="X37" i="9"/>
  <c r="AB36" i="9"/>
  <c r="AA36" i="9"/>
  <c r="Z36" i="9"/>
  <c r="X36" i="9"/>
  <c r="AB35" i="9"/>
  <c r="AA35" i="9"/>
  <c r="Z35" i="9"/>
  <c r="X35" i="9"/>
  <c r="AB34" i="9"/>
  <c r="AA34" i="9"/>
  <c r="Z34" i="9"/>
  <c r="X34" i="9"/>
  <c r="AB33" i="9"/>
  <c r="AA33" i="9"/>
  <c r="Z33" i="9"/>
  <c r="X33" i="9"/>
  <c r="AB32" i="9"/>
  <c r="AA32" i="9"/>
  <c r="Z32" i="9"/>
  <c r="X32" i="9"/>
  <c r="AB31" i="9"/>
  <c r="AA31" i="9"/>
  <c r="Z31" i="9"/>
  <c r="X31" i="9"/>
  <c r="AB30" i="9"/>
  <c r="AA30" i="9"/>
  <c r="Z30" i="9"/>
  <c r="X30" i="9"/>
  <c r="AB29" i="9"/>
  <c r="AA29" i="9"/>
  <c r="Z29" i="9"/>
  <c r="X29" i="9"/>
  <c r="AB28" i="9"/>
  <c r="AA28" i="9"/>
  <c r="Z28" i="9"/>
  <c r="X28" i="9"/>
  <c r="AB27" i="9"/>
  <c r="AA27" i="9"/>
  <c r="Z27" i="9"/>
  <c r="X27" i="9"/>
  <c r="AB26" i="9"/>
  <c r="AA26" i="9"/>
  <c r="Z26" i="9"/>
  <c r="X26" i="9"/>
  <c r="AB25" i="9"/>
  <c r="AA25" i="9"/>
  <c r="Z25" i="9"/>
  <c r="X25" i="9"/>
  <c r="AB24" i="9"/>
  <c r="AA24" i="9"/>
  <c r="Z24" i="9"/>
  <c r="X24" i="9"/>
  <c r="AB23" i="9"/>
  <c r="AA23" i="9"/>
  <c r="Z23" i="9"/>
  <c r="X23" i="9"/>
  <c r="T45" i="9" s="1"/>
  <c r="AB22" i="9"/>
  <c r="AA22" i="9"/>
  <c r="Z22" i="9"/>
  <c r="AB21" i="9"/>
  <c r="AA21" i="9"/>
  <c r="Z21" i="9"/>
  <c r="AB20" i="9"/>
  <c r="AA20" i="9"/>
  <c r="Z20" i="9"/>
  <c r="AB19" i="9"/>
  <c r="AA19" i="9"/>
  <c r="Z19" i="9"/>
  <c r="AB18" i="9"/>
  <c r="AA18" i="9"/>
  <c r="Z18" i="9"/>
  <c r="W18" i="9"/>
  <c r="T18" i="9" s="1"/>
  <c r="T38" i="9" s="1"/>
  <c r="V18" i="9"/>
  <c r="V38" i="9" s="1"/>
  <c r="U18" i="9"/>
  <c r="U38" i="9" s="1"/>
  <c r="AB17" i="9"/>
  <c r="AA17" i="9"/>
  <c r="Z17" i="9"/>
  <c r="W17" i="9"/>
  <c r="W37" i="9" s="1"/>
  <c r="V17" i="9"/>
  <c r="V37" i="9" s="1"/>
  <c r="U17" i="9"/>
  <c r="U37" i="9" s="1"/>
  <c r="AB16" i="9"/>
  <c r="AA16" i="9"/>
  <c r="Z16" i="9"/>
  <c r="W16" i="9"/>
  <c r="W36" i="9" s="1"/>
  <c r="V16" i="9"/>
  <c r="V36" i="9" s="1"/>
  <c r="U16" i="9"/>
  <c r="U36" i="9" s="1"/>
  <c r="T16" i="9"/>
  <c r="T36" i="9" s="1"/>
  <c r="AB15" i="9"/>
  <c r="AA15" i="9"/>
  <c r="Z15" i="9"/>
  <c r="W15" i="9"/>
  <c r="W35" i="9" s="1"/>
  <c r="V15" i="9"/>
  <c r="V35" i="9" s="1"/>
  <c r="U15" i="9"/>
  <c r="U35" i="9" s="1"/>
  <c r="AB14" i="9"/>
  <c r="AA14" i="9"/>
  <c r="Z14" i="9"/>
  <c r="W14" i="9"/>
  <c r="W34" i="9" s="1"/>
  <c r="V14" i="9"/>
  <c r="V34" i="9" s="1"/>
  <c r="U14" i="9"/>
  <c r="U34" i="9" s="1"/>
  <c r="T14" i="9"/>
  <c r="T34" i="9" s="1"/>
  <c r="AB13" i="9"/>
  <c r="AA13" i="9"/>
  <c r="Z13" i="9"/>
  <c r="W13" i="9"/>
  <c r="W33" i="9" s="1"/>
  <c r="V13" i="9"/>
  <c r="V33" i="9" s="1"/>
  <c r="U13" i="9"/>
  <c r="U33" i="9" s="1"/>
  <c r="T13" i="9"/>
  <c r="T33" i="9" s="1"/>
  <c r="AB12" i="9"/>
  <c r="AA12" i="9"/>
  <c r="Z12" i="9"/>
  <c r="W12" i="9"/>
  <c r="W32" i="9" s="1"/>
  <c r="V12" i="9"/>
  <c r="V32" i="9" s="1"/>
  <c r="U12" i="9"/>
  <c r="U32" i="9" s="1"/>
  <c r="AB11" i="9"/>
  <c r="AA11" i="9"/>
  <c r="Z11" i="9"/>
  <c r="W11" i="9"/>
  <c r="T11" i="9" s="1"/>
  <c r="T31" i="9" s="1"/>
  <c r="V11" i="9"/>
  <c r="V31" i="9" s="1"/>
  <c r="U11" i="9"/>
  <c r="U31" i="9" s="1"/>
  <c r="AB10" i="9"/>
  <c r="AA10" i="9"/>
  <c r="Z10" i="9"/>
  <c r="W10" i="9"/>
  <c r="T10" i="9" s="1"/>
  <c r="T30" i="9" s="1"/>
  <c r="V10" i="9"/>
  <c r="V30" i="9" s="1"/>
  <c r="U10" i="9"/>
  <c r="U30" i="9" s="1"/>
  <c r="AB9" i="9"/>
  <c r="AA9" i="9"/>
  <c r="Z9" i="9"/>
  <c r="W9" i="9"/>
  <c r="W29" i="9" s="1"/>
  <c r="V9" i="9"/>
  <c r="V29" i="9" s="1"/>
  <c r="U9" i="9"/>
  <c r="U29" i="9" s="1"/>
  <c r="AB8" i="9"/>
  <c r="AA8" i="9"/>
  <c r="Z8" i="9"/>
  <c r="W8" i="9"/>
  <c r="W28" i="9" s="1"/>
  <c r="V8" i="9"/>
  <c r="V28" i="9" s="1"/>
  <c r="U8" i="9"/>
  <c r="U28" i="9" s="1"/>
  <c r="T8" i="9"/>
  <c r="T28" i="9" s="1"/>
  <c r="AB7" i="9"/>
  <c r="AA7" i="9"/>
  <c r="Z7" i="9"/>
  <c r="W7" i="9"/>
  <c r="W27" i="9" s="1"/>
  <c r="V7" i="9"/>
  <c r="V27" i="9" s="1"/>
  <c r="U7" i="9"/>
  <c r="U27" i="9" s="1"/>
  <c r="AB6" i="9"/>
  <c r="AA6" i="9"/>
  <c r="Z6" i="9"/>
  <c r="W6" i="9"/>
  <c r="W26" i="9" s="1"/>
  <c r="V6" i="9"/>
  <c r="V26" i="9" s="1"/>
  <c r="U6" i="9"/>
  <c r="U26" i="9" s="1"/>
  <c r="AB5" i="9"/>
  <c r="AA5" i="9"/>
  <c r="Z5" i="9"/>
  <c r="W5" i="9"/>
  <c r="W25" i="9" s="1"/>
  <c r="V5" i="9"/>
  <c r="V25" i="9" s="1"/>
  <c r="U5" i="9"/>
  <c r="U25" i="9" s="1"/>
  <c r="AB4" i="9"/>
  <c r="AA4" i="9"/>
  <c r="Z4" i="9"/>
  <c r="N3" i="9" s="1"/>
  <c r="W4" i="9"/>
  <c r="W24" i="9" s="1"/>
  <c r="V4" i="9"/>
  <c r="V24" i="9" s="1"/>
  <c r="U4" i="9"/>
  <c r="U24" i="9" s="1"/>
  <c r="W3" i="9"/>
  <c r="W23" i="9" s="1"/>
  <c r="V3" i="9"/>
  <c r="V23" i="9" s="1"/>
  <c r="U3" i="9"/>
  <c r="U23" i="9" s="1"/>
  <c r="T46" i="8"/>
  <c r="U4" i="8"/>
  <c r="V4" i="8"/>
  <c r="W4" i="8"/>
  <c r="T4" i="8" s="1"/>
  <c r="U5" i="8"/>
  <c r="U25" i="8" s="1"/>
  <c r="V5" i="8"/>
  <c r="W5" i="8"/>
  <c r="T5" i="8" s="1"/>
  <c r="U6" i="8"/>
  <c r="V6" i="8"/>
  <c r="V26" i="8" s="1"/>
  <c r="W6" i="8"/>
  <c r="T6" i="8" s="1"/>
  <c r="U7" i="8"/>
  <c r="V7" i="8"/>
  <c r="V27" i="8" s="1"/>
  <c r="W7" i="8"/>
  <c r="T7" i="8" s="1"/>
  <c r="T27" i="8" s="1"/>
  <c r="U8" i="8"/>
  <c r="V8" i="8"/>
  <c r="W8" i="8"/>
  <c r="T8" i="8" s="1"/>
  <c r="U9" i="8"/>
  <c r="V9" i="8"/>
  <c r="W9" i="8"/>
  <c r="W29" i="8" s="1"/>
  <c r="U10" i="8"/>
  <c r="U30" i="8" s="1"/>
  <c r="V10" i="8"/>
  <c r="W10" i="8"/>
  <c r="T10" i="8" s="1"/>
  <c r="U11" i="8"/>
  <c r="V11" i="8"/>
  <c r="V31" i="8" s="1"/>
  <c r="W11" i="8"/>
  <c r="T11" i="8" s="1"/>
  <c r="T31" i="8" s="1"/>
  <c r="U12" i="8"/>
  <c r="V12" i="8"/>
  <c r="V32" i="8" s="1"/>
  <c r="W12" i="8"/>
  <c r="T12" i="8" s="1"/>
  <c r="U13" i="8"/>
  <c r="V13" i="8"/>
  <c r="W13" i="8"/>
  <c r="T13" i="8" s="1"/>
  <c r="U14" i="8"/>
  <c r="U34" i="8" s="1"/>
  <c r="V14" i="8"/>
  <c r="W14" i="8"/>
  <c r="T14" i="8" s="1"/>
  <c r="U15" i="8"/>
  <c r="U35" i="8" s="1"/>
  <c r="V15" i="8"/>
  <c r="V35" i="8" s="1"/>
  <c r="W15" i="8"/>
  <c r="T15" i="8" s="1"/>
  <c r="U16" i="8"/>
  <c r="V16" i="8"/>
  <c r="W16" i="8"/>
  <c r="T16" i="8" s="1"/>
  <c r="U17" i="8"/>
  <c r="V17" i="8"/>
  <c r="V37" i="8" s="1"/>
  <c r="W17" i="8"/>
  <c r="W37" i="8" s="1"/>
  <c r="U18" i="8"/>
  <c r="U38" i="8" s="1"/>
  <c r="V18" i="8"/>
  <c r="W18" i="8"/>
  <c r="T18" i="8" s="1"/>
  <c r="W3" i="8"/>
  <c r="W23" i="8" s="1"/>
  <c r="V3" i="8"/>
  <c r="V23" i="8" s="1"/>
  <c r="U3" i="8"/>
  <c r="U23" i="8" s="1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B5" i="3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" i="8"/>
  <c r="N5" i="8" s="1"/>
  <c r="J45" i="8" s="1"/>
  <c r="I5" i="3" s="1"/>
  <c r="B4" i="6" s="1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4" i="8"/>
  <c r="C45" i="8"/>
  <c r="T44" i="8"/>
  <c r="Z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V38" i="8"/>
  <c r="U37" i="8"/>
  <c r="V36" i="8"/>
  <c r="U36" i="8"/>
  <c r="V34" i="8"/>
  <c r="V33" i="8"/>
  <c r="U33" i="8"/>
  <c r="U32" i="8"/>
  <c r="U31" i="8"/>
  <c r="W30" i="8"/>
  <c r="V30" i="8"/>
  <c r="V29" i="8"/>
  <c r="U29" i="8"/>
  <c r="V28" i="8"/>
  <c r="U28" i="8"/>
  <c r="W27" i="8"/>
  <c r="U27" i="8"/>
  <c r="W26" i="8"/>
  <c r="U26" i="8"/>
  <c r="V25" i="8"/>
  <c r="V24" i="8"/>
  <c r="U24" i="8"/>
  <c r="I10" i="6"/>
  <c r="I9" i="6"/>
  <c r="I8" i="6"/>
  <c r="I7" i="6"/>
  <c r="I6" i="6"/>
  <c r="M7" i="5"/>
  <c r="M6" i="5"/>
  <c r="M5" i="5"/>
  <c r="P8" i="4"/>
  <c r="P7" i="4"/>
  <c r="P6" i="4"/>
  <c r="P5" i="4"/>
  <c r="M64" i="2"/>
  <c r="N64" i="2"/>
  <c r="O64" i="2"/>
  <c r="P64" i="2"/>
  <c r="B39" i="2" s="1"/>
  <c r="Q64" i="2"/>
  <c r="R64" i="2"/>
  <c r="B41" i="2" s="1"/>
  <c r="S64" i="2"/>
  <c r="T64" i="2"/>
  <c r="B40" i="2"/>
  <c r="B42" i="2"/>
  <c r="B43" i="2"/>
  <c r="M65" i="2"/>
  <c r="N65" i="2"/>
  <c r="O65" i="2"/>
  <c r="P65" i="2"/>
  <c r="Q65" i="2"/>
  <c r="R65" i="2"/>
  <c r="S65" i="2"/>
  <c r="T65" i="2"/>
  <c r="B38" i="2"/>
  <c r="C65" i="2"/>
  <c r="U65" i="2"/>
  <c r="V65" i="2"/>
  <c r="W65" i="2"/>
  <c r="B65" i="2"/>
  <c r="B46" i="2"/>
  <c r="B45" i="2"/>
  <c r="B44" i="2"/>
  <c r="B37" i="2"/>
  <c r="B36" i="2"/>
  <c r="U62" i="2"/>
  <c r="V62" i="2"/>
  <c r="W62" i="2"/>
  <c r="U63" i="2"/>
  <c r="V63" i="2"/>
  <c r="W63" i="2"/>
  <c r="U64" i="2"/>
  <c r="V64" i="2"/>
  <c r="W64" i="2"/>
  <c r="L18" i="2"/>
  <c r="L65" i="2" s="1"/>
  <c r="B60" i="2"/>
  <c r="C60" i="2"/>
  <c r="B61" i="2"/>
  <c r="C61" i="2"/>
  <c r="B62" i="2"/>
  <c r="C62" i="2"/>
  <c r="B63" i="2"/>
  <c r="C63" i="2"/>
  <c r="B64" i="2"/>
  <c r="C64" i="2"/>
  <c r="AI17" i="3"/>
  <c r="AI18" i="3"/>
  <c r="AI19" i="3"/>
  <c r="AI20" i="3"/>
  <c r="AI21" i="3"/>
  <c r="AI22" i="3"/>
  <c r="AI23" i="3"/>
  <c r="Z19" i="3"/>
  <c r="Z20" i="3"/>
  <c r="Z21" i="3"/>
  <c r="M8" i="5" s="1"/>
  <c r="Z22" i="3"/>
  <c r="Z23" i="3"/>
  <c r="U18" i="2"/>
  <c r="V18" i="2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" i="4"/>
  <c r="U5" i="2"/>
  <c r="U6" i="2"/>
  <c r="U7" i="2"/>
  <c r="U8" i="2"/>
  <c r="U9" i="2"/>
  <c r="U11" i="2"/>
  <c r="U12" i="2"/>
  <c r="U14" i="2"/>
  <c r="U15" i="2"/>
  <c r="U16" i="2"/>
  <c r="U17" i="2"/>
  <c r="U3" i="2"/>
  <c r="A6" i="6"/>
  <c r="A5" i="6"/>
  <c r="Z9" i="3"/>
  <c r="I5" i="6" s="1"/>
  <c r="Z10" i="3"/>
  <c r="Z11" i="3"/>
  <c r="Z12" i="3"/>
  <c r="Z13" i="3"/>
  <c r="Z14" i="3"/>
  <c r="Z15" i="3"/>
  <c r="M4" i="5" s="1"/>
  <c r="Z16" i="3"/>
  <c r="Z17" i="3"/>
  <c r="Z18" i="3"/>
  <c r="P4" i="4" s="1"/>
  <c r="Z8" i="3"/>
  <c r="A4" i="5"/>
  <c r="Y4" i="4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3" i="2"/>
  <c r="L49" i="2"/>
  <c r="AA6" i="3"/>
  <c r="W45" i="3" s="1"/>
  <c r="X43" i="3"/>
  <c r="X41" i="3"/>
  <c r="C6" i="4" l="1"/>
  <c r="N6" i="4"/>
  <c r="AM42" i="3"/>
  <c r="AQ42" i="3" s="1"/>
  <c r="AM34" i="3"/>
  <c r="AQ34" i="3" s="1"/>
  <c r="L45" i="10"/>
  <c r="K7" i="3" s="1"/>
  <c r="AO41" i="3"/>
  <c r="AS41" i="3" s="1"/>
  <c r="AO33" i="3"/>
  <c r="AS33" i="3" s="1"/>
  <c r="T5" i="10"/>
  <c r="AN41" i="3"/>
  <c r="AR41" i="3" s="1"/>
  <c r="AN33" i="3"/>
  <c r="AR33" i="3" s="1"/>
  <c r="T15" i="10"/>
  <c r="AO40" i="3"/>
  <c r="AS40" i="3" s="1"/>
  <c r="AO32" i="3"/>
  <c r="AS32" i="3" s="1"/>
  <c r="AN40" i="3"/>
  <c r="AR40" i="3" s="1"/>
  <c r="AN32" i="3"/>
  <c r="AR32" i="3" s="1"/>
  <c r="AM40" i="3"/>
  <c r="AQ40" i="3" s="1"/>
  <c r="AM32" i="3"/>
  <c r="AQ32" i="3" s="1"/>
  <c r="T6" i="10"/>
  <c r="T11" i="10"/>
  <c r="U30" i="10"/>
  <c r="AO39" i="3"/>
  <c r="AS39" i="3" s="1"/>
  <c r="AO31" i="3"/>
  <c r="AS31" i="3" s="1"/>
  <c r="AN39" i="3"/>
  <c r="AR39" i="3" s="1"/>
  <c r="AN31" i="3"/>
  <c r="AR31" i="3" s="1"/>
  <c r="AM39" i="3"/>
  <c r="AQ39" i="3" s="1"/>
  <c r="AM31" i="3"/>
  <c r="AQ31" i="3" s="1"/>
  <c r="AO38" i="3"/>
  <c r="AS38" i="3" s="1"/>
  <c r="AO30" i="3"/>
  <c r="AS30" i="3" s="1"/>
  <c r="AN38" i="3"/>
  <c r="AR38" i="3" s="1"/>
  <c r="AN30" i="3"/>
  <c r="AR30" i="3" s="1"/>
  <c r="U31" i="10"/>
  <c r="AM38" i="3"/>
  <c r="AQ38" i="3" s="1"/>
  <c r="AM30" i="3"/>
  <c r="AQ30" i="3" s="1"/>
  <c r="T7" i="10"/>
  <c r="T12" i="10"/>
  <c r="V31" i="10"/>
  <c r="AO37" i="3"/>
  <c r="AS37" i="3" s="1"/>
  <c r="AM41" i="3"/>
  <c r="AQ41" i="3" s="1"/>
  <c r="V38" i="10"/>
  <c r="AN29" i="3"/>
  <c r="AR29" i="3" s="1"/>
  <c r="AM29" i="3"/>
  <c r="AQ29" i="3" s="1"/>
  <c r="U38" i="10"/>
  <c r="AO29" i="3"/>
  <c r="AS29" i="3" s="1"/>
  <c r="O45" i="10"/>
  <c r="N7" i="3" s="1"/>
  <c r="AO44" i="3"/>
  <c r="AS44" i="3" s="1"/>
  <c r="AO36" i="3"/>
  <c r="AS36" i="3" s="1"/>
  <c r="AN36" i="3"/>
  <c r="AR36" i="3" s="1"/>
  <c r="T3" i="10"/>
  <c r="T13" i="10"/>
  <c r="AL44" i="3"/>
  <c r="AP44" i="3" s="1"/>
  <c r="AL36" i="3"/>
  <c r="AP36" i="3" s="1"/>
  <c r="AO43" i="3"/>
  <c r="AS43" i="3" s="1"/>
  <c r="AO35" i="3"/>
  <c r="AS35" i="3" s="1"/>
  <c r="AN43" i="3"/>
  <c r="AR43" i="3" s="1"/>
  <c r="AN35" i="3"/>
  <c r="AR35" i="3" s="1"/>
  <c r="AM43" i="3"/>
  <c r="AQ43" i="3" s="1"/>
  <c r="AM35" i="3"/>
  <c r="AQ35" i="3" s="1"/>
  <c r="T4" i="10"/>
  <c r="AO42" i="3"/>
  <c r="AS42" i="3" s="1"/>
  <c r="AO34" i="3"/>
  <c r="AS34" i="3" s="1"/>
  <c r="AN42" i="3"/>
  <c r="AR42" i="3" s="1"/>
  <c r="AN34" i="3"/>
  <c r="AR34" i="3" s="1"/>
  <c r="K45" i="10"/>
  <c r="J7" i="3" s="1"/>
  <c r="M6" i="4" s="1"/>
  <c r="J45" i="10"/>
  <c r="I7" i="3" s="1"/>
  <c r="B6" i="6" s="1"/>
  <c r="E3" i="6" s="1"/>
  <c r="N36" i="6" s="1"/>
  <c r="M45" i="10"/>
  <c r="L7" i="3" s="1"/>
  <c r="B6" i="5" s="1"/>
  <c r="F3" i="5" s="1"/>
  <c r="N47" i="5" s="1"/>
  <c r="N3" i="10"/>
  <c r="T9" i="10"/>
  <c r="T17" i="10"/>
  <c r="T8" i="10"/>
  <c r="T16" i="10"/>
  <c r="N45" i="10"/>
  <c r="T14" i="10"/>
  <c r="I45" i="10"/>
  <c r="W30" i="10"/>
  <c r="W38" i="10"/>
  <c r="K45" i="7"/>
  <c r="O5" i="7" s="1"/>
  <c r="H45" i="7"/>
  <c r="T12" i="7"/>
  <c r="T32" i="7" s="1"/>
  <c r="T17" i="7"/>
  <c r="T37" i="7" s="1"/>
  <c r="O3" i="7"/>
  <c r="P3" i="7" s="1"/>
  <c r="N5" i="7"/>
  <c r="N45" i="7"/>
  <c r="T4" i="7"/>
  <c r="T24" i="7" s="1"/>
  <c r="T7" i="7"/>
  <c r="T27" i="7" s="1"/>
  <c r="T15" i="7"/>
  <c r="T35" i="7" s="1"/>
  <c r="G45" i="7"/>
  <c r="O45" i="7"/>
  <c r="T3" i="7"/>
  <c r="T23" i="7" s="1"/>
  <c r="T6" i="7"/>
  <c r="T26" i="7" s="1"/>
  <c r="T14" i="7"/>
  <c r="T34" i="7" s="1"/>
  <c r="T5" i="7"/>
  <c r="T25" i="7" s="1"/>
  <c r="T13" i="7"/>
  <c r="T33" i="7" s="1"/>
  <c r="I45" i="7"/>
  <c r="W38" i="7"/>
  <c r="N4" i="7"/>
  <c r="F45" i="7" s="1"/>
  <c r="D45" i="9"/>
  <c r="C6" i="3" s="1"/>
  <c r="AD43" i="3"/>
  <c r="AD41" i="3"/>
  <c r="AD39" i="3"/>
  <c r="AD37" i="3"/>
  <c r="AD35" i="3"/>
  <c r="AD33" i="3"/>
  <c r="AD31" i="3"/>
  <c r="AD29" i="3"/>
  <c r="AC43" i="3"/>
  <c r="AC41" i="3"/>
  <c r="AC39" i="3"/>
  <c r="AC37" i="3"/>
  <c r="AC35" i="3"/>
  <c r="AC33" i="3"/>
  <c r="AC31" i="3"/>
  <c r="T12" i="9"/>
  <c r="AC29" i="3"/>
  <c r="AB43" i="3"/>
  <c r="AB41" i="3"/>
  <c r="AB39" i="3"/>
  <c r="AB37" i="3"/>
  <c r="AB35" i="3"/>
  <c r="AB33" i="3"/>
  <c r="AB31" i="3"/>
  <c r="K45" i="9"/>
  <c r="J6" i="3" s="1"/>
  <c r="M5" i="4" s="1"/>
  <c r="H45" i="9"/>
  <c r="G6" i="3" s="1"/>
  <c r="N5" i="4" s="1"/>
  <c r="AB29" i="3"/>
  <c r="AA39" i="3"/>
  <c r="AA37" i="3"/>
  <c r="T3" i="9"/>
  <c r="L45" i="9"/>
  <c r="K6" i="3" s="1"/>
  <c r="T6" i="9"/>
  <c r="AD44" i="3"/>
  <c r="AD42" i="3"/>
  <c r="AD40" i="3"/>
  <c r="AD38" i="3"/>
  <c r="AD36" i="3"/>
  <c r="AD34" i="3"/>
  <c r="AD32" i="3"/>
  <c r="AD30" i="3"/>
  <c r="AH30" i="3" s="1"/>
  <c r="AC44" i="3"/>
  <c r="AC42" i="3"/>
  <c r="AC40" i="3"/>
  <c r="AC38" i="3"/>
  <c r="AC36" i="3"/>
  <c r="AC34" i="3"/>
  <c r="AC32" i="3"/>
  <c r="AC30" i="3"/>
  <c r="AG30" i="3" s="1"/>
  <c r="AB44" i="3"/>
  <c r="AB42" i="3"/>
  <c r="AB40" i="3"/>
  <c r="AB38" i="3"/>
  <c r="AB36" i="3"/>
  <c r="AB34" i="3"/>
  <c r="AB32" i="3"/>
  <c r="AB30" i="3"/>
  <c r="AF30" i="3" s="1"/>
  <c r="AA44" i="3"/>
  <c r="AA42" i="3"/>
  <c r="AA40" i="3"/>
  <c r="AA36" i="3"/>
  <c r="AA34" i="3"/>
  <c r="P4" i="9"/>
  <c r="T9" i="9"/>
  <c r="T17" i="9"/>
  <c r="M45" i="9"/>
  <c r="L6" i="3" s="1"/>
  <c r="B5" i="5" s="1"/>
  <c r="F45" i="9"/>
  <c r="E6" i="3" s="1"/>
  <c r="N45" i="9"/>
  <c r="M6" i="3" s="1"/>
  <c r="J5" i="4" s="1"/>
  <c r="T4" i="9"/>
  <c r="T7" i="9"/>
  <c r="T15" i="9"/>
  <c r="G45" i="9"/>
  <c r="F6" i="3" s="1"/>
  <c r="O45" i="9"/>
  <c r="N6" i="3" s="1"/>
  <c r="T5" i="9"/>
  <c r="I45" i="9"/>
  <c r="W30" i="9"/>
  <c r="W31" i="9"/>
  <c r="W38" i="9"/>
  <c r="W35" i="8"/>
  <c r="W25" i="8"/>
  <c r="W33" i="8"/>
  <c r="W38" i="8"/>
  <c r="W28" i="8"/>
  <c r="W36" i="8"/>
  <c r="T17" i="8"/>
  <c r="T9" i="8"/>
  <c r="W24" i="8"/>
  <c r="W34" i="8"/>
  <c r="W32" i="8"/>
  <c r="T3" i="8"/>
  <c r="T45" i="8"/>
  <c r="AH43" i="3"/>
  <c r="AH41" i="3"/>
  <c r="AH39" i="3"/>
  <c r="AH37" i="3"/>
  <c r="AH35" i="3"/>
  <c r="AH33" i="3"/>
  <c r="AH31" i="3"/>
  <c r="AH29" i="3"/>
  <c r="AG43" i="3"/>
  <c r="AG41" i="3"/>
  <c r="AG39" i="3"/>
  <c r="AG37" i="3"/>
  <c r="AG35" i="3"/>
  <c r="AG33" i="3"/>
  <c r="AG31" i="3"/>
  <c r="N4" i="8"/>
  <c r="M45" i="8" s="1"/>
  <c r="L5" i="3" s="1"/>
  <c r="B4" i="5" s="1"/>
  <c r="AG29" i="3"/>
  <c r="AF43" i="3"/>
  <c r="AF41" i="3"/>
  <c r="AF39" i="3"/>
  <c r="AF37" i="3"/>
  <c r="AF35" i="3"/>
  <c r="AF33" i="3"/>
  <c r="AF31" i="3"/>
  <c r="AF29" i="3"/>
  <c r="AE37" i="3"/>
  <c r="N3" i="8"/>
  <c r="G45" i="8" s="1"/>
  <c r="F5" i="3" s="1"/>
  <c r="B4" i="4" s="1"/>
  <c r="AH44" i="3"/>
  <c r="AH42" i="3"/>
  <c r="AH40" i="3"/>
  <c r="AH38" i="3"/>
  <c r="AH36" i="3"/>
  <c r="AH34" i="3"/>
  <c r="AH32" i="3"/>
  <c r="AG44" i="3"/>
  <c r="AG42" i="3"/>
  <c r="AG40" i="3"/>
  <c r="AG38" i="3"/>
  <c r="AG36" i="3"/>
  <c r="AG34" i="3"/>
  <c r="AG32" i="3"/>
  <c r="AF44" i="3"/>
  <c r="AF42" i="3"/>
  <c r="AF40" i="3"/>
  <c r="AF38" i="3"/>
  <c r="AF36" i="3"/>
  <c r="AF34" i="3"/>
  <c r="AF32" i="3"/>
  <c r="K45" i="8"/>
  <c r="H45" i="8"/>
  <c r="I45" i="8"/>
  <c r="H5" i="3" s="1"/>
  <c r="K4" i="4" s="1"/>
  <c r="L45" i="8"/>
  <c r="K5" i="3" s="1"/>
  <c r="J4" i="5" s="1"/>
  <c r="N45" i="8"/>
  <c r="O45" i="8"/>
  <c r="N5" i="3" s="1"/>
  <c r="K4" i="5" s="1"/>
  <c r="W31" i="8"/>
  <c r="A4" i="6"/>
  <c r="A6" i="4"/>
  <c r="A6" i="5"/>
  <c r="A5" i="4"/>
  <c r="A5" i="5"/>
  <c r="C5" i="4"/>
  <c r="D5" i="5"/>
  <c r="B5" i="4"/>
  <c r="C5" i="5"/>
  <c r="AJ9" i="3"/>
  <c r="R5" i="6" s="1"/>
  <c r="AJ8" i="3"/>
  <c r="Y5" i="4" s="1"/>
  <c r="AA4" i="3"/>
  <c r="X42" i="3"/>
  <c r="T29" i="10" l="1"/>
  <c r="AL35" i="3"/>
  <c r="AP35" i="3" s="1"/>
  <c r="T32" i="10"/>
  <c r="AL38" i="3"/>
  <c r="AP38" i="3" s="1"/>
  <c r="T24" i="10"/>
  <c r="AL30" i="3"/>
  <c r="AP30" i="3" s="1"/>
  <c r="T37" i="10"/>
  <c r="AL43" i="3"/>
  <c r="AP43" i="3" s="1"/>
  <c r="C6" i="6"/>
  <c r="T27" i="10"/>
  <c r="AL33" i="3"/>
  <c r="AP33" i="3" s="1"/>
  <c r="O5" i="10"/>
  <c r="P5" i="10" s="1"/>
  <c r="AL37" i="3"/>
  <c r="AP37" i="3" s="1"/>
  <c r="T31" i="10"/>
  <c r="T26" i="10"/>
  <c r="AL32" i="3"/>
  <c r="AP32" i="3" s="1"/>
  <c r="T33" i="10"/>
  <c r="AL39" i="3"/>
  <c r="AP39" i="3" s="1"/>
  <c r="AL29" i="3"/>
  <c r="AP29" i="3" s="1"/>
  <c r="T23" i="10"/>
  <c r="O3" i="10"/>
  <c r="H7" i="3"/>
  <c r="K6" i="4" s="1"/>
  <c r="T35" i="10"/>
  <c r="AL41" i="3"/>
  <c r="AP41" i="3" s="1"/>
  <c r="T34" i="10"/>
  <c r="AL40" i="3"/>
  <c r="AP40" i="3" s="1"/>
  <c r="O4" i="10"/>
  <c r="P4" i="10" s="1"/>
  <c r="M7" i="3"/>
  <c r="T36" i="10"/>
  <c r="AL42" i="3"/>
  <c r="AP42" i="3" s="1"/>
  <c r="T25" i="10"/>
  <c r="AL31" i="3"/>
  <c r="AP31" i="3" s="1"/>
  <c r="T28" i="10"/>
  <c r="AL34" i="3"/>
  <c r="AP34" i="3" s="1"/>
  <c r="D45" i="10"/>
  <c r="C7" i="3" s="1"/>
  <c r="P3" i="10"/>
  <c r="F45" i="10"/>
  <c r="E7" i="3" s="1"/>
  <c r="G45" i="10"/>
  <c r="F7" i="3" s="1"/>
  <c r="B6" i="4" s="1"/>
  <c r="D45" i="7"/>
  <c r="E45" i="7" s="1"/>
  <c r="O4" i="7"/>
  <c r="P4" i="7" s="1"/>
  <c r="M45" i="7"/>
  <c r="J45" i="7"/>
  <c r="P5" i="7"/>
  <c r="E45" i="9"/>
  <c r="D6" i="3" s="1"/>
  <c r="T26" i="9"/>
  <c r="AA32" i="3"/>
  <c r="T32" i="9"/>
  <c r="AA38" i="3"/>
  <c r="T27" i="9"/>
  <c r="AA33" i="3"/>
  <c r="AE33" i="3" s="1"/>
  <c r="T24" i="9"/>
  <c r="AA30" i="3"/>
  <c r="T23" i="9"/>
  <c r="AA29" i="3"/>
  <c r="T35" i="9"/>
  <c r="AA41" i="3"/>
  <c r="O3" i="9"/>
  <c r="H6" i="3"/>
  <c r="K5" i="4" s="1"/>
  <c r="T25" i="9"/>
  <c r="AA31" i="3"/>
  <c r="AE31" i="3" s="1"/>
  <c r="T37" i="9"/>
  <c r="AA43" i="3"/>
  <c r="T29" i="9"/>
  <c r="AA35" i="3"/>
  <c r="P3" i="9"/>
  <c r="P5" i="9"/>
  <c r="D45" i="8"/>
  <c r="C5" i="3" s="1"/>
  <c r="T35" i="8"/>
  <c r="AE41" i="3"/>
  <c r="T23" i="8"/>
  <c r="AE29" i="3"/>
  <c r="T38" i="8"/>
  <c r="AE44" i="3"/>
  <c r="T33" i="8"/>
  <c r="AE39" i="3"/>
  <c r="T32" i="8"/>
  <c r="AE38" i="3"/>
  <c r="T26" i="8"/>
  <c r="AE32" i="3"/>
  <c r="T34" i="8"/>
  <c r="AE40" i="3"/>
  <c r="F45" i="8"/>
  <c r="E5" i="3" s="1"/>
  <c r="T36" i="8"/>
  <c r="AE42" i="3"/>
  <c r="T37" i="8"/>
  <c r="AE43" i="3"/>
  <c r="T28" i="8"/>
  <c r="AE34" i="3"/>
  <c r="T29" i="8"/>
  <c r="AE35" i="3"/>
  <c r="T30" i="8"/>
  <c r="AE36" i="3"/>
  <c r="T24" i="8"/>
  <c r="AE30" i="3"/>
  <c r="T25" i="8"/>
  <c r="J5" i="3"/>
  <c r="M4" i="4" s="1"/>
  <c r="O4" i="8"/>
  <c r="P4" i="8" s="1"/>
  <c r="G5" i="3"/>
  <c r="O3" i="8"/>
  <c r="P3" i="8" s="1"/>
  <c r="O5" i="8"/>
  <c r="P5" i="8" s="1"/>
  <c r="M5" i="3"/>
  <c r="J4" i="4" s="1"/>
  <c r="C4" i="5"/>
  <c r="C5" i="6"/>
  <c r="F3" i="4"/>
  <c r="M47" i="4" s="1"/>
  <c r="D5" i="6"/>
  <c r="L3" i="2"/>
  <c r="L50" i="2" s="1"/>
  <c r="AP9" i="3"/>
  <c r="L4" i="2"/>
  <c r="L51" i="2" s="1"/>
  <c r="AP8" i="3"/>
  <c r="J6" i="4" l="1"/>
  <c r="J41" i="4" s="1"/>
  <c r="C6" i="5"/>
  <c r="G3" i="5" s="1"/>
  <c r="N48" i="5" s="1"/>
  <c r="V6" i="3"/>
  <c r="E45" i="10"/>
  <c r="D7" i="3" s="1"/>
  <c r="T46" i="9"/>
  <c r="P45" i="9"/>
  <c r="O6" i="3" s="1"/>
  <c r="D5" i="4" s="1"/>
  <c r="C4" i="6"/>
  <c r="F3" i="6" s="1"/>
  <c r="N37" i="6" s="1"/>
  <c r="E45" i="8"/>
  <c r="D5" i="3" s="1"/>
  <c r="U6" i="3" s="1"/>
  <c r="R45" i="8"/>
  <c r="Q5" i="3" s="1"/>
  <c r="D4" i="5" s="1"/>
  <c r="H3" i="5" s="1"/>
  <c r="Q45" i="8"/>
  <c r="P5" i="3" s="1"/>
  <c r="D4" i="6" s="1"/>
  <c r="G3" i="6" s="1"/>
  <c r="N4" i="4"/>
  <c r="C4" i="4"/>
  <c r="Q3" i="8"/>
  <c r="P45" i="8" s="1"/>
  <c r="O5" i="3" s="1"/>
  <c r="D4" i="4" s="1"/>
  <c r="C41" i="6"/>
  <c r="T6" i="3"/>
  <c r="S6" i="3"/>
  <c r="AJ10" i="3"/>
  <c r="Y6" i="4" s="1"/>
  <c r="AJ11" i="3"/>
  <c r="Y7" i="4" s="1"/>
  <c r="AJ12" i="3"/>
  <c r="R6" i="6" s="1"/>
  <c r="AJ13" i="3"/>
  <c r="R7" i="6" s="1"/>
  <c r="AJ14" i="3"/>
  <c r="V5" i="5" s="1"/>
  <c r="AJ15" i="3"/>
  <c r="AJ17" i="3"/>
  <c r="R8" i="6" s="1"/>
  <c r="AJ19" i="3"/>
  <c r="V7" i="5" s="1"/>
  <c r="AJ20" i="3"/>
  <c r="Y8" i="4" s="1"/>
  <c r="AJ21" i="3"/>
  <c r="V8" i="5" s="1"/>
  <c r="AJ22" i="3"/>
  <c r="R9" i="6" s="1"/>
  <c r="AJ23" i="3"/>
  <c r="R10" i="6" s="1"/>
  <c r="AJ16" i="3"/>
  <c r="V6" i="5" s="1"/>
  <c r="AJ18" i="3"/>
  <c r="L13" i="2" s="1"/>
  <c r="L60" i="2" s="1"/>
  <c r="C41" i="5" l="1"/>
  <c r="H43" i="5"/>
  <c r="AE7" i="2" s="1"/>
  <c r="AD21" i="2" s="1"/>
  <c r="H3" i="4"/>
  <c r="H32" i="6"/>
  <c r="AE11" i="2" s="1"/>
  <c r="AD25" i="2" s="1"/>
  <c r="C41" i="4"/>
  <c r="G3" i="4"/>
  <c r="L10" i="2"/>
  <c r="L57" i="2" s="1"/>
  <c r="V4" i="5"/>
  <c r="L9" i="2"/>
  <c r="L56" i="2" s="1"/>
  <c r="L8" i="2"/>
  <c r="L55" i="2" s="1"/>
  <c r="L7" i="2"/>
  <c r="L54" i="2" s="1"/>
  <c r="L17" i="2"/>
  <c r="L64" i="2" s="1"/>
  <c r="L12" i="2"/>
  <c r="L59" i="2" s="1"/>
  <c r="L6" i="2"/>
  <c r="L53" i="2" s="1"/>
  <c r="L14" i="2"/>
  <c r="L61" i="2" s="1"/>
  <c r="L5" i="2"/>
  <c r="L52" i="2" s="1"/>
  <c r="AA16" i="3"/>
  <c r="N6" i="5" s="1"/>
  <c r="AP21" i="3"/>
  <c r="L15" i="2"/>
  <c r="L62" i="2" s="1"/>
  <c r="AP22" i="3"/>
  <c r="L16" i="2"/>
  <c r="L63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L8" i="6" s="1"/>
  <c r="AC9" i="3"/>
  <c r="L5" i="6" s="1"/>
  <c r="AG19" i="3"/>
  <c r="AG11" i="3"/>
  <c r="W7" i="4" s="1"/>
  <c r="AE23" i="3"/>
  <c r="AE22" i="3"/>
  <c r="AE14" i="3"/>
  <c r="R5" i="5" s="1"/>
  <c r="W14" i="2"/>
  <c r="M48" i="4" l="1"/>
  <c r="G43" i="4"/>
  <c r="AE3" i="2" s="1"/>
  <c r="AD17" i="2" s="1"/>
  <c r="N10" i="6"/>
  <c r="I18" i="2"/>
  <c r="I65" i="2" s="1"/>
  <c r="K14" i="2"/>
  <c r="K61" i="2" s="1"/>
  <c r="T7" i="5"/>
  <c r="N9" i="6"/>
  <c r="I17" i="2"/>
  <c r="I64" i="2" s="1"/>
  <c r="B35" i="2"/>
  <c r="AC8" i="3"/>
  <c r="S5" i="4" s="1"/>
  <c r="AE17" i="3"/>
  <c r="N8" i="6" s="1"/>
  <c r="AE20" i="3"/>
  <c r="AC21" i="3"/>
  <c r="AC11" i="3"/>
  <c r="S7" i="4" s="1"/>
  <c r="AC20" i="3"/>
  <c r="AC23" i="3"/>
  <c r="AG23" i="3"/>
  <c r="AG13" i="3"/>
  <c r="P7" i="6" s="1"/>
  <c r="AE11" i="3"/>
  <c r="U7" i="4" s="1"/>
  <c r="AE18" i="3"/>
  <c r="U4" i="4" s="1"/>
  <c r="AG22" i="3"/>
  <c r="AG8" i="3"/>
  <c r="W5" i="4" s="1"/>
  <c r="AG10" i="3"/>
  <c r="W6" i="4" s="1"/>
  <c r="AE16" i="3"/>
  <c r="R6" i="5" s="1"/>
  <c r="AC14" i="3"/>
  <c r="P5" i="5" s="1"/>
  <c r="AG14" i="3"/>
  <c r="T5" i="5" s="1"/>
  <c r="AG20" i="3"/>
  <c r="AE8" i="3"/>
  <c r="U5" i="4" s="1"/>
  <c r="AC10" i="3"/>
  <c r="S6" i="4" s="1"/>
  <c r="AE13" i="3"/>
  <c r="N7" i="6" s="1"/>
  <c r="AC19" i="3"/>
  <c r="AG16" i="3"/>
  <c r="T6" i="5" s="1"/>
  <c r="AG17" i="3"/>
  <c r="P8" i="6" s="1"/>
  <c r="AG9" i="3"/>
  <c r="P5" i="6" s="1"/>
  <c r="AG12" i="3"/>
  <c r="P6" i="6" s="1"/>
  <c r="AE10" i="3"/>
  <c r="U6" i="4" s="1"/>
  <c r="AC16" i="3"/>
  <c r="P6" i="5" s="1"/>
  <c r="AG21" i="3"/>
  <c r="AE19" i="3"/>
  <c r="AE9" i="3"/>
  <c r="N5" i="6" s="1"/>
  <c r="AE12" i="3"/>
  <c r="N6" i="6" s="1"/>
  <c r="AE15" i="3"/>
  <c r="R4" i="5" s="1"/>
  <c r="AC13" i="3"/>
  <c r="L7" i="6" s="1"/>
  <c r="AG18" i="3"/>
  <c r="W4" i="4" s="1"/>
  <c r="AC22" i="3"/>
  <c r="AC12" i="3"/>
  <c r="L6" i="6" s="1"/>
  <c r="AC15" i="3"/>
  <c r="P4" i="5" s="1"/>
  <c r="AC18" i="3"/>
  <c r="S4" i="4" s="1"/>
  <c r="AG15" i="3"/>
  <c r="T4" i="5" s="1"/>
  <c r="AE21" i="3"/>
  <c r="V78" i="3"/>
  <c r="T78" i="3"/>
  <c r="U78" i="3"/>
  <c r="K6" i="5"/>
  <c r="J6" i="5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50" i="2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8" i="3"/>
  <c r="B59" i="2"/>
  <c r="B58" i="2"/>
  <c r="B57" i="2"/>
  <c r="B56" i="2"/>
  <c r="B55" i="2"/>
  <c r="B54" i="2"/>
  <c r="B53" i="2"/>
  <c r="B52" i="2"/>
  <c r="B25" i="2" s="1"/>
  <c r="B51" i="2"/>
  <c r="B50" i="2"/>
  <c r="B49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1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1" i="2"/>
  <c r="V50" i="2"/>
  <c r="N34" i="6" l="1"/>
  <c r="G14" i="2"/>
  <c r="G61" i="2" s="1"/>
  <c r="P7" i="5"/>
  <c r="K16" i="2"/>
  <c r="K63" i="2" s="1"/>
  <c r="T8" i="5"/>
  <c r="N46" i="5" s="1"/>
  <c r="R7" i="5"/>
  <c r="I14" i="2"/>
  <c r="I61" i="2" s="1"/>
  <c r="G15" i="2"/>
  <c r="G62" i="2" s="1"/>
  <c r="S8" i="4"/>
  <c r="M44" i="4" s="1"/>
  <c r="G17" i="2"/>
  <c r="G64" i="2" s="1"/>
  <c r="L9" i="6"/>
  <c r="P9" i="6"/>
  <c r="K17" i="2"/>
  <c r="K64" i="2" s="1"/>
  <c r="G16" i="2"/>
  <c r="G63" i="2" s="1"/>
  <c r="P8" i="5"/>
  <c r="U8" i="4"/>
  <c r="M45" i="4" s="1"/>
  <c r="I15" i="2"/>
  <c r="I62" i="2" s="1"/>
  <c r="W8" i="4"/>
  <c r="M46" i="4" s="1"/>
  <c r="K15" i="2"/>
  <c r="K62" i="2" s="1"/>
  <c r="R8" i="5"/>
  <c r="I16" i="2"/>
  <c r="I63" i="2" s="1"/>
  <c r="P10" i="6"/>
  <c r="N35" i="6" s="1"/>
  <c r="K18" i="2"/>
  <c r="K65" i="2" s="1"/>
  <c r="G18" i="2"/>
  <c r="G65" i="2" s="1"/>
  <c r="L10" i="6"/>
  <c r="B26" i="2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AA9" i="3"/>
  <c r="AA20" i="3"/>
  <c r="AA15" i="3"/>
  <c r="AA18" i="3"/>
  <c r="AA8" i="3"/>
  <c r="AS16" i="3"/>
  <c r="AA10" i="3"/>
  <c r="Q6" i="4" s="1"/>
  <c r="AA19" i="3"/>
  <c r="AA14" i="3"/>
  <c r="N5" i="5" s="1"/>
  <c r="AA22" i="3"/>
  <c r="AA23" i="3"/>
  <c r="AA12" i="3"/>
  <c r="J6" i="6" s="1"/>
  <c r="AA13" i="3"/>
  <c r="J7" i="6" s="1"/>
  <c r="AA11" i="3"/>
  <c r="Q7" i="4" s="1"/>
  <c r="AA17" i="3"/>
  <c r="J8" i="6" s="1"/>
  <c r="AD13" i="3"/>
  <c r="M7" i="6" s="1"/>
  <c r="N41" i="4"/>
  <c r="K5" i="5"/>
  <c r="K41" i="5" s="1"/>
  <c r="K41" i="4"/>
  <c r="J42" i="4" s="1"/>
  <c r="J5" i="5"/>
  <c r="J41" i="5" s="1"/>
  <c r="AH19" i="3"/>
  <c r="AD19" i="3"/>
  <c r="AF19" i="3"/>
  <c r="AF13" i="3"/>
  <c r="O7" i="6" s="1"/>
  <c r="AF10" i="3"/>
  <c r="V6" i="4" s="1"/>
  <c r="AF14" i="3"/>
  <c r="S5" i="5" s="1"/>
  <c r="AF12" i="3"/>
  <c r="O6" i="6" s="1"/>
  <c r="AF17" i="3"/>
  <c r="O8" i="6" s="1"/>
  <c r="AD8" i="3"/>
  <c r="T5" i="4" s="1"/>
  <c r="AD11" i="3"/>
  <c r="T7" i="4" s="1"/>
  <c r="AH13" i="3"/>
  <c r="Q7" i="6" s="1"/>
  <c r="N33" i="6" l="1"/>
  <c r="N44" i="5"/>
  <c r="N45" i="5"/>
  <c r="S7" i="5"/>
  <c r="H14" i="2"/>
  <c r="H61" i="2" s="1"/>
  <c r="N8" i="5"/>
  <c r="E16" i="2"/>
  <c r="E63" i="2" s="1"/>
  <c r="Q5" i="4"/>
  <c r="J5" i="6"/>
  <c r="Q7" i="5"/>
  <c r="F14" i="2"/>
  <c r="F61" i="2" s="1"/>
  <c r="N7" i="5"/>
  <c r="E14" i="2"/>
  <c r="E61" i="2" s="1"/>
  <c r="E18" i="2"/>
  <c r="E65" i="2" s="1"/>
  <c r="J10" i="6"/>
  <c r="J9" i="6"/>
  <c r="E17" i="2"/>
  <c r="E64" i="2" s="1"/>
  <c r="Q8" i="4"/>
  <c r="E15" i="2"/>
  <c r="E62" i="2" s="1"/>
  <c r="U7" i="5"/>
  <c r="J14" i="2"/>
  <c r="J61" i="2" s="1"/>
  <c r="J42" i="5"/>
  <c r="AS18" i="3"/>
  <c r="Q4" i="4"/>
  <c r="AS15" i="3"/>
  <c r="N4" i="5"/>
  <c r="AS14" i="3"/>
  <c r="AS21" i="3"/>
  <c r="AS9" i="3"/>
  <c r="AS8" i="3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K6" i="6" s="1"/>
  <c r="AQ12" i="3"/>
  <c r="AQ23" i="3"/>
  <c r="AQ20" i="3"/>
  <c r="AB17" i="3"/>
  <c r="K8" i="6" s="1"/>
  <c r="AQ17" i="3"/>
  <c r="AQ22" i="3"/>
  <c r="S42" i="3"/>
  <c r="AB11" i="3"/>
  <c r="R7" i="4" s="1"/>
  <c r="M41" i="4"/>
  <c r="M42" i="4" s="1"/>
  <c r="AB16" i="3"/>
  <c r="O6" i="5" s="1"/>
  <c r="AD20" i="3"/>
  <c r="AF20" i="3"/>
  <c r="L35" i="6"/>
  <c r="AB20" i="3"/>
  <c r="AF15" i="3"/>
  <c r="S4" i="5" s="1"/>
  <c r="AH18" i="3"/>
  <c r="X4" i="4" s="1"/>
  <c r="AD9" i="3"/>
  <c r="M5" i="6" s="1"/>
  <c r="AD17" i="3"/>
  <c r="M8" i="6" s="1"/>
  <c r="AD21" i="3"/>
  <c r="AH10" i="3"/>
  <c r="X6" i="4" s="1"/>
  <c r="AF21" i="3"/>
  <c r="AD14" i="3"/>
  <c r="Q5" i="5" s="1"/>
  <c r="AF9" i="3"/>
  <c r="O5" i="6" s="1"/>
  <c r="AD10" i="3"/>
  <c r="T6" i="4" s="1"/>
  <c r="AH12" i="3"/>
  <c r="Q6" i="6" s="1"/>
  <c r="AD16" i="3"/>
  <c r="Q6" i="5" s="1"/>
  <c r="AH21" i="3"/>
  <c r="AF22" i="3"/>
  <c r="AD22" i="3"/>
  <c r="AF18" i="3"/>
  <c r="V4" i="4" s="1"/>
  <c r="AH16" i="3"/>
  <c r="U6" i="5" s="1"/>
  <c r="AF16" i="3"/>
  <c r="S6" i="5" s="1"/>
  <c r="AD23" i="3"/>
  <c r="AH8" i="3"/>
  <c r="X5" i="4" s="1"/>
  <c r="AB15" i="3"/>
  <c r="O4" i="5" s="1"/>
  <c r="AB8" i="3"/>
  <c r="AB22" i="3"/>
  <c r="AB9" i="3"/>
  <c r="AB23" i="3"/>
  <c r="N43" i="5" l="1"/>
  <c r="N32" i="6"/>
  <c r="H34" i="6" s="1"/>
  <c r="AE13" i="2" s="1"/>
  <c r="AD27" i="2" s="1"/>
  <c r="R8" i="4"/>
  <c r="D15" i="2"/>
  <c r="D62" i="2" s="1"/>
  <c r="K9" i="6"/>
  <c r="D17" i="2"/>
  <c r="D64" i="2" s="1"/>
  <c r="F17" i="2"/>
  <c r="F64" i="2" s="1"/>
  <c r="M9" i="6"/>
  <c r="S8" i="5"/>
  <c r="H16" i="2"/>
  <c r="H63" i="2" s="1"/>
  <c r="M43" i="4"/>
  <c r="G45" i="4" s="1"/>
  <c r="AE5" i="2" s="1"/>
  <c r="AD19" i="2" s="1"/>
  <c r="M39" i="6"/>
  <c r="R5" i="4"/>
  <c r="O9" i="6"/>
  <c r="H17" i="2"/>
  <c r="H64" i="2" s="1"/>
  <c r="H15" i="2"/>
  <c r="H62" i="2" s="1"/>
  <c r="V8" i="4"/>
  <c r="K5" i="6"/>
  <c r="O7" i="5"/>
  <c r="D14" i="2"/>
  <c r="D61" i="2" s="1"/>
  <c r="J16" i="2"/>
  <c r="J63" i="2" s="1"/>
  <c r="U8" i="5"/>
  <c r="F15" i="2"/>
  <c r="F62" i="2" s="1"/>
  <c r="T8" i="4"/>
  <c r="F18" i="2"/>
  <c r="F65" i="2" s="1"/>
  <c r="M10" i="6"/>
  <c r="Q8" i="5"/>
  <c r="F16" i="2"/>
  <c r="F63" i="2" s="1"/>
  <c r="D18" i="2"/>
  <c r="D65" i="2" s="1"/>
  <c r="K10" i="6"/>
  <c r="H35" i="6"/>
  <c r="AE14" i="2" s="1"/>
  <c r="AD28" i="2" s="1"/>
  <c r="H46" i="5"/>
  <c r="AE10" i="2" s="1"/>
  <c r="AD24" i="2" s="1"/>
  <c r="AU22" i="3"/>
  <c r="AU16" i="3"/>
  <c r="AU17" i="3"/>
  <c r="AU15" i="3"/>
  <c r="AU20" i="3"/>
  <c r="AU23" i="3"/>
  <c r="AT20" i="3"/>
  <c r="AU12" i="3"/>
  <c r="AT12" i="3"/>
  <c r="AT22" i="3"/>
  <c r="AT17" i="3"/>
  <c r="AT23" i="3"/>
  <c r="AT8" i="3"/>
  <c r="AU8" i="3"/>
  <c r="AU9" i="3"/>
  <c r="AT9" i="3"/>
  <c r="AT15" i="3"/>
  <c r="AT16" i="3"/>
  <c r="AU11" i="3"/>
  <c r="AT11" i="3"/>
  <c r="AF11" i="3"/>
  <c r="V7" i="4" s="1"/>
  <c r="AB10" i="3"/>
  <c r="R6" i="4" s="1"/>
  <c r="AH11" i="3"/>
  <c r="X7" i="4" s="1"/>
  <c r="AB13" i="3"/>
  <c r="K7" i="6" s="1"/>
  <c r="AH20" i="3"/>
  <c r="AH23" i="3"/>
  <c r="K45" i="4"/>
  <c r="L45" i="4" s="1"/>
  <c r="AH9" i="3"/>
  <c r="Q5" i="6" s="1"/>
  <c r="AH22" i="3"/>
  <c r="AD12" i="3"/>
  <c r="M6" i="6" s="1"/>
  <c r="L34" i="6"/>
  <c r="AH14" i="3"/>
  <c r="U5" i="5" s="1"/>
  <c r="AD15" i="3"/>
  <c r="Q4" i="5" s="1"/>
  <c r="AH17" i="3"/>
  <c r="Q8" i="6" s="1"/>
  <c r="AD18" i="3"/>
  <c r="T4" i="4" s="1"/>
  <c r="AH15" i="3"/>
  <c r="U4" i="5" s="1"/>
  <c r="AF23" i="3"/>
  <c r="K46" i="4"/>
  <c r="L46" i="4" s="1"/>
  <c r="AF8" i="3"/>
  <c r="V5" i="4" s="1"/>
  <c r="AB14" i="3"/>
  <c r="O5" i="5" s="1"/>
  <c r="K44" i="4"/>
  <c r="L44" i="4" s="1"/>
  <c r="AB21" i="3"/>
  <c r="AB18" i="3"/>
  <c r="R4" i="4" s="1"/>
  <c r="H45" i="5" l="1"/>
  <c r="AE9" i="2" s="1"/>
  <c r="AD23" i="2" s="1"/>
  <c r="J17" i="2"/>
  <c r="J64" i="2" s="1"/>
  <c r="Q9" i="6"/>
  <c r="O8" i="5"/>
  <c r="D16" i="2"/>
  <c r="D63" i="2" s="1"/>
  <c r="Q10" i="6"/>
  <c r="J18" i="2"/>
  <c r="J65" i="2" s="1"/>
  <c r="O10" i="6"/>
  <c r="H18" i="2"/>
  <c r="H65" i="2" s="1"/>
  <c r="X8" i="4"/>
  <c r="J15" i="2"/>
  <c r="J62" i="2" s="1"/>
  <c r="AU21" i="3"/>
  <c r="AU14" i="3"/>
  <c r="AU18" i="3"/>
  <c r="AT21" i="3"/>
  <c r="AU10" i="3"/>
  <c r="AT10" i="3"/>
  <c r="AU13" i="3"/>
  <c r="AT13" i="3"/>
  <c r="AT14" i="3"/>
  <c r="AT18" i="3"/>
  <c r="L44" i="5"/>
  <c r="M44" i="5" s="1"/>
  <c r="AM8" i="3"/>
  <c r="AN8" i="3"/>
  <c r="L46" i="5"/>
  <c r="M46" i="5" s="1"/>
  <c r="L33" i="6"/>
  <c r="L47" i="5"/>
  <c r="M47" i="5" s="1"/>
  <c r="L36" i="6"/>
  <c r="K47" i="4"/>
  <c r="L47" i="4" s="1"/>
  <c r="L45" i="5"/>
  <c r="M45" i="5" s="1"/>
  <c r="G3" i="2"/>
  <c r="I3" i="2"/>
  <c r="K3" i="2"/>
  <c r="M36" i="6" l="1"/>
  <c r="M35" i="6"/>
  <c r="M34" i="6"/>
  <c r="M33" i="6"/>
  <c r="G44" i="4"/>
  <c r="AE4" i="2" s="1"/>
  <c r="AD18" i="2" s="1"/>
  <c r="H44" i="5"/>
  <c r="AE8" i="2" s="1"/>
  <c r="AD22" i="2" s="1"/>
  <c r="K49" i="2"/>
  <c r="J49" i="2"/>
  <c r="I49" i="2"/>
  <c r="H49" i="2"/>
  <c r="G49" i="2"/>
  <c r="F49" i="2"/>
  <c r="E49" i="2"/>
  <c r="D49" i="2"/>
  <c r="W17" i="2"/>
  <c r="W16" i="2"/>
  <c r="W15" i="2"/>
  <c r="W61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H33" i="6" l="1"/>
  <c r="AE12" i="2" s="1"/>
  <c r="AD26" i="2" s="1"/>
  <c r="K9" i="2"/>
  <c r="K8" i="2"/>
  <c r="I11" i="2"/>
  <c r="G9" i="2"/>
  <c r="G8" i="2"/>
  <c r="K10" i="2"/>
  <c r="G7" i="2"/>
  <c r="I9" i="2"/>
  <c r="G6" i="2"/>
  <c r="E13" i="2"/>
  <c r="E60" i="2" s="1"/>
  <c r="E5" i="2"/>
  <c r="I7" i="2"/>
  <c r="K6" i="2"/>
  <c r="G5" i="2"/>
  <c r="E12" i="2"/>
  <c r="I6" i="2"/>
  <c r="K13" i="2"/>
  <c r="K60" i="2" s="1"/>
  <c r="K5" i="2"/>
  <c r="G4" i="2"/>
  <c r="I13" i="2"/>
  <c r="I60" i="2" s="1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I8" i="2"/>
  <c r="I55" i="2" s="1"/>
  <c r="F4" i="2"/>
  <c r="F51" i="2" s="1"/>
  <c r="G11" i="2"/>
  <c r="G58" i="2" s="1"/>
  <c r="F7" i="2"/>
  <c r="F54" i="2" s="1"/>
  <c r="K4" i="2"/>
  <c r="K51" i="2" s="1"/>
  <c r="W57" i="3"/>
  <c r="E50" i="2"/>
  <c r="U49" i="3"/>
  <c r="U50" i="3"/>
  <c r="V50" i="3" s="1"/>
  <c r="U51" i="3"/>
  <c r="U7" i="3"/>
  <c r="K50" i="2"/>
  <c r="K53" i="2"/>
  <c r="K59" i="2"/>
  <c r="K55" i="2"/>
  <c r="K57" i="2"/>
  <c r="I58" i="2"/>
  <c r="I57" i="2"/>
  <c r="I51" i="2"/>
  <c r="G51" i="2"/>
  <c r="G53" i="2"/>
  <c r="I56" i="2"/>
  <c r="I59" i="2"/>
  <c r="I54" i="2"/>
  <c r="G50" i="2"/>
  <c r="G54" i="2"/>
  <c r="K58" i="2"/>
  <c r="K52" i="2"/>
  <c r="G57" i="2"/>
  <c r="G56" i="2"/>
  <c r="I53" i="2"/>
  <c r="G52" i="2"/>
  <c r="K56" i="2"/>
  <c r="I50" i="2"/>
  <c r="I52" i="2"/>
  <c r="G55" i="2"/>
  <c r="T56" i="3" l="1"/>
  <c r="W56" i="3" s="1"/>
  <c r="G46" i="4"/>
  <c r="AE6" i="2" s="1"/>
  <c r="AD20" i="2" s="1"/>
  <c r="B30" i="2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E6" i="2"/>
  <c r="E53" i="2" s="1"/>
  <c r="E10" i="2"/>
  <c r="E57" i="2" s="1"/>
  <c r="F11" i="2"/>
  <c r="F58" i="2" s="1"/>
  <c r="F10" i="2"/>
  <c r="F57" i="2" s="1"/>
  <c r="E11" i="2"/>
  <c r="E58" i="2" s="1"/>
  <c r="F12" i="2"/>
  <c r="F59" i="2" s="1"/>
  <c r="F13" i="2"/>
  <c r="F60" i="2" s="1"/>
  <c r="U55" i="3"/>
  <c r="W55" i="3" s="1"/>
  <c r="E54" i="2"/>
  <c r="V51" i="3"/>
  <c r="W51" i="3"/>
  <c r="V49" i="3"/>
  <c r="W49" i="3"/>
  <c r="W50" i="3"/>
  <c r="E55" i="2"/>
  <c r="H56" i="2"/>
  <c r="E52" i="2"/>
  <c r="E56" i="2"/>
  <c r="E59" i="2"/>
  <c r="E51" i="2"/>
  <c r="B31" i="2" l="1"/>
  <c r="B28" i="2"/>
  <c r="B33" i="2"/>
  <c r="B29" i="2"/>
  <c r="D3" i="2"/>
  <c r="D50" i="2" s="1"/>
  <c r="D10" i="2"/>
  <c r="D57" i="2" s="1"/>
  <c r="D6" i="2"/>
  <c r="D53" i="2" s="1"/>
  <c r="D11" i="2"/>
  <c r="D58" i="2" s="1"/>
  <c r="D54" i="2"/>
  <c r="D51" i="2"/>
  <c r="D52" i="2"/>
  <c r="D59" i="2"/>
  <c r="D55" i="2"/>
  <c r="B27" i="2" l="1"/>
</calcChain>
</file>

<file path=xl/sharedStrings.xml><?xml version="1.0" encoding="utf-8"?>
<sst xmlns="http://schemas.openxmlformats.org/spreadsheetml/2006/main" count="1020" uniqueCount="226">
  <si>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</si>
  <si>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</si>
  <si>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</si>
  <si>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</si>
  <si>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</si>
  <si>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</si>
  <si>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</si>
  <si>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</si>
  <si>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</si>
  <si>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</si>
  <si>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</si>
  <si>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</si>
  <si>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</si>
  <si>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</si>
  <si>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</si>
  <si>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</si>
  <si>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</si>
  <si>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</si>
  <si>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</si>
  <si>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</si>
  <si>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</si>
  <si>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</si>
  <si>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</si>
  <si>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</si>
  <si>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</si>
  <si>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</si>
  <si>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</si>
  <si>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</si>
  <si>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</si>
  <si>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</si>
  <si>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</si>
  <si>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</si>
  <si>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</si>
  <si>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</si>
  <si>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</si>
  <si>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</si>
  <si>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</si>
  <si>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</si>
  <si>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</si>
  <si>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</si>
  <si>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</si>
  <si>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</si>
  <si>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</si>
  <si>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</si>
  <si>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</si>
  <si>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</si>
  <si>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</si>
  <si>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</si>
  <si>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</si>
  <si>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</si>
  <si>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</si>
  <si>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</si>
  <si>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</si>
  <si>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</si>
  <si>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</si>
  <si>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</si>
  <si>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</si>
  <si>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</si>
  <si>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</si>
  <si>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</si>
  <si>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</si>
  <si>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</si>
  <si>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</si>
  <si>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</si>
  <si>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</si>
  <si>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</si>
  <si>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</si>
  <si>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</si>
  <si>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</si>
  <si>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</si>
  <si>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</si>
  <si>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</si>
  <si>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</si>
  <si>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</si>
  <si>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</si>
  <si>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</si>
  <si>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</si>
  <si>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</si>
  <si>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</si>
  <si>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</si>
  <si>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</si>
  <si>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</si>
  <si>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Stats</t>
  </si>
  <si>
    <t>Midrange</t>
  </si>
  <si>
    <t>3 Pointers</t>
  </si>
  <si>
    <t>Winner</t>
  </si>
  <si>
    <t>Loser</t>
  </si>
  <si>
    <t>Scorer</t>
  </si>
  <si>
    <t>Type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</si>
  <si>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</si>
  <si>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</si>
  <si>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</si>
  <si>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</si>
  <si>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</si>
  <si>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</si>
  <si>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</si>
  <si>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</si>
  <si>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</si>
  <si>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</si>
  <si>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</si>
  <si>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</si>
  <si>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</si>
  <si>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</si>
  <si>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</si>
  <si>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</si>
  <si>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</si>
  <si>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</si>
  <si>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</si>
  <si>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</si>
  <si>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</si>
  <si>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</si>
  <si>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</si>
  <si>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</si>
  <si>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</si>
  <si>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</si>
  <si>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</si>
  <si>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</si>
  <si>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</si>
  <si>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</si>
  <si>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</si>
  <si>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</si>
  <si>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</si>
  <si>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</si>
  <si>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</si>
  <si>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</si>
  <si>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</si>
  <si>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</si>
  <si>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</si>
  <si>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</si>
  <si>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</si>
  <si>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</si>
  <si>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</si>
  <si>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</si>
  <si>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</si>
  <si>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</si>
  <si>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</si>
  <si>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</si>
  <si>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</si>
  <si>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</si>
  <si>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</si>
  <si>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</si>
  <si>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</si>
  <si>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</si>
  <si>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</si>
  <si>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</si>
  <si>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</si>
  <si>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</si>
  <si>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</si>
  <si>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</si>
  <si>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</si>
  <si>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</si>
  <si>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</si>
  <si>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</si>
  <si>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</si>
  <si>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</si>
  <si>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</si>
  <si>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</si>
  <si>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</si>
  <si>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</si>
  <si>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</si>
  <si>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</si>
  <si>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</si>
  <si>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</si>
  <si>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</si>
  <si>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</si>
  <si>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</si>
  <si>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</si>
  <si>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</si>
  <si>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</si>
  <si>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</si>
  <si>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</si>
  <si>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</si>
  <si>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</si>
  <si>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</si>
  <si>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</si>
  <si>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</si>
  <si>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</si>
  <si>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</si>
  <si>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</si>
  <si>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</si>
  <si>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</si>
  <si>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</si>
  <si>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</si>
  <si>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</si>
  <si>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</si>
  <si>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</si>
  <si>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</si>
  <si>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</si>
  <si>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</si>
  <si>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</si>
  <si>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</si>
  <si>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</si>
  <si>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</si>
  <si>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</si>
  <si>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</si>
  <si>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</si>
  <si>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</si>
  <si>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</si>
  <si>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</si>
  <si>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</si>
  <si>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</si>
  <si>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</si>
  <si>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</si>
  <si>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</si>
  <si>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</si>
  <si>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</si>
  <si>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</si>
  <si>
    <t>GameNumber</t>
  </si>
  <si>
    <t>WStreak</t>
  </si>
  <si>
    <t>LStreak</t>
  </si>
  <si>
    <t>SStreak</t>
  </si>
  <si>
    <t>{</t>
  </si>
  <si>
    <t>24 January</t>
  </si>
  <si>
    <t>Score</t>
  </si>
  <si>
    <t>Week 6</t>
  </si>
  <si>
    <t>2-0</t>
  </si>
  <si>
    <t>Three Pointer</t>
  </si>
  <si>
    <t>1-0</t>
  </si>
  <si>
    <t>Finish</t>
  </si>
  <si>
    <t>-</t>
  </si>
  <si>
    <t>2-1</t>
  </si>
  <si>
    <t>1-1</t>
  </si>
  <si>
    <t>},</t>
  </si>
  <si>
    <t>25 January</t>
  </si>
  <si>
    <t>29 January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</si>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</sst>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1" fillId="0" borderId="1"/>
    <xf numFmtId="9" fontId="22" fillId="0" borderId="0" applyFont="0" applyFill="0" applyBorder="0" applyAlignment="0" applyProtection="0"/>
    <xf numFmtId="0" fontId="22" fillId="0" borderId="1"/>
    <xf numFmtId="9" fontId="22" fillId="0" borderId="1" applyFont="0" applyFill="0" applyBorder="0" applyAlignment="0" applyProtection="0"/>
  </cellStyleXfs>
  <cellXfs count="131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Fill="1" applyBorder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49" fontId="23" fillId="3" borderId="2" xfId="0" applyNumberFormat="1" applyFont="1" applyFill="1" applyBorder="1"/>
    <xf numFmtId="0" fontId="7" fillId="0" borderId="9" xfId="0" applyFont="1" applyBorder="1"/>
    <xf numFmtId="0" fontId="7" fillId="0" borderId="8" xfId="0" applyFont="1" applyBorder="1"/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5" fillId="0" borderId="0" xfId="0" applyFont="1"/>
    <xf numFmtId="0" fontId="28" fillId="3" borderId="0" xfId="0" applyFont="1" applyFill="1"/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4" fillId="0" borderId="0" xfId="0" applyFont="1"/>
    <xf numFmtId="1" fontId="15" fillId="0" borderId="0" xfId="0" applyNumberFormat="1" applyFont="1"/>
    <xf numFmtId="0" fontId="3" fillId="0" borderId="0" xfId="0" applyFont="1"/>
    <xf numFmtId="2" fontId="27" fillId="0" borderId="0" xfId="0" applyNumberFormat="1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49" fontId="0" fillId="3" borderId="2" xfId="3" applyNumberFormat="1" applyFont="1" applyFill="1" applyBorder="1"/>
    <xf numFmtId="0" fontId="2" fillId="0" borderId="0" xfId="0" applyFont="1"/>
    <xf numFmtId="0" fontId="27" fillId="0" borderId="0" xfId="0" applyFont="1" applyAlignment="1">
      <alignment horizontal="center" vertical="center" wrapText="1"/>
    </xf>
    <xf numFmtId="0" fontId="1" fillId="0" borderId="0" xfId="0" applyFont="1"/>
    <xf numFmtId="49" fontId="33" fillId="0" borderId="0" xfId="0" applyNumberFormat="1" applyFont="1"/>
    <xf numFmtId="49" fontId="23" fillId="2" borderId="1" xfId="0" applyNumberFormat="1" applyFont="1" applyFill="1" applyBorder="1" applyAlignment="1">
      <alignment vertical="center"/>
    </xf>
    <xf numFmtId="1" fontId="23" fillId="2" borderId="1" xfId="0" applyNumberFormat="1" applyFont="1" applyFill="1" applyBorder="1" applyAlignment="1">
      <alignment vertical="center"/>
    </xf>
    <xf numFmtId="0" fontId="31" fillId="0" borderId="1" xfId="1"/>
    <xf numFmtId="0" fontId="32" fillId="0" borderId="1" xfId="0" applyFont="1" applyBorder="1" applyAlignment="1">
      <alignment horizontal="center"/>
    </xf>
    <xf numFmtId="0" fontId="31" fillId="0" borderId="1" xfId="1"/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4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0.22499999999999998</c:v>
                </c:pt>
                <c:pt idx="1">
                  <c:v>0.67499999999999993</c:v>
                </c:pt>
                <c:pt idx="2">
                  <c:v>9.9999999999999992E-2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42" dataDxfId="140" headerRowBorderDxfId="141" tableBorderDxfId="139" totalsRowBorderDxfId="138">
  <autoFilter ref="Z7:AJ23" xr:uid="{598ECA3B-99B4-4CAB-8F81-5D711AA5A7FC}"/>
  <tableColumns count="11">
    <tableColumn id="1" xr3:uid="{9B036617-5450-4894-9268-827D2E0914FF}" name="Scoring" dataDxfId="137">
      <calculatedColumnFormula>SfW!B3</calculatedColumnFormula>
    </tableColumn>
    <tableColumn id="2" xr3:uid="{6662CE93-E9C4-47DE-9476-E46126825B0A}" name="Points" dataDxfId="136">
      <calculatedColumnFormula>SUM(AA29,AA49,AL49,AA69,AL69,AA89,AL29)</calculatedColumnFormula>
    </tableColumn>
    <tableColumn id="3" xr3:uid="{8FDDFCB0-2692-4EB0-948C-7B877263B55B}" name="Average" dataDxfId="135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4">
      <calculatedColumnFormula>SUM(AB29,AB49,AM49,AB69,AM69,AB89,AM29)</calculatedColumnFormula>
    </tableColumn>
    <tableColumn id="5" xr3:uid="{5F324C66-956D-4EDC-870F-8EDE96C328C8}" name="Averages" dataDxfId="133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2">
      <calculatedColumnFormula>SUM(AC29,AC49,AN49,AC69,AN69,AC89,AN29)</calculatedColumnFormula>
    </tableColumn>
    <tableColumn id="7" xr3:uid="{8E7E6B37-23A0-4556-8839-B9D7834E3E68}" name="Averages2" dataDxfId="131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0">
      <calculatedColumnFormula>SUM(AD29,AD49,AO49,AD69,AO69,AD89,AO29)</calculatedColumnFormula>
    </tableColumn>
    <tableColumn id="9" xr3:uid="{E0C0BF1C-40E8-4137-8E0F-BB238D651DAE}" name="Averages3" dataDxfId="129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28">
      <calculatedColumnFormula>SfW!C3</calculatedColumnFormula>
    </tableColumn>
    <tableColumn id="11" xr3:uid="{E167D7FA-56F9-4571-B292-FF3869585F59}" name="Missed Games" dataDxfId="127">
      <calculatedColumnFormula>SUM(AI29,AI49,AT49,AI69,AT69,AI89,AT29)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V8" totalsRowShown="0" headerRowDxfId="30" dataDxfId="29">
  <autoFilter ref="M3:V8" xr:uid="{54759C84-3153-4DC9-9240-E2749AA0D92B}"/>
  <tableColumns count="10">
    <tableColumn id="1" xr3:uid="{7790729E-C8E5-45C1-8784-25212A2654AA}" name="Name" dataDxfId="28"/>
    <tableColumn id="2" xr3:uid="{52A67B2B-967C-4970-8D83-8F8E9CC61522}" name="Points" dataDxfId="27"/>
    <tableColumn id="3" xr3:uid="{BA1FA2C8-AEC0-4644-83DB-5097750D7188}" name="Average" dataDxfId="26"/>
    <tableColumn id="4" xr3:uid="{4CF66F5D-BF10-4CBD-88FF-CCD38730E1CD}" name="Finishes" dataDxfId="25"/>
    <tableColumn id="5" xr3:uid="{BC246D5B-7E78-41A6-B796-C93ED8E53DF9}" name="Averages" dataDxfId="24"/>
    <tableColumn id="6" xr3:uid="{AB819419-CC06-4A40-8DED-E231125129C0}" name="Midranges" dataDxfId="23"/>
    <tableColumn id="7" xr3:uid="{064AA562-C451-4362-805E-D12DC76C3530}" name="Averages2" dataDxfId="22"/>
    <tableColumn id="8" xr3:uid="{BD0D8BAE-15E4-4B38-87FE-B682D7BAEE75}" name="Threes" dataDxfId="21"/>
    <tableColumn id="9" xr3:uid="{541E391B-4B08-4E98-A63F-753C11193269}" name="Averages3" dataDxfId="20"/>
    <tableColumn id="10" xr3:uid="{999BB5D2-D6FB-4EB9-A268-D62EA72F939D}" name="Missed Games" dataDxfId="1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R10" totalsRowShown="0" headerRowDxfId="18" dataDxfId="17">
  <autoFilter ref="I4:R10" xr:uid="{C12CFC3F-7D59-4C0F-8D43-3F8ACD58C2BD}"/>
  <tableColumns count="10">
    <tableColumn id="1" xr3:uid="{CE15C23D-9493-4B21-9D40-1A25D210C18E}" name="Name" dataDxfId="16"/>
    <tableColumn id="2" xr3:uid="{6BB170B1-AA38-4699-9B96-400D2947EE9C}" name="Points" dataDxfId="15"/>
    <tableColumn id="3" xr3:uid="{EC8B6CBB-FCC9-416C-AEA6-738419DFE531}" name="Average" dataDxfId="14"/>
    <tableColumn id="4" xr3:uid="{315DA055-9A43-468A-A501-1092626F523F}" name="Finishes" dataDxfId="13"/>
    <tableColumn id="5" xr3:uid="{56B6FF4D-95D4-4550-88E4-C781ABDA83A6}" name="Averages" dataDxfId="12"/>
    <tableColumn id="6" xr3:uid="{F7B5C0B8-FBE2-44B0-A372-112C7776FCCF}" name="Midranges" dataDxfId="11"/>
    <tableColumn id="7" xr3:uid="{1A1C2126-FEB1-408F-8523-049E53028B4E}" name="Averages2" dataDxfId="10"/>
    <tableColumn id="8" xr3:uid="{AE94036B-3777-4C1B-97D5-7BFA1037C0BF}" name="Threes" dataDxfId="9"/>
    <tableColumn id="9" xr3:uid="{448B0903-7F66-40BA-809F-74ADBF397B45}" name="Averages3" dataDxfId="8"/>
    <tableColumn id="10" xr3:uid="{E0CAC55D-8398-4928-A219-C01706996D48}" name="Missed Game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Z28:AI44" totalsRowShown="0" headerRowDxfId="126" dataDxfId="125">
  <autoFilter ref="Z28:AI44" xr:uid="{46F39EBA-1E74-46F4-A6E5-473672128124}"/>
  <tableColumns count="10">
    <tableColumn id="1" xr3:uid="{5D003608-C1C2-4694-9447-8632FB8D7348}" name="Scoring" dataDxfId="124"/>
    <tableColumn id="2" xr3:uid="{D15F4085-CED5-4CDD-B43B-BF7EB59B45A3}" name="Points" dataDxfId="123">
      <calculatedColumnFormula>'2401'!T3+'2501'!T3</calculatedColumnFormula>
    </tableColumn>
    <tableColumn id="3" xr3:uid="{2D436F37-54B6-4820-9145-F48B4EF9B294}" name="Finishes" dataDxfId="122">
      <calculatedColumnFormula>'2401'!U3+'2501'!U3</calculatedColumnFormula>
    </tableColumn>
    <tableColumn id="4" xr3:uid="{1D9B6A22-B682-47F3-B738-7C138F317A41}" name="Midranges" dataDxfId="121">
      <calculatedColumnFormula>'2401'!V3+'2501'!V3</calculatedColumnFormula>
    </tableColumn>
    <tableColumn id="5" xr3:uid="{9966C9A0-3872-44E9-BB39-05DE197EAA68}" name="Threes" dataDxfId="120">
      <calculatedColumnFormula>'2401'!W3+'2501'!W3</calculatedColumnFormula>
    </tableColumn>
    <tableColumn id="6" xr3:uid="{CC4AB646-735F-425F-8528-C5EFE7FE11DC}" name="Avg P" dataDxfId="119">
      <calculatedColumnFormula>Table211[[#This Row],[Points]]/($AA$27-$AI29)</calculatedColumnFormula>
    </tableColumn>
    <tableColumn id="7" xr3:uid="{F8D0247E-C6F7-467A-9F38-46084D44F8AB}" name="Avg F" dataDxfId="118">
      <calculatedColumnFormula>Table211[[#This Row],[Finishes]]/($AA$27-$AI29)</calculatedColumnFormula>
    </tableColumn>
    <tableColumn id="8" xr3:uid="{7CCF1C77-9DB0-4EB2-B7D0-FD0BDBEBFA0E}" name="Avg M" dataDxfId="117">
      <calculatedColumnFormula>Table211[[#This Row],[Midranges]]/($AA$27-$AI29)</calculatedColumnFormula>
    </tableColumn>
    <tableColumn id="9" xr3:uid="{582A1A4E-5383-4383-A480-735408867046}" name="Avg T" dataDxfId="116">
      <calculatedColumnFormula>Table211[[#This Row],[Threes]]/($AA$27-$AI29)</calculatedColumnFormula>
    </tableColumn>
    <tableColumn id="10" xr3:uid="{E547AEB5-F9BA-4C5F-8DCE-34B6A8FF303A}" name="Missed Games" dataDxfId="115">
      <calculatedColumnFormula>COUNTIF('2401'!X3, TRUE)+COUNTIF('2501'!X3,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14" dataDxfId="113">
  <autoFilter ref="Z48:AI64" xr:uid="{D27C125F-71B2-44D9-9F7A-9BED67755DD3}"/>
  <tableColumns count="10">
    <tableColumn id="1" xr3:uid="{0B0344E8-2677-4FAB-9B03-4745991FB5AE}" name="Scoring" dataDxfId="112"/>
    <tableColumn id="2" xr3:uid="{58CA1107-8BB4-4A5D-BA00-31619C8D3973}" name="Points" dataDxfId="111"/>
    <tableColumn id="3" xr3:uid="{8090861E-1FDF-44F4-9DB6-BB814E32C754}" name="Finishes" dataDxfId="110"/>
    <tableColumn id="4" xr3:uid="{972D0347-DAB3-4985-A738-E5D78740D498}" name="Midranges" dataDxfId="109"/>
    <tableColumn id="5" xr3:uid="{48F5F884-1753-4988-9056-632B5EB6BBCB}" name="Threes" dataDxfId="108"/>
    <tableColumn id="6" xr3:uid="{6953B627-EA05-418F-A758-FD59263EA60D}" name="Avg P" dataDxfId="107"/>
    <tableColumn id="7" xr3:uid="{BE057C9C-5ECD-4AC2-A9C0-18C89CFB52BC}" name="Avg F" dataDxfId="106"/>
    <tableColumn id="8" xr3:uid="{0FDEBEE7-CD5E-4A44-A0AE-74F044F1FF46}" name="Avg M" dataDxfId="105"/>
    <tableColumn id="9" xr3:uid="{76975BB6-3677-41A8-BC24-7536B1D876D3}" name="Avg T" dataDxfId="104"/>
    <tableColumn id="10" xr3:uid="{E5ADB69B-3BA2-4019-8C83-8B02221F187E}" name="Missed Games" dataDxfId="10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102" dataDxfId="101">
  <autoFilter ref="AK48:AT64" xr:uid="{22B89D2C-1B74-4036-A4ED-A5E61F1B3AAC}"/>
  <tableColumns count="10">
    <tableColumn id="1" xr3:uid="{3D35891E-3654-497A-8DB2-BF0BD916CA29}" name="Scoring" dataDxfId="100"/>
    <tableColumn id="2" xr3:uid="{54B5B6AF-372A-4E07-B4D6-DFC66F7E20C5}" name="Points" dataDxfId="99"/>
    <tableColumn id="3" xr3:uid="{6CA15B41-F560-4B43-8836-163F5BB5689C}" name="Finishes" dataDxfId="98"/>
    <tableColumn id="4" xr3:uid="{8FF05262-0051-44F7-966E-8D405318BA69}" name="Midranges" dataDxfId="97"/>
    <tableColumn id="5" xr3:uid="{F0D843FC-7A93-4C9A-BCCF-E789F7811B3B}" name="Threes" dataDxfId="96"/>
    <tableColumn id="6" xr3:uid="{F0498F8A-F646-4C1F-A3CF-E89E73750FC1}" name="Avg P" dataDxfId="95"/>
    <tableColumn id="7" xr3:uid="{A387BC88-F45C-4386-8503-EFEA33BDAC38}" name="Avg F" dataDxfId="94"/>
    <tableColumn id="8" xr3:uid="{BEA82919-0828-4351-A01A-D72E13E63FAB}" name="Avg M" dataDxfId="93"/>
    <tableColumn id="9" xr3:uid="{ABEBCE01-BCA4-4342-966C-27301889B607}" name="Avg T" dataDxfId="92"/>
    <tableColumn id="10" xr3:uid="{65E7A8E7-4C51-42E4-AB0F-B7FF6099D70A}" name="Missed Games" dataDxfId="9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90" dataDxfId="89">
  <autoFilter ref="AK68:AT84" xr:uid="{18C7D514-96DE-4BA6-B019-3E860ED143EC}"/>
  <tableColumns count="10">
    <tableColumn id="1" xr3:uid="{D144EF14-69FD-4E71-90C7-56F49F45FAE5}" name="Scoring" dataDxfId="88"/>
    <tableColumn id="2" xr3:uid="{34D1D392-F3E0-4C36-9EED-849D5B1149E6}" name="Points" dataDxfId="87"/>
    <tableColumn id="3" xr3:uid="{E91D98A2-80BD-4E5C-9036-2FCC8185369F}" name="Finishes" dataDxfId="86"/>
    <tableColumn id="4" xr3:uid="{D2E5029E-4811-4E9B-9A2D-5F5F8F322B0D}" name="Midranges" dataDxfId="85"/>
    <tableColumn id="5" xr3:uid="{B3E76CEE-33DA-4B18-8DCE-8EBC7EE592D7}" name="Threes" dataDxfId="84"/>
    <tableColumn id="6" xr3:uid="{6ABE1879-8018-4498-A9A1-22CF831F0364}" name="Avg P" dataDxfId="83"/>
    <tableColumn id="7" xr3:uid="{8DA4DD79-8A2A-49E4-996F-C1ACCED3C565}" name="Avg F" dataDxfId="82"/>
    <tableColumn id="8" xr3:uid="{256EA4BC-BA61-49E2-969F-0786AA9AA6EA}" name="Avg M" dataDxfId="81"/>
    <tableColumn id="9" xr3:uid="{0E5566B2-99EC-4B03-A074-8705C4EDA484}" name="Avg T" dataDxfId="80"/>
    <tableColumn id="10" xr3:uid="{3E2357F0-493E-401D-AC75-9AAB260F684E}" name="Missed Games" dataDxfId="7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8" dataDxfId="77">
  <autoFilter ref="Z68:AI84" xr:uid="{F118BED8-7AAF-4E55-A61F-C75C69A64AAE}"/>
  <tableColumns count="10">
    <tableColumn id="1" xr3:uid="{7723929D-65B3-40BB-8FDD-C4533243706C}" name="Scoring" dataDxfId="76"/>
    <tableColumn id="2" xr3:uid="{EC28DE3D-619E-4930-A3AF-7AD1BE1D4843}" name="Points" dataDxfId="75"/>
    <tableColumn id="3" xr3:uid="{9537269D-8C1D-42B5-866F-D03CE61A8512}" name="Finishes" dataDxfId="74"/>
    <tableColumn id="4" xr3:uid="{AC590DDB-BE19-4A14-8B98-1E5E2430AA45}" name="Midranges" dataDxfId="73"/>
    <tableColumn id="5" xr3:uid="{C96D3ACD-F34D-477E-86DE-4650EE56BC94}" name="Threes" dataDxfId="72"/>
    <tableColumn id="6" xr3:uid="{A43DE5E9-BB01-49FA-A204-66EE7BAA2E9F}" name="Avg P" dataDxfId="71"/>
    <tableColumn id="7" xr3:uid="{C75A19FF-6041-45C2-BACB-E347F06B6329}" name="Avg F" dataDxfId="70"/>
    <tableColumn id="8" xr3:uid="{00D3FCFC-C9C5-4C96-BE0E-8E1FDC95D07C}" name="Avg M" dataDxfId="69"/>
    <tableColumn id="9" xr3:uid="{0448FF4E-9D2D-47F6-89B7-F17D36B05E8A}" name="Avg T" dataDxfId="68"/>
    <tableColumn id="10" xr3:uid="{D5BDFA2D-095B-44F8-8567-15B3B1520E5A}" name="Missed Games" dataDxfId="6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66" dataDxfId="65">
  <autoFilter ref="Z88:AI104" xr:uid="{BDD2E472-3925-41A7-BECD-3315E6E71ECC}"/>
  <tableColumns count="10">
    <tableColumn id="1" xr3:uid="{9DBD966D-620C-4B97-A502-29D00ABE150B}" name="Scoring" dataDxfId="64"/>
    <tableColumn id="2" xr3:uid="{F8F81F0E-16B3-4472-9D90-A92149C763E4}" name="Points" dataDxfId="63"/>
    <tableColumn id="3" xr3:uid="{09859CE1-290D-4977-B02C-46F4E5A6FDC2}" name="Finishes" dataDxfId="62"/>
    <tableColumn id="4" xr3:uid="{7D751A0E-2895-46DF-B5E2-5A8AA5531CD2}" name="Midranges" dataDxfId="61"/>
    <tableColumn id="5" xr3:uid="{591CDC71-B0EA-413B-B6C1-77884E7E50D4}" name="Threes" dataDxfId="60"/>
    <tableColumn id="6" xr3:uid="{52ED768C-5557-42DC-9824-7A4D9B547153}" name="Avg P" dataDxfId="59"/>
    <tableColumn id="7" xr3:uid="{FC79BE87-72E2-4F5E-83D6-CDCE645EB943}" name="Avg F" dataDxfId="58"/>
    <tableColumn id="8" xr3:uid="{BA012C22-0D65-4C11-98A7-4F958703D04B}" name="Avg M" dataDxfId="57"/>
    <tableColumn id="9" xr3:uid="{63344F2B-5D94-417D-85E2-C2BFBACE3E7E}" name="Avg T" dataDxfId="56"/>
    <tableColumn id="10" xr3:uid="{1AD5A604-8909-45B3-8E43-11D407451CEA}" name="Missed Games" dataDxfId="55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28:AT44" totalsRowShown="0" headerRowDxfId="54" dataDxfId="53">
  <autoFilter ref="AK28:AT44" xr:uid="{F9183685-60DE-4163-AA62-BE4F563EE570}"/>
  <tableColumns count="10">
    <tableColumn id="1" xr3:uid="{E62FBAA0-D6F6-4997-96C9-B6B13FAA9B6E}" name="Scoring" dataDxfId="52"/>
    <tableColumn id="2" xr3:uid="{0A655F6F-9A21-4167-85B6-B9F7DC2070CA}" name="Points" dataDxfId="51">
      <calculatedColumnFormula>'2901'!T3</calculatedColumnFormula>
    </tableColumn>
    <tableColumn id="3" xr3:uid="{460771D3-3BD8-4DA3-AF1B-1A0F98EF1499}" name="Finishes" dataDxfId="50">
      <calculatedColumnFormula>'2901'!U3</calculatedColumnFormula>
    </tableColumn>
    <tableColumn id="4" xr3:uid="{3C08B2D7-823D-49C3-A627-A5848E664B2F}" name="Midranges" dataDxfId="49">
      <calculatedColumnFormula>'2901'!V3</calculatedColumnFormula>
    </tableColumn>
    <tableColumn id="5" xr3:uid="{E88F45FB-4C46-4674-86D5-74808E7E5368}" name="Threes" dataDxfId="48">
      <calculatedColumnFormula>'2901'!W3</calculatedColumnFormula>
    </tableColumn>
    <tableColumn id="6" xr3:uid="{0C0E8016-1E6E-4F25-9675-4EE061FFD0F7}" name="Avg P" dataDxfId="47">
      <calculatedColumnFormula>Table21128[[#This Row],[Points]]/($AL$27-$AT29)</calculatedColumnFormula>
    </tableColumn>
    <tableColumn id="7" xr3:uid="{F7AC350B-AE4B-4912-B21D-16D99E2AE8BF}" name="Avg F" dataDxfId="46">
      <calculatedColumnFormula>Table21128[[#This Row],[Finishes]]/($AL$27-$AT29)</calculatedColumnFormula>
    </tableColumn>
    <tableColumn id="8" xr3:uid="{F451E5CA-B9C4-4EFA-A647-CEDB2FB39550}" name="Avg M" dataDxfId="45">
      <calculatedColumnFormula>Table21128[[#This Row],[Midranges]]/($AL$27-$AT29)</calculatedColumnFormula>
    </tableColumn>
    <tableColumn id="9" xr3:uid="{ED1D92B5-05F1-40CE-A89F-E6627FAB4A59}" name="Avg T" dataDxfId="44">
      <calculatedColumnFormula>Table21128[[#This Row],[Threes]]/($AL$27-$AT29)</calculatedColumnFormula>
    </tableColumn>
    <tableColumn id="10" xr3:uid="{48A4808A-3DE6-4644-83F5-C2AEDDFC3E5E}" name="Missed Games" dataDxfId="43">
      <calculatedColumnFormula>COUNTIF('2901'!X3,TRUE)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Y8" totalsRowShown="0" headerRowDxfId="42" dataDxfId="41">
  <autoFilter ref="P3:Y8" xr:uid="{744FF78C-74B5-4798-AD3D-741E3ACB43CF}"/>
  <tableColumns count="10">
    <tableColumn id="1" xr3:uid="{B3B5C08C-655A-460A-A171-B3B0C826FF04}" name="Name" dataDxfId="40"/>
    <tableColumn id="2" xr3:uid="{427944B0-44CA-4325-A406-29F83026BA5E}" name="Points" dataDxfId="39"/>
    <tableColumn id="3" xr3:uid="{5E06D173-4DBE-4045-9072-0A0A77D19C84}" name="Average" dataDxfId="38"/>
    <tableColumn id="4" xr3:uid="{E74131A4-1DCA-4A89-8989-A4CF80175582}" name="Finishes" dataDxfId="37"/>
    <tableColumn id="5" xr3:uid="{FC3336D4-2CB5-4673-A345-7C9CCED7ADEE}" name="Averages" dataDxfId="36"/>
    <tableColumn id="6" xr3:uid="{BD6313A7-5D92-4B66-9B85-7ABC12DE9691}" name="Midranges" dataDxfId="35"/>
    <tableColumn id="7" xr3:uid="{6D0293BC-7E06-45CE-9D4B-FE4769DF9D9F}" name="Averages2" dataDxfId="34"/>
    <tableColumn id="8" xr3:uid="{89C1C64B-DD66-482C-BCDE-8B912D2676EF}" name="Threes" dataDxfId="33"/>
    <tableColumn id="9" xr3:uid="{7748B87C-1833-4BD6-9162-76373407E655}" name="Averages3" dataDxfId="32"/>
    <tableColumn id="10" xr3:uid="{D870E191-A52F-442E-AA52-A42CFAD05573}" name="Missed Games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E1000"/>
  <sheetViews>
    <sheetView tabSelected="1" topLeftCell="S1" zoomScale="78" workbookViewId="0">
      <selection activeCell="AD17" sqref="AD17:AD28"/>
    </sheetView>
  </sheetViews>
  <sheetFormatPr defaultColWidth="14.36328125" defaultRowHeight="15" customHeight="1" x14ac:dyDescent="0.35"/>
  <cols>
    <col min="1" max="1" width="12.54296875" customWidth="1"/>
    <col min="2" max="2" width="21.36328125" customWidth="1"/>
    <col min="3" max="11" width="12.54296875" customWidth="1"/>
    <col min="12" max="19" width="20.6328125" customWidth="1"/>
    <col min="20" max="20" width="30.54296875" customWidth="1"/>
    <col min="21" max="22" width="25.54296875" customWidth="1"/>
    <col min="23" max="26" width="8.7265625" customWidth="1"/>
  </cols>
  <sheetData>
    <row r="1" spans="2:31" ht="14.25" customHeight="1" x14ac:dyDescent="0.35">
      <c r="D1" s="1" t="s">
        <v>0</v>
      </c>
      <c r="F1" s="1" t="s">
        <v>1</v>
      </c>
      <c r="H1" s="1" t="s">
        <v>2</v>
      </c>
      <c r="J1" s="1" t="s">
        <v>3</v>
      </c>
    </row>
    <row r="2" spans="2:31" ht="14.25" customHeight="1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148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31" ht="14.25" customHeight="1" x14ac:dyDescent="0.35">
      <c r="B3" s="1" t="s">
        <v>25</v>
      </c>
      <c r="C3" s="114" t="s">
        <v>173</v>
      </c>
      <c r="D3" s="5">
        <f>'Stats Global'!AB8</f>
        <v>0</v>
      </c>
      <c r="E3" s="1">
        <f>'Stats Global'!AA8</f>
        <v>0</v>
      </c>
      <c r="F3" s="5">
        <f>'Stats Global'!AD8</f>
        <v>0</v>
      </c>
      <c r="G3" s="1">
        <f>'Stats Global'!AC8</f>
        <v>0</v>
      </c>
      <c r="H3" s="5">
        <f>'Stats Global'!AF8</f>
        <v>0</v>
      </c>
      <c r="I3" s="1">
        <f>'Stats Global'!AE8</f>
        <v>0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T3" t="s">
        <v>193</v>
      </c>
      <c r="U3" t="str">
        <f>"Drafted by "&amp;C3</f>
        <v>Drafted by Choc-Tops</v>
      </c>
      <c r="V3" s="1" t="str">
        <f>IF(C3="Gentle, Men", $Y$3, IF(C3="Choc-Tops", $Y$4, IF(C3="Traffic Controllers", $Y$5, $Y$6)))</f>
        <v>../Images/CT_Final.png</v>
      </c>
      <c r="W3" s="1" t="str">
        <f t="shared" ref="W3:W13" si="0">Y$8&amp;Y10&amp;".png"</f>
        <v>../Images/Players/Jasper.png</v>
      </c>
      <c r="Y3" s="1" t="s">
        <v>174</v>
      </c>
      <c r="AD3" t="s">
        <v>194</v>
      </c>
      <c r="AE3" t="str">
        <f>'Statistics CT'!G43</f>
        <v>7,8,8],</v>
      </c>
    </row>
    <row r="4" spans="2:31" ht="14.25" customHeight="1" x14ac:dyDescent="0.35">
      <c r="B4" s="1" t="s">
        <v>26</v>
      </c>
      <c r="C4" s="104" t="s">
        <v>171</v>
      </c>
      <c r="D4" s="5">
        <f>'Stats Global'!AB9</f>
        <v>0</v>
      </c>
      <c r="E4" s="1">
        <f>'Stats Global'!AA9</f>
        <v>0</v>
      </c>
      <c r="F4" s="5">
        <f>'Stats Global'!AD9</f>
        <v>0</v>
      </c>
      <c r="G4" s="1">
        <f>'Stats Global'!AC9</f>
        <v>0</v>
      </c>
      <c r="H4" s="5">
        <f>'Stats Global'!AF9</f>
        <v>0</v>
      </c>
      <c r="I4" s="1">
        <f>'Stats Global'!AE9</f>
        <v>0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168</v>
      </c>
      <c r="V4" s="1" t="str">
        <f t="shared" ref="V4:V13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175</v>
      </c>
      <c r="AD4" t="s">
        <v>195</v>
      </c>
      <c r="AE4" t="str">
        <f>'Statistics CT'!G44</f>
        <v>6,"Alexander Galt",6,"Alexander Galt",2,"Christopher Tomkinson",0,"N/A"],</v>
      </c>
    </row>
    <row r="5" spans="2:31" ht="14.25" customHeight="1" x14ac:dyDescent="0.35">
      <c r="B5" s="1" t="s">
        <v>27</v>
      </c>
      <c r="C5" s="114" t="s">
        <v>173</v>
      </c>
      <c r="D5" s="5">
        <f>'Stats Global'!AB10</f>
        <v>3</v>
      </c>
      <c r="E5" s="1">
        <f>'Stats Global'!AA10</f>
        <v>6</v>
      </c>
      <c r="F5" s="5">
        <f>'Stats Global'!AD10</f>
        <v>3</v>
      </c>
      <c r="G5" s="1">
        <f>'Stats Global'!AC10</f>
        <v>6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1</v>
      </c>
      <c r="M5" s="1" t="s">
        <v>28</v>
      </c>
      <c r="N5" s="1" t="s">
        <v>29</v>
      </c>
      <c r="O5" t="s">
        <v>122</v>
      </c>
      <c r="P5" t="s">
        <v>123</v>
      </c>
      <c r="U5" t="str">
        <f t="shared" ref="U5:U12" si="2">"Drafted by "&amp;C5</f>
        <v>Drafted by Choc-Tops</v>
      </c>
      <c r="V5" s="1" t="str">
        <f t="shared" si="1"/>
        <v>../Images/CT_Final.png</v>
      </c>
      <c r="W5" s="1" t="str">
        <f t="shared" si="0"/>
        <v>../Images/Players/Alex.png</v>
      </c>
      <c r="Y5" s="1" t="s">
        <v>176</v>
      </c>
      <c r="AD5" t="s">
        <v>196</v>
      </c>
      <c r="AE5" t="str">
        <f>'Statistics CT'!G45</f>
        <v>5.7,4.7,1,0,2.3,2.7],</v>
      </c>
    </row>
    <row r="6" spans="2:31" ht="14.25" customHeight="1" x14ac:dyDescent="0.35">
      <c r="B6" s="1" t="s">
        <v>30</v>
      </c>
      <c r="C6" s="114" t="s">
        <v>173</v>
      </c>
      <c r="D6" s="5">
        <f>'Stats Global'!AB11</f>
        <v>2</v>
      </c>
      <c r="E6" s="1">
        <f>'Stats Global'!AA11</f>
        <v>6</v>
      </c>
      <c r="F6" s="5">
        <f>'Stats Global'!AD11</f>
        <v>2</v>
      </c>
      <c r="G6" s="1">
        <f>'Stats Global'!AC11</f>
        <v>6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122</v>
      </c>
      <c r="Q6" t="s">
        <v>123</v>
      </c>
      <c r="R6" t="s">
        <v>126</v>
      </c>
      <c r="S6" t="s">
        <v>35</v>
      </c>
      <c r="U6" t="str">
        <f t="shared" si="2"/>
        <v>Drafted by Choc-Tops</v>
      </c>
      <c r="V6" s="1" t="str">
        <f t="shared" si="1"/>
        <v>../Images/CT_Final.png</v>
      </c>
      <c r="W6" s="1" t="str">
        <f t="shared" si="0"/>
        <v>../Images/Players/Rudy.png</v>
      </c>
      <c r="Y6" s="1" t="s">
        <v>132</v>
      </c>
      <c r="AD6" t="s">
        <v>197</v>
      </c>
      <c r="AE6" t="str">
        <f>'Statistics CT'!G46</f>
        <v>4,1,80,3,4,42.9],</v>
      </c>
    </row>
    <row r="7" spans="2:31" ht="14.25" customHeight="1" x14ac:dyDescent="0.35">
      <c r="B7" s="1" t="s">
        <v>32</v>
      </c>
      <c r="C7" s="114" t="s">
        <v>171</v>
      </c>
      <c r="D7" s="5">
        <f>'Stats Global'!AB12</f>
        <v>2</v>
      </c>
      <c r="E7" s="1">
        <f>'Stats Global'!AA12</f>
        <v>6</v>
      </c>
      <c r="F7" s="5">
        <f>'Stats Global'!AD12</f>
        <v>1.3333333333333333</v>
      </c>
      <c r="G7" s="1">
        <f>'Stats Global'!AC12</f>
        <v>4</v>
      </c>
      <c r="H7" s="5">
        <f>'Stats Global'!AF12</f>
        <v>0.66666666666666663</v>
      </c>
      <c r="I7" s="1">
        <f>'Stats Global'!AE12</f>
        <v>2</v>
      </c>
      <c r="J7" s="5">
        <f>'Stats Global'!AH12</f>
        <v>0</v>
      </c>
      <c r="K7" s="1">
        <f>'Stats Global'!AG12</f>
        <v>0</v>
      </c>
      <c r="L7" s="13">
        <f>'Stats Global'!AJ12</f>
        <v>0</v>
      </c>
      <c r="M7" s="1" t="s">
        <v>33</v>
      </c>
      <c r="N7" s="1" t="s">
        <v>34</v>
      </c>
      <c r="O7" t="s">
        <v>122</v>
      </c>
      <c r="P7" t="s">
        <v>124</v>
      </c>
      <c r="U7" t="str">
        <f t="shared" si="2"/>
        <v>Drafted by Gentle, Men</v>
      </c>
      <c r="V7" s="1" t="str">
        <f t="shared" si="1"/>
        <v>../Images/GM_Final.png</v>
      </c>
      <c r="W7" s="1" t="str">
        <f t="shared" si="0"/>
        <v>../Images/Players/Michael.png</v>
      </c>
      <c r="AD7" t="s">
        <v>198</v>
      </c>
      <c r="AE7" t="str">
        <f>'Statistics TC'!H43</f>
        <v>4,6,4.5],</v>
      </c>
    </row>
    <row r="8" spans="2:31" ht="14.25" customHeight="1" x14ac:dyDescent="0.35">
      <c r="B8" s="1" t="s">
        <v>37</v>
      </c>
      <c r="C8" s="114" t="s">
        <v>171</v>
      </c>
      <c r="D8" s="5">
        <f>'Stats Global'!AB13</f>
        <v>1.3333333333333333</v>
      </c>
      <c r="E8" s="1">
        <f>'Stats Global'!AA13</f>
        <v>4</v>
      </c>
      <c r="F8" s="5">
        <f>'Stats Global'!AD13</f>
        <v>1.3333333333333333</v>
      </c>
      <c r="G8" s="1">
        <f>'Stats Global'!AC13</f>
        <v>4</v>
      </c>
      <c r="H8" s="5">
        <f>'Stats Global'!AF13</f>
        <v>0</v>
      </c>
      <c r="I8" s="1">
        <f>'Stats Global'!AE13</f>
        <v>0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" t="s">
        <v>38</v>
      </c>
      <c r="N8" s="1" t="s">
        <v>31</v>
      </c>
      <c r="O8" t="s">
        <v>125</v>
      </c>
      <c r="U8" t="str">
        <f t="shared" si="2"/>
        <v>Drafted by Gentle, Men</v>
      </c>
      <c r="V8" s="1" t="str">
        <f t="shared" si="1"/>
        <v>../Images/GM_Final.png</v>
      </c>
      <c r="W8" s="1" t="str">
        <f t="shared" si="0"/>
        <v>../Images/Players/Lukas.png</v>
      </c>
      <c r="Y8" s="1" t="s">
        <v>36</v>
      </c>
      <c r="AD8" t="s">
        <v>199</v>
      </c>
      <c r="AE8" t="str">
        <f>'Statistics TC'!H44</f>
        <v>4,"Angus Walker",1,"William Kim",2,"William Kim",2,"Angus Walker"],</v>
      </c>
    </row>
    <row r="9" spans="2:31" ht="14.25" customHeight="1" x14ac:dyDescent="0.35">
      <c r="B9" t="s">
        <v>91</v>
      </c>
      <c r="C9" s="114" t="s">
        <v>172</v>
      </c>
      <c r="D9" s="5">
        <f>'Stats Global'!AB14</f>
        <v>0.33333333333333331</v>
      </c>
      <c r="E9" s="1">
        <f>'Stats Global'!AA14</f>
        <v>1</v>
      </c>
      <c r="F9" s="5">
        <f>'Stats Global'!AD14</f>
        <v>0</v>
      </c>
      <c r="G9" s="1">
        <f>'Stats Global'!AC14</f>
        <v>0</v>
      </c>
      <c r="H9" s="5">
        <f>'Stats Global'!AF14</f>
        <v>0.33333333333333331</v>
      </c>
      <c r="I9" s="1">
        <f>'Stats Global'!AE14</f>
        <v>1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145</v>
      </c>
      <c r="N9" t="s">
        <v>127</v>
      </c>
      <c r="U9" t="str">
        <f t="shared" si="2"/>
        <v>Drafted by Traffic Controllers</v>
      </c>
      <c r="V9" s="1" t="str">
        <f t="shared" si="1"/>
        <v>../Images/TC_Final.png</v>
      </c>
      <c r="W9" s="1" t="str">
        <f t="shared" si="0"/>
        <v>../Images/Players/SamJ.png</v>
      </c>
      <c r="AD9" t="s">
        <v>200</v>
      </c>
      <c r="AE9" t="str">
        <f>'Statistics TC'!H45</f>
        <v>5.7,0.3,1,1,1.3,2],</v>
      </c>
    </row>
    <row r="10" spans="2:31" ht="14.25" customHeight="1" x14ac:dyDescent="0.35">
      <c r="B10" s="1" t="s">
        <v>39</v>
      </c>
      <c r="C10" s="104" t="s">
        <v>172</v>
      </c>
      <c r="D10" s="5">
        <f>'Stats Global'!AB15</f>
        <v>0.66666666666666663</v>
      </c>
      <c r="E10" s="1">
        <f>'Stats Global'!AA15</f>
        <v>2</v>
      </c>
      <c r="F10" s="5">
        <f>'Stats Global'!AD15</f>
        <v>0</v>
      </c>
      <c r="G10" s="1">
        <f>'Stats Global'!AC15</f>
        <v>0</v>
      </c>
      <c r="H10" s="5">
        <f>'Stats Global'!AF15</f>
        <v>0</v>
      </c>
      <c r="I10" s="1">
        <f>'Stats Global'!AE15</f>
        <v>0</v>
      </c>
      <c r="J10" s="5">
        <f>'Stats Global'!AH15</f>
        <v>0.33333333333333331</v>
      </c>
      <c r="K10" s="1">
        <f>'Stats Global'!AG15</f>
        <v>1</v>
      </c>
      <c r="L10" s="13">
        <f>'Stats Global'!AJ15</f>
        <v>0</v>
      </c>
      <c r="M10" t="s">
        <v>130</v>
      </c>
      <c r="N10" s="1" t="s">
        <v>29</v>
      </c>
      <c r="O10" s="1" t="s">
        <v>129</v>
      </c>
      <c r="P10" t="s">
        <v>121</v>
      </c>
      <c r="Q10" t="s">
        <v>125</v>
      </c>
      <c r="R10" t="s">
        <v>124</v>
      </c>
      <c r="S10" t="s">
        <v>127</v>
      </c>
      <c r="U10" t="s">
        <v>170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  <c r="AD10" t="s">
        <v>201</v>
      </c>
      <c r="AE10" t="str">
        <f>'Statistics TC'!H46</f>
        <v>1,4,20,2,3,40],</v>
      </c>
    </row>
    <row r="11" spans="2:31" ht="14.25" customHeight="1" x14ac:dyDescent="0.35">
      <c r="B11" s="1" t="s">
        <v>41</v>
      </c>
      <c r="C11" s="112" t="s">
        <v>172</v>
      </c>
      <c r="D11" s="5">
        <f>'Stats Global'!AB16</f>
        <v>1</v>
      </c>
      <c r="E11" s="1">
        <f>'Stats Global'!AA16</f>
        <v>3</v>
      </c>
      <c r="F11" s="5">
        <f>'Stats Global'!AD16</f>
        <v>0.33333333333333331</v>
      </c>
      <c r="G11" s="1">
        <f>'Stats Global'!AC16</f>
        <v>1</v>
      </c>
      <c r="H11" s="5">
        <f>'Stats Global'!AF16</f>
        <v>0.66666666666666663</v>
      </c>
      <c r="I11" s="1">
        <f>'Stats Global'!AE16</f>
        <v>2</v>
      </c>
      <c r="J11" s="5">
        <f>'Stats Global'!AH16</f>
        <v>0</v>
      </c>
      <c r="K11" s="1">
        <f>'Stats Global'!AG16</f>
        <v>0</v>
      </c>
      <c r="L11" s="13">
        <f>'Stats Global'!AJ16</f>
        <v>0</v>
      </c>
      <c r="M11" s="1" t="s">
        <v>42</v>
      </c>
      <c r="N11" s="1" t="s">
        <v>31</v>
      </c>
      <c r="O11" s="1" t="s">
        <v>28</v>
      </c>
      <c r="P11" t="s">
        <v>125</v>
      </c>
      <c r="Q11" t="s">
        <v>123</v>
      </c>
      <c r="R11" t="s">
        <v>127</v>
      </c>
      <c r="S11" t="s">
        <v>128</v>
      </c>
      <c r="U11" t="str">
        <f t="shared" si="2"/>
        <v>Drafted by Traffic Controllers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  <c r="AD11" t="s">
        <v>202</v>
      </c>
      <c r="AE11" t="str">
        <f>'Statistics GM'!H32</f>
        <v>6,6,5.5],</v>
      </c>
    </row>
    <row r="12" spans="2:31" ht="14.25" customHeight="1" x14ac:dyDescent="0.35">
      <c r="B12" s="1" t="s">
        <v>44</v>
      </c>
      <c r="C12" s="114" t="s">
        <v>171</v>
      </c>
      <c r="D12" s="5">
        <f>'Stats Global'!AB17</f>
        <v>1.6666666666666667</v>
      </c>
      <c r="E12" s="1">
        <f>'Stats Global'!AA17</f>
        <v>5</v>
      </c>
      <c r="F12" s="5">
        <f>'Stats Global'!AD17</f>
        <v>0.66666666666666663</v>
      </c>
      <c r="G12" s="1">
        <f>'Stats Global'!AC17</f>
        <v>2</v>
      </c>
      <c r="H12" s="5">
        <f>'Stats Global'!AF17</f>
        <v>1</v>
      </c>
      <c r="I12" s="1">
        <f>'Stats Global'!AE17</f>
        <v>3</v>
      </c>
      <c r="J12" s="5">
        <f>'Stats Global'!AH17</f>
        <v>0</v>
      </c>
      <c r="K12" s="1">
        <f>'Stats Global'!AG17</f>
        <v>0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122</v>
      </c>
      <c r="Q12" t="s">
        <v>123</v>
      </c>
      <c r="U12" t="str">
        <f t="shared" si="2"/>
        <v>Drafted by Gentle, Men</v>
      </c>
      <c r="V12" s="1" t="str">
        <f t="shared" si="1"/>
        <v>../Images/GM_Final.png</v>
      </c>
      <c r="W12" s="1" t="str">
        <f t="shared" si="0"/>
        <v>../Images/Players/SamM.png</v>
      </c>
      <c r="Y12" s="1" t="s">
        <v>45</v>
      </c>
      <c r="AD12" t="s">
        <v>203</v>
      </c>
      <c r="AE12" t="str">
        <f>'Statistics GM'!H33</f>
        <v>6,"Michael Iffland",4,"N/A",3,"N/A",0,"N/A"],</v>
      </c>
    </row>
    <row r="13" spans="2:31" ht="14.25" customHeight="1" x14ac:dyDescent="0.35">
      <c r="B13" s="1" t="s">
        <v>46</v>
      </c>
      <c r="C13" s="104" t="s">
        <v>173</v>
      </c>
      <c r="D13" s="5">
        <f>'Stats Global'!AB18</f>
        <v>0.5</v>
      </c>
      <c r="E13" s="1">
        <f>'Stats Global'!AA18</f>
        <v>1</v>
      </c>
      <c r="F13" s="5">
        <f>'Stats Global'!AD18</f>
        <v>0</v>
      </c>
      <c r="G13" s="1">
        <f>'Stats Global'!AC18</f>
        <v>0</v>
      </c>
      <c r="H13" s="5">
        <f>'Stats Global'!AF18</f>
        <v>0.5</v>
      </c>
      <c r="I13" s="1">
        <f>'Stats Global'!AE18</f>
        <v>1</v>
      </c>
      <c r="J13" s="5">
        <f>'Stats Global'!AH18</f>
        <v>0</v>
      </c>
      <c r="K13" s="1">
        <f>'Stats Global'!AG18</f>
        <v>0</v>
      </c>
      <c r="L13" s="13">
        <f>'Stats Global'!AJ18</f>
        <v>1</v>
      </c>
      <c r="M13" s="1" t="s">
        <v>47</v>
      </c>
      <c r="N13" s="1" t="s">
        <v>29</v>
      </c>
      <c r="U13" t="s">
        <v>169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  <c r="AD13" t="s">
        <v>204</v>
      </c>
      <c r="AE13" t="str">
        <f>'Statistics GM'!H34</f>
        <v>5.3,3.7,1.7,0,2,2],</v>
      </c>
    </row>
    <row r="14" spans="2:31" ht="14.25" customHeight="1" x14ac:dyDescent="0.35">
      <c r="B14" s="1" t="s">
        <v>49</v>
      </c>
      <c r="C14" s="114" t="s">
        <v>172</v>
      </c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Global'!AJ20</f>
        <v>0</v>
      </c>
      <c r="M14" s="1" t="s">
        <v>50</v>
      </c>
      <c r="N14" s="1" t="s">
        <v>29</v>
      </c>
      <c r="O14" t="s">
        <v>119</v>
      </c>
      <c r="P14" t="s">
        <v>120</v>
      </c>
      <c r="Q14" t="s">
        <v>125</v>
      </c>
      <c r="R14" t="s">
        <v>124</v>
      </c>
      <c r="U14" t="str">
        <f>"Drafted by "&amp;C14</f>
        <v>Drafted by Traffic Controllers</v>
      </c>
      <c r="V14" s="1" t="str">
        <f>IF(C14="Gentle, Men", $Y$3, IF(C14="Choc-Tops", $Y$4, IF(C14="Traffic Controllers", $Y$5, $Y$6)))</f>
        <v>../Images/TC_Final.png</v>
      </c>
      <c r="W14" s="1" t="str">
        <f>Y$8&amp;Y22&amp;".png"</f>
        <v>../Images/Players/Nicholas.png</v>
      </c>
      <c r="Y14" s="1" t="s">
        <v>51</v>
      </c>
      <c r="AD14" t="s">
        <v>205</v>
      </c>
      <c r="AE14" t="str">
        <f>'Statistics GM'!H35</f>
        <v>4,3,57.1,3,2,60],</v>
      </c>
    </row>
    <row r="15" spans="2:31" ht="14.25" customHeight="1" x14ac:dyDescent="0.35">
      <c r="B15" s="1" t="s">
        <v>52</v>
      </c>
      <c r="C15" s="114" t="s">
        <v>173</v>
      </c>
      <c r="D15" s="5">
        <f>'Stats Global'!AB20</f>
        <v>1.3333333333333333</v>
      </c>
      <c r="E15" s="1">
        <f>'Stats Global'!AA20</f>
        <v>4</v>
      </c>
      <c r="F15" s="5">
        <f>'Stats Global'!AD20</f>
        <v>0.66666666666666663</v>
      </c>
      <c r="G15" s="1">
        <f>'Stats Global'!AC20</f>
        <v>2</v>
      </c>
      <c r="H15" s="5">
        <f>'Stats Global'!AF20</f>
        <v>0.66666666666666663</v>
      </c>
      <c r="I15" s="1">
        <f>'Stats Global'!AE20</f>
        <v>2</v>
      </c>
      <c r="J15" s="5">
        <f>'Stats Global'!AH20</f>
        <v>0</v>
      </c>
      <c r="K15" s="1">
        <f>'Stats Global'!AG20</f>
        <v>0</v>
      </c>
      <c r="L15" s="13">
        <f>'Stats Global'!AJ21</f>
        <v>0</v>
      </c>
      <c r="M15" s="1" t="s">
        <v>53</v>
      </c>
      <c r="N15" t="s">
        <v>116</v>
      </c>
      <c r="O15" t="s">
        <v>117</v>
      </c>
      <c r="P15" t="s">
        <v>125</v>
      </c>
      <c r="Q15" t="s">
        <v>124</v>
      </c>
      <c r="R15" t="s">
        <v>127</v>
      </c>
      <c r="U15" t="str">
        <f>"Drafted by "&amp;C15</f>
        <v>Drafted by Choc-Tops</v>
      </c>
      <c r="V15" s="1" t="str">
        <f>IF(C15="Gentle, Men", $Y$3, IF(C15="Choc-Tops", $Y$4, IF(C15="Traffic Controllers", $Y$5, $Y$6)))</f>
        <v>../Images/CT_Final.png</v>
      </c>
      <c r="W15" s="1" t="str">
        <f>Y$8&amp;Y23&amp;".png"</f>
        <v>../Images/Players/Chris.png</v>
      </c>
      <c r="Y15" s="1" t="s">
        <v>54</v>
      </c>
    </row>
    <row r="16" spans="2:31" ht="14.25" customHeight="1" x14ac:dyDescent="0.35">
      <c r="B16" s="1" t="s">
        <v>55</v>
      </c>
      <c r="C16" s="114" t="s">
        <v>172</v>
      </c>
      <c r="D16" s="5">
        <f>'Stats Global'!AB21</f>
        <v>1.3333333333333333</v>
      </c>
      <c r="E16" s="1">
        <f>'Stats Global'!AA21</f>
        <v>4</v>
      </c>
      <c r="F16" s="5">
        <f>'Stats Global'!AD21</f>
        <v>0</v>
      </c>
      <c r="G16" s="1">
        <f>'Stats Global'!AC21</f>
        <v>0</v>
      </c>
      <c r="H16" s="5">
        <f>'Stats Global'!AF21</f>
        <v>0</v>
      </c>
      <c r="I16" s="1">
        <f>'Stats Global'!AE21</f>
        <v>0</v>
      </c>
      <c r="J16" s="5">
        <f>'Stats Global'!AH21</f>
        <v>0.66666666666666663</v>
      </c>
      <c r="K16" s="1">
        <f>'Stats Global'!AG21</f>
        <v>2</v>
      </c>
      <c r="L16" s="13">
        <f>'Stats Global'!AJ22</f>
        <v>0</v>
      </c>
      <c r="M16" s="1" t="s">
        <v>131</v>
      </c>
      <c r="N16" s="1" t="s">
        <v>35</v>
      </c>
      <c r="O16" s="1" t="s">
        <v>31</v>
      </c>
      <c r="P16" s="1" t="s">
        <v>28</v>
      </c>
      <c r="Q16" s="1" t="s">
        <v>56</v>
      </c>
      <c r="R16" t="s">
        <v>122</v>
      </c>
      <c r="S16" t="s">
        <v>123</v>
      </c>
      <c r="T16" t="s">
        <v>127</v>
      </c>
      <c r="U16" t="str">
        <f>"Drafted by "&amp;C16</f>
        <v>Drafted by Traffic Controllers</v>
      </c>
      <c r="V16" s="1" t="str">
        <f>IF(C16="Gentle, Men", $Y$3, IF(C16="Choc-Tops", $Y$4, IF(C16="Traffic Controllers", $Y$5, $Y$6)))</f>
        <v>../Images/TC_Final.png</v>
      </c>
      <c r="W16" s="1" t="str">
        <f>Y$8&amp;Y24&amp;".png"</f>
        <v>../Images/Players/Angus.png</v>
      </c>
      <c r="Y16" t="s">
        <v>80</v>
      </c>
    </row>
    <row r="17" spans="2:30" ht="14.25" customHeight="1" x14ac:dyDescent="0.35">
      <c r="B17" s="1" t="s">
        <v>192</v>
      </c>
      <c r="C17" s="114" t="s">
        <v>171</v>
      </c>
      <c r="D17" s="5">
        <f>'Stats Global'!AB22</f>
        <v>0.33333333333333331</v>
      </c>
      <c r="E17" s="1">
        <f>'Stats Global'!AA22</f>
        <v>1</v>
      </c>
      <c r="F17" s="5">
        <f>'Stats Global'!AD22</f>
        <v>0.33333333333333331</v>
      </c>
      <c r="G17" s="1">
        <f>'Stats Global'!AC22</f>
        <v>1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Global'!AJ23</f>
        <v>3</v>
      </c>
      <c r="M17" s="1" t="s">
        <v>58</v>
      </c>
      <c r="N17" s="1" t="s">
        <v>29</v>
      </c>
      <c r="O17" t="s">
        <v>118</v>
      </c>
      <c r="U17" t="str">
        <f>"Drafted by "&amp;C17</f>
        <v>Drafted by Gentle, Men</v>
      </c>
      <c r="V17" s="1" t="str">
        <f>IF(C17="Gentle, Men", $Y$3, IF(C17="Choc-Tops", $Y$4, IF(C17="Traffic Controllers", $Y$5, $Y$6)))</f>
        <v>../Images/GM_Final.png</v>
      </c>
      <c r="W17" s="1" t="str">
        <f>Y$8&amp;Y25&amp;".png"</f>
        <v>../Images/Players/Will.png</v>
      </c>
      <c r="Y17" s="1" t="s">
        <v>57</v>
      </c>
      <c r="AD17" s="35" t="str">
        <f t="shared" ref="AD17:AD28" si="3">CHAR(34)&amp;AD3&amp;CHAR(34)&amp;":["&amp;AE3</f>
        <v>"PartACT":[7,8,8],</v>
      </c>
    </row>
    <row r="18" spans="2:30" ht="14.25" customHeight="1" x14ac:dyDescent="0.35">
      <c r="B18" t="s">
        <v>206</v>
      </c>
      <c r="C18" s="122" t="s">
        <v>171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Global'!AJ24</f>
        <v>0</v>
      </c>
      <c r="U18" t="str">
        <f>"Drafted by "&amp;C18</f>
        <v>Drafted by Gentle, Men</v>
      </c>
      <c r="V18" t="str">
        <f>IF(C18="Gentle, Men", $Y$3, IF(C18="Choc-Tops", $Y$4, IF(C18="Traffic Controllers", $Y$5, $Y$6)))</f>
        <v>../Images/GM_Final.png</v>
      </c>
      <c r="Y18" s="1" t="s">
        <v>59</v>
      </c>
      <c r="AD18" s="35" t="str">
        <f t="shared" si="3"/>
        <v>"PartBCT":[6,"Alexander Galt",6,"Alexander Galt",2,"Christopher Tomkinson",0,"N/A"],</v>
      </c>
    </row>
    <row r="19" spans="2:30" ht="14.25" customHeight="1" x14ac:dyDescent="0.35">
      <c r="B19" s="1"/>
      <c r="C19" s="88"/>
      <c r="D19" s="5"/>
      <c r="E19" s="1"/>
      <c r="F19" s="5"/>
      <c r="G19" s="1"/>
      <c r="H19" s="5"/>
      <c r="I19" s="1"/>
      <c r="J19" s="5"/>
      <c r="K19" s="1"/>
      <c r="L19" s="13"/>
      <c r="U19" s="88"/>
      <c r="V19" s="1"/>
      <c r="W19" s="1"/>
      <c r="Y19" s="1" t="s">
        <v>60</v>
      </c>
      <c r="AD19" s="35" t="str">
        <f t="shared" si="3"/>
        <v>"PartCCT":[5.7,4.7,1,0,2.3,2.7],</v>
      </c>
    </row>
    <row r="20" spans="2:30" ht="14.25" customHeight="1" x14ac:dyDescent="0.35">
      <c r="B20" s="1"/>
      <c r="D20" s="12"/>
      <c r="F20" s="12"/>
      <c r="H20" s="12"/>
      <c r="J20" s="12"/>
      <c r="Y20" s="1" t="s">
        <v>61</v>
      </c>
      <c r="AD20" s="35" t="str">
        <f t="shared" si="3"/>
        <v>"PartDCT":[4,1,80,3,4,42.9],</v>
      </c>
    </row>
    <row r="21" spans="2:30" ht="14.25" customHeight="1" x14ac:dyDescent="0.35">
      <c r="Y21" t="s">
        <v>144</v>
      </c>
      <c r="AD21" s="35" t="str">
        <f t="shared" si="3"/>
        <v>"PartATC":[4,6,4.5],</v>
      </c>
    </row>
    <row r="22" spans="2:30" ht="14.25" customHeight="1" x14ac:dyDescent="0.7">
      <c r="B22" s="129" t="s">
        <v>95</v>
      </c>
      <c r="C22" s="129"/>
      <c r="D22" s="64"/>
      <c r="Y22" s="1" t="s">
        <v>103</v>
      </c>
      <c r="AD22" s="35" t="str">
        <f t="shared" si="3"/>
        <v>"PartBTC":[4,"Angus Walker",1,"William Kim",2,"William Kim",2,"Angus Walker"],</v>
      </c>
    </row>
    <row r="23" spans="2:30" ht="14.25" customHeight="1" x14ac:dyDescent="0.7">
      <c r="B23" s="129"/>
      <c r="C23" s="129"/>
      <c r="D23" s="64"/>
      <c r="Y23" s="1" t="s">
        <v>62</v>
      </c>
      <c r="AD23" s="35" t="str">
        <f t="shared" si="3"/>
        <v>"PartCTC":[5.7,0.3,1,1,1.3,2],</v>
      </c>
    </row>
    <row r="24" spans="2:30" ht="14.25" customHeight="1" x14ac:dyDescent="0.7">
      <c r="C24" s="33"/>
      <c r="D24" s="33"/>
      <c r="Y24" s="1" t="s">
        <v>64</v>
      </c>
      <c r="AD24" s="35" t="str">
        <f t="shared" si="3"/>
        <v>"PartDTC":[1,4,20,2,3,40],</v>
      </c>
    </row>
    <row r="25" spans="2:30" ht="14.25" customHeight="1" x14ac:dyDescent="0.7">
      <c r="B25" s="115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Y25" s="1" t="s">
        <v>144</v>
      </c>
      <c r="AD25" s="35" t="str">
        <f t="shared" si="3"/>
        <v>"PartAGM":[6,6,5.5],</v>
      </c>
    </row>
    <row r="26" spans="2:30" ht="14.25" customHeight="1" x14ac:dyDescent="0.7">
      <c r="B26" s="115" t="str">
        <f>C49&amp;":["&amp;C50&amp;C51&amp;C52&amp;C53&amp;C54&amp;C55&amp;C56&amp;C57&amp;C58&amp;C59&amp;C60&amp;C61&amp;C62&amp;C63&amp;C64&amp;C65&amp;"],"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Y26" s="1"/>
      <c r="AD26" s="35" t="str">
        <f t="shared" si="3"/>
        <v>"PartBGM":[6,"Michael Iffland",4,"N/A",3,"N/A",0,"N/A"],</v>
      </c>
    </row>
    <row r="27" spans="2:30" ht="14.25" customHeight="1" x14ac:dyDescent="0.35">
      <c r="B27" s="115" t="str">
        <f>D49&amp;":["&amp;D50&amp;D51&amp;D52&amp;D53&amp;D54&amp;D55&amp;D56&amp;D57&amp;D58&amp;D59&amp;D60&amp;D61&amp;D62&amp;D63&amp;D64&amp;D65&amp;"],"</f>
        <v>"PPG":[0,0,3,2,2,1.33,0.33,0.67,1,1.67,0.5,0,1.33,1.33,0.33,"0"],</v>
      </c>
      <c r="AD27" s="35" t="str">
        <f t="shared" si="3"/>
        <v>"PartCGM":[5.3,3.7,1.7,0,2,2],</v>
      </c>
    </row>
    <row r="28" spans="2:30" ht="14.25" customHeight="1" x14ac:dyDescent="0.35">
      <c r="B28" s="10" t="str">
        <f>E49&amp;":["&amp;E50&amp;E51&amp;E52&amp;E53&amp;E54&amp;E55&amp;E56&amp;E57&amp;E58&amp;E59&amp;E60&amp;E61&amp;E62&amp;E63&amp;E64&amp;E65&amp;"],"</f>
        <v>"TP":[0,0,6,6,6,4,1,2,3,5,1,0,4,4,1,"0"],</v>
      </c>
      <c r="AD28" s="35" t="str">
        <f t="shared" si="3"/>
        <v>"PartDGM":[4,3,57.1,3,2,60],</v>
      </c>
    </row>
    <row r="29" spans="2:30" ht="14.25" customHeight="1" x14ac:dyDescent="0.35">
      <c r="B29" s="10" t="str">
        <f>F49&amp;":["&amp;F50&amp;F51&amp;F52&amp;F53&amp;F54&amp;F55&amp;F56&amp;F57&amp;F58&amp;F59&amp;F60&amp;F61&amp;F62&amp;F63&amp;F64&amp;F65&amp;"],"</f>
        <v>"FPG":[0,0,3,2,1.33,1.33,0,0,0.33,0.67,0,0,0.67,0,0.33,"0"],</v>
      </c>
    </row>
    <row r="30" spans="2:30" ht="14.25" customHeight="1" x14ac:dyDescent="0.35">
      <c r="B30" s="10" t="str">
        <f>G49&amp;":["&amp;G50&amp;G51&amp;G52&amp;G53&amp;G54&amp;G55&amp;G56&amp;G57&amp;G58&amp;G59&amp;G60&amp;G61&amp;G62&amp;G63&amp;G64&amp;G65&amp;"],"</f>
        <v>"TF":[0,0,6,6,4,4,0,0,1,2,0,0,2,0,1,"0"],</v>
      </c>
    </row>
    <row r="31" spans="2:30" ht="14.25" customHeight="1" x14ac:dyDescent="0.35">
      <c r="B31" s="10" t="str">
        <f>H49&amp;":["&amp;H50&amp;H51&amp;H52&amp;H53&amp;H54&amp;H55&amp;H56&amp;H57&amp;H58&amp;H59&amp;H60&amp;H61&amp;H62&amp;H63&amp;H64&amp;H65&amp;"],"</f>
        <v>"MPG":[0,0,0,0,0.67,0,0.33,0,0.67,1,0.5,0,0.67,0,0,"0"],</v>
      </c>
    </row>
    <row r="32" spans="2:30" ht="14.25" customHeight="1" x14ac:dyDescent="0.35">
      <c r="B32" s="10" t="str">
        <f>I49&amp;":["&amp;I50&amp;I51&amp;I52&amp;I53&amp;I54&amp;I55&amp;I56&amp;I57&amp;I58&amp;I59&amp;I60&amp;I61&amp;I62&amp;I63&amp;I64&amp;I65&amp;"],"</f>
        <v>"TM":[0,0,0,0,2,0,1,0,2,3,1,0,2,0,0,"0"],</v>
      </c>
    </row>
    <row r="33" spans="2:2" ht="14.25" customHeight="1" x14ac:dyDescent="0.35">
      <c r="B33" s="10" t="str">
        <f>J49&amp;":["&amp;J50&amp;J51&amp;J52&amp;J53&amp;J54&amp;J55&amp;J56&amp;J57&amp;J58&amp;J59&amp;J60&amp;J61&amp;J62&amp;J63&amp;J64&amp;J65&amp;"],"</f>
        <v>"TPG":[0,0,0,0,0,0,0,0.33,0,0,0,0,0,0.67,0,"0"],</v>
      </c>
    </row>
    <row r="34" spans="2:2" ht="14.25" customHeight="1" x14ac:dyDescent="0.35">
      <c r="B34" s="10" t="str">
        <f>K49&amp;":["&amp;K50&amp;K51&amp;K52&amp;K53&amp;K54&amp;K55&amp;K56&amp;K57&amp;K58&amp;K59&amp;K60&amp;K61&amp;K62&amp;K63&amp;K64&amp;K65&amp;"],"</f>
        <v>"TT":[0,0,0,0,0,0,0,1,0,0,0,0,0,2,0,"0"],</v>
      </c>
    </row>
    <row r="35" spans="2:2" ht="14.25" customHeight="1" x14ac:dyDescent="0.35">
      <c r="B35" s="10" t="str">
        <f>L49&amp;":["&amp;L50&amp;L51&amp;L52&amp;L53&amp;L54&amp;L55&amp;L56&amp;L57&amp;L58&amp;L59&amp;L60&amp;L61&amp;L62&amp;L63&amp;L64&amp;L65&amp;"],"</f>
        <v>"Missed":[0,0,1,0,0,0,0,0,0,0,1,0,0,0,3,"0"],</v>
      </c>
    </row>
    <row r="36" spans="2:2" ht="14.25" customHeight="1" x14ac:dyDescent="0.35">
      <c r="B36" s="10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7" spans="2:2" ht="14.25" customHeight="1" x14ac:dyDescent="0.35">
      <c r="B37" s="10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38" spans="2:2" ht="14.25" customHeight="1" x14ac:dyDescent="0.35">
      <c r="B38" s="10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39" spans="2:2" ht="14.25" customHeight="1" x14ac:dyDescent="0.35">
      <c r="B39" s="10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0" spans="2:2" ht="14.25" customHeight="1" x14ac:dyDescent="0.35">
      <c r="B40" s="1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T2","","All-2nd-Offence Team T2","All-2nd-Defence Team T2","Scoring Champ T1","",""],</v>
      </c>
    </row>
    <row r="41" spans="2:2" ht="14.25" customHeight="1" x14ac:dyDescent="0.35">
      <c r="B41" s="10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T2","","","All-2nd-Defence Team T2","Champion T2","All-Offence Team T2","",""],</v>
      </c>
    </row>
    <row r="42" spans="2:2" ht="14.25" customHeight="1" x14ac:dyDescent="0.35">
      <c r="B42" s="10" t="str">
        <f>S49&amp;":["&amp;S50&amp;S51&amp;S52&amp;S53&amp;S54&amp;S55&amp;S56&amp;S57&amp;S58&amp;S59&amp;S60&amp;S61&amp;S62&amp;S63&amp;S64&amp;S65&amp;"],"</f>
        <v>"AccoladesSeven":["","","","GM","","","","Champion T2","Finals MVP T2","","","","","All-Defence Team T2","",""],</v>
      </c>
    </row>
    <row r="43" spans="2:2" ht="14.25" customHeight="1" x14ac:dyDescent="0.35">
      <c r="B43" s="10" t="str">
        <f>T49&amp;":["&amp;T50&amp;T51&amp;T52&amp;T53&amp;T54&amp;T55&amp;T56&amp;T57&amp;T58&amp;T59&amp;T60&amp;T61&amp;T62&amp;T63&amp;T64&amp;T65&amp;"],"</f>
        <v>"AccoladesEight":[" ","","","","","","","","","","","","","Champion T2","",""],</v>
      </c>
    </row>
    <row r="44" spans="2:2" ht="14.25" customHeight="1" x14ac:dyDescent="0.35">
      <c r="B44" s="10" t="str">
        <f>U49&amp;":["&amp;U50&amp;U51&amp;U52&amp;U53&amp;U54&amp;U55&amp;U56&amp;U57&amp;U58&amp;U59&amp;U60&amp;U61&amp;U62&amp;U63&amp;U64&amp;U65&amp;"],"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5" spans="2:2" ht="14.25" customHeight="1" x14ac:dyDescent="0.35">
      <c r="B45" s="10" t="str">
        <f>V49&amp;":["&amp;V50&amp;V51&amp;V52&amp;V53&amp;V54&amp;V55&amp;V56&amp;V57&amp;V58&amp;V59&amp;V60&amp;V61&amp;V62&amp;V63&amp;V64&amp;V65&amp;"],"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6" spans="2:2" ht="14.25" customHeight="1" x14ac:dyDescent="0.35">
      <c r="B46" s="10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7" spans="2:2" ht="14.25" customHeight="1" x14ac:dyDescent="0.35">
      <c r="B47" s="10"/>
    </row>
    <row r="48" spans="2:2" ht="14.25" customHeight="1" x14ac:dyDescent="0.35"/>
    <row r="49" spans="2:23" ht="14.25" customHeight="1" x14ac:dyDescent="0.3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4">CHAR(34)&amp;M2&amp;CHAR(34)</f>
        <v>"AccoladesOne"</v>
      </c>
      <c r="N49" s="12" t="str">
        <f t="shared" si="4"/>
        <v>"AccoladesTwo"</v>
      </c>
      <c r="O49" s="12" t="str">
        <f t="shared" si="4"/>
        <v>"AccoladesThree"</v>
      </c>
      <c r="P49" s="12" t="str">
        <f t="shared" si="4"/>
        <v>"AccoladesFour"</v>
      </c>
      <c r="Q49" s="12" t="str">
        <f t="shared" si="4"/>
        <v>"AccoladesFive"</v>
      </c>
      <c r="R49" s="12" t="str">
        <f t="shared" si="4"/>
        <v>"AccoladesSix"</v>
      </c>
      <c r="S49" s="12" t="str">
        <f t="shared" si="4"/>
        <v>"AccoladesSeven"</v>
      </c>
      <c r="T49" s="12" t="str">
        <f t="shared" si="4"/>
        <v>"AccoladesEight"</v>
      </c>
      <c r="U49" s="12" t="str">
        <f t="shared" si="4"/>
        <v>"History"</v>
      </c>
      <c r="V49" s="12" t="str">
        <f t="shared" si="4"/>
        <v>"TeamImage"</v>
      </c>
      <c r="W49" s="12" t="str">
        <f t="shared" si="4"/>
        <v>"PlayerImage"</v>
      </c>
    </row>
    <row r="50" spans="2:23" ht="14.25" customHeight="1" x14ac:dyDescent="0.35">
      <c r="B50" s="12" t="str">
        <f t="shared" ref="B50:C59" si="5">CHAR(34)&amp;B3&amp;CHAR(34)&amp;","</f>
        <v>"Jasper Collier",</v>
      </c>
      <c r="C50" s="12" t="str">
        <f t="shared" si="5"/>
        <v>"Choc-Tops",</v>
      </c>
      <c r="D50" s="12" t="str">
        <f t="shared" ref="D50:D64" si="6">ROUND(D3,2)&amp;","</f>
        <v>0,</v>
      </c>
      <c r="E50" s="12" t="str">
        <f t="shared" ref="E50:E64" si="7">E3&amp;","</f>
        <v>0,</v>
      </c>
      <c r="F50" s="12" t="str">
        <f t="shared" ref="F50:F64" si="8">ROUND(F3,2)&amp;","</f>
        <v>0,</v>
      </c>
      <c r="G50" s="12" t="str">
        <f t="shared" ref="G50:G64" si="9">G3&amp;","</f>
        <v>0,</v>
      </c>
      <c r="H50" s="12" t="str">
        <f t="shared" ref="H50:H64" si="10">ROUND(H3,2)&amp;","</f>
        <v>0,</v>
      </c>
      <c r="I50" s="12" t="str">
        <f t="shared" ref="I50:I64" si="11">I3&amp;","</f>
        <v>0,</v>
      </c>
      <c r="J50" s="12" t="str">
        <f t="shared" ref="J50:J64" si="12">ROUND(J3,2)&amp;","</f>
        <v>0,</v>
      </c>
      <c r="K50" s="12" t="str">
        <f t="shared" ref="K50:L59" si="13">K3&amp;","</f>
        <v>0,</v>
      </c>
      <c r="L50" s="12" t="str">
        <f t="shared" si="13"/>
        <v>0,</v>
      </c>
      <c r="M50" s="12" t="str">
        <f t="shared" ref="M50:W50" si="14">CHAR(34)&amp;M3&amp;CHAR(34)&amp;","</f>
        <v>"",</v>
      </c>
      <c r="N50" s="12" t="str">
        <f t="shared" si="14"/>
        <v>"",</v>
      </c>
      <c r="O50" s="12" t="str">
        <f t="shared" si="14"/>
        <v>"",</v>
      </c>
      <c r="P50" s="12" t="str">
        <f t="shared" si="14"/>
        <v>"",</v>
      </c>
      <c r="Q50" s="12" t="str">
        <f t="shared" si="14"/>
        <v>"",</v>
      </c>
      <c r="R50" s="12" t="str">
        <f t="shared" si="14"/>
        <v>"",</v>
      </c>
      <c r="S50" s="12" t="str">
        <f t="shared" si="14"/>
        <v>"",</v>
      </c>
      <c r="T50" s="12" t="str">
        <f t="shared" si="14"/>
        <v>" ",</v>
      </c>
      <c r="U50" s="12" t="str">
        <f t="shared" si="14"/>
        <v>"Drafted by Choc-Tops",</v>
      </c>
      <c r="V50" s="12" t="str">
        <f t="shared" si="14"/>
        <v>"../Images/CT_Final.png",</v>
      </c>
      <c r="W50" s="12" t="str">
        <f t="shared" si="14"/>
        <v>"../Images/Players/Jasper.png",</v>
      </c>
    </row>
    <row r="51" spans="2:23" ht="14.25" customHeight="1" x14ac:dyDescent="0.35">
      <c r="B51" s="12" t="str">
        <f t="shared" si="5"/>
        <v>"Conor Farrington",</v>
      </c>
      <c r="C51" s="12" t="str">
        <f t="shared" si="5"/>
        <v>"Gentle, Men",</v>
      </c>
      <c r="D51" s="12" t="str">
        <f t="shared" si="6"/>
        <v>0,</v>
      </c>
      <c r="E51" s="12" t="str">
        <f t="shared" si="7"/>
        <v>0,</v>
      </c>
      <c r="F51" s="12" t="str">
        <f t="shared" si="8"/>
        <v>0,</v>
      </c>
      <c r="G51" s="12" t="str">
        <f t="shared" si="9"/>
        <v>0,</v>
      </c>
      <c r="H51" s="12" t="str">
        <f t="shared" si="10"/>
        <v>0,</v>
      </c>
      <c r="I51" s="12" t="str">
        <f t="shared" si="11"/>
        <v>0,</v>
      </c>
      <c r="J51" s="12" t="str">
        <f t="shared" si="12"/>
        <v>0,</v>
      </c>
      <c r="K51" s="12" t="str">
        <f t="shared" si="13"/>
        <v>0,</v>
      </c>
      <c r="L51" s="12" t="str">
        <f t="shared" si="13"/>
        <v>0,</v>
      </c>
      <c r="M51" s="12" t="str">
        <f t="shared" ref="M51:W51" si="15">CHAR(34)&amp;M4&amp;CHAR(34)&amp;","</f>
        <v>"",</v>
      </c>
      <c r="N51" s="12" t="str">
        <f t="shared" si="15"/>
        <v>"",</v>
      </c>
      <c r="O51" s="12" t="str">
        <f t="shared" si="15"/>
        <v>"",</v>
      </c>
      <c r="P51" s="12" t="str">
        <f t="shared" si="15"/>
        <v>"",</v>
      </c>
      <c r="Q51" s="12" t="str">
        <f t="shared" si="15"/>
        <v>"",</v>
      </c>
      <c r="R51" s="12" t="str">
        <f t="shared" si="15"/>
        <v>"",</v>
      </c>
      <c r="S51" s="12" t="str">
        <f t="shared" si="15"/>
        <v>"",</v>
      </c>
      <c r="T51" s="12" t="str">
        <f t="shared" si="15"/>
        <v>"",</v>
      </c>
      <c r="U51" s="12" t="str">
        <f t="shared" si="15"/>
        <v>"GM of Gentle, Men",</v>
      </c>
      <c r="V51" s="12" t="str">
        <f t="shared" si="15"/>
        <v>"../Images/GM_Final.png",</v>
      </c>
      <c r="W51" s="12" t="str">
        <f t="shared" si="15"/>
        <v>"../Images/Players/Conor.png",</v>
      </c>
    </row>
    <row r="52" spans="2:23" ht="14.25" customHeight="1" x14ac:dyDescent="0.35">
      <c r="B52" s="12" t="str">
        <f t="shared" si="5"/>
        <v>"Alexander Galt",</v>
      </c>
      <c r="C52" s="12" t="str">
        <f t="shared" si="5"/>
        <v>"Choc-Tops",</v>
      </c>
      <c r="D52" s="12" t="str">
        <f t="shared" si="6"/>
        <v>3,</v>
      </c>
      <c r="E52" s="12" t="str">
        <f t="shared" si="7"/>
        <v>6,</v>
      </c>
      <c r="F52" s="12" t="str">
        <f t="shared" si="8"/>
        <v>3,</v>
      </c>
      <c r="G52" s="12" t="str">
        <f t="shared" si="9"/>
        <v>6,</v>
      </c>
      <c r="H52" s="12" t="str">
        <f t="shared" si="10"/>
        <v>0,</v>
      </c>
      <c r="I52" s="12" t="str">
        <f t="shared" si="11"/>
        <v>0,</v>
      </c>
      <c r="J52" s="12" t="str">
        <f t="shared" si="12"/>
        <v>0,</v>
      </c>
      <c r="K52" s="12" t="str">
        <f t="shared" si="13"/>
        <v>0,</v>
      </c>
      <c r="L52" s="12" t="str">
        <f t="shared" si="13"/>
        <v>1,</v>
      </c>
      <c r="M52" s="12" t="str">
        <f t="shared" ref="M52:W52" si="16">CHAR(34)&amp;M5&amp;CHAR(34)&amp;","</f>
        <v>"All-Defence Team T1",</v>
      </c>
      <c r="N52" s="12" t="str">
        <f t="shared" si="16"/>
        <v>"Champion T1",</v>
      </c>
      <c r="O52" s="12" t="str">
        <f t="shared" si="16"/>
        <v>"All-Offence Team T2",</v>
      </c>
      <c r="P52" s="12" t="str">
        <f t="shared" si="16"/>
        <v>"All-Defence Team T2",</v>
      </c>
      <c r="Q52" s="12" t="str">
        <f t="shared" si="16"/>
        <v>"",</v>
      </c>
      <c r="R52" s="12" t="str">
        <f t="shared" si="16"/>
        <v>"",</v>
      </c>
      <c r="S52" s="12" t="str">
        <f t="shared" si="16"/>
        <v>"",</v>
      </c>
      <c r="T52" s="12" t="str">
        <f t="shared" si="16"/>
        <v>"",</v>
      </c>
      <c r="U52" s="12" t="str">
        <f t="shared" si="16"/>
        <v>"Drafted by Choc-Tops",</v>
      </c>
      <c r="V52" s="12" t="str">
        <f t="shared" si="16"/>
        <v>"../Images/CT_Final.png",</v>
      </c>
      <c r="W52" s="12" t="str">
        <f t="shared" si="16"/>
        <v>"../Images/Players/Alex.png",</v>
      </c>
    </row>
    <row r="53" spans="2:23" ht="14.25" customHeight="1" x14ac:dyDescent="0.35">
      <c r="B53" s="12" t="str">
        <f t="shared" si="5"/>
        <v>"Rudy Hoschke",</v>
      </c>
      <c r="C53" s="12" t="str">
        <f t="shared" si="5"/>
        <v>"Choc-Tops",</v>
      </c>
      <c r="D53" s="12" t="str">
        <f t="shared" si="6"/>
        <v>2,</v>
      </c>
      <c r="E53" s="12" t="str">
        <f t="shared" si="7"/>
        <v>6,</v>
      </c>
      <c r="F53" s="12" t="str">
        <f t="shared" si="8"/>
        <v>2,</v>
      </c>
      <c r="G53" s="12" t="str">
        <f t="shared" si="9"/>
        <v>6,</v>
      </c>
      <c r="H53" s="12" t="str">
        <f t="shared" si="10"/>
        <v>0,</v>
      </c>
      <c r="I53" s="12" t="str">
        <f t="shared" si="11"/>
        <v>0,</v>
      </c>
      <c r="J53" s="12" t="str">
        <f t="shared" si="12"/>
        <v>0,</v>
      </c>
      <c r="K53" s="12" t="str">
        <f t="shared" si="13"/>
        <v>0,</v>
      </c>
      <c r="L53" s="12" t="str">
        <f t="shared" si="13"/>
        <v>0,</v>
      </c>
      <c r="M53" s="12" t="str">
        <f t="shared" ref="M53:W53" si="17">CHAR(34)&amp;M6&amp;CHAR(34)&amp;","</f>
        <v>"All-Offence Team T1",</v>
      </c>
      <c r="N53" s="12" t="str">
        <f t="shared" si="17"/>
        <v>"All-Defence Team T1",</v>
      </c>
      <c r="O53" s="12" t="str">
        <f t="shared" si="17"/>
        <v>"Champion T1",</v>
      </c>
      <c r="P53" s="12" t="str">
        <f t="shared" si="17"/>
        <v>"All-Offence Team T2",</v>
      </c>
      <c r="Q53" s="12" t="str">
        <f t="shared" si="17"/>
        <v>"All-Defence Team T2",</v>
      </c>
      <c r="R53" s="12" t="str">
        <f t="shared" si="17"/>
        <v>"Scoring Champ T2",</v>
      </c>
      <c r="S53" s="12" t="str">
        <f t="shared" si="17"/>
        <v>"GM",</v>
      </c>
      <c r="T53" s="12" t="str">
        <f t="shared" si="17"/>
        <v>"",</v>
      </c>
      <c r="U53" s="12" t="str">
        <f t="shared" si="17"/>
        <v>"Drafted by Choc-Tops",</v>
      </c>
      <c r="V53" s="12" t="str">
        <f t="shared" si="17"/>
        <v>"../Images/CT_Final.png",</v>
      </c>
      <c r="W53" s="12" t="str">
        <f t="shared" si="17"/>
        <v>"../Images/Players/Rudy.png",</v>
      </c>
    </row>
    <row r="54" spans="2:23" ht="14.25" customHeight="1" x14ac:dyDescent="0.35">
      <c r="B54" s="12" t="str">
        <f t="shared" si="5"/>
        <v>"Michael Iffland",</v>
      </c>
      <c r="C54" s="12" t="str">
        <f t="shared" si="5"/>
        <v>"Gentle, Men",</v>
      </c>
      <c r="D54" s="12" t="str">
        <f t="shared" si="6"/>
        <v>2,</v>
      </c>
      <c r="E54" s="12" t="str">
        <f t="shared" si="7"/>
        <v>6,</v>
      </c>
      <c r="F54" s="12" t="str">
        <f t="shared" si="8"/>
        <v>1.33,</v>
      </c>
      <c r="G54" s="12" t="str">
        <f t="shared" si="9"/>
        <v>4,</v>
      </c>
      <c r="H54" s="12" t="str">
        <f t="shared" si="10"/>
        <v>0.67,</v>
      </c>
      <c r="I54" s="12" t="str">
        <f t="shared" si="11"/>
        <v>2,</v>
      </c>
      <c r="J54" s="12" t="str">
        <f t="shared" si="12"/>
        <v>0,</v>
      </c>
      <c r="K54" s="12" t="str">
        <f t="shared" si="13"/>
        <v>0,</v>
      </c>
      <c r="L54" s="12" t="str">
        <f t="shared" si="13"/>
        <v>0,</v>
      </c>
      <c r="M54" s="12" t="str">
        <f t="shared" ref="M54:W54" si="18">CHAR(34)&amp;M7&amp;CHAR(34)&amp;","</f>
        <v>"Playmaker T1",</v>
      </c>
      <c r="N54" s="12" t="str">
        <f t="shared" si="18"/>
        <v>"Thirdman T1",</v>
      </c>
      <c r="O54" s="12" t="str">
        <f t="shared" si="18"/>
        <v>"All-Offence Team T2",</v>
      </c>
      <c r="P54" s="12" t="str">
        <f t="shared" si="18"/>
        <v>"All-2nd-Defence Team T2",</v>
      </c>
      <c r="Q54" s="12" t="str">
        <f t="shared" si="18"/>
        <v>"",</v>
      </c>
      <c r="R54" s="12" t="str">
        <f t="shared" si="18"/>
        <v>"",</v>
      </c>
      <c r="S54" s="12" t="str">
        <f t="shared" si="18"/>
        <v>"",</v>
      </c>
      <c r="T54" s="12" t="str">
        <f t="shared" si="18"/>
        <v>"",</v>
      </c>
      <c r="U54" s="12" t="str">
        <f t="shared" si="18"/>
        <v>"Drafted by Gentle, Men",</v>
      </c>
      <c r="V54" s="12" t="str">
        <f t="shared" si="18"/>
        <v>"../Images/GM_Final.png",</v>
      </c>
      <c r="W54" s="12" t="str">
        <f t="shared" si="18"/>
        <v>"../Images/Players/Michael.png",</v>
      </c>
    </row>
    <row r="55" spans="2:23" ht="14.25" customHeight="1" x14ac:dyDescent="0.35">
      <c r="B55" s="12" t="str">
        <f t="shared" si="5"/>
        <v>"Lukas Johnston",</v>
      </c>
      <c r="C55" s="12" t="str">
        <f t="shared" si="5"/>
        <v>"Gentle, Men",</v>
      </c>
      <c r="D55" s="12" t="str">
        <f t="shared" si="6"/>
        <v>1.33,</v>
      </c>
      <c r="E55" s="12" t="str">
        <f t="shared" si="7"/>
        <v>4,</v>
      </c>
      <c r="F55" s="12" t="str">
        <f t="shared" si="8"/>
        <v>1.33,</v>
      </c>
      <c r="G55" s="12" t="str">
        <f t="shared" si="9"/>
        <v>4,</v>
      </c>
      <c r="H55" s="12" t="str">
        <f t="shared" si="10"/>
        <v>0,</v>
      </c>
      <c r="I55" s="12" t="str">
        <f t="shared" si="11"/>
        <v>0,</v>
      </c>
      <c r="J55" s="12" t="str">
        <f t="shared" si="12"/>
        <v>0,</v>
      </c>
      <c r="K55" s="12" t="str">
        <f t="shared" si="13"/>
        <v>0,</v>
      </c>
      <c r="L55" s="12" t="str">
        <f t="shared" si="13"/>
        <v>0,</v>
      </c>
      <c r="M55" s="12" t="str">
        <f t="shared" ref="M55:W55" si="19">CHAR(34)&amp;M8&amp;CHAR(34)&amp;","</f>
        <v>"MVP Runner Up T1",</v>
      </c>
      <c r="N55" s="12" t="str">
        <f t="shared" si="19"/>
        <v>"All-Offence Team T1",</v>
      </c>
      <c r="O55" s="12" t="str">
        <f t="shared" si="19"/>
        <v>"All-2nd-Offence Team T2",</v>
      </c>
      <c r="P55" s="12" t="str">
        <f t="shared" si="19"/>
        <v>"",</v>
      </c>
      <c r="Q55" s="12" t="str">
        <f t="shared" si="19"/>
        <v>"",</v>
      </c>
      <c r="R55" s="12" t="str">
        <f t="shared" si="19"/>
        <v>"",</v>
      </c>
      <c r="S55" s="12" t="str">
        <f t="shared" si="19"/>
        <v>"",</v>
      </c>
      <c r="T55" s="12" t="str">
        <f t="shared" si="19"/>
        <v>"",</v>
      </c>
      <c r="U55" s="12" t="str">
        <f t="shared" si="19"/>
        <v>"Drafted by Gentle, Men",</v>
      </c>
      <c r="V55" s="12" t="str">
        <f t="shared" si="19"/>
        <v>"../Images/GM_Final.png",</v>
      </c>
      <c r="W55" s="12" t="str">
        <f t="shared" si="19"/>
        <v>"../Images/Players/Lukas.png",</v>
      </c>
    </row>
    <row r="56" spans="2:23" ht="14.25" customHeight="1" x14ac:dyDescent="0.35">
      <c r="B56" s="12" t="str">
        <f t="shared" si="5"/>
        <v>"Sam James",</v>
      </c>
      <c r="C56" s="12" t="str">
        <f t="shared" si="5"/>
        <v>"Traffic Controllers",</v>
      </c>
      <c r="D56" s="12" t="str">
        <f t="shared" si="6"/>
        <v>0.33,</v>
      </c>
      <c r="E56" s="12" t="str">
        <f t="shared" si="7"/>
        <v>1,</v>
      </c>
      <c r="F56" s="12" t="str">
        <f t="shared" si="8"/>
        <v>0,</v>
      </c>
      <c r="G56" s="12" t="str">
        <f t="shared" si="9"/>
        <v>0,</v>
      </c>
      <c r="H56" s="12" t="str">
        <f t="shared" si="10"/>
        <v>0.33,</v>
      </c>
      <c r="I56" s="12" t="str">
        <f t="shared" si="11"/>
        <v>1,</v>
      </c>
      <c r="J56" s="12" t="str">
        <f t="shared" si="12"/>
        <v>0,</v>
      </c>
      <c r="K56" s="12" t="str">
        <f t="shared" si="13"/>
        <v>0,</v>
      </c>
      <c r="L56" s="12" t="str">
        <f t="shared" si="13"/>
        <v>0,</v>
      </c>
      <c r="M56" s="12" t="str">
        <f t="shared" ref="M56:W56" si="20">CHAR(34)&amp;M9&amp;CHAR(34)&amp;","</f>
        <v>"Miles Morales",</v>
      </c>
      <c r="N56" s="12" t="str">
        <f t="shared" si="20"/>
        <v>"Champion T2",</v>
      </c>
      <c r="O56" s="12" t="str">
        <f t="shared" si="20"/>
        <v>"",</v>
      </c>
      <c r="P56" s="12" t="str">
        <f t="shared" si="20"/>
        <v>"",</v>
      </c>
      <c r="Q56" s="12" t="str">
        <f t="shared" si="20"/>
        <v>"",</v>
      </c>
      <c r="R56" s="12" t="str">
        <f t="shared" si="20"/>
        <v>"",</v>
      </c>
      <c r="S56" s="12" t="str">
        <f t="shared" si="20"/>
        <v>"",</v>
      </c>
      <c r="T56" s="12" t="str">
        <f t="shared" si="20"/>
        <v>"",</v>
      </c>
      <c r="U56" s="12" t="str">
        <f t="shared" si="20"/>
        <v>"Drafted by Traffic Controllers",</v>
      </c>
      <c r="V56" s="12" t="str">
        <f t="shared" si="20"/>
        <v>"../Images/TC_Final.png",</v>
      </c>
      <c r="W56" s="12" t="str">
        <f t="shared" si="20"/>
        <v>"../Images/Players/SamJ.png",</v>
      </c>
    </row>
    <row r="57" spans="2:23" ht="14.25" customHeight="1" x14ac:dyDescent="0.35">
      <c r="B57" s="12" t="str">
        <f t="shared" si="5"/>
        <v>"Clarrie Jones",</v>
      </c>
      <c r="C57" s="12" t="str">
        <f t="shared" si="5"/>
        <v>"Traffic Controllers",</v>
      </c>
      <c r="D57" s="12" t="str">
        <f t="shared" si="6"/>
        <v>0.67,</v>
      </c>
      <c r="E57" s="12" t="str">
        <f t="shared" si="7"/>
        <v>2,</v>
      </c>
      <c r="F57" s="12" t="str">
        <f t="shared" si="8"/>
        <v>0,</v>
      </c>
      <c r="G57" s="12" t="str">
        <f t="shared" si="9"/>
        <v>0,</v>
      </c>
      <c r="H57" s="12" t="str">
        <f t="shared" si="10"/>
        <v>0,</v>
      </c>
      <c r="I57" s="12" t="str">
        <f t="shared" si="11"/>
        <v>0,</v>
      </c>
      <c r="J57" s="12" t="str">
        <f t="shared" si="12"/>
        <v>0.33,</v>
      </c>
      <c r="K57" s="12" t="str">
        <f t="shared" si="13"/>
        <v>1,</v>
      </c>
      <c r="L57" s="12" t="str">
        <f t="shared" si="13"/>
        <v>0,</v>
      </c>
      <c r="M57" s="12" t="str">
        <f t="shared" ref="M57:W57" si="21">CHAR(34)&amp;M10&amp;CHAR(34)&amp;","</f>
        <v>"LTBO Manager",</v>
      </c>
      <c r="N57" s="12" t="str">
        <f t="shared" si="21"/>
        <v>"Champion T1",</v>
      </c>
      <c r="O57" s="12" t="str">
        <f t="shared" si="21"/>
        <v>"Finals MVP T1",</v>
      </c>
      <c r="P57" s="12" t="str">
        <f t="shared" si="21"/>
        <v>"Fifthman T2",</v>
      </c>
      <c r="Q57" s="12" t="str">
        <f t="shared" si="21"/>
        <v>"All-2nd-Offence Team T2",</v>
      </c>
      <c r="R57" s="12" t="str">
        <f t="shared" si="21"/>
        <v>"All-2nd-Defence Team T2",</v>
      </c>
      <c r="S57" s="12" t="str">
        <f t="shared" si="21"/>
        <v>"Champion T2",</v>
      </c>
      <c r="T57" s="12" t="str">
        <f t="shared" si="21"/>
        <v>"",</v>
      </c>
      <c r="U57" s="12" t="str">
        <f t="shared" si="21"/>
        <v>"GM of Traffic Controllers",</v>
      </c>
      <c r="V57" s="12" t="str">
        <f t="shared" si="21"/>
        <v>"../Images/TC_Final.png",</v>
      </c>
      <c r="W57" s="12" t="str">
        <f t="shared" si="21"/>
        <v>"../Images/Players/Clarrie.png",</v>
      </c>
    </row>
    <row r="58" spans="2:23" ht="14.25" customHeight="1" x14ac:dyDescent="0.35">
      <c r="B58" s="12" t="str">
        <f t="shared" si="5"/>
        <v>"William Kim",</v>
      </c>
      <c r="C58" s="12" t="str">
        <f t="shared" si="5"/>
        <v>"Traffic Controllers",</v>
      </c>
      <c r="D58" s="12" t="str">
        <f t="shared" si="6"/>
        <v>1,</v>
      </c>
      <c r="E58" s="12" t="str">
        <f t="shared" si="7"/>
        <v>3,</v>
      </c>
      <c r="F58" s="12" t="str">
        <f t="shared" si="8"/>
        <v>0.33,</v>
      </c>
      <c r="G58" s="12" t="str">
        <f t="shared" si="9"/>
        <v>1,</v>
      </c>
      <c r="H58" s="12" t="str">
        <f t="shared" si="10"/>
        <v>0.67,</v>
      </c>
      <c r="I58" s="12" t="str">
        <f t="shared" si="11"/>
        <v>2,</v>
      </c>
      <c r="J58" s="12" t="str">
        <f t="shared" si="12"/>
        <v>0,</v>
      </c>
      <c r="K58" s="12" t="str">
        <f t="shared" si="13"/>
        <v>0,</v>
      </c>
      <c r="L58" s="12" t="str">
        <f t="shared" si="13"/>
        <v>0,</v>
      </c>
      <c r="M58" s="12" t="str">
        <f t="shared" ref="M58:W58" si="22">CHAR(34)&amp;M11&amp;CHAR(34)&amp;","</f>
        <v>"MVP T1",</v>
      </c>
      <c r="N58" s="12" t="str">
        <f t="shared" si="22"/>
        <v>"All-Offence Team T1",</v>
      </c>
      <c r="O58" s="12" t="str">
        <f t="shared" si="22"/>
        <v>"All-Defence Team T1",</v>
      </c>
      <c r="P58" s="12" t="str">
        <f t="shared" si="22"/>
        <v>"All-2nd-Offence Team T2",</v>
      </c>
      <c r="Q58" s="12" t="str">
        <f t="shared" si="22"/>
        <v>"All-Defence Team T2",</v>
      </c>
      <c r="R58" s="12" t="str">
        <f t="shared" si="22"/>
        <v>"Champion T2",</v>
      </c>
      <c r="S58" s="12" t="str">
        <f t="shared" si="22"/>
        <v>"Finals MVP T2",</v>
      </c>
      <c r="T58" s="12" t="str">
        <f t="shared" si="22"/>
        <v>"",</v>
      </c>
      <c r="U58" s="12" t="str">
        <f t="shared" si="22"/>
        <v>"Drafted by Traffic Controllers",</v>
      </c>
      <c r="V58" s="12" t="str">
        <f t="shared" si="22"/>
        <v>"../Images/TC_Final.png",</v>
      </c>
      <c r="W58" s="12" t="str">
        <f t="shared" si="22"/>
        <v>"../Images/Players/Kimmy.png",</v>
      </c>
    </row>
    <row r="59" spans="2:23" ht="14.25" customHeight="1" x14ac:dyDescent="0.35">
      <c r="B59" s="12" t="str">
        <f t="shared" si="5"/>
        <v>"Samuel McConaghy",</v>
      </c>
      <c r="C59" s="12" t="str">
        <f t="shared" si="5"/>
        <v>"Gentle, Men",</v>
      </c>
      <c r="D59" s="12" t="str">
        <f t="shared" si="6"/>
        <v>1.67,</v>
      </c>
      <c r="E59" s="12" t="str">
        <f t="shared" si="7"/>
        <v>5,</v>
      </c>
      <c r="F59" s="12" t="str">
        <f t="shared" si="8"/>
        <v>0.67,</v>
      </c>
      <c r="G59" s="12" t="str">
        <f t="shared" si="9"/>
        <v>2,</v>
      </c>
      <c r="H59" s="12" t="str">
        <f t="shared" si="10"/>
        <v>1,</v>
      </c>
      <c r="I59" s="12" t="str">
        <f t="shared" si="11"/>
        <v>3,</v>
      </c>
      <c r="J59" s="12" t="str">
        <f t="shared" si="12"/>
        <v>0,</v>
      </c>
      <c r="K59" s="12" t="str">
        <f t="shared" si="13"/>
        <v>0,</v>
      </c>
      <c r="L59" s="12" t="str">
        <f t="shared" si="13"/>
        <v>0,</v>
      </c>
      <c r="M59" s="12" t="str">
        <f t="shared" ref="M59:W59" si="23">CHAR(34)&amp;M12&amp;CHAR(34)&amp;","</f>
        <v>"GM",</v>
      </c>
      <c r="N59" s="12" t="str">
        <f t="shared" si="23"/>
        <v>"All-Offence Team T1",</v>
      </c>
      <c r="O59" s="12" t="str">
        <f t="shared" si="23"/>
        <v>"All-Defence Team T1",</v>
      </c>
      <c r="P59" s="12" t="str">
        <f t="shared" si="23"/>
        <v>"All-Offence Team T2",</v>
      </c>
      <c r="Q59" s="12" t="str">
        <f t="shared" si="23"/>
        <v>"All-Defence Team T2",</v>
      </c>
      <c r="R59" s="12" t="str">
        <f t="shared" si="23"/>
        <v>"",</v>
      </c>
      <c r="S59" s="12" t="str">
        <f t="shared" si="23"/>
        <v>"",</v>
      </c>
      <c r="T59" s="12" t="str">
        <f t="shared" si="23"/>
        <v>"",</v>
      </c>
      <c r="U59" s="12" t="str">
        <f t="shared" si="23"/>
        <v>"Drafted by Gentle, Men",</v>
      </c>
      <c r="V59" s="12" t="str">
        <f t="shared" si="23"/>
        <v>"../Images/GM_Final.png",</v>
      </c>
      <c r="W59" s="12" t="str">
        <f t="shared" si="23"/>
        <v>"../Images/Players/SamM.png",</v>
      </c>
    </row>
    <row r="60" spans="2:23" ht="14.25" customHeight="1" x14ac:dyDescent="0.35">
      <c r="B60" s="12" t="str">
        <f t="shared" ref="B60:C60" si="24">CHAR(34)&amp;B13&amp;CHAR(34)&amp;","</f>
        <v>"Ryan Pattemore",</v>
      </c>
      <c r="C60" s="12" t="str">
        <f t="shared" si="24"/>
        <v>"Choc-Tops",</v>
      </c>
      <c r="D60" s="12" t="str">
        <f t="shared" si="6"/>
        <v>0.5,</v>
      </c>
      <c r="E60" s="12" t="str">
        <f t="shared" si="7"/>
        <v>1,</v>
      </c>
      <c r="F60" s="12" t="str">
        <f t="shared" si="8"/>
        <v>0,</v>
      </c>
      <c r="G60" s="12" t="str">
        <f t="shared" si="9"/>
        <v>0,</v>
      </c>
      <c r="H60" s="12" t="str">
        <f t="shared" si="10"/>
        <v>0.5,</v>
      </c>
      <c r="I60" s="12" t="str">
        <f t="shared" si="11"/>
        <v>1,</v>
      </c>
      <c r="J60" s="12" t="str">
        <f t="shared" si="12"/>
        <v>0,</v>
      </c>
      <c r="K60" s="12" t="str">
        <f t="shared" ref="K60:L60" si="25">K13&amp;","</f>
        <v>0,</v>
      </c>
      <c r="L60" s="12" t="str">
        <f t="shared" si="25"/>
        <v>1,</v>
      </c>
      <c r="M60" s="12" t="str">
        <f t="shared" ref="M60:W60" si="26">CHAR(34)&amp;M13&amp;CHAR(34)&amp;","</f>
        <v>"Perimeter T1",</v>
      </c>
      <c r="N60" s="12" t="str">
        <f t="shared" si="26"/>
        <v>"Champion T1",</v>
      </c>
      <c r="O60" s="12" t="str">
        <f t="shared" si="26"/>
        <v>"",</v>
      </c>
      <c r="P60" s="12" t="str">
        <f t="shared" si="26"/>
        <v>"",</v>
      </c>
      <c r="Q60" s="12" t="str">
        <f t="shared" si="26"/>
        <v>"",</v>
      </c>
      <c r="R60" s="12" t="str">
        <f t="shared" si="26"/>
        <v>"",</v>
      </c>
      <c r="S60" s="12" t="str">
        <f t="shared" si="26"/>
        <v>"",</v>
      </c>
      <c r="T60" s="12" t="str">
        <f t="shared" si="26"/>
        <v>"",</v>
      </c>
      <c r="U60" s="12" t="str">
        <f t="shared" si="26"/>
        <v>"GM of Choc-Tops",</v>
      </c>
      <c r="V60" s="12" t="str">
        <f t="shared" si="26"/>
        <v>"../Images/CT_Final.png",</v>
      </c>
      <c r="W60" s="12" t="str">
        <f t="shared" si="26"/>
        <v>"../Images/Players/Ryan.png",</v>
      </c>
    </row>
    <row r="61" spans="2:23" ht="14.25" customHeight="1" x14ac:dyDescent="0.35">
      <c r="B61" s="12" t="str">
        <f t="shared" ref="B61:C61" si="27">CHAR(34)&amp;B14&amp;CHAR(34)&amp;","</f>
        <v>"Nicholas Szogi",</v>
      </c>
      <c r="C61" s="12" t="str">
        <f t="shared" si="27"/>
        <v>"Traffic Controllers",</v>
      </c>
      <c r="D61" s="12" t="str">
        <f t="shared" si="6"/>
        <v>0,</v>
      </c>
      <c r="E61" s="12" t="str">
        <f t="shared" si="7"/>
        <v>0,</v>
      </c>
      <c r="F61" s="12" t="str">
        <f t="shared" si="8"/>
        <v>0,</v>
      </c>
      <c r="G61" s="12" t="str">
        <f t="shared" si="9"/>
        <v>0,</v>
      </c>
      <c r="H61" s="12" t="str">
        <f t="shared" si="10"/>
        <v>0,</v>
      </c>
      <c r="I61" s="12" t="str">
        <f t="shared" si="11"/>
        <v>0,</v>
      </c>
      <c r="J61" s="12" t="str">
        <f t="shared" si="12"/>
        <v>0,</v>
      </c>
      <c r="K61" s="12" t="str">
        <f t="shared" ref="K61:L61" si="28">K14&amp;","</f>
        <v>0,</v>
      </c>
      <c r="L61" s="12" t="str">
        <f t="shared" si="28"/>
        <v>0,</v>
      </c>
      <c r="M61" s="12" t="str">
        <f t="shared" ref="M61:W61" si="29">CHAR(34)&amp;M14&amp;CHAR(34)&amp;","</f>
        <v>"The Biggest Bird",</v>
      </c>
      <c r="N61" s="12" t="str">
        <f t="shared" si="29"/>
        <v>"Champion T1",</v>
      </c>
      <c r="O61" s="12" t="str">
        <f t="shared" si="29"/>
        <v>"MVP Runner Up T2",</v>
      </c>
      <c r="P61" s="12" t="str">
        <f t="shared" si="29"/>
        <v>"X-Factor T2",</v>
      </c>
      <c r="Q61" s="12" t="str">
        <f t="shared" si="29"/>
        <v>"All-2nd-Offence Team T2",</v>
      </c>
      <c r="R61" s="12" t="str">
        <f t="shared" si="29"/>
        <v>"All-2nd-Defence Team T2",</v>
      </c>
      <c r="S61" s="12" t="str">
        <f t="shared" si="29"/>
        <v>"",</v>
      </c>
      <c r="T61" s="12" t="str">
        <f t="shared" si="29"/>
        <v>"",</v>
      </c>
      <c r="U61" s="12" t="str">
        <f t="shared" si="29"/>
        <v>"Drafted by Traffic Controllers",</v>
      </c>
      <c r="V61" s="12" t="str">
        <f t="shared" si="29"/>
        <v>"../Images/TC_Final.png",</v>
      </c>
      <c r="W61" s="12" t="str">
        <f t="shared" si="29"/>
        <v>"../Images/Players/Nicholas.png",</v>
      </c>
    </row>
    <row r="62" spans="2:23" ht="14.25" customHeight="1" x14ac:dyDescent="0.35">
      <c r="B62" s="12" t="str">
        <f t="shared" ref="B62:C62" si="30">CHAR(34)&amp;B15&amp;CHAR(34)&amp;","</f>
        <v>"Christopher Tomkinson",</v>
      </c>
      <c r="C62" s="12" t="str">
        <f t="shared" si="30"/>
        <v>"Choc-Tops",</v>
      </c>
      <c r="D62" s="12" t="str">
        <f t="shared" si="6"/>
        <v>1.33,</v>
      </c>
      <c r="E62" s="12" t="str">
        <f t="shared" si="7"/>
        <v>4,</v>
      </c>
      <c r="F62" s="12" t="str">
        <f t="shared" si="8"/>
        <v>0.67,</v>
      </c>
      <c r="G62" s="12" t="str">
        <f t="shared" si="9"/>
        <v>2,</v>
      </c>
      <c r="H62" s="12" t="str">
        <f t="shared" si="10"/>
        <v>0.67,</v>
      </c>
      <c r="I62" s="12" t="str">
        <f t="shared" si="11"/>
        <v>2,</v>
      </c>
      <c r="J62" s="12" t="str">
        <f t="shared" si="12"/>
        <v>0,</v>
      </c>
      <c r="K62" s="12" t="str">
        <f t="shared" ref="K62:L62" si="31">K15&amp;","</f>
        <v>0,</v>
      </c>
      <c r="L62" s="12" t="str">
        <f t="shared" si="31"/>
        <v>0,</v>
      </c>
      <c r="M62" s="12" t="str">
        <f t="shared" ref="M62:T64" si="32">CHAR(34)&amp;M15&amp;CHAR(34)&amp;","</f>
        <v>"MIP T1",</v>
      </c>
      <c r="N62" s="12" t="str">
        <f t="shared" si="32"/>
        <v>"MIP T2",</v>
      </c>
      <c r="O62" s="12" t="str">
        <f t="shared" si="32"/>
        <v>"MVP T2",</v>
      </c>
      <c r="P62" s="12" t="str">
        <f t="shared" si="32"/>
        <v>"All-2nd-Offence Team T2",</v>
      </c>
      <c r="Q62" s="12" t="str">
        <f t="shared" si="32"/>
        <v>"All-2nd-Defence Team T2",</v>
      </c>
      <c r="R62" s="12" t="str">
        <f t="shared" si="32"/>
        <v>"Champion T2",</v>
      </c>
      <c r="S62" s="12" t="str">
        <f t="shared" si="32"/>
        <v>"",</v>
      </c>
      <c r="T62" s="12" t="str">
        <f t="shared" si="32"/>
        <v>"",</v>
      </c>
      <c r="U62" s="12" t="str">
        <f t="shared" ref="U62:W62" si="33">CHAR(34)&amp;U15&amp;CHAR(34)&amp;","</f>
        <v>"Drafted by Choc-Tops",</v>
      </c>
      <c r="V62" s="12" t="str">
        <f t="shared" si="33"/>
        <v>"../Images/CT_Final.png",</v>
      </c>
      <c r="W62" s="12" t="str">
        <f t="shared" si="33"/>
        <v>"../Images/Players/Chris.png",</v>
      </c>
    </row>
    <row r="63" spans="2:23" ht="14.25" customHeight="1" x14ac:dyDescent="0.35">
      <c r="B63" s="12" t="str">
        <f t="shared" ref="B63:C63" si="34">CHAR(34)&amp;B16&amp;CHAR(34)&amp;","</f>
        <v>"Angus Walker",</v>
      </c>
      <c r="C63" s="12" t="str">
        <f t="shared" si="34"/>
        <v>"Traffic Controllers",</v>
      </c>
      <c r="D63" s="12" t="str">
        <f t="shared" si="6"/>
        <v>1.33,</v>
      </c>
      <c r="E63" s="12" t="str">
        <f t="shared" si="7"/>
        <v>4,</v>
      </c>
      <c r="F63" s="12" t="str">
        <f t="shared" si="8"/>
        <v>0,</v>
      </c>
      <c r="G63" s="12" t="str">
        <f t="shared" si="9"/>
        <v>0,</v>
      </c>
      <c r="H63" s="12" t="str">
        <f t="shared" si="10"/>
        <v>0,</v>
      </c>
      <c r="I63" s="12" t="str">
        <f t="shared" si="11"/>
        <v>0,</v>
      </c>
      <c r="J63" s="12" t="str">
        <f t="shared" si="12"/>
        <v>0.67,</v>
      </c>
      <c r="K63" s="12" t="str">
        <f t="shared" ref="K63:L63" si="35">K16&amp;","</f>
        <v>2,</v>
      </c>
      <c r="L63" s="12" t="str">
        <f t="shared" si="35"/>
        <v>0,</v>
      </c>
      <c r="M63" s="12" t="str">
        <f t="shared" si="32"/>
        <v>"LTBO CEO",</v>
      </c>
      <c r="N63" s="12" t="str">
        <f t="shared" si="32"/>
        <v>"GM",</v>
      </c>
      <c r="O63" s="12" t="str">
        <f t="shared" si="32"/>
        <v>"All-Offence Team T1",</v>
      </c>
      <c r="P63" s="12" t="str">
        <f t="shared" si="32"/>
        <v>"All-Defence Team T1",</v>
      </c>
      <c r="Q63" s="12" t="str">
        <f t="shared" si="32"/>
        <v>"Scoring Champ T1",</v>
      </c>
      <c r="R63" s="12" t="str">
        <f t="shared" si="32"/>
        <v>"All-Offence Team T2",</v>
      </c>
      <c r="S63" s="12" t="str">
        <f t="shared" si="32"/>
        <v>"All-Defence Team T2",</v>
      </c>
      <c r="T63" s="12" t="str">
        <f t="shared" si="32"/>
        <v>"Champion T2",</v>
      </c>
      <c r="U63" s="12" t="str">
        <f t="shared" ref="U63:W63" si="36">CHAR(34)&amp;U16&amp;CHAR(34)&amp;","</f>
        <v>"Drafted by Traffic Controllers",</v>
      </c>
      <c r="V63" s="12" t="str">
        <f t="shared" si="36"/>
        <v>"../Images/TC_Final.png",</v>
      </c>
      <c r="W63" s="12" t="str">
        <f t="shared" si="36"/>
        <v>"../Images/Players/Angus.png",</v>
      </c>
    </row>
    <row r="64" spans="2:23" ht="14.25" customHeight="1" x14ac:dyDescent="0.35">
      <c r="B64" s="12" t="str">
        <f t="shared" ref="B64:C64" si="37">CHAR(34)&amp;B17&amp;CHAR(34)&amp;","</f>
        <v>"Will Weekes",</v>
      </c>
      <c r="C64" s="12" t="str">
        <f t="shared" si="37"/>
        <v>"Gentle, Men",</v>
      </c>
      <c r="D64" s="12" t="str">
        <f t="shared" si="6"/>
        <v>0.33,</v>
      </c>
      <c r="E64" s="12" t="str">
        <f t="shared" si="7"/>
        <v>1,</v>
      </c>
      <c r="F64" s="12" t="str">
        <f t="shared" si="8"/>
        <v>0.33,</v>
      </c>
      <c r="G64" s="12" t="str">
        <f t="shared" si="9"/>
        <v>1,</v>
      </c>
      <c r="H64" s="12" t="str">
        <f t="shared" si="10"/>
        <v>0,</v>
      </c>
      <c r="I64" s="12" t="str">
        <f t="shared" si="11"/>
        <v>0,</v>
      </c>
      <c r="J64" s="12" t="str">
        <f t="shared" si="12"/>
        <v>0,</v>
      </c>
      <c r="K64" s="12" t="str">
        <f t="shared" ref="K64:L64" si="38">K17&amp;","</f>
        <v>0,</v>
      </c>
      <c r="L64" s="12" t="str">
        <f t="shared" si="38"/>
        <v>3,</v>
      </c>
      <c r="M64" s="12" t="str">
        <f t="shared" si="32"/>
        <v>"Teammate T1",</v>
      </c>
      <c r="N64" s="12" t="str">
        <f t="shared" si="32"/>
        <v>"Champion T1",</v>
      </c>
      <c r="O64" s="12" t="str">
        <f t="shared" si="32"/>
        <v>"Teammate T2",</v>
      </c>
      <c r="P64" s="12" t="str">
        <f t="shared" si="32"/>
        <v>"",</v>
      </c>
      <c r="Q64" s="12" t="str">
        <f t="shared" si="32"/>
        <v>"",</v>
      </c>
      <c r="R64" s="12" t="str">
        <f t="shared" si="32"/>
        <v>"",</v>
      </c>
      <c r="S64" s="12" t="str">
        <f t="shared" si="32"/>
        <v>"",</v>
      </c>
      <c r="T64" s="12" t="str">
        <f t="shared" si="32"/>
        <v>"",</v>
      </c>
      <c r="U64" s="12" t="str">
        <f t="shared" ref="U64:W64" si="39">CHAR(34)&amp;U17&amp;CHAR(34)&amp;","</f>
        <v>"Drafted by Gentle, Men",</v>
      </c>
      <c r="V64" s="12" t="str">
        <f t="shared" si="39"/>
        <v>"../Images/GM_Final.png",</v>
      </c>
      <c r="W64" s="12" t="str">
        <f t="shared" si="39"/>
        <v>"../Images/Players/Will.png",</v>
      </c>
    </row>
    <row r="65" spans="2:23" ht="14.25" customHeight="1" x14ac:dyDescent="0.35">
      <c r="B65" s="12" t="str">
        <f>CHAR(34)&amp;B18&amp;CHAR(34)</f>
        <v>"Mitch Yue"</v>
      </c>
      <c r="C65" s="12" t="str">
        <f t="shared" ref="C65:W65" si="40">CHAR(34)&amp;C18&amp;CHAR(34)</f>
        <v>"Gentle, Men"</v>
      </c>
      <c r="D65" s="12" t="str">
        <f t="shared" si="40"/>
        <v>"0"</v>
      </c>
      <c r="E65" s="12" t="str">
        <f t="shared" si="40"/>
        <v>"0"</v>
      </c>
      <c r="F65" s="12" t="str">
        <f t="shared" si="40"/>
        <v>"0"</v>
      </c>
      <c r="G65" s="12" t="str">
        <f t="shared" si="40"/>
        <v>"0"</v>
      </c>
      <c r="H65" s="12" t="str">
        <f t="shared" si="40"/>
        <v>"0"</v>
      </c>
      <c r="I65" s="12" t="str">
        <f t="shared" si="40"/>
        <v>"0"</v>
      </c>
      <c r="J65" s="12" t="str">
        <f t="shared" si="40"/>
        <v>"0"</v>
      </c>
      <c r="K65" s="12" t="str">
        <f t="shared" si="40"/>
        <v>"0"</v>
      </c>
      <c r="L65" s="12" t="str">
        <f t="shared" si="40"/>
        <v>"0"</v>
      </c>
      <c r="M65" s="12" t="str">
        <f t="shared" si="40"/>
        <v>""</v>
      </c>
      <c r="N65" s="12" t="str">
        <f t="shared" si="40"/>
        <v>""</v>
      </c>
      <c r="O65" s="12" t="str">
        <f t="shared" si="40"/>
        <v>""</v>
      </c>
      <c r="P65" s="12" t="str">
        <f t="shared" si="40"/>
        <v>""</v>
      </c>
      <c r="Q65" s="12" t="str">
        <f t="shared" si="40"/>
        <v>""</v>
      </c>
      <c r="R65" s="12" t="str">
        <f t="shared" si="40"/>
        <v>""</v>
      </c>
      <c r="S65" s="12" t="str">
        <f t="shared" si="40"/>
        <v>""</v>
      </c>
      <c r="T65" s="12" t="str">
        <f t="shared" si="40"/>
        <v>""</v>
      </c>
      <c r="U65" s="12" t="str">
        <f t="shared" si="40"/>
        <v>"Drafted by Gentle, Men"</v>
      </c>
      <c r="V65" s="12" t="str">
        <f t="shared" si="40"/>
        <v>"../Images/GM_Final.png"</v>
      </c>
      <c r="W65" s="12" t="str">
        <f t="shared" si="40"/>
        <v>""</v>
      </c>
    </row>
    <row r="66" spans="2:23" ht="14.25" customHeight="1" x14ac:dyDescent="0.3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35"/>
    <row r="68" spans="2:23" ht="14.25" customHeight="1" x14ac:dyDescent="0.35"/>
    <row r="69" spans="2:23" ht="14.25" customHeight="1" x14ac:dyDescent="0.35"/>
    <row r="70" spans="2:23" ht="14.25" customHeight="1" x14ac:dyDescent="0.35"/>
    <row r="71" spans="2:23" ht="14.25" customHeight="1" x14ac:dyDescent="0.35"/>
    <row r="72" spans="2:23" ht="14.25" customHeight="1" x14ac:dyDescent="0.35"/>
    <row r="73" spans="2:23" ht="14.25" customHeight="1" x14ac:dyDescent="0.35"/>
    <row r="74" spans="2:23" ht="14.25" customHeight="1" x14ac:dyDescent="0.35"/>
    <row r="75" spans="2:23" ht="14.25" customHeight="1" x14ac:dyDescent="0.35">
      <c r="B75" s="14"/>
    </row>
    <row r="76" spans="2:23" ht="14.25" customHeight="1" x14ac:dyDescent="0.35"/>
    <row r="77" spans="2:23" ht="14.25" customHeight="1" x14ac:dyDescent="0.35"/>
    <row r="78" spans="2:23" ht="14.25" customHeight="1" x14ac:dyDescent="0.35"/>
    <row r="79" spans="2:23" ht="14.25" customHeight="1" x14ac:dyDescent="0.35"/>
    <row r="80" spans="2:23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zoomScale="61" workbookViewId="0">
      <selection activeCell="AB8" sqref="AB8:AB23"/>
    </sheetView>
  </sheetViews>
  <sheetFormatPr defaultColWidth="14.36328125" defaultRowHeight="15" customHeight="1" x14ac:dyDescent="0.35"/>
  <cols>
    <col min="1" max="2" width="8.7265625" customWidth="1"/>
    <col min="3" max="3" width="12.08984375" customWidth="1"/>
    <col min="4" max="15" width="8.7265625" customWidth="1"/>
    <col min="16" max="16" width="8.81640625" customWidth="1"/>
    <col min="17" max="17" width="8.7265625" customWidth="1"/>
    <col min="18" max="18" width="9.6328125" customWidth="1"/>
    <col min="19" max="19" width="11.6328125" customWidth="1"/>
    <col min="20" max="20" width="10.26953125" customWidth="1"/>
    <col min="21" max="22" width="11.36328125" customWidth="1"/>
    <col min="23" max="23" width="8.7265625" customWidth="1"/>
    <col min="24" max="24" width="11.36328125" customWidth="1"/>
    <col min="25" max="25" width="14.90625" customWidth="1"/>
    <col min="26" max="26" width="8.7265625" customWidth="1"/>
    <col min="27" max="27" width="13.08984375" customWidth="1"/>
    <col min="28" max="28" width="13.6328125" customWidth="1"/>
    <col min="29" max="29" width="12.36328125" customWidth="1"/>
    <col min="30" max="30" width="11.6328125" customWidth="1"/>
    <col min="31" max="31" width="8.7265625" customWidth="1"/>
    <col min="32" max="32" width="11.36328125" customWidth="1"/>
    <col min="33" max="34" width="8.7265625" customWidth="1"/>
    <col min="35" max="35" width="12.7265625" customWidth="1"/>
    <col min="36" max="36" width="14.90625" customWidth="1"/>
    <col min="37" max="38" width="8.7265625" customWidth="1"/>
  </cols>
  <sheetData>
    <row r="1" spans="1:55" ht="14.25" customHeight="1" x14ac:dyDescent="0.35"/>
    <row r="2" spans="1:55" ht="14.25" customHeight="1" x14ac:dyDescent="0.35">
      <c r="B2" s="2" t="s">
        <v>65</v>
      </c>
    </row>
    <row r="3" spans="1:55" ht="14.25" customHeight="1" x14ac:dyDescent="0.35"/>
    <row r="4" spans="1:55" ht="14.25" customHeight="1" x14ac:dyDescent="0.35">
      <c r="B4" s="71" t="s">
        <v>63</v>
      </c>
      <c r="C4" s="71" t="s">
        <v>66</v>
      </c>
      <c r="D4" s="71" t="s">
        <v>67</v>
      </c>
      <c r="E4" s="71" t="s">
        <v>68</v>
      </c>
      <c r="F4" s="71" t="s">
        <v>180</v>
      </c>
      <c r="G4" s="71" t="s">
        <v>182</v>
      </c>
      <c r="H4" s="71" t="s">
        <v>186</v>
      </c>
      <c r="I4" s="71" t="s">
        <v>183</v>
      </c>
      <c r="J4" s="71" t="s">
        <v>184</v>
      </c>
      <c r="K4" s="71" t="s">
        <v>187</v>
      </c>
      <c r="L4" s="71" t="s">
        <v>188</v>
      </c>
      <c r="M4" s="71" t="s">
        <v>189</v>
      </c>
      <c r="N4" s="71" t="s">
        <v>190</v>
      </c>
      <c r="O4" s="71" t="s">
        <v>181</v>
      </c>
      <c r="P4" s="71" t="s">
        <v>185</v>
      </c>
      <c r="Q4" s="71" t="s">
        <v>191</v>
      </c>
      <c r="S4" s="2" t="s">
        <v>69</v>
      </c>
      <c r="Z4" t="s">
        <v>113</v>
      </c>
      <c r="AA4" s="79">
        <f>AA6/(20-AA5)</f>
        <v>0.15</v>
      </c>
    </row>
    <row r="5" spans="1:55" ht="14.25" customHeight="1" x14ac:dyDescent="0.35">
      <c r="B5" s="121" t="str">
        <f>'2401'!C45</f>
        <v>24 January</v>
      </c>
      <c r="C5" s="121">
        <f>'2401'!D45</f>
        <v>4</v>
      </c>
      <c r="D5" s="121">
        <f>'2401'!E45</f>
        <v>12</v>
      </c>
      <c r="E5" s="121">
        <f>'2401'!F45</f>
        <v>2</v>
      </c>
      <c r="F5" s="121">
        <f>'2401'!G45</f>
        <v>4</v>
      </c>
      <c r="G5" s="121">
        <f>'2401'!H45</f>
        <v>1</v>
      </c>
      <c r="H5" s="121">
        <f>'2401'!I45</f>
        <v>1</v>
      </c>
      <c r="I5" s="121">
        <f>'2401'!J45</f>
        <v>2</v>
      </c>
      <c r="J5" s="121">
        <f>'2401'!K45</f>
        <v>2</v>
      </c>
      <c r="K5" s="121">
        <f>'2401'!L45</f>
        <v>1</v>
      </c>
      <c r="L5" s="121">
        <f>'2401'!M45</f>
        <v>2</v>
      </c>
      <c r="M5" s="121">
        <f>'2401'!N45</f>
        <v>2</v>
      </c>
      <c r="N5" s="121">
        <f>'2401'!O45</f>
        <v>1</v>
      </c>
      <c r="O5" s="121">
        <f>'2401'!P45</f>
        <v>3</v>
      </c>
      <c r="P5" s="121">
        <f>'2401'!Q45</f>
        <v>1.5</v>
      </c>
      <c r="Q5" s="121">
        <f>'2401'!R45</f>
        <v>1.5</v>
      </c>
      <c r="S5" s="1" t="s">
        <v>70</v>
      </c>
      <c r="T5" s="1" t="s">
        <v>66</v>
      </c>
      <c r="U5" s="1" t="s">
        <v>67</v>
      </c>
      <c r="V5" s="1" t="s">
        <v>68</v>
      </c>
      <c r="Z5" t="s">
        <v>148</v>
      </c>
      <c r="AA5">
        <v>0</v>
      </c>
      <c r="AR5" s="40"/>
      <c r="AS5" s="40"/>
      <c r="AT5" s="40"/>
    </row>
    <row r="6" spans="1:55" ht="14.25" customHeight="1" x14ac:dyDescent="0.35">
      <c r="B6" s="74" t="str">
        <f>'2501'!C45</f>
        <v>25 January</v>
      </c>
      <c r="C6" s="74">
        <f>'2501'!D45</f>
        <v>2</v>
      </c>
      <c r="D6" s="74">
        <f>'2501'!E45</f>
        <v>7</v>
      </c>
      <c r="E6" s="74">
        <f>'2501'!F45</f>
        <v>1</v>
      </c>
      <c r="F6" s="74">
        <f>'2501'!G45</f>
        <v>2</v>
      </c>
      <c r="G6" s="74">
        <f>'2501'!H45</f>
        <v>1</v>
      </c>
      <c r="H6" s="74">
        <f>'2501'!I45</f>
        <v>0</v>
      </c>
      <c r="I6" s="74">
        <f>'2501'!J45</f>
        <v>1</v>
      </c>
      <c r="J6" s="74">
        <f>'2501'!K45</f>
        <v>1</v>
      </c>
      <c r="K6" s="74">
        <f>'2501'!L45</f>
        <v>1</v>
      </c>
      <c r="L6" s="74">
        <f>'2501'!M45</f>
        <v>1</v>
      </c>
      <c r="M6" s="74">
        <f>'2501'!N45</f>
        <v>1</v>
      </c>
      <c r="N6" s="74">
        <f>'2501'!O45</f>
        <v>0</v>
      </c>
      <c r="O6" s="74">
        <f>'2501'!P45</f>
        <v>3</v>
      </c>
      <c r="P6" s="74">
        <f>'2501'!Q45</f>
        <v>1</v>
      </c>
      <c r="Q6" s="74">
        <f>'2501'!R45</f>
        <v>2</v>
      </c>
      <c r="S6" s="3">
        <f>SUM(C5:E40)/COUNT(C5:C40)</f>
        <v>13.333333333333334</v>
      </c>
      <c r="T6" s="113">
        <f>AVERAGE(C5:C40)</f>
        <v>3</v>
      </c>
      <c r="U6" s="113">
        <f>AVERAGE(D5:D40)</f>
        <v>9</v>
      </c>
      <c r="V6" s="113">
        <f>AVERAGE(E5:E40)</f>
        <v>1.3333333333333333</v>
      </c>
      <c r="Z6" s="48" t="s">
        <v>134</v>
      </c>
      <c r="AA6" s="6">
        <f>AA47+AA67+AA27+AL47+AL67+AA87+AL27</f>
        <v>3</v>
      </c>
      <c r="AK6" s="10"/>
      <c r="AL6" s="10"/>
      <c r="AM6" s="10" t="s">
        <v>147</v>
      </c>
      <c r="AO6" s="29"/>
      <c r="AR6" s="40"/>
      <c r="AS6" s="40"/>
      <c r="AT6" s="40"/>
      <c r="AX6" s="13"/>
    </row>
    <row r="7" spans="1:55" ht="14.25" customHeight="1" x14ac:dyDescent="0.35">
      <c r="B7" s="74" t="str">
        <f>'2901'!C45</f>
        <v>29 January</v>
      </c>
      <c r="C7" s="74">
        <f>'2901'!D45</f>
        <v>3</v>
      </c>
      <c r="D7" s="74">
        <f>'2901'!E45</f>
        <v>8</v>
      </c>
      <c r="E7" s="74">
        <f>'2901'!F45</f>
        <v>1</v>
      </c>
      <c r="F7" s="74">
        <f>'2901'!G45</f>
        <v>1</v>
      </c>
      <c r="G7" s="74">
        <f>'2901'!H45</f>
        <v>2</v>
      </c>
      <c r="H7" s="74">
        <f>'2901'!I45</f>
        <v>0</v>
      </c>
      <c r="I7" s="74">
        <f>'2901'!J45</f>
        <v>3</v>
      </c>
      <c r="J7" s="74">
        <f>'2901'!K45</f>
        <v>0</v>
      </c>
      <c r="K7" s="74">
        <f>'2901'!L45</f>
        <v>1</v>
      </c>
      <c r="L7" s="74">
        <f>'2901'!M45</f>
        <v>1</v>
      </c>
      <c r="M7" s="74">
        <f>'2901'!N45</f>
        <v>1</v>
      </c>
      <c r="N7" s="74">
        <f>'2901'!O45</f>
        <v>1</v>
      </c>
      <c r="O7" s="74">
        <f>'2901'!P45</f>
        <v>2</v>
      </c>
      <c r="P7" s="74">
        <f>'2901'!Q45</f>
        <v>3</v>
      </c>
      <c r="Q7" s="74">
        <f>'2901'!R45</f>
        <v>1</v>
      </c>
      <c r="S7" s="2" t="s">
        <v>72</v>
      </c>
      <c r="T7" s="4">
        <f>T6/$S$6</f>
        <v>0.22499999999999998</v>
      </c>
      <c r="U7" s="4">
        <f>U6/$S$6</f>
        <v>0.67499999999999993</v>
      </c>
      <c r="V7" s="4">
        <f>V6/$S$6</f>
        <v>9.9999999999999992E-2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93</v>
      </c>
      <c r="AG7" s="16" t="s">
        <v>3</v>
      </c>
      <c r="AH7" s="17" t="s">
        <v>94</v>
      </c>
      <c r="AI7" s="18" t="s">
        <v>5</v>
      </c>
      <c r="AJ7" s="24" t="s">
        <v>96</v>
      </c>
      <c r="AK7" s="41"/>
      <c r="AL7" s="41"/>
      <c r="AM7" s="41" t="s">
        <v>69</v>
      </c>
      <c r="AN7" s="10" t="s">
        <v>146</v>
      </c>
      <c r="AO7" s="10"/>
      <c r="AP7" s="20" t="s">
        <v>152</v>
      </c>
      <c r="AQ7" s="85"/>
      <c r="AR7" s="86" t="s">
        <v>153</v>
      </c>
      <c r="AS7" s="39" t="s">
        <v>154</v>
      </c>
      <c r="AT7" s="91" t="s">
        <v>157</v>
      </c>
      <c r="AU7" s="93" t="s">
        <v>158</v>
      </c>
      <c r="AW7" s="1"/>
      <c r="AX7" s="90"/>
      <c r="AY7" s="90"/>
      <c r="AZ7" s="90"/>
      <c r="BA7" s="90"/>
      <c r="BB7" s="90"/>
      <c r="BC7" s="90"/>
    </row>
    <row r="8" spans="1:55" ht="14.25" customHeight="1" x14ac:dyDescent="0.35">
      <c r="A8" s="5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Z8" s="97" t="str">
        <f>SfW!B3</f>
        <v>Jasper Collier</v>
      </c>
      <c r="AA8" s="98">
        <f t="shared" ref="AA8:AA23" si="0">SUM(AA29,AA49,AL49,AA69,AL69,AA89,AL29)</f>
        <v>0</v>
      </c>
      <c r="AB8" s="99">
        <f>IF($AA$6-Table1[[#This Row],[Missed Games]]=0, 0,Table1[[#This Row],[Points]]/($AA$6-Table1[[#This Row],[Missed Games]]))</f>
        <v>0</v>
      </c>
      <c r="AC8" s="100">
        <f t="shared" ref="AC8:AC23" si="1">SUM(AB29,AB49,AM49,AB69,AM69,AB89,AM29)</f>
        <v>0</v>
      </c>
      <c r="AD8" s="97">
        <f>IF($AA$6-Table1[[#This Row],[Missed Games]]=0, 0,Table1[[#This Row],[Finishes]]/($AA$6-Table1[[#This Row],[Missed Games]]))</f>
        <v>0</v>
      </c>
      <c r="AE8" s="100">
        <f t="shared" ref="AE8:AE23" si="2">SUM(AC29,AC49,AN49,AC69,AN69,AC89,AN29)</f>
        <v>0</v>
      </c>
      <c r="AF8" s="97">
        <f>IF($AA$6-Table1[[#This Row],[Missed Games]]=0, 0,Table1[[#This Row],[Midranges]]/($AA$6-Table1[[#This Row],[Missed Games]]))</f>
        <v>0</v>
      </c>
      <c r="AG8" s="100">
        <f t="shared" ref="AG8:AG23" si="3">SUM(AD29,AD49,AO49,AD69,AO69,AD89,AO29)</f>
        <v>0</v>
      </c>
      <c r="AH8" s="97">
        <f>IF($AA$6-Table1[[#This Row],[Missed Games]]=0, 0,Table1[[#This Row],[Threes]]/($AA$6-Table1[[#This Row],[Missed Games]]))</f>
        <v>0</v>
      </c>
      <c r="AI8" s="97" t="str">
        <f>SfW!C3</f>
        <v>Choc-Tops</v>
      </c>
      <c r="AJ8" s="101">
        <f t="shared" ref="AJ8:AJ23" si="4">SUM(AI29,AI49,AT49,AI69,AT69,AI89,AT29)</f>
        <v>0</v>
      </c>
      <c r="AK8" s="42"/>
      <c r="AL8" s="78" t="s">
        <v>0</v>
      </c>
      <c r="AM8" s="77">
        <f>AVERAGE(Table1[Average])</f>
        <v>0.96875000000000011</v>
      </c>
      <c r="AN8" s="77">
        <f>MEDIAN(Table1[Average])</f>
        <v>0.83333333333333326</v>
      </c>
      <c r="AO8" s="23"/>
      <c r="AP8" s="13">
        <f>_xlfn.CEILING.MATH('[1]Stats Global'!R8*(20-$AA$5-$AJ8))</f>
        <v>9</v>
      </c>
      <c r="AQ8" s="20">
        <f>Table1[[#This Row],[Points]]/AP8</f>
        <v>0</v>
      </c>
      <c r="AR8" s="81">
        <f>AP8-Table1[[#This Row],[Points]]</f>
        <v>9</v>
      </c>
      <c r="AS8" s="87">
        <f>Table1[[#This Row],[Points]]/(20-AA$5-Table1[[#This Row],[Missed Games]])</f>
        <v>0</v>
      </c>
      <c r="AT8" s="92">
        <f>Table1[[#This Row],[Average]]-'[1]Stats Global'!R8</f>
        <v>-0.41176470588235292</v>
      </c>
      <c r="AU8" s="20">
        <f>(Table1[[#This Row],[Average]]-'[1]Stats Global'!R8)/'[1]Stats Global'!R8</f>
        <v>-1</v>
      </c>
      <c r="AW8" s="1"/>
    </row>
    <row r="9" spans="1:55" ht="14.25" customHeight="1" x14ac:dyDescent="0.35">
      <c r="A9" s="50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Z9" s="97" t="str">
        <f>SfW!B4</f>
        <v>Conor Farrington</v>
      </c>
      <c r="AA9" s="98">
        <f t="shared" si="0"/>
        <v>0</v>
      </c>
      <c r="AB9" s="99">
        <f>IF($AA$6-Table1[[#This Row],[Missed Games]]=0, 0,Table1[[#This Row],[Points]]/($AA$6-Table1[[#This Row],[Missed Games]]))</f>
        <v>0</v>
      </c>
      <c r="AC9" s="100">
        <f t="shared" si="1"/>
        <v>0</v>
      </c>
      <c r="AD9" s="97">
        <f>IF($AA$6-Table1[[#This Row],[Missed Games]]=0, 0,Table1[[#This Row],[Finishes]]/($AA$6-Table1[[#This Row],[Missed Games]]))</f>
        <v>0</v>
      </c>
      <c r="AE9" s="100">
        <f t="shared" si="2"/>
        <v>0</v>
      </c>
      <c r="AF9" s="97">
        <f>IF($AA$6-Table1[[#This Row],[Missed Games]]=0, 0,Table1[[#This Row],[Midranges]]/($AA$6-Table1[[#This Row],[Missed Games]]))</f>
        <v>0</v>
      </c>
      <c r="AG9" s="100">
        <f t="shared" si="3"/>
        <v>0</v>
      </c>
      <c r="AH9" s="97">
        <f>IF($AA$6-Table1[[#This Row],[Missed Games]]=0, 0,Table1[[#This Row],[Threes]]/($AA$6-Table1[[#This Row],[Missed Games]]))</f>
        <v>0</v>
      </c>
      <c r="AI9" s="97" t="str">
        <f>SfW!C4</f>
        <v>Gentle, Men</v>
      </c>
      <c r="AJ9" s="101">
        <f t="shared" si="4"/>
        <v>0</v>
      </c>
      <c r="AK9" s="42"/>
      <c r="AL9" s="78" t="s">
        <v>1</v>
      </c>
      <c r="AM9" s="77">
        <f>AVERAGE(Table1[Finishes])</f>
        <v>1.625</v>
      </c>
      <c r="AN9" s="77">
        <f>MEDIAN(Table1[Finishes])</f>
        <v>0.5</v>
      </c>
      <c r="AO9" s="82"/>
      <c r="AP9" s="13">
        <f>_xlfn.CEILING.MATH('[1]Stats Global'!R9*(20-$AA$5-$AJ9))</f>
        <v>12</v>
      </c>
      <c r="AQ9" s="20">
        <f>Table1[[#This Row],[Points]]/AP9</f>
        <v>0</v>
      </c>
      <c r="AR9" s="81">
        <f>AP9-Table1[[#This Row],[Points]]</f>
        <v>12</v>
      </c>
      <c r="AS9" s="87">
        <f>Table1[[#This Row],[Points]]/(20-AA$5-Table1[[#This Row],[Missed Games]])</f>
        <v>0</v>
      </c>
      <c r="AT9" s="92">
        <f>Table1[[#This Row],[Average]]-'[1]Stats Global'!R9</f>
        <v>-0.6</v>
      </c>
      <c r="AU9" s="20">
        <f>(Table1[[#This Row],[Average]]-'[1]Stats Global'!R9)/'[1]Stats Global'!R9</f>
        <v>-1</v>
      </c>
      <c r="AW9" s="1"/>
    </row>
    <row r="10" spans="1:55" ht="14.25" customHeight="1" x14ac:dyDescent="0.35">
      <c r="A10" s="50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Z10" s="97" t="str">
        <f>SfW!B5</f>
        <v>Alexander Galt</v>
      </c>
      <c r="AA10" s="44">
        <f t="shared" si="0"/>
        <v>6</v>
      </c>
      <c r="AB10" s="45">
        <f>IF($AA$6-Table1[[#This Row],[Missed Games]]=0, 0,Table1[[#This Row],[Points]]/($AA$6-Table1[[#This Row],[Missed Games]]))</f>
        <v>3</v>
      </c>
      <c r="AC10" s="46">
        <f t="shared" si="1"/>
        <v>6</v>
      </c>
      <c r="AD10" s="43">
        <f>IF($AA$6-Table1[[#This Row],[Missed Games]]=0, 0,Table1[[#This Row],[Finishes]]/($AA$6-Table1[[#This Row],[Missed Games]]))</f>
        <v>3</v>
      </c>
      <c r="AE10" s="46">
        <f t="shared" si="2"/>
        <v>0</v>
      </c>
      <c r="AF10" s="43">
        <f>IF($AA$6-Table1[[#This Row],[Missed Games]]=0, 0,Table1[[#This Row],[Midranges]]/($AA$6-Table1[[#This Row],[Missed Games]]))</f>
        <v>0</v>
      </c>
      <c r="AG10" s="46">
        <f t="shared" si="3"/>
        <v>0</v>
      </c>
      <c r="AH10" s="43">
        <f>IF($AA$6-Table1[[#This Row],[Missed Games]]=0, 0,Table1[[#This Row],[Threes]]/($AA$6-Table1[[#This Row],[Missed Games]]))</f>
        <v>0</v>
      </c>
      <c r="AI10" s="43" t="str">
        <f>SfW!C5</f>
        <v>Choc-Tops</v>
      </c>
      <c r="AJ10" s="47">
        <f t="shared" si="4"/>
        <v>1</v>
      </c>
      <c r="AK10" s="42"/>
      <c r="AL10" s="78" t="s">
        <v>146</v>
      </c>
      <c r="AM10" s="77">
        <f>AVERAGE(Table1[Midranges])</f>
        <v>0.6875</v>
      </c>
      <c r="AN10" s="77">
        <f>MEDIAN(Table1[Midranges])</f>
        <v>0</v>
      </c>
      <c r="AO10" s="23"/>
      <c r="AP10" s="13">
        <f>_xlfn.CEILING.MATH('[1]Stats Global'!R10*(20-$AA$5-$AJ10))</f>
        <v>60</v>
      </c>
      <c r="AQ10" s="20">
        <f>Table1[[#This Row],[Points]]/AP10</f>
        <v>0.1</v>
      </c>
      <c r="AR10" s="81">
        <f>AP10-Table1[[#This Row],[Points]]</f>
        <v>54</v>
      </c>
      <c r="AS10" s="87">
        <f>Table1[[#This Row],[Points]]/(20-AA$5-Table1[[#This Row],[Missed Games]])</f>
        <v>0.31578947368421051</v>
      </c>
      <c r="AT10" s="92">
        <f>Table1[[#This Row],[Average]]-'[1]Stats Global'!R10</f>
        <v>-0.14285714285714279</v>
      </c>
      <c r="AU10" s="20">
        <f>(Table1[[#This Row],[Average]]-'[1]Stats Global'!R10)/'[1]Stats Global'!R10</f>
        <v>-4.5454545454545435E-2</v>
      </c>
      <c r="AW10" s="1"/>
    </row>
    <row r="11" spans="1:55" ht="14.25" customHeight="1" x14ac:dyDescent="0.35">
      <c r="A11" s="50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Z11" s="97" t="str">
        <f>SfW!B6</f>
        <v>Rudy Hoschke</v>
      </c>
      <c r="AA11" s="44">
        <f t="shared" si="0"/>
        <v>6</v>
      </c>
      <c r="AB11" s="45">
        <f>IF($AA$6-Table1[[#This Row],[Missed Games]]=0, 0,Table1[[#This Row],[Points]]/($AA$6-Table1[[#This Row],[Missed Games]]))</f>
        <v>2</v>
      </c>
      <c r="AC11" s="46">
        <f t="shared" si="1"/>
        <v>6</v>
      </c>
      <c r="AD11" s="43">
        <f>IF($AA$6-Table1[[#This Row],[Missed Games]]=0, 0,Table1[[#This Row],[Finishes]]/($AA$6-Table1[[#This Row],[Missed Games]]))</f>
        <v>2</v>
      </c>
      <c r="AE11" s="46">
        <f t="shared" si="2"/>
        <v>0</v>
      </c>
      <c r="AF11" s="43">
        <f>IF($AA$6-Table1[[#This Row],[Missed Games]]=0, 0,Table1[[#This Row],[Midranges]]/($AA$6-Table1[[#This Row],[Missed Games]]))</f>
        <v>0</v>
      </c>
      <c r="AG11" s="46">
        <f t="shared" si="3"/>
        <v>0</v>
      </c>
      <c r="AH11" s="43">
        <f>IF($AA$6-Table1[[#This Row],[Missed Games]]=0, 0,Table1[[#This Row],[Threes]]/($AA$6-Table1[[#This Row],[Missed Games]]))</f>
        <v>0</v>
      </c>
      <c r="AI11" s="43" t="str">
        <f>SfW!C6</f>
        <v>Choc-Tops</v>
      </c>
      <c r="AJ11" s="47">
        <f t="shared" si="4"/>
        <v>0</v>
      </c>
      <c r="AK11" s="42"/>
      <c r="AL11" s="78" t="s">
        <v>3</v>
      </c>
      <c r="AM11" s="77">
        <f>AVERAGE(Table1[Threes])</f>
        <v>0.1875</v>
      </c>
      <c r="AN11" s="77">
        <f>MEDIAN(Table1[Threes])</f>
        <v>0</v>
      </c>
      <c r="AO11" s="23"/>
      <c r="AP11" s="13">
        <f>_xlfn.CEILING.MATH('[1]Stats Global'!R11*(20-$AA$5-$AJ11))</f>
        <v>57</v>
      </c>
      <c r="AQ11" s="20">
        <f>Table1[[#This Row],[Points]]/AP11</f>
        <v>0.10526315789473684</v>
      </c>
      <c r="AR11" s="81">
        <f>AP11-Table1[[#This Row],[Points]]</f>
        <v>51</v>
      </c>
      <c r="AS11" s="87">
        <f>Table1[[#This Row],[Points]]/(20-AA$5-Table1[[#This Row],[Missed Games]])</f>
        <v>0.3</v>
      </c>
      <c r="AT11" s="92">
        <f>Table1[[#This Row],[Average]]-'[1]Stats Global'!R11</f>
        <v>-0.8125</v>
      </c>
      <c r="AU11" s="20">
        <f>(Table1[[#This Row],[Average]]-'[1]Stats Global'!R11)/'[1]Stats Global'!R11</f>
        <v>-0.28888888888888886</v>
      </c>
      <c r="AW11" s="1"/>
    </row>
    <row r="12" spans="1:55" ht="14.25" customHeight="1" x14ac:dyDescent="0.35">
      <c r="A12" s="50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Z12" s="97" t="str">
        <f>SfW!B7</f>
        <v>Michael Iffland</v>
      </c>
      <c r="AA12" s="44">
        <f t="shared" si="0"/>
        <v>6</v>
      </c>
      <c r="AB12" s="45">
        <f>IF($AA$6-Table1[[#This Row],[Missed Games]]=0, 0,Table1[[#This Row],[Points]]/($AA$6-Table1[[#This Row],[Missed Games]]))</f>
        <v>2</v>
      </c>
      <c r="AC12" s="46">
        <f t="shared" si="1"/>
        <v>4</v>
      </c>
      <c r="AD12" s="43">
        <f>IF($AA$6-Table1[[#This Row],[Missed Games]]=0, 0,Table1[[#This Row],[Finishes]]/($AA$6-Table1[[#This Row],[Missed Games]]))</f>
        <v>1.3333333333333333</v>
      </c>
      <c r="AE12" s="46">
        <f t="shared" si="2"/>
        <v>2</v>
      </c>
      <c r="AF12" s="43">
        <f>IF($AA$6-Table1[[#This Row],[Missed Games]]=0, 0,Table1[[#This Row],[Midranges]]/($AA$6-Table1[[#This Row],[Missed Games]]))</f>
        <v>0.66666666666666663</v>
      </c>
      <c r="AG12" s="46">
        <f t="shared" si="3"/>
        <v>0</v>
      </c>
      <c r="AH12" s="43">
        <f>IF($AA$6-Table1[[#This Row],[Missed Games]]=0, 0,Table1[[#This Row],[Threes]]/($AA$6-Table1[[#This Row],[Missed Games]]))</f>
        <v>0</v>
      </c>
      <c r="AI12" s="43" t="str">
        <f>SfW!C7</f>
        <v>Gentle, Men</v>
      </c>
      <c r="AJ12" s="47">
        <f t="shared" si="4"/>
        <v>0</v>
      </c>
      <c r="AK12" s="42"/>
      <c r="AL12" s="42"/>
      <c r="AM12" s="42"/>
      <c r="AO12" s="23"/>
      <c r="AP12" s="13">
        <f>_xlfn.CEILING.MATH('[1]Stats Global'!R12*(20-$AA$5-$AJ12))</f>
        <v>42</v>
      </c>
      <c r="AQ12" s="20">
        <f>Table1[[#This Row],[Points]]/AP12</f>
        <v>0.14285714285714285</v>
      </c>
      <c r="AR12" s="81">
        <f>AP12-Table1[[#This Row],[Points]]</f>
        <v>36</v>
      </c>
      <c r="AS12" s="87">
        <f>Table1[[#This Row],[Points]]/(20-AA$5-Table1[[#This Row],[Missed Games]])</f>
        <v>0.3</v>
      </c>
      <c r="AT12" s="92">
        <f>Table1[[#This Row],[Average]]-'[1]Stats Global'!R12</f>
        <v>-5.8823529411764497E-2</v>
      </c>
      <c r="AU12" s="20">
        <f>(Table1[[#This Row],[Average]]-'[1]Stats Global'!R12)/'[1]Stats Global'!R12</f>
        <v>-2.8571428571428473E-2</v>
      </c>
      <c r="AW12" s="1"/>
    </row>
    <row r="13" spans="1:55" ht="14.25" customHeight="1" x14ac:dyDescent="0.35">
      <c r="A13" s="50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Z13" s="97" t="str">
        <f>SfW!B8</f>
        <v>Lukas Johnston</v>
      </c>
      <c r="AA13" s="98">
        <f t="shared" si="0"/>
        <v>4</v>
      </c>
      <c r="AB13" s="99">
        <f>IF($AA$6-Table1[[#This Row],[Missed Games]]=0, 0,Table1[[#This Row],[Points]]/($AA$6-Table1[[#This Row],[Missed Games]]))</f>
        <v>1.3333333333333333</v>
      </c>
      <c r="AC13" s="100">
        <f t="shared" si="1"/>
        <v>4</v>
      </c>
      <c r="AD13" s="97">
        <f>IF($AA$6-Table1[[#This Row],[Missed Games]]=0, 0,Table1[[#This Row],[Finishes]]/($AA$6-Table1[[#This Row],[Missed Games]]))</f>
        <v>1.3333333333333333</v>
      </c>
      <c r="AE13" s="100">
        <f t="shared" si="2"/>
        <v>0</v>
      </c>
      <c r="AF13" s="97">
        <f>IF($AA$6-Table1[[#This Row],[Missed Games]]=0, 0,Table1[[#This Row],[Midranges]]/($AA$6-Table1[[#This Row],[Missed Games]]))</f>
        <v>0</v>
      </c>
      <c r="AG13" s="100">
        <f t="shared" si="3"/>
        <v>0</v>
      </c>
      <c r="AH13" s="97">
        <f>IF($AA$6-Table1[[#This Row],[Missed Games]]=0, 0,Table1[[#This Row],[Threes]]/($AA$6-Table1[[#This Row],[Missed Games]]))</f>
        <v>0</v>
      </c>
      <c r="AI13" s="97" t="str">
        <f>SfW!C8</f>
        <v>Gentle, Men</v>
      </c>
      <c r="AJ13" s="101">
        <f t="shared" si="4"/>
        <v>0</v>
      </c>
      <c r="AK13" s="42"/>
      <c r="AL13" s="42"/>
      <c r="AM13" s="42"/>
      <c r="AO13" s="23"/>
      <c r="AP13" s="13">
        <f>_xlfn.CEILING.MATH('[1]Stats Global'!R13*(20-$AA$5-$AJ13))</f>
        <v>23</v>
      </c>
      <c r="AQ13" s="20">
        <f>Table1[[#This Row],[Points]]/AP13</f>
        <v>0.17391304347826086</v>
      </c>
      <c r="AR13" s="81">
        <f>AP13-Table1[[#This Row],[Points]]</f>
        <v>19</v>
      </c>
      <c r="AS13" s="87">
        <f>Table1[[#This Row],[Points]]/(20-AA$5-Table1[[#This Row],[Missed Games]])</f>
        <v>0.2</v>
      </c>
      <c r="AT13" s="92">
        <f>Table1[[#This Row],[Average]]-'[1]Stats Global'!R13</f>
        <v>0.19047619047619047</v>
      </c>
      <c r="AU13" s="20">
        <f>(Table1[[#This Row],[Average]]-'[1]Stats Global'!R13)/'[1]Stats Global'!R13</f>
        <v>0.16666666666666666</v>
      </c>
      <c r="AW13" s="1"/>
    </row>
    <row r="14" spans="1:55" ht="14.25" customHeight="1" x14ac:dyDescent="0.35">
      <c r="A14" s="50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Z14" s="97" t="str">
        <f>SfW!B9</f>
        <v>Sam James</v>
      </c>
      <c r="AA14" s="98">
        <f t="shared" si="0"/>
        <v>1</v>
      </c>
      <c r="AB14" s="99">
        <f>IF($AA$6-Table1[[#This Row],[Missed Games]]=0, 0,Table1[[#This Row],[Points]]/($AA$6-Table1[[#This Row],[Missed Games]]))</f>
        <v>0.33333333333333331</v>
      </c>
      <c r="AC14" s="100">
        <f t="shared" si="1"/>
        <v>0</v>
      </c>
      <c r="AD14" s="97">
        <f>IF($AA$6-Table1[[#This Row],[Missed Games]]=0, 0,Table1[[#This Row],[Finishes]]/($AA$6-Table1[[#This Row],[Missed Games]]))</f>
        <v>0</v>
      </c>
      <c r="AE14" s="100">
        <f t="shared" si="2"/>
        <v>1</v>
      </c>
      <c r="AF14" s="97">
        <f>IF($AA$6-Table1[[#This Row],[Missed Games]]=0, 0,Table1[[#This Row],[Midranges]]/($AA$6-Table1[[#This Row],[Missed Games]]))</f>
        <v>0.33333333333333331</v>
      </c>
      <c r="AG14" s="100">
        <f t="shared" si="3"/>
        <v>0</v>
      </c>
      <c r="AH14" s="97">
        <f>IF($AA$6-Table1[[#This Row],[Missed Games]]=0, 0,Table1[[#This Row],[Threes]]/($AA$6-Table1[[#This Row],[Missed Games]]))</f>
        <v>0</v>
      </c>
      <c r="AI14" s="97" t="str">
        <f>SfW!C9</f>
        <v>Traffic Controllers</v>
      </c>
      <c r="AJ14" s="101">
        <f t="shared" si="4"/>
        <v>0</v>
      </c>
      <c r="AK14" s="42"/>
      <c r="AL14" s="42"/>
      <c r="AM14" s="42"/>
      <c r="AO14" s="23"/>
      <c r="AP14" s="13">
        <f>_xlfn.CEILING.MATH('[1]Stats Global'!R23*(20-$AA$5-$AJ14))</f>
        <v>7</v>
      </c>
      <c r="AQ14" s="20">
        <f>Table1[[#This Row],[Points]]/AP14</f>
        <v>0.14285714285714285</v>
      </c>
      <c r="AR14" s="81">
        <f>AP14-Table1[[#This Row],[Points]]</f>
        <v>6</v>
      </c>
      <c r="AS14" s="87">
        <f>Table1[[#This Row],[Points]]/(20-AA$5-Table1[[#This Row],[Missed Games]])</f>
        <v>0.05</v>
      </c>
      <c r="AT14" s="92">
        <f>Table1[[#This Row],[Average]]-'[1]Stats Global'!R23</f>
        <v>2.0833333333333315E-2</v>
      </c>
      <c r="AU14" s="20">
        <f>(Table1[[#This Row],[Average]]-'[1]Stats Global'!R23)/'[1]Stats Global'!R23</f>
        <v>6.666666666666661E-2</v>
      </c>
    </row>
    <row r="15" spans="1:55" ht="14.25" customHeight="1" x14ac:dyDescent="0.35">
      <c r="A15" s="50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Z15" s="97" t="str">
        <f>SfW!B10</f>
        <v>Clarrie Jones</v>
      </c>
      <c r="AA15" s="98">
        <f t="shared" si="0"/>
        <v>2</v>
      </c>
      <c r="AB15" s="99">
        <f>IF($AA$6-Table1[[#This Row],[Missed Games]]=0, 0,Table1[[#This Row],[Points]]/($AA$6-Table1[[#This Row],[Missed Games]]))</f>
        <v>0.66666666666666663</v>
      </c>
      <c r="AC15" s="100">
        <f t="shared" si="1"/>
        <v>0</v>
      </c>
      <c r="AD15" s="97">
        <f>IF($AA$6-Table1[[#This Row],[Missed Games]]=0, 0,Table1[[#This Row],[Finishes]]/($AA$6-Table1[[#This Row],[Missed Games]]))</f>
        <v>0</v>
      </c>
      <c r="AE15" s="100">
        <f t="shared" si="2"/>
        <v>0</v>
      </c>
      <c r="AF15" s="97">
        <f>IF($AA$6-Table1[[#This Row],[Missed Games]]=0, 0,Table1[[#This Row],[Midranges]]/($AA$6-Table1[[#This Row],[Missed Games]]))</f>
        <v>0</v>
      </c>
      <c r="AG15" s="100">
        <f t="shared" si="3"/>
        <v>1</v>
      </c>
      <c r="AH15" s="97">
        <f>IF($AA$6-Table1[[#This Row],[Missed Games]]=0, 0,Table1[[#This Row],[Threes]]/($AA$6-Table1[[#This Row],[Missed Games]]))</f>
        <v>0.33333333333333331</v>
      </c>
      <c r="AI15" s="97" t="str">
        <f>SfW!C10</f>
        <v>Traffic Controllers</v>
      </c>
      <c r="AJ15" s="101">
        <f t="shared" si="4"/>
        <v>0</v>
      </c>
      <c r="AK15" s="42"/>
      <c r="AL15" s="42"/>
      <c r="AM15" s="42"/>
      <c r="AO15" s="23"/>
      <c r="AP15" s="13">
        <f>_xlfn.CEILING.MATH('[1]Stats Global'!R14*(20-$AA$5-$AJ15))</f>
        <v>32</v>
      </c>
      <c r="AQ15" s="20">
        <f>Table1[[#This Row],[Points]]/AP15</f>
        <v>6.25E-2</v>
      </c>
      <c r="AR15" s="81">
        <f>AP15-Table1[[#This Row],[Points]]</f>
        <v>30</v>
      </c>
      <c r="AS15" s="87">
        <f>Table1[[#This Row],[Points]]/(20-AA$5-Table1[[#This Row],[Missed Games]])</f>
        <v>0.1</v>
      </c>
      <c r="AT15" s="92">
        <f>Table1[[#This Row],[Average]]-'[1]Stats Global'!R14</f>
        <v>-0.92156862745098034</v>
      </c>
      <c r="AU15" s="20">
        <f>(Table1[[#This Row],[Average]]-'[1]Stats Global'!R14)/'[1]Stats Global'!R14</f>
        <v>-0.58024691358024694</v>
      </c>
      <c r="AW15" s="1"/>
    </row>
    <row r="16" spans="1:55" ht="14.25" customHeight="1" x14ac:dyDescent="0.35">
      <c r="A16" s="50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Z16" s="97" t="str">
        <f>SfW!B11</f>
        <v>William Kim</v>
      </c>
      <c r="AA16" s="44">
        <f t="shared" si="0"/>
        <v>3</v>
      </c>
      <c r="AB16" s="45">
        <f>IF($AA$6-Table1[[#This Row],[Missed Games]]=0, 0,Table1[[#This Row],[Points]]/($AA$6-Table1[[#This Row],[Missed Games]]))</f>
        <v>1</v>
      </c>
      <c r="AC16" s="46">
        <f t="shared" si="1"/>
        <v>1</v>
      </c>
      <c r="AD16" s="43">
        <f>IF($AA$6-Table1[[#This Row],[Missed Games]]=0, 0,Table1[[#This Row],[Finishes]]/($AA$6-Table1[[#This Row],[Missed Games]]))</f>
        <v>0.33333333333333331</v>
      </c>
      <c r="AE16" s="46">
        <f t="shared" si="2"/>
        <v>2</v>
      </c>
      <c r="AF16" s="43">
        <f>IF($AA$6-Table1[[#This Row],[Missed Games]]=0, 0,Table1[[#This Row],[Midranges]]/($AA$6-Table1[[#This Row],[Missed Games]]))</f>
        <v>0.66666666666666663</v>
      </c>
      <c r="AG16" s="46">
        <f t="shared" si="3"/>
        <v>0</v>
      </c>
      <c r="AH16" s="43">
        <f>IF($AA$6-Table1[[#This Row],[Missed Games]]=0, 0,Table1[[#This Row],[Threes]]/($AA$6-Table1[[#This Row],[Missed Games]]))</f>
        <v>0</v>
      </c>
      <c r="AI16" s="43" t="str">
        <f>SfW!C11</f>
        <v>Traffic Controllers</v>
      </c>
      <c r="AJ16" s="47">
        <f t="shared" si="4"/>
        <v>0</v>
      </c>
      <c r="AK16" s="42"/>
      <c r="AL16" s="42"/>
      <c r="AM16" s="42"/>
      <c r="AO16" s="23"/>
      <c r="AP16" s="13">
        <f>_xlfn.CEILING.MATH('[1]Stats Global'!R15*(20-$AA$5-$AJ16))</f>
        <v>29</v>
      </c>
      <c r="AQ16" s="20">
        <f>Table1[[#This Row],[Points]]/AP16</f>
        <v>0.10344827586206896</v>
      </c>
      <c r="AR16" s="81">
        <f>AP16-Table1[[#This Row],[Points]]</f>
        <v>26</v>
      </c>
      <c r="AS16" s="87">
        <f>Table1[[#This Row],[Points]]/(20-AA$5-Table1[[#This Row],[Missed Games]])</f>
        <v>0.15</v>
      </c>
      <c r="AT16" s="92">
        <f>Table1[[#This Row],[Average]]-'[1]Stats Global'!R15</f>
        <v>-0.41176470588235303</v>
      </c>
      <c r="AU16" s="20">
        <f>(Table1[[#This Row],[Average]]-'[1]Stats Global'!R15)/'[1]Stats Global'!R15</f>
        <v>-0.29166666666666669</v>
      </c>
      <c r="AW16" s="1"/>
    </row>
    <row r="17" spans="2:49" ht="14.25" customHeight="1" x14ac:dyDescent="0.35"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Z17" s="97" t="str">
        <f>SfW!B12</f>
        <v>Samuel McConaghy</v>
      </c>
      <c r="AA17" s="44">
        <f t="shared" si="0"/>
        <v>5</v>
      </c>
      <c r="AB17" s="45">
        <f>IF($AA$6-Table1[[#This Row],[Missed Games]]=0, 0,Table1[[#This Row],[Points]]/($AA$6-Table1[[#This Row],[Missed Games]]))</f>
        <v>1.6666666666666667</v>
      </c>
      <c r="AC17" s="46">
        <f t="shared" si="1"/>
        <v>2</v>
      </c>
      <c r="AD17" s="43">
        <f>IF($AA$6-Table1[[#This Row],[Missed Games]]=0, 0,Table1[[#This Row],[Finishes]]/($AA$6-Table1[[#This Row],[Missed Games]]))</f>
        <v>0.66666666666666663</v>
      </c>
      <c r="AE17" s="46">
        <f t="shared" si="2"/>
        <v>3</v>
      </c>
      <c r="AF17" s="43">
        <f>IF($AA$6-Table1[[#This Row],[Missed Games]]=0, 0,Table1[[#This Row],[Midranges]]/($AA$6-Table1[[#This Row],[Missed Games]]))</f>
        <v>1</v>
      </c>
      <c r="AG17" s="46">
        <f t="shared" si="3"/>
        <v>0</v>
      </c>
      <c r="AH17" s="43">
        <f>IF($AA$6-Table1[[#This Row],[Missed Games]]=0, 0,Table1[[#This Row],[Threes]]/($AA$6-Table1[[#This Row],[Missed Games]]))</f>
        <v>0</v>
      </c>
      <c r="AI17" s="43" t="str">
        <f>SfW!C12</f>
        <v>Gentle, Men</v>
      </c>
      <c r="AJ17" s="47">
        <f t="shared" si="4"/>
        <v>0</v>
      </c>
      <c r="AK17" s="42"/>
      <c r="AL17" s="42"/>
      <c r="AM17" s="42"/>
      <c r="AO17" s="23"/>
      <c r="AP17" s="13">
        <f>_xlfn.CEILING.MATH('[1]Stats Global'!R16*(20-$AA$5-$AJ17))</f>
        <v>51</v>
      </c>
      <c r="AQ17" s="20">
        <f>Table1[[#This Row],[Points]]/AP17</f>
        <v>9.8039215686274508E-2</v>
      </c>
      <c r="AR17" s="81">
        <f>AP17-Table1[[#This Row],[Points]]</f>
        <v>46</v>
      </c>
      <c r="AS17" s="87">
        <f>Table1[[#This Row],[Points]]/(20-AA$5-Table1[[#This Row],[Missed Games]])</f>
        <v>0.25</v>
      </c>
      <c r="AT17" s="92">
        <f>Table1[[#This Row],[Average]]-'[1]Stats Global'!R16</f>
        <v>-0.86666666666666647</v>
      </c>
      <c r="AU17" s="20">
        <f>(Table1[[#This Row],[Average]]-'[1]Stats Global'!R16)/'[1]Stats Global'!R16</f>
        <v>-0.34210526315789469</v>
      </c>
      <c r="AW17" s="1"/>
    </row>
    <row r="18" spans="2:49" ht="14.25" customHeight="1" x14ac:dyDescent="0.35"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Z18" s="97" t="str">
        <f>SfW!B13</f>
        <v>Ryan Pattemore</v>
      </c>
      <c r="AA18" s="98">
        <f t="shared" si="0"/>
        <v>1</v>
      </c>
      <c r="AB18" s="99">
        <f>IF($AA$6-Table1[[#This Row],[Missed Games]]=0, 0,Table1[[#This Row],[Points]]/($AA$6-Table1[[#This Row],[Missed Games]]))</f>
        <v>0.5</v>
      </c>
      <c r="AC18" s="100">
        <f t="shared" si="1"/>
        <v>0</v>
      </c>
      <c r="AD18" s="97">
        <f>IF($AA$6-Table1[[#This Row],[Missed Games]]=0, 0,Table1[[#This Row],[Finishes]]/($AA$6-Table1[[#This Row],[Missed Games]]))</f>
        <v>0</v>
      </c>
      <c r="AE18" s="100">
        <f t="shared" si="2"/>
        <v>1</v>
      </c>
      <c r="AF18" s="97">
        <f>IF($AA$6-Table1[[#This Row],[Missed Games]]=0, 0,Table1[[#This Row],[Midranges]]/($AA$6-Table1[[#This Row],[Missed Games]]))</f>
        <v>0.5</v>
      </c>
      <c r="AG18" s="100">
        <f t="shared" si="3"/>
        <v>0</v>
      </c>
      <c r="AH18" s="97">
        <f>IF($AA$6-Table1[[#This Row],[Missed Games]]=0, 0,Table1[[#This Row],[Threes]]/($AA$6-Table1[[#This Row],[Missed Games]]))</f>
        <v>0</v>
      </c>
      <c r="AI18" s="43" t="str">
        <f>SfW!C13</f>
        <v>Choc-Tops</v>
      </c>
      <c r="AJ18" s="101">
        <f t="shared" si="4"/>
        <v>1</v>
      </c>
      <c r="AK18" s="42"/>
      <c r="AL18" s="42"/>
      <c r="AM18" s="42"/>
      <c r="AO18" s="23"/>
      <c r="AP18" s="13">
        <f>_xlfn.CEILING.MATH('[1]Stats Global'!R17*(20-$AA$5-$AJ18))</f>
        <v>17</v>
      </c>
      <c r="AQ18" s="20">
        <f>Table1[[#This Row],[Points]]/AP18</f>
        <v>5.8823529411764705E-2</v>
      </c>
      <c r="AR18" s="81">
        <f>AP18-Table1[[#This Row],[Points]]</f>
        <v>16</v>
      </c>
      <c r="AS18" s="87">
        <f>Table1[[#This Row],[Points]]/(20-AA$5-Table1[[#This Row],[Missed Games]])</f>
        <v>5.2631578947368418E-2</v>
      </c>
      <c r="AT18" s="92">
        <f>Table1[[#This Row],[Average]]-'[1]Stats Global'!R17</f>
        <v>-0.375</v>
      </c>
      <c r="AU18" s="20">
        <f>(Table1[[#This Row],[Average]]-'[1]Stats Global'!R17)/'[1]Stats Global'!R17</f>
        <v>-0.42857142857142855</v>
      </c>
      <c r="AW18" s="1"/>
    </row>
    <row r="19" spans="2:49" ht="14.25" customHeight="1" x14ac:dyDescent="0.35"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Z19" s="97" t="str">
        <f>SfW!B14</f>
        <v>Nicholas Szogi</v>
      </c>
      <c r="AA19" s="98">
        <f t="shared" si="0"/>
        <v>0</v>
      </c>
      <c r="AB19" s="99">
        <f>IF($AA$6-Table1[[#This Row],[Missed Games]]=0, 0,Table1[[#This Row],[Points]]/($AA$6-Table1[[#This Row],[Missed Games]]))</f>
        <v>0</v>
      </c>
      <c r="AC19" s="100">
        <f t="shared" si="1"/>
        <v>0</v>
      </c>
      <c r="AD19" s="97">
        <f>IF($AA$6-Table1[[#This Row],[Missed Games]]=0, 0,Table1[[#This Row],[Finishes]]/($AA$6-Table1[[#This Row],[Missed Games]]))</f>
        <v>0</v>
      </c>
      <c r="AE19" s="100">
        <f t="shared" si="2"/>
        <v>0</v>
      </c>
      <c r="AF19" s="97">
        <f>IF($AA$6-Table1[[#This Row],[Missed Games]]=0, 0,Table1[[#This Row],[Midranges]]/($AA$6-Table1[[#This Row],[Missed Games]]))</f>
        <v>0</v>
      </c>
      <c r="AG19" s="100">
        <f t="shared" si="3"/>
        <v>0</v>
      </c>
      <c r="AH19" s="97">
        <f>IF($AA$6-Table1[[#This Row],[Missed Games]]=0, 0,Table1[[#This Row],[Threes]]/($AA$6-Table1[[#This Row],[Missed Games]]))</f>
        <v>0</v>
      </c>
      <c r="AI19" s="43" t="str">
        <f>SfW!C14</f>
        <v>Traffic Controllers</v>
      </c>
      <c r="AJ19" s="101">
        <f t="shared" si="4"/>
        <v>3</v>
      </c>
      <c r="AK19" s="42"/>
      <c r="AL19" s="42"/>
      <c r="AM19" s="42"/>
      <c r="AO19" s="23"/>
      <c r="AP19" s="13">
        <v>0</v>
      </c>
      <c r="AQ19" s="20">
        <v>1</v>
      </c>
      <c r="AR19" s="81">
        <f>AP19-Table1[[#This Row],[Points]]</f>
        <v>0</v>
      </c>
      <c r="AS19" s="87">
        <f>Table1[[#This Row],[Points]]/(20-AA$5-Table1[[#This Row],[Missed Games]])</f>
        <v>0</v>
      </c>
      <c r="AT19" s="92">
        <v>0</v>
      </c>
      <c r="AU19" s="25">
        <v>0</v>
      </c>
      <c r="AW19" s="1"/>
    </row>
    <row r="20" spans="2:49" ht="14.25" customHeight="1" x14ac:dyDescent="0.35"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Z20" s="97" t="str">
        <f>SfW!B15</f>
        <v>Christopher Tomkinson</v>
      </c>
      <c r="AA20" s="98">
        <f t="shared" si="0"/>
        <v>4</v>
      </c>
      <c r="AB20" s="99">
        <f>IF($AA$6-Table1[[#This Row],[Missed Games]]=0, 0,Table1[[#This Row],[Points]]/($AA$6-Table1[[#This Row],[Missed Games]]))</f>
        <v>1.3333333333333333</v>
      </c>
      <c r="AC20" s="100">
        <f t="shared" si="1"/>
        <v>2</v>
      </c>
      <c r="AD20" s="97">
        <f>IF($AA$6-Table1[[#This Row],[Missed Games]]=0, 0,Table1[[#This Row],[Finishes]]/($AA$6-Table1[[#This Row],[Missed Games]]))</f>
        <v>0.66666666666666663</v>
      </c>
      <c r="AE20" s="100">
        <f t="shared" si="2"/>
        <v>2</v>
      </c>
      <c r="AF20" s="97">
        <f>IF($AA$6-Table1[[#This Row],[Missed Games]]=0, 0,Table1[[#This Row],[Midranges]]/($AA$6-Table1[[#This Row],[Missed Games]]))</f>
        <v>0.66666666666666663</v>
      </c>
      <c r="AG20" s="100">
        <f t="shared" si="3"/>
        <v>0</v>
      </c>
      <c r="AH20" s="97">
        <f>IF($AA$6-Table1[[#This Row],[Missed Games]]=0, 0,Table1[[#This Row],[Threes]]/($AA$6-Table1[[#This Row],[Missed Games]]))</f>
        <v>0</v>
      </c>
      <c r="AI20" s="43" t="str">
        <f>SfW!C15</f>
        <v>Choc-Tops</v>
      </c>
      <c r="AJ20" s="101">
        <f t="shared" si="4"/>
        <v>0</v>
      </c>
      <c r="AK20" s="42"/>
      <c r="AL20" s="42"/>
      <c r="AM20" s="42"/>
      <c r="AO20" s="23"/>
      <c r="AP20" s="13">
        <f>_xlfn.CEILING.MATH('[1]Stats Global'!R18*(20-$AA$5-$AJ20))</f>
        <v>22</v>
      </c>
      <c r="AQ20" s="20">
        <f>Table1[[#This Row],[Points]]/AP20</f>
        <v>0.18181818181818182</v>
      </c>
      <c r="AR20" s="81">
        <f>AP20-Table1[[#This Row],[Points]]</f>
        <v>18</v>
      </c>
      <c r="AS20" s="87">
        <f>Table1[[#This Row],[Points]]/(20-AA$5-Table1[[#This Row],[Missed Games]])</f>
        <v>0.2</v>
      </c>
      <c r="AT20" s="92">
        <f>Table1[[#This Row],[Average]]-'[1]Stats Global'!R18</f>
        <v>0.26666666666666661</v>
      </c>
      <c r="AU20" s="20">
        <f>(Table1[[#This Row],[Average]]-'[1]Stats Global'!R18)/'[1]Stats Global'!R18</f>
        <v>0.24999999999999994</v>
      </c>
      <c r="AW20" s="1"/>
    </row>
    <row r="21" spans="2:49" ht="14.25" customHeight="1" x14ac:dyDescent="0.35"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Z21" s="97" t="str">
        <f>SfW!B16</f>
        <v>Angus Walker</v>
      </c>
      <c r="AA21" s="98">
        <f t="shared" si="0"/>
        <v>4</v>
      </c>
      <c r="AB21" s="99">
        <f>IF($AA$6-Table1[[#This Row],[Missed Games]]=0, 0,Table1[[#This Row],[Points]]/($AA$6-Table1[[#This Row],[Missed Games]]))</f>
        <v>1.3333333333333333</v>
      </c>
      <c r="AC21" s="100">
        <f t="shared" si="1"/>
        <v>0</v>
      </c>
      <c r="AD21" s="97">
        <f>IF($AA$6-Table1[[#This Row],[Missed Games]]=0, 0,Table1[[#This Row],[Finishes]]/($AA$6-Table1[[#This Row],[Missed Games]]))</f>
        <v>0</v>
      </c>
      <c r="AE21" s="100">
        <f t="shared" si="2"/>
        <v>0</v>
      </c>
      <c r="AF21" s="97">
        <f>IF($AA$6-Table1[[#This Row],[Missed Games]]=0, 0,Table1[[#This Row],[Midranges]]/($AA$6-Table1[[#This Row],[Missed Games]]))</f>
        <v>0</v>
      </c>
      <c r="AG21" s="100">
        <f t="shared" si="3"/>
        <v>2</v>
      </c>
      <c r="AH21" s="97">
        <f>IF($AA$6-Table1[[#This Row],[Missed Games]]=0, 0,Table1[[#This Row],[Threes]]/($AA$6-Table1[[#This Row],[Missed Games]]))</f>
        <v>0.66666666666666663</v>
      </c>
      <c r="AI21" s="43" t="str">
        <f>SfW!C16</f>
        <v>Traffic Controllers</v>
      </c>
      <c r="AJ21" s="101">
        <f t="shared" si="4"/>
        <v>0</v>
      </c>
      <c r="AK21" s="42"/>
      <c r="AL21" s="42"/>
      <c r="AM21" s="42"/>
      <c r="AO21" s="23"/>
      <c r="AP21" s="13">
        <f>_xlfn.CEILING.MATH('[1]Stats Global'!R19*(20-$AA$5-$AJ21))</f>
        <v>22</v>
      </c>
      <c r="AQ21" s="20">
        <f>Table1[[#This Row],[Points]]/AP21</f>
        <v>0.18181818181818182</v>
      </c>
      <c r="AR21" s="81">
        <f>AP21-Table1[[#This Row],[Points]]</f>
        <v>18</v>
      </c>
      <c r="AS21" s="87">
        <f>Table1[[#This Row],[Points]]/(20-AA$5-Table1[[#This Row],[Missed Games]])</f>
        <v>0.2</v>
      </c>
      <c r="AT21" s="92">
        <f>Table1[[#This Row],[Average]]-'[1]Stats Global'!R19</f>
        <v>0.27450980392156854</v>
      </c>
      <c r="AU21" s="20">
        <f>(Table1[[#This Row],[Average]]-'[1]Stats Global'!R19)/'[1]Stats Global'!R19</f>
        <v>0.25925925925925919</v>
      </c>
      <c r="AW21" s="1"/>
    </row>
    <row r="22" spans="2:49" ht="14.25" customHeight="1" x14ac:dyDescent="0.35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Z22" s="97" t="str">
        <f>SfW!B17</f>
        <v>Will Weekes</v>
      </c>
      <c r="AA22" s="44">
        <f t="shared" si="0"/>
        <v>1</v>
      </c>
      <c r="AB22" s="45">
        <f>IF($AA$6-Table1[[#This Row],[Missed Games]]=0, 0,Table1[[#This Row],[Points]]/($AA$6-Table1[[#This Row],[Missed Games]]))</f>
        <v>0.33333333333333331</v>
      </c>
      <c r="AC22" s="46">
        <f t="shared" si="1"/>
        <v>1</v>
      </c>
      <c r="AD22" s="72">
        <f>IF($AA$6-Table1[[#This Row],[Missed Games]]=0, 0,Table1[[#This Row],[Finishes]]/($AA$6-Table1[[#This Row],[Missed Games]]))</f>
        <v>0.33333333333333331</v>
      </c>
      <c r="AE22" s="46">
        <f t="shared" si="2"/>
        <v>0</v>
      </c>
      <c r="AF22" s="72">
        <f>IF($AA$6-Table1[[#This Row],[Missed Games]]=0, 0,Table1[[#This Row],[Midranges]]/($AA$6-Table1[[#This Row],[Missed Games]]))</f>
        <v>0</v>
      </c>
      <c r="AG22" s="46">
        <f t="shared" si="3"/>
        <v>0</v>
      </c>
      <c r="AH22" s="72">
        <f>IF($AA$6-Table1[[#This Row],[Missed Games]]=0, 0,Table1[[#This Row],[Threes]]/($AA$6-Table1[[#This Row],[Missed Games]]))</f>
        <v>0</v>
      </c>
      <c r="AI22" s="43" t="str">
        <f>SfW!C17</f>
        <v>Gentle, Men</v>
      </c>
      <c r="AJ22" s="47">
        <f t="shared" si="4"/>
        <v>0</v>
      </c>
      <c r="AK22" s="42"/>
      <c r="AL22" s="42"/>
      <c r="AM22" s="42"/>
      <c r="AO22" s="23"/>
      <c r="AP22" s="13">
        <f>_xlfn.CEILING.MATH('[1]Stats Global'!R20*(20-$AA$5-$AJ22))</f>
        <v>49</v>
      </c>
      <c r="AQ22" s="20">
        <f>Table1[[#This Row],[Points]]/AP22</f>
        <v>2.0408163265306121E-2</v>
      </c>
      <c r="AR22" s="81">
        <f>AP22-Table1[[#This Row],[Points]]</f>
        <v>48</v>
      </c>
      <c r="AS22" s="87">
        <f>Table1[[#This Row],[Points]]/(20-AA$5-Table1[[#This Row],[Missed Games]])</f>
        <v>0.05</v>
      </c>
      <c r="AT22" s="92">
        <f>Table1[[#This Row],[Average]]-'[1]Stats Global'!R20</f>
        <v>-2.0952380952380949</v>
      </c>
      <c r="AU22" s="20">
        <f>(Table1[[#This Row],[Average]]-'[1]Stats Global'!R20)/'[1]Stats Global'!R20</f>
        <v>-0.86274509803921562</v>
      </c>
      <c r="AW22" s="1"/>
    </row>
    <row r="23" spans="2:49" ht="14.25" customHeight="1" x14ac:dyDescent="0.35"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Z23" s="97" t="str">
        <f>SfW!B18</f>
        <v>Mitch Yue</v>
      </c>
      <c r="AA23" s="98">
        <f t="shared" si="0"/>
        <v>0</v>
      </c>
      <c r="AB23" s="103">
        <f>IF($AA$6-Table1[[#This Row],[Missed Games]]=0, 0,Table1[[#This Row],[Points]]/($AA$6-Table1[[#This Row],[Missed Games]]))</f>
        <v>0</v>
      </c>
      <c r="AC23" s="100">
        <f t="shared" si="1"/>
        <v>0</v>
      </c>
      <c r="AD23" s="102">
        <f>IF($AA$6-Table1[[#This Row],[Missed Games]]=0, 0,Table1[[#This Row],[Finishes]]/($AA$6-Table1[[#This Row],[Missed Games]]))</f>
        <v>0</v>
      </c>
      <c r="AE23" s="100">
        <f t="shared" si="2"/>
        <v>0</v>
      </c>
      <c r="AF23" s="102">
        <f>IF($AA$6-Table1[[#This Row],[Missed Games]]=0, 0,Table1[[#This Row],[Midranges]]/($AA$6-Table1[[#This Row],[Missed Games]]))</f>
        <v>0</v>
      </c>
      <c r="AG23" s="100">
        <f t="shared" si="3"/>
        <v>0</v>
      </c>
      <c r="AH23" s="102">
        <f>IF($AA$6-Table1[[#This Row],[Missed Games]]=0, 0,Table1[[#This Row],[Threes]]/($AA$6-Table1[[#This Row],[Missed Games]]))</f>
        <v>0</v>
      </c>
      <c r="AI23" s="43" t="str">
        <f>SfW!C18</f>
        <v>Gentle, Men</v>
      </c>
      <c r="AJ23" s="101">
        <f t="shared" si="4"/>
        <v>3</v>
      </c>
      <c r="AK23" s="42"/>
      <c r="AL23" s="42"/>
      <c r="AM23" s="42"/>
      <c r="AO23" s="23"/>
      <c r="AP23" s="13">
        <f>_xlfn.CEILING.MATH('[1]Stats Global'!R21*(20-$AA$5-$AJ23))</f>
        <v>2</v>
      </c>
      <c r="AQ23" s="20">
        <f>Table1[[#This Row],[Points]]/AP23</f>
        <v>0</v>
      </c>
      <c r="AR23" s="81">
        <f>AP23-Table1[[#This Row],[Points]]</f>
        <v>2</v>
      </c>
      <c r="AS23" s="87">
        <f>Table1[[#This Row],[Points]]/(20-AA$5-Table1[[#This Row],[Missed Games]])</f>
        <v>0</v>
      </c>
      <c r="AT23" s="92">
        <f>Table1[[#This Row],[Average]]-'[1]Stats Global'!R21</f>
        <v>-0.11764705882352941</v>
      </c>
      <c r="AU23" s="20">
        <f>(Table1[[#This Row],[Average]]-'[1]Stats Global'!R21)/'[1]Stats Global'!R21</f>
        <v>-1</v>
      </c>
      <c r="AW23" s="1"/>
    </row>
    <row r="24" spans="2:49" ht="14.25" customHeight="1" x14ac:dyDescent="0.3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Z24" s="97"/>
      <c r="AA24" s="98"/>
      <c r="AB24" s="99"/>
      <c r="AC24" s="100"/>
      <c r="AD24" s="97"/>
      <c r="AE24" s="100"/>
      <c r="AF24" s="97"/>
      <c r="AG24" s="100"/>
      <c r="AH24" s="97"/>
      <c r="AI24" s="97"/>
      <c r="AJ24" s="101"/>
      <c r="AL24" s="30"/>
      <c r="AN24" s="3"/>
      <c r="AP24" s="13"/>
      <c r="AQ24" s="20"/>
      <c r="AR24" s="81"/>
      <c r="AS24" s="87"/>
      <c r="AT24" s="92"/>
      <c r="AU24" s="20"/>
      <c r="AW24" s="1"/>
    </row>
    <row r="25" spans="2:49" ht="14.25" customHeight="1" x14ac:dyDescent="0.35"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AB25" s="12"/>
      <c r="AP25" s="12"/>
      <c r="AQ25" s="20"/>
    </row>
    <row r="26" spans="2:49" ht="14.25" customHeight="1" x14ac:dyDescent="0.35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</row>
    <row r="27" spans="2:49" ht="14.25" customHeight="1" x14ac:dyDescent="0.3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Z27" s="1" t="s">
        <v>101</v>
      </c>
      <c r="AA27" s="1">
        <v>2</v>
      </c>
      <c r="AI27" s="2"/>
      <c r="AK27" s="1" t="s">
        <v>102</v>
      </c>
      <c r="AL27" s="1">
        <v>1</v>
      </c>
      <c r="AT27" s="2"/>
    </row>
    <row r="28" spans="2:49" ht="14.25" customHeight="1" x14ac:dyDescent="0.3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2"/>
      <c r="S28" s="2" t="s">
        <v>89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100</v>
      </c>
      <c r="AF28" s="21" t="s">
        <v>98</v>
      </c>
      <c r="AG28" s="10" t="s">
        <v>99</v>
      </c>
      <c r="AH28" s="21" t="s">
        <v>133</v>
      </c>
      <c r="AI28" s="2" t="s">
        <v>96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100</v>
      </c>
      <c r="AQ28" s="21" t="s">
        <v>98</v>
      </c>
      <c r="AR28" s="10" t="s">
        <v>99</v>
      </c>
      <c r="AS28" s="21" t="s">
        <v>133</v>
      </c>
      <c r="AT28" s="2" t="s">
        <v>96</v>
      </c>
    </row>
    <row r="29" spans="2:49" ht="14.25" customHeight="1" x14ac:dyDescent="0.3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2"/>
      <c r="S29" t="s">
        <v>90</v>
      </c>
      <c r="X29" s="14"/>
      <c r="Y29" s="14"/>
      <c r="Z29" s="1" t="s">
        <v>25</v>
      </c>
      <c r="AA29" s="22">
        <f>'2401'!T3+'2501'!T3</f>
        <v>0</v>
      </c>
      <c r="AB29" s="22">
        <f>'2401'!U3+'2501'!U3</f>
        <v>0</v>
      </c>
      <c r="AC29" s="22">
        <f>'2401'!V3+'2501'!V3</f>
        <v>0</v>
      </c>
      <c r="AD29" s="22">
        <f>'2401'!W3+'2501'!W3</f>
        <v>0</v>
      </c>
      <c r="AE29" s="6">
        <f>Table211[[#This Row],[Points]]/($AA$27-$AI29)</f>
        <v>0</v>
      </c>
      <c r="AF29" s="6">
        <f>Table211[[#This Row],[Finishes]]/($AA$27-$AI29)</f>
        <v>0</v>
      </c>
      <c r="AG29" s="6">
        <f>Table211[[#This Row],[Midranges]]/($AA$27-$AI29)</f>
        <v>0</v>
      </c>
      <c r="AH29" s="6">
        <f>Table211[[#This Row],[Threes]]/($AA$27-$AI29)</f>
        <v>0</v>
      </c>
      <c r="AI29" s="22">
        <f>COUNTIF('2401'!X3, TRUE)+COUNTIF('2501'!X3, TRUE)</f>
        <v>0</v>
      </c>
      <c r="AK29" s="1" t="s">
        <v>25</v>
      </c>
      <c r="AL29" s="22">
        <f>'2901'!T3</f>
        <v>0</v>
      </c>
      <c r="AM29" s="22">
        <f>'2901'!U3</f>
        <v>0</v>
      </c>
      <c r="AN29" s="22">
        <f>'2901'!V3</f>
        <v>0</v>
      </c>
      <c r="AO29" s="22">
        <f>'2901'!W3</f>
        <v>0</v>
      </c>
      <c r="AP29" s="22">
        <f>Table21128[[#This Row],[Points]]/($AL$27-$AT29)</f>
        <v>0</v>
      </c>
      <c r="AQ29" s="22">
        <f>Table21128[[#This Row],[Finishes]]/($AL$27-$AT29)</f>
        <v>0</v>
      </c>
      <c r="AR29" s="22">
        <f>Table21128[[#This Row],[Midranges]]/($AL$27-$AT29)</f>
        <v>0</v>
      </c>
      <c r="AS29" s="22">
        <f>Table21128[[#This Row],[Threes]]/($AL$27-$AT29)</f>
        <v>0</v>
      </c>
      <c r="AT29" s="22">
        <f>COUNTIF('2901'!X3,TRUE)</f>
        <v>0</v>
      </c>
    </row>
    <row r="30" spans="2:49" ht="14.25" customHeight="1" x14ac:dyDescent="0.3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2"/>
      <c r="S30" s="65" t="s">
        <v>136</v>
      </c>
      <c r="Z30" s="1" t="s">
        <v>26</v>
      </c>
      <c r="AA30" s="22">
        <f>'2401'!T4+'2501'!T4</f>
        <v>0</v>
      </c>
      <c r="AB30" s="22">
        <f>'2401'!U4+'2501'!U4</f>
        <v>0</v>
      </c>
      <c r="AC30" s="22">
        <f>'2401'!V4+'2501'!V4</f>
        <v>0</v>
      </c>
      <c r="AD30" s="22">
        <f>'2401'!W4+'2501'!W4</f>
        <v>0</v>
      </c>
      <c r="AE30" s="6">
        <f>Table211[[#This Row],[Points]]/($AA$27-$AI30)</f>
        <v>0</v>
      </c>
      <c r="AF30" s="6">
        <f>Table211[[#This Row],[Finishes]]/($AA$27-$AI30)</f>
        <v>0</v>
      </c>
      <c r="AG30" s="6">
        <f>Table211[[#This Row],[Midranges]]/($AA$27-$AI30)</f>
        <v>0</v>
      </c>
      <c r="AH30" s="6">
        <f>Table211[[#This Row],[Threes]]/($AA$27-$AI30)</f>
        <v>0</v>
      </c>
      <c r="AI30" s="22">
        <f>COUNTIF('2401'!X4, TRUE)+COUNTIF('2501'!X4, TRUE)</f>
        <v>0</v>
      </c>
      <c r="AK30" s="1" t="s">
        <v>26</v>
      </c>
      <c r="AL30" s="22">
        <f>'2901'!T4</f>
        <v>0</v>
      </c>
      <c r="AM30" s="22">
        <f>'2901'!U4</f>
        <v>0</v>
      </c>
      <c r="AN30" s="22">
        <f>'2901'!V4</f>
        <v>0</v>
      </c>
      <c r="AO30" s="22">
        <f>'2901'!W4</f>
        <v>0</v>
      </c>
      <c r="AP30" s="22">
        <f>Table21128[[#This Row],[Points]]/($AL$27-$AT30)</f>
        <v>0</v>
      </c>
      <c r="AQ30" s="22">
        <f>Table21128[[#This Row],[Finishes]]/($AL$27-$AT30)</f>
        <v>0</v>
      </c>
      <c r="AR30" s="22">
        <f>Table21128[[#This Row],[Midranges]]/($AL$27-$AT30)</f>
        <v>0</v>
      </c>
      <c r="AS30" s="22">
        <f>Table21128[[#This Row],[Threes]]/($AL$27-$AT30)</f>
        <v>0</v>
      </c>
      <c r="AT30" s="22">
        <f>COUNTIF('2901'!X4,TRUE)</f>
        <v>0</v>
      </c>
    </row>
    <row r="31" spans="2:49" ht="14.25" customHeight="1" x14ac:dyDescent="0.3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2"/>
      <c r="S31" s="65" t="s">
        <v>137</v>
      </c>
      <c r="Z31" s="1" t="s">
        <v>27</v>
      </c>
      <c r="AA31" s="22">
        <f>'2401'!T5+'2501'!T5</f>
        <v>6</v>
      </c>
      <c r="AB31" s="22">
        <f>'2401'!U5+'2501'!U5</f>
        <v>6</v>
      </c>
      <c r="AC31" s="22">
        <f>'2401'!V5+'2501'!V5</f>
        <v>0</v>
      </c>
      <c r="AD31" s="22">
        <f>'2401'!W5+'2501'!W5</f>
        <v>0</v>
      </c>
      <c r="AE31" s="6">
        <f>Table211[[#This Row],[Points]]/($AA$27-$AI31)</f>
        <v>3</v>
      </c>
      <c r="AF31" s="6">
        <f>Table211[[#This Row],[Finishes]]/($AA$27-$AI31)</f>
        <v>3</v>
      </c>
      <c r="AG31" s="6">
        <f>Table211[[#This Row],[Midranges]]/($AA$27-$AI31)</f>
        <v>0</v>
      </c>
      <c r="AH31" s="6">
        <f>Table211[[#This Row],[Threes]]/($AA$27-$AI31)</f>
        <v>0</v>
      </c>
      <c r="AI31" s="22">
        <f>COUNTIF('2401'!X5, TRUE)+COUNTIF('2501'!X5, TRUE)</f>
        <v>0</v>
      </c>
      <c r="AK31" s="1" t="s">
        <v>27</v>
      </c>
      <c r="AL31" s="22">
        <f>'2901'!T5</f>
        <v>0</v>
      </c>
      <c r="AM31" s="22">
        <f>'2901'!U5</f>
        <v>0</v>
      </c>
      <c r="AN31" s="22">
        <f>'2901'!V5</f>
        <v>0</v>
      </c>
      <c r="AO31" s="22">
        <f>'2901'!W5</f>
        <v>0</v>
      </c>
      <c r="AP31" s="22" t="e">
        <f>Table21128[[#This Row],[Points]]/($AL$27-$AT31)</f>
        <v>#DIV/0!</v>
      </c>
      <c r="AQ31" s="22" t="e">
        <f>Table21128[[#This Row],[Finishes]]/($AL$27-$AT31)</f>
        <v>#DIV/0!</v>
      </c>
      <c r="AR31" s="22" t="e">
        <f>Table21128[[#This Row],[Midranges]]/($AL$27-$AT31)</f>
        <v>#DIV/0!</v>
      </c>
      <c r="AS31" s="22" t="e">
        <f>Table21128[[#This Row],[Threes]]/($AL$27-$AT31)</f>
        <v>#DIV/0!</v>
      </c>
      <c r="AT31" s="22">
        <f>COUNTIF('2901'!X5,TRUE)</f>
        <v>1</v>
      </c>
    </row>
    <row r="32" spans="2:49" ht="14.25" customHeight="1" x14ac:dyDescent="0.3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S32" s="65" t="s">
        <v>138</v>
      </c>
      <c r="X32" s="13"/>
      <c r="Z32" s="1" t="s">
        <v>30</v>
      </c>
      <c r="AA32" s="22">
        <f>'2401'!T6+'2501'!T6</f>
        <v>4</v>
      </c>
      <c r="AB32" s="22">
        <f>'2401'!U6+'2501'!U6</f>
        <v>4</v>
      </c>
      <c r="AC32" s="22">
        <f>'2401'!V6+'2501'!V6</f>
        <v>0</v>
      </c>
      <c r="AD32" s="22">
        <f>'2401'!W6+'2501'!W6</f>
        <v>0</v>
      </c>
      <c r="AE32" s="6">
        <f>Table211[[#This Row],[Points]]/($AA$27-$AI32)</f>
        <v>2</v>
      </c>
      <c r="AF32" s="6">
        <f>Table211[[#This Row],[Finishes]]/($AA$27-$AI32)</f>
        <v>2</v>
      </c>
      <c r="AG32" s="6">
        <f>Table211[[#This Row],[Midranges]]/($AA$27-$AI32)</f>
        <v>0</v>
      </c>
      <c r="AH32" s="6">
        <f>Table211[[#This Row],[Threes]]/($AA$27-$AI32)</f>
        <v>0</v>
      </c>
      <c r="AI32" s="22">
        <f>COUNTIF('2401'!X6, TRUE)+COUNTIF('2501'!X6, TRUE)</f>
        <v>0</v>
      </c>
      <c r="AK32" s="1" t="s">
        <v>30</v>
      </c>
      <c r="AL32" s="22">
        <f>'2901'!T6</f>
        <v>2</v>
      </c>
      <c r="AM32" s="22">
        <f>'2901'!U6</f>
        <v>2</v>
      </c>
      <c r="AN32" s="22">
        <f>'2901'!V6</f>
        <v>0</v>
      </c>
      <c r="AO32" s="22">
        <f>'2901'!W6</f>
        <v>0</v>
      </c>
      <c r="AP32" s="22">
        <f>Table21128[[#This Row],[Points]]/($AL$27-$AT32)</f>
        <v>2</v>
      </c>
      <c r="AQ32" s="22">
        <f>Table21128[[#This Row],[Finishes]]/($AL$27-$AT32)</f>
        <v>2</v>
      </c>
      <c r="AR32" s="22">
        <f>Table21128[[#This Row],[Midranges]]/($AL$27-$AT32)</f>
        <v>0</v>
      </c>
      <c r="AS32" s="22">
        <f>Table21128[[#This Row],[Threes]]/($AL$27-$AT32)</f>
        <v>0</v>
      </c>
      <c r="AT32" s="22">
        <f>COUNTIF('2901'!X6,TRUE)</f>
        <v>0</v>
      </c>
    </row>
    <row r="33" spans="2:46" ht="14.25" customHeight="1" x14ac:dyDescent="0.3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S33" s="65" t="s">
        <v>139</v>
      </c>
      <c r="Z33" s="1" t="s">
        <v>32</v>
      </c>
      <c r="AA33" s="22">
        <f>'2401'!T7+'2501'!T7</f>
        <v>3</v>
      </c>
      <c r="AB33" s="22">
        <f>'2401'!U7+'2501'!U7</f>
        <v>2</v>
      </c>
      <c r="AC33" s="22">
        <f>'2401'!V7+'2501'!V7</f>
        <v>1</v>
      </c>
      <c r="AD33" s="22">
        <f>'2401'!W7+'2501'!W7</f>
        <v>0</v>
      </c>
      <c r="AE33" s="6">
        <f>Table211[[#This Row],[Points]]/($AA$27-$AI33)</f>
        <v>1.5</v>
      </c>
      <c r="AF33" s="6">
        <f>Table211[[#This Row],[Finishes]]/($AA$27-$AI33)</f>
        <v>1</v>
      </c>
      <c r="AG33" s="6">
        <f>Table211[[#This Row],[Midranges]]/($AA$27-$AI33)</f>
        <v>0.5</v>
      </c>
      <c r="AH33" s="6">
        <f>Table211[[#This Row],[Threes]]/($AA$27-$AI33)</f>
        <v>0</v>
      </c>
      <c r="AI33" s="22">
        <f>COUNTIF('2401'!X7, TRUE)+COUNTIF('2501'!X7, TRUE)</f>
        <v>0</v>
      </c>
      <c r="AK33" s="1" t="s">
        <v>32</v>
      </c>
      <c r="AL33" s="22">
        <f>'2901'!T7</f>
        <v>3</v>
      </c>
      <c r="AM33" s="22">
        <f>'2901'!U7</f>
        <v>2</v>
      </c>
      <c r="AN33" s="22">
        <f>'2901'!V7</f>
        <v>1</v>
      </c>
      <c r="AO33" s="22">
        <f>'2901'!W7</f>
        <v>0</v>
      </c>
      <c r="AP33" s="22">
        <f>Table21128[[#This Row],[Points]]/($AL$27-$AT33)</f>
        <v>3</v>
      </c>
      <c r="AQ33" s="22">
        <f>Table21128[[#This Row],[Finishes]]/($AL$27-$AT33)</f>
        <v>2</v>
      </c>
      <c r="AR33" s="22">
        <f>Table21128[[#This Row],[Midranges]]/($AL$27-$AT33)</f>
        <v>1</v>
      </c>
      <c r="AS33" s="22">
        <f>Table21128[[#This Row],[Threes]]/($AL$27-$AT33)</f>
        <v>0</v>
      </c>
      <c r="AT33" s="22">
        <f>COUNTIF('2901'!X7,TRUE)</f>
        <v>0</v>
      </c>
    </row>
    <row r="34" spans="2:46" ht="14.25" customHeight="1" x14ac:dyDescent="0.3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S34" s="65" t="s">
        <v>140</v>
      </c>
      <c r="Z34" s="1" t="s">
        <v>37</v>
      </c>
      <c r="AA34" s="22">
        <f>'2401'!T8+'2501'!T8</f>
        <v>1</v>
      </c>
      <c r="AB34" s="22">
        <f>'2401'!U8+'2501'!U8</f>
        <v>1</v>
      </c>
      <c r="AC34" s="22">
        <f>'2401'!V8+'2501'!V8</f>
        <v>0</v>
      </c>
      <c r="AD34" s="22">
        <f>'2401'!W8+'2501'!W8</f>
        <v>0</v>
      </c>
      <c r="AE34" s="6">
        <f>Table211[[#This Row],[Points]]/($AA$27-$AI34)</f>
        <v>0.5</v>
      </c>
      <c r="AF34" s="6">
        <f>Table211[[#This Row],[Finishes]]/($AA$27-$AI34)</f>
        <v>0.5</v>
      </c>
      <c r="AG34" s="6">
        <f>Table211[[#This Row],[Midranges]]/($AA$27-$AI34)</f>
        <v>0</v>
      </c>
      <c r="AH34" s="6">
        <f>Table211[[#This Row],[Threes]]/($AA$27-$AI34)</f>
        <v>0</v>
      </c>
      <c r="AI34" s="22">
        <f>COUNTIF('2401'!X8, TRUE)+COUNTIF('2501'!X8, TRUE)</f>
        <v>0</v>
      </c>
      <c r="AK34" s="1" t="s">
        <v>37</v>
      </c>
      <c r="AL34" s="22">
        <f>'2901'!T8</f>
        <v>3</v>
      </c>
      <c r="AM34" s="22">
        <f>'2901'!U8</f>
        <v>3</v>
      </c>
      <c r="AN34" s="22">
        <f>'2901'!V8</f>
        <v>0</v>
      </c>
      <c r="AO34" s="22">
        <f>'2901'!W8</f>
        <v>0</v>
      </c>
      <c r="AP34" s="22">
        <f>Table21128[[#This Row],[Points]]/($AL$27-$AT34)</f>
        <v>3</v>
      </c>
      <c r="AQ34" s="22">
        <f>Table21128[[#This Row],[Finishes]]/($AL$27-$AT34)</f>
        <v>3</v>
      </c>
      <c r="AR34" s="22">
        <f>Table21128[[#This Row],[Midranges]]/($AL$27-$AT34)</f>
        <v>0</v>
      </c>
      <c r="AS34" s="22">
        <f>Table21128[[#This Row],[Threes]]/($AL$27-$AT34)</f>
        <v>0</v>
      </c>
      <c r="AT34" s="22">
        <f>COUNTIF('2901'!X8,TRUE)</f>
        <v>0</v>
      </c>
    </row>
    <row r="35" spans="2:46" ht="14.25" customHeight="1" x14ac:dyDescent="0.3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S35" s="65" t="s">
        <v>141</v>
      </c>
      <c r="Z35" t="s">
        <v>91</v>
      </c>
      <c r="AA35" s="22">
        <f>'2401'!T9+'2501'!T9</f>
        <v>0</v>
      </c>
      <c r="AB35" s="22">
        <f>'2401'!U9+'2501'!U9</f>
        <v>0</v>
      </c>
      <c r="AC35" s="22">
        <f>'2401'!V9+'2501'!V9</f>
        <v>0</v>
      </c>
      <c r="AD35" s="22">
        <f>'2401'!W9+'2501'!W9</f>
        <v>0</v>
      </c>
      <c r="AE35" s="6">
        <f>Table211[[#This Row],[Points]]/($AA$27-$AI35)</f>
        <v>0</v>
      </c>
      <c r="AF35" s="6">
        <f>Table211[[#This Row],[Finishes]]/($AA$27-$AI35)</f>
        <v>0</v>
      </c>
      <c r="AG35" s="6">
        <f>Table211[[#This Row],[Midranges]]/($AA$27-$AI35)</f>
        <v>0</v>
      </c>
      <c r="AH35" s="6">
        <f>Table211[[#This Row],[Threes]]/($AA$27-$AI35)</f>
        <v>0</v>
      </c>
      <c r="AI35" s="22">
        <f>COUNTIF('2401'!X9, TRUE)+COUNTIF('2501'!X9, TRUE)</f>
        <v>0</v>
      </c>
      <c r="AK35" t="s">
        <v>91</v>
      </c>
      <c r="AL35" s="22">
        <f>'2901'!T9</f>
        <v>1</v>
      </c>
      <c r="AM35" s="22">
        <f>'2901'!U9</f>
        <v>0</v>
      </c>
      <c r="AN35" s="22">
        <f>'2901'!V9</f>
        <v>1</v>
      </c>
      <c r="AO35" s="22">
        <f>'2901'!W9</f>
        <v>0</v>
      </c>
      <c r="AP35" s="22">
        <f>Table21128[[#This Row],[Points]]/($AL$27-$AT35)</f>
        <v>1</v>
      </c>
      <c r="AQ35" s="22">
        <f>Table21128[[#This Row],[Finishes]]/($AL$27-$AT35)</f>
        <v>0</v>
      </c>
      <c r="AR35" s="22">
        <f>Table21128[[#This Row],[Midranges]]/($AL$27-$AT35)</f>
        <v>1</v>
      </c>
      <c r="AS35" s="22">
        <f>Table21128[[#This Row],[Threes]]/($AL$27-$AT35)</f>
        <v>0</v>
      </c>
      <c r="AT35" s="22">
        <f>COUNTIF('2901'!X9,TRUE)</f>
        <v>0</v>
      </c>
    </row>
    <row r="36" spans="2:46" ht="14.25" customHeight="1" x14ac:dyDescent="0.3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S36" s="65" t="s">
        <v>142</v>
      </c>
      <c r="Z36" s="1" t="s">
        <v>39</v>
      </c>
      <c r="AA36" s="22">
        <f>'2401'!T10+'2501'!T10</f>
        <v>2</v>
      </c>
      <c r="AB36" s="22">
        <f>'2401'!U10+'2501'!U10</f>
        <v>0</v>
      </c>
      <c r="AC36" s="22">
        <f>'2401'!V10+'2501'!V10</f>
        <v>0</v>
      </c>
      <c r="AD36" s="22">
        <f>'2401'!W10+'2501'!W10</f>
        <v>1</v>
      </c>
      <c r="AE36" s="6">
        <f>Table211[[#This Row],[Points]]/($AA$27-$AI36)</f>
        <v>1</v>
      </c>
      <c r="AF36" s="6">
        <f>Table211[[#This Row],[Finishes]]/($AA$27-$AI36)</f>
        <v>0</v>
      </c>
      <c r="AG36" s="6">
        <f>Table211[[#This Row],[Midranges]]/($AA$27-$AI36)</f>
        <v>0</v>
      </c>
      <c r="AH36" s="6">
        <f>Table211[[#This Row],[Threes]]/($AA$27-$AI36)</f>
        <v>0.5</v>
      </c>
      <c r="AI36" s="22">
        <f>COUNTIF('2401'!X10, TRUE)+COUNTIF('2501'!X10, TRUE)</f>
        <v>0</v>
      </c>
      <c r="AK36" s="1" t="s">
        <v>39</v>
      </c>
      <c r="AL36" s="22">
        <f>'2901'!T10</f>
        <v>0</v>
      </c>
      <c r="AM36" s="22">
        <f>'2901'!U10</f>
        <v>0</v>
      </c>
      <c r="AN36" s="22">
        <f>'2901'!V10</f>
        <v>0</v>
      </c>
      <c r="AO36" s="22">
        <f>'2901'!W10</f>
        <v>0</v>
      </c>
      <c r="AP36" s="22">
        <f>Table21128[[#This Row],[Points]]/($AL$27-$AT36)</f>
        <v>0</v>
      </c>
      <c r="AQ36" s="22">
        <f>Table21128[[#This Row],[Finishes]]/($AL$27-$AT36)</f>
        <v>0</v>
      </c>
      <c r="AR36" s="22">
        <f>Table21128[[#This Row],[Midranges]]/($AL$27-$AT36)</f>
        <v>0</v>
      </c>
      <c r="AS36" s="22">
        <f>Table21128[[#This Row],[Threes]]/($AL$27-$AT36)</f>
        <v>0</v>
      </c>
      <c r="AT36" s="22">
        <f>COUNTIF('2901'!X10,TRUE)</f>
        <v>0</v>
      </c>
    </row>
    <row r="37" spans="2:46" ht="14.25" customHeight="1" x14ac:dyDescent="0.3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Z37" s="1" t="s">
        <v>41</v>
      </c>
      <c r="AA37" s="22">
        <f>'2401'!T11+'2501'!T11</f>
        <v>1</v>
      </c>
      <c r="AB37" s="22">
        <f>'2401'!U11+'2501'!U11</f>
        <v>1</v>
      </c>
      <c r="AC37" s="22">
        <f>'2401'!V11+'2501'!V11</f>
        <v>0</v>
      </c>
      <c r="AD37" s="22">
        <f>'2401'!W11+'2501'!W11</f>
        <v>0</v>
      </c>
      <c r="AE37" s="6">
        <f>Table211[[#This Row],[Points]]/($AA$27-$AI37)</f>
        <v>0.5</v>
      </c>
      <c r="AF37" s="6">
        <f>Table211[[#This Row],[Finishes]]/($AA$27-$AI37)</f>
        <v>0.5</v>
      </c>
      <c r="AG37" s="6">
        <f>Table211[[#This Row],[Midranges]]/($AA$27-$AI37)</f>
        <v>0</v>
      </c>
      <c r="AH37" s="6">
        <f>Table211[[#This Row],[Threes]]/($AA$27-$AI37)</f>
        <v>0</v>
      </c>
      <c r="AI37" s="22">
        <f>COUNTIF('2401'!X11, TRUE)+COUNTIF('2501'!X11, TRUE)</f>
        <v>0</v>
      </c>
      <c r="AK37" s="1" t="s">
        <v>41</v>
      </c>
      <c r="AL37" s="22">
        <f>'2901'!T11</f>
        <v>2</v>
      </c>
      <c r="AM37" s="22">
        <f>'2901'!U11</f>
        <v>0</v>
      </c>
      <c r="AN37" s="22">
        <f>'2901'!V11</f>
        <v>2</v>
      </c>
      <c r="AO37" s="22">
        <f>'2901'!W11</f>
        <v>0</v>
      </c>
      <c r="AP37" s="22">
        <f>Table21128[[#This Row],[Points]]/($AL$27-$AT37)</f>
        <v>2</v>
      </c>
      <c r="AQ37" s="22">
        <f>Table21128[[#This Row],[Finishes]]/($AL$27-$AT37)</f>
        <v>0</v>
      </c>
      <c r="AR37" s="22">
        <f>Table21128[[#This Row],[Midranges]]/($AL$27-$AT37)</f>
        <v>2</v>
      </c>
      <c r="AS37" s="22">
        <f>Table21128[[#This Row],[Threes]]/($AL$27-$AT37)</f>
        <v>0</v>
      </c>
      <c r="AT37" s="22">
        <f>COUNTIF('2901'!X11,TRUE)</f>
        <v>0</v>
      </c>
    </row>
    <row r="38" spans="2:46" ht="14.25" customHeight="1" x14ac:dyDescent="0.3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Z38" s="1" t="s">
        <v>44</v>
      </c>
      <c r="AA38" s="22">
        <f>'2401'!T12+'2501'!T12</f>
        <v>5</v>
      </c>
      <c r="AB38" s="22">
        <f>'2401'!U12+'2501'!U12</f>
        <v>2</v>
      </c>
      <c r="AC38" s="22">
        <f>'2401'!V12+'2501'!V12</f>
        <v>3</v>
      </c>
      <c r="AD38" s="22">
        <f>'2401'!W12+'2501'!W12</f>
        <v>0</v>
      </c>
      <c r="AE38" s="6">
        <f>Table211[[#This Row],[Points]]/($AA$27-$AI38)</f>
        <v>2.5</v>
      </c>
      <c r="AF38" s="6">
        <f>Table211[[#This Row],[Finishes]]/($AA$27-$AI38)</f>
        <v>1</v>
      </c>
      <c r="AG38" s="6">
        <f>Table211[[#This Row],[Midranges]]/($AA$27-$AI38)</f>
        <v>1.5</v>
      </c>
      <c r="AH38" s="6">
        <f>Table211[[#This Row],[Threes]]/($AA$27-$AI38)</f>
        <v>0</v>
      </c>
      <c r="AI38" s="22">
        <f>COUNTIF('2401'!X12, TRUE)+COUNTIF('2501'!X12, TRUE)</f>
        <v>0</v>
      </c>
      <c r="AK38" s="1" t="s">
        <v>44</v>
      </c>
      <c r="AL38" s="22">
        <f>'2901'!T12</f>
        <v>0</v>
      </c>
      <c r="AM38" s="22">
        <f>'2901'!U12</f>
        <v>0</v>
      </c>
      <c r="AN38" s="22">
        <f>'2901'!V12</f>
        <v>0</v>
      </c>
      <c r="AO38" s="22">
        <f>'2901'!W12</f>
        <v>0</v>
      </c>
      <c r="AP38" s="22">
        <f>Table21128[[#This Row],[Points]]/($AL$27-$AT38)</f>
        <v>0</v>
      </c>
      <c r="AQ38" s="22">
        <f>Table21128[[#This Row],[Finishes]]/($AL$27-$AT38)</f>
        <v>0</v>
      </c>
      <c r="AR38" s="22">
        <f>Table21128[[#This Row],[Midranges]]/($AL$27-$AT38)</f>
        <v>0</v>
      </c>
      <c r="AS38" s="22">
        <f>Table21128[[#This Row],[Threes]]/($AL$27-$AT38)</f>
        <v>0</v>
      </c>
      <c r="AT38" s="22">
        <f>COUNTIF('2901'!X12,TRUE)</f>
        <v>0</v>
      </c>
    </row>
    <row r="39" spans="2:46" ht="14.25" customHeight="1" x14ac:dyDescent="0.3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Z39" s="1" t="s">
        <v>46</v>
      </c>
      <c r="AA39" s="22">
        <f>'2401'!T13+'2501'!T13</f>
        <v>1</v>
      </c>
      <c r="AB39" s="22">
        <f>'2401'!U13+'2501'!U13</f>
        <v>0</v>
      </c>
      <c r="AC39" s="22">
        <f>'2401'!V13+'2501'!V13</f>
        <v>1</v>
      </c>
      <c r="AD39" s="22">
        <f>'2401'!W13+'2501'!W13</f>
        <v>0</v>
      </c>
      <c r="AE39" s="6">
        <f>Table211[[#This Row],[Points]]/($AA$27-$AI39)</f>
        <v>0.5</v>
      </c>
      <c r="AF39" s="6">
        <f>Table211[[#This Row],[Finishes]]/($AA$27-$AI39)</f>
        <v>0</v>
      </c>
      <c r="AG39" s="6">
        <f>Table211[[#This Row],[Midranges]]/($AA$27-$AI39)</f>
        <v>0.5</v>
      </c>
      <c r="AH39" s="6">
        <f>Table211[[#This Row],[Threes]]/($AA$27-$AI39)</f>
        <v>0</v>
      </c>
      <c r="AI39" s="22">
        <f>COUNTIF('2401'!X13, TRUE)+COUNTIF('2501'!X13, TRUE)</f>
        <v>0</v>
      </c>
      <c r="AJ39" s="49"/>
      <c r="AK39" s="1" t="s">
        <v>46</v>
      </c>
      <c r="AL39" s="22">
        <f>'2901'!T13</f>
        <v>0</v>
      </c>
      <c r="AM39" s="22">
        <f>'2901'!U13</f>
        <v>0</v>
      </c>
      <c r="AN39" s="22">
        <f>'2901'!V13</f>
        <v>0</v>
      </c>
      <c r="AO39" s="22">
        <f>'2901'!W13</f>
        <v>0</v>
      </c>
      <c r="AP39" s="22" t="e">
        <f>Table21128[[#This Row],[Points]]/($AL$27-$AT39)</f>
        <v>#DIV/0!</v>
      </c>
      <c r="AQ39" s="22" t="e">
        <f>Table21128[[#This Row],[Finishes]]/($AL$27-$AT39)</f>
        <v>#DIV/0!</v>
      </c>
      <c r="AR39" s="22" t="e">
        <f>Table21128[[#This Row],[Midranges]]/($AL$27-$AT39)</f>
        <v>#DIV/0!</v>
      </c>
      <c r="AS39" s="22" t="e">
        <f>Table21128[[#This Row],[Threes]]/($AL$27-$AT39)</f>
        <v>#DIV/0!</v>
      </c>
      <c r="AT39" s="22">
        <f>COUNTIF('2901'!X13,TRUE)</f>
        <v>1</v>
      </c>
    </row>
    <row r="40" spans="2:46" ht="14.25" customHeight="1" x14ac:dyDescent="0.3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10" t="s">
        <v>92</v>
      </c>
      <c r="U40" t="s">
        <v>149</v>
      </c>
      <c r="V40" t="s">
        <v>150</v>
      </c>
      <c r="W40" t="s">
        <v>151</v>
      </c>
      <c r="X40" t="s">
        <v>156</v>
      </c>
      <c r="Z40" t="s">
        <v>49</v>
      </c>
      <c r="AA40" s="22">
        <f>'2401'!T14+'2501'!T14</f>
        <v>0</v>
      </c>
      <c r="AB40" s="22">
        <f>'2401'!U14+'2501'!U14</f>
        <v>0</v>
      </c>
      <c r="AC40" s="22">
        <f>'2401'!V14+'2501'!V14</f>
        <v>0</v>
      </c>
      <c r="AD40" s="22">
        <f>'2401'!W14+'2501'!W14</f>
        <v>0</v>
      </c>
      <c r="AE40" s="6" t="e">
        <f>Table211[[#This Row],[Points]]/($AA$27-$AI40)</f>
        <v>#DIV/0!</v>
      </c>
      <c r="AF40" s="6" t="e">
        <f>Table211[[#This Row],[Finishes]]/($AA$27-$AI40)</f>
        <v>#DIV/0!</v>
      </c>
      <c r="AG40" s="6" t="e">
        <f>Table211[[#This Row],[Midranges]]/($AA$27-$AI40)</f>
        <v>#DIV/0!</v>
      </c>
      <c r="AH40" s="6" t="e">
        <f>Table211[[#This Row],[Threes]]/($AA$27-$AI40)</f>
        <v>#DIV/0!</v>
      </c>
      <c r="AI40" s="22">
        <f>COUNTIF('2401'!X14, TRUE)+COUNTIF('2501'!X14, TRUE)</f>
        <v>2</v>
      </c>
      <c r="AK40" t="s">
        <v>49</v>
      </c>
      <c r="AL40" s="22">
        <f>'2901'!T14</f>
        <v>0</v>
      </c>
      <c r="AM40" s="22">
        <f>'2901'!U14</f>
        <v>0</v>
      </c>
      <c r="AN40" s="22">
        <f>'2901'!V14</f>
        <v>0</v>
      </c>
      <c r="AO40" s="22">
        <f>'2901'!W14</f>
        <v>0</v>
      </c>
      <c r="AP40" s="22" t="e">
        <f>Table21128[[#This Row],[Points]]/($AL$27-$AT40)</f>
        <v>#DIV/0!</v>
      </c>
      <c r="AQ40" s="22" t="e">
        <f>Table21128[[#This Row],[Finishes]]/($AL$27-$AT40)</f>
        <v>#DIV/0!</v>
      </c>
      <c r="AR40" s="22" t="e">
        <f>Table21128[[#This Row],[Midranges]]/($AL$27-$AT40)</f>
        <v>#DIV/0!</v>
      </c>
      <c r="AS40" s="22" t="e">
        <f>Table21128[[#This Row],[Threes]]/($AL$27-$AT40)</f>
        <v>#DIV/0!</v>
      </c>
      <c r="AT40" s="22">
        <f>COUNTIF('2901'!X14,TRUE)</f>
        <v>1</v>
      </c>
    </row>
    <row r="41" spans="2:46" ht="14.25" customHeight="1" x14ac:dyDescent="0.35">
      <c r="R41" s="10" t="s">
        <v>163</v>
      </c>
      <c r="S41">
        <f>'Statistics CT'!H3</f>
        <v>8</v>
      </c>
      <c r="T41" s="79">
        <f>S41/SUM(S41:S43)</f>
        <v>0.44444444444444442</v>
      </c>
      <c r="U41" s="83">
        <v>0.32188841201716739</v>
      </c>
      <c r="V41" s="30">
        <v>0.36899999999999999</v>
      </c>
      <c r="W41">
        <f>T41*(6*(20-AA$5))</f>
        <v>53.333333333333329</v>
      </c>
      <c r="X41" s="13">
        <f>((MAX(U41:U43)+MAX(V41:V43))/2)*6*(20-AA5)</f>
        <v>43.255879828326172</v>
      </c>
      <c r="Y41" s="84">
        <v>1</v>
      </c>
      <c r="Z41" t="s">
        <v>52</v>
      </c>
      <c r="AA41" s="22">
        <f>'2401'!T15+'2501'!T15</f>
        <v>3</v>
      </c>
      <c r="AB41" s="22">
        <f>'2401'!U15+'2501'!U15</f>
        <v>2</v>
      </c>
      <c r="AC41" s="22">
        <f>'2401'!V15+'2501'!V15</f>
        <v>1</v>
      </c>
      <c r="AD41" s="22">
        <f>'2401'!W15+'2501'!W15</f>
        <v>0</v>
      </c>
      <c r="AE41" s="6">
        <f>Table211[[#This Row],[Points]]/($AA$27-$AI41)</f>
        <v>1.5</v>
      </c>
      <c r="AF41" s="6">
        <f>Table211[[#This Row],[Finishes]]/($AA$27-$AI41)</f>
        <v>1</v>
      </c>
      <c r="AG41" s="6">
        <f>Table211[[#This Row],[Midranges]]/($AA$27-$AI41)</f>
        <v>0.5</v>
      </c>
      <c r="AH41" s="6">
        <f>Table211[[#This Row],[Threes]]/($AA$27-$AI41)</f>
        <v>0</v>
      </c>
      <c r="AI41" s="22">
        <f>COUNTIF('2401'!X15, TRUE)+COUNTIF('2501'!X15, TRUE)</f>
        <v>0</v>
      </c>
      <c r="AK41" t="s">
        <v>52</v>
      </c>
      <c r="AL41" s="22">
        <f>'2901'!T15</f>
        <v>1</v>
      </c>
      <c r="AM41" s="22">
        <f>'2901'!U15</f>
        <v>0</v>
      </c>
      <c r="AN41" s="22">
        <f>'2901'!V15</f>
        <v>1</v>
      </c>
      <c r="AO41" s="22">
        <f>'2901'!W15</f>
        <v>0</v>
      </c>
      <c r="AP41" s="22">
        <f>Table21128[[#This Row],[Points]]/($AL$27-$AT41)</f>
        <v>1</v>
      </c>
      <c r="AQ41" s="22">
        <f>Table21128[[#This Row],[Finishes]]/($AL$27-$AT41)</f>
        <v>0</v>
      </c>
      <c r="AR41" s="22">
        <f>Table21128[[#This Row],[Midranges]]/($AL$27-$AT41)</f>
        <v>1</v>
      </c>
      <c r="AS41" s="22">
        <f>Table21128[[#This Row],[Threes]]/($AL$27-$AT41)</f>
        <v>0</v>
      </c>
      <c r="AT41" s="22">
        <f>COUNTIF('2901'!X15,TRUE)</f>
        <v>0</v>
      </c>
    </row>
    <row r="42" spans="2:46" ht="14.25" customHeight="1" x14ac:dyDescent="0.35">
      <c r="R42" s="10" t="s">
        <v>164</v>
      </c>
      <c r="S42">
        <f>'Statistics TC'!H3</f>
        <v>4.5</v>
      </c>
      <c r="T42" s="83">
        <f>S42/SUM(S41:S43)</f>
        <v>0.25</v>
      </c>
      <c r="U42" s="83">
        <v>0.35193133047210301</v>
      </c>
      <c r="V42" s="30">
        <v>0.26200000000000001</v>
      </c>
      <c r="W42">
        <f t="shared" ref="W42:W43" si="5">T42*(6*(20-AA$5))</f>
        <v>30</v>
      </c>
      <c r="X42" s="13">
        <f>6*(20-AA5)-X41-X43</f>
        <v>41.710815450643778</v>
      </c>
      <c r="Y42" s="84">
        <v>2</v>
      </c>
      <c r="Z42" t="s">
        <v>55</v>
      </c>
      <c r="AA42" s="22">
        <f>'2401'!T16+'2501'!T16</f>
        <v>4</v>
      </c>
      <c r="AB42" s="22">
        <f>'2401'!U16+'2501'!U16</f>
        <v>0</v>
      </c>
      <c r="AC42" s="22">
        <f>'2401'!V16+'2501'!V16</f>
        <v>0</v>
      </c>
      <c r="AD42" s="22">
        <f>'2401'!W16+'2501'!W16</f>
        <v>2</v>
      </c>
      <c r="AE42" s="6">
        <f>Table211[[#This Row],[Points]]/($AA$27-$AI42)</f>
        <v>2</v>
      </c>
      <c r="AF42" s="6">
        <f>Table211[[#This Row],[Finishes]]/($AA$27-$AI42)</f>
        <v>0</v>
      </c>
      <c r="AG42" s="6">
        <f>Table211[[#This Row],[Midranges]]/($AA$27-$AI42)</f>
        <v>0</v>
      </c>
      <c r="AH42" s="6">
        <f>Table211[[#This Row],[Threes]]/($AA$27-$AI42)</f>
        <v>1</v>
      </c>
      <c r="AI42" s="22">
        <f>COUNTIF('2401'!X16, TRUE)+COUNTIF('2501'!X16, TRUE)</f>
        <v>0</v>
      </c>
      <c r="AK42" t="s">
        <v>55</v>
      </c>
      <c r="AL42" s="22">
        <f>'2901'!T16</f>
        <v>0</v>
      </c>
      <c r="AM42" s="22">
        <f>'2901'!U16</f>
        <v>0</v>
      </c>
      <c r="AN42" s="22">
        <f>'2901'!V16</f>
        <v>0</v>
      </c>
      <c r="AO42" s="22">
        <f>'2901'!W16</f>
        <v>0</v>
      </c>
      <c r="AP42" s="22">
        <f>Table21128[[#This Row],[Points]]/($AL$27-$AT42)</f>
        <v>0</v>
      </c>
      <c r="AQ42" s="22">
        <f>Table21128[[#This Row],[Finishes]]/($AL$27-$AT42)</f>
        <v>0</v>
      </c>
      <c r="AR42" s="22">
        <f>Table21128[[#This Row],[Midranges]]/($AL$27-$AT42)</f>
        <v>0</v>
      </c>
      <c r="AS42" s="22">
        <f>Table21128[[#This Row],[Threes]]/($AL$27-$AT42)</f>
        <v>0</v>
      </c>
      <c r="AT42" s="22">
        <f>COUNTIF('2901'!X16,TRUE)</f>
        <v>0</v>
      </c>
    </row>
    <row r="43" spans="2:46" ht="14.25" customHeight="1" x14ac:dyDescent="0.35">
      <c r="R43" s="10" t="s">
        <v>35</v>
      </c>
      <c r="S43">
        <f>'Statistics GM'!G3</f>
        <v>5.5</v>
      </c>
      <c r="T43" s="83">
        <f>S43/SUM(S41:S43)</f>
        <v>0.30555555555555558</v>
      </c>
      <c r="U43" s="83">
        <v>0.3261802575107296</v>
      </c>
      <c r="V43" s="30">
        <v>0.36899999999999999</v>
      </c>
      <c r="W43">
        <f t="shared" si="5"/>
        <v>36.666666666666671</v>
      </c>
      <c r="X43" s="13">
        <f>((MIN(U41:U43)+MIN(V41:V43))/2)*6*(20-AA5)</f>
        <v>35.033304721030049</v>
      </c>
      <c r="Y43" s="84">
        <v>3</v>
      </c>
      <c r="Z43" t="s">
        <v>192</v>
      </c>
      <c r="AA43" s="22">
        <f>'2401'!T17+'2501'!T17</f>
        <v>1</v>
      </c>
      <c r="AB43" s="22">
        <f>'2401'!U17+'2501'!U17</f>
        <v>1</v>
      </c>
      <c r="AC43" s="22">
        <f>'2401'!V17+'2501'!V17</f>
        <v>0</v>
      </c>
      <c r="AD43" s="22">
        <f>'2401'!W17+'2501'!W17</f>
        <v>0</v>
      </c>
      <c r="AE43" s="6">
        <f>Table211[[#This Row],[Points]]/($AA$27-$AI43)</f>
        <v>0.5</v>
      </c>
      <c r="AF43" s="6">
        <f>Table211[[#This Row],[Finishes]]/($AA$27-$AI43)</f>
        <v>0.5</v>
      </c>
      <c r="AG43" s="6">
        <f>Table211[[#This Row],[Midranges]]/($AA$27-$AI43)</f>
        <v>0</v>
      </c>
      <c r="AH43" s="6">
        <f>Table211[[#This Row],[Threes]]/($AA$27-$AI43)</f>
        <v>0</v>
      </c>
      <c r="AI43" s="22">
        <f>COUNTIF('2401'!X17, TRUE)+COUNTIF('2501'!X17, TRUE)</f>
        <v>0</v>
      </c>
      <c r="AK43" t="s">
        <v>192</v>
      </c>
      <c r="AL43" s="22">
        <f>'2901'!T17</f>
        <v>0</v>
      </c>
      <c r="AM43" s="22">
        <f>'2901'!U17</f>
        <v>0</v>
      </c>
      <c r="AN43" s="22">
        <f>'2901'!V17</f>
        <v>0</v>
      </c>
      <c r="AO43" s="22">
        <f>'2901'!W17</f>
        <v>0</v>
      </c>
      <c r="AP43" s="22">
        <f>Table21128[[#This Row],[Points]]/($AL$27-$AT43)</f>
        <v>0</v>
      </c>
      <c r="AQ43" s="22">
        <f>Table21128[[#This Row],[Finishes]]/($AL$27-$AT43)</f>
        <v>0</v>
      </c>
      <c r="AR43" s="22">
        <f>Table21128[[#This Row],[Midranges]]/($AL$27-$AT43)</f>
        <v>0</v>
      </c>
      <c r="AS43" s="22">
        <f>Table21128[[#This Row],[Threes]]/($AL$27-$AT43)</f>
        <v>0</v>
      </c>
      <c r="AT43" s="22">
        <f>COUNTIF('2901'!X17,TRUE)</f>
        <v>0</v>
      </c>
    </row>
    <row r="44" spans="2:46" ht="14.25" customHeight="1" x14ac:dyDescent="0.35">
      <c r="Z44" t="s">
        <v>206</v>
      </c>
      <c r="AA44" s="22">
        <f>'2401'!T18+'2501'!T18</f>
        <v>0</v>
      </c>
      <c r="AB44" s="22">
        <f>'2401'!U18+'2501'!U18</f>
        <v>0</v>
      </c>
      <c r="AC44" s="22">
        <f>'2401'!V18+'2501'!V18</f>
        <v>0</v>
      </c>
      <c r="AD44" s="22">
        <f>'2401'!W18+'2501'!W18</f>
        <v>0</v>
      </c>
      <c r="AE44" s="6" t="e">
        <f>Table211[[#This Row],[Points]]/($AA$27-$AI44)</f>
        <v>#DIV/0!</v>
      </c>
      <c r="AF44" s="6" t="e">
        <f>Table211[[#This Row],[Finishes]]/($AA$27-$AI44)</f>
        <v>#DIV/0!</v>
      </c>
      <c r="AG44" s="6" t="e">
        <f>Table211[[#This Row],[Midranges]]/($AA$27-$AI44)</f>
        <v>#DIV/0!</v>
      </c>
      <c r="AH44" s="6" t="e">
        <f>Table211[[#This Row],[Threes]]/($AA$27-$AI44)</f>
        <v>#DIV/0!</v>
      </c>
      <c r="AI44" s="22">
        <f>COUNTIF('2401'!X18, TRUE)+COUNTIF('2501'!X18, TRUE)</f>
        <v>2</v>
      </c>
      <c r="AK44" t="s">
        <v>206</v>
      </c>
      <c r="AL44" s="22">
        <f>'2901'!T18</f>
        <v>0</v>
      </c>
      <c r="AM44" s="22">
        <f>'2901'!U18</f>
        <v>0</v>
      </c>
      <c r="AN44" s="22">
        <f>'2901'!V18</f>
        <v>0</v>
      </c>
      <c r="AO44" s="22">
        <f>'2901'!W18</f>
        <v>0</v>
      </c>
      <c r="AP44" s="22" t="e">
        <f>Table21128[[#This Row],[Points]]/($AL$27-$AT44)</f>
        <v>#DIV/0!</v>
      </c>
      <c r="AQ44" s="22" t="e">
        <f>Table21128[[#This Row],[Finishes]]/($AL$27-$AT44)</f>
        <v>#DIV/0!</v>
      </c>
      <c r="AR44" s="22" t="e">
        <f>Table21128[[#This Row],[Midranges]]/($AL$27-$AT44)</f>
        <v>#DIV/0!</v>
      </c>
      <c r="AS44" s="22" t="e">
        <f>Table21128[[#This Row],[Threes]]/($AL$27-$AT44)</f>
        <v>#DIV/0!</v>
      </c>
      <c r="AT44" s="22">
        <f>COUNTIF('2901'!X18,TRUE)</f>
        <v>1</v>
      </c>
    </row>
    <row r="45" spans="2:46" ht="14.25" customHeight="1" x14ac:dyDescent="0.35">
      <c r="T45" t="s">
        <v>155</v>
      </c>
      <c r="W45">
        <f>(20-AA6-AA5)*2</f>
        <v>34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35">
      <c r="T46" t="s">
        <v>159</v>
      </c>
      <c r="W46">
        <f>(W45-(MAX(S41:S43)-MIN(S41:S43)))/2</f>
        <v>15.25</v>
      </c>
      <c r="AA46" s="1"/>
      <c r="AB46" s="1"/>
      <c r="AC46" s="1"/>
      <c r="AK46" s="1"/>
      <c r="AL46" s="1"/>
    </row>
    <row r="47" spans="2:46" ht="14.25" customHeight="1" x14ac:dyDescent="0.35">
      <c r="Z47" s="1" t="s">
        <v>225</v>
      </c>
      <c r="AA47" s="1">
        <v>0</v>
      </c>
      <c r="AI47" s="2"/>
      <c r="AK47" s="1" t="s">
        <v>111</v>
      </c>
      <c r="AL47" s="1">
        <v>0</v>
      </c>
      <c r="AT47" s="2"/>
    </row>
    <row r="48" spans="2:46" ht="14.25" customHeight="1" x14ac:dyDescent="0.35">
      <c r="S48" s="10" t="s">
        <v>112</v>
      </c>
      <c r="U48" s="10" t="s">
        <v>71</v>
      </c>
      <c r="V48" s="10" t="s">
        <v>74</v>
      </c>
      <c r="W48" s="10" t="s">
        <v>113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100</v>
      </c>
      <c r="AF48" s="21" t="s">
        <v>98</v>
      </c>
      <c r="AG48" s="10" t="s">
        <v>99</v>
      </c>
      <c r="AH48" s="21" t="s">
        <v>133</v>
      </c>
      <c r="AI48" s="2" t="s">
        <v>96</v>
      </c>
      <c r="AK48" s="10" t="s">
        <v>73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100</v>
      </c>
      <c r="AQ48" s="21" t="s">
        <v>98</v>
      </c>
      <c r="AR48" s="10" t="s">
        <v>99</v>
      </c>
      <c r="AS48" s="21" t="s">
        <v>133</v>
      </c>
      <c r="AT48" s="2" t="s">
        <v>96</v>
      </c>
    </row>
    <row r="49" spans="19:48" ht="14.25" customHeight="1" x14ac:dyDescent="0.35">
      <c r="T49" s="10" t="s">
        <v>1</v>
      </c>
      <c r="U49" s="13">
        <f>SUM(Table1[Finishes])</f>
        <v>26</v>
      </c>
      <c r="V49" s="12">
        <f>U49/AA6</f>
        <v>8.6666666666666661</v>
      </c>
      <c r="W49" s="20">
        <f>U49/SUM($U$49:$U$51)</f>
        <v>0.65</v>
      </c>
      <c r="Z49" s="1" t="s">
        <v>25</v>
      </c>
      <c r="AA49" s="22"/>
      <c r="AB49" s="22"/>
      <c r="AC49" s="22"/>
      <c r="AD49" s="22"/>
      <c r="AE49" s="89"/>
      <c r="AF49" s="89"/>
      <c r="AG49" s="89"/>
      <c r="AH49" s="89"/>
      <c r="AI49" s="22"/>
      <c r="AK49" s="1" t="s">
        <v>25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35">
      <c r="T50" s="10" t="s">
        <v>2</v>
      </c>
      <c r="U50" s="13">
        <f>SUM(Table1[Midranges])</f>
        <v>11</v>
      </c>
      <c r="V50" s="12">
        <f>U50/AA6</f>
        <v>3.6666666666666665</v>
      </c>
      <c r="W50" s="20">
        <f>U50/SUM($U$49:$U$51)</f>
        <v>0.27500000000000002</v>
      </c>
      <c r="Z50" s="1" t="s">
        <v>26</v>
      </c>
      <c r="AA50" s="22"/>
      <c r="AB50" s="22"/>
      <c r="AC50" s="22"/>
      <c r="AD50" s="22"/>
      <c r="AE50" s="89"/>
      <c r="AF50" s="89"/>
      <c r="AG50" s="89"/>
      <c r="AH50" s="89"/>
      <c r="AI50" s="22"/>
      <c r="AK50" s="1" t="s">
        <v>26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35">
      <c r="T51" s="10" t="s">
        <v>3</v>
      </c>
      <c r="U51" s="13">
        <f>SUM(Table1[Threes])</f>
        <v>3</v>
      </c>
      <c r="V51" s="12">
        <f>U51/AA6</f>
        <v>1</v>
      </c>
      <c r="W51" s="20">
        <f>U51/SUM($U$49:$U$51)</f>
        <v>7.4999999999999997E-2</v>
      </c>
      <c r="Z51" s="1" t="s">
        <v>27</v>
      </c>
      <c r="AA51" s="22"/>
      <c r="AB51" s="22"/>
      <c r="AC51" s="22"/>
      <c r="AD51" s="22"/>
      <c r="AE51" s="89"/>
      <c r="AF51" s="89"/>
      <c r="AG51" s="89"/>
      <c r="AH51" s="89"/>
      <c r="AI51" s="22"/>
      <c r="AK51" s="1" t="s">
        <v>27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35">
      <c r="Z52" s="1" t="s">
        <v>30</v>
      </c>
      <c r="AA52" s="22"/>
      <c r="AB52" s="22"/>
      <c r="AC52" s="22"/>
      <c r="AD52" s="22"/>
      <c r="AE52" s="89"/>
      <c r="AF52" s="89"/>
      <c r="AG52" s="89"/>
      <c r="AH52" s="89"/>
      <c r="AI52" s="22"/>
      <c r="AK52" s="1" t="s">
        <v>30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35">
      <c r="T53" s="10" t="s">
        <v>104</v>
      </c>
      <c r="Z53" s="1" t="s">
        <v>32</v>
      </c>
      <c r="AA53" s="22"/>
      <c r="AB53" s="22"/>
      <c r="AC53" s="22"/>
      <c r="AD53" s="22"/>
      <c r="AE53" s="89"/>
      <c r="AF53" s="89"/>
      <c r="AG53" s="89"/>
      <c r="AH53" s="89"/>
      <c r="AI53" s="22"/>
      <c r="AK53" s="1" t="s">
        <v>32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35">
      <c r="T54" s="10" t="s">
        <v>163</v>
      </c>
      <c r="U54" s="10" t="s">
        <v>164</v>
      </c>
      <c r="V54" s="10" t="s">
        <v>35</v>
      </c>
      <c r="Z54" s="1" t="s">
        <v>37</v>
      </c>
      <c r="AA54" s="22"/>
      <c r="AB54" s="22"/>
      <c r="AC54" s="22"/>
      <c r="AD54" s="22"/>
      <c r="AE54" s="89"/>
      <c r="AF54" s="89"/>
      <c r="AG54" s="89"/>
      <c r="AH54" s="89"/>
      <c r="AI54" s="22"/>
      <c r="AK54" s="1" t="s">
        <v>37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35">
      <c r="S55" s="10" t="s">
        <v>165</v>
      </c>
      <c r="T55" s="27" t="s">
        <v>105</v>
      </c>
      <c r="U55" s="25">
        <f>'Statistics CT'!J42</f>
        <v>0.8</v>
      </c>
      <c r="V55" s="25">
        <f>'Statistics CT'!M42</f>
        <v>0.42857142857142855</v>
      </c>
      <c r="W55" s="25">
        <f>AVERAGE(U55:V55)</f>
        <v>0.61428571428571432</v>
      </c>
      <c r="Z55" t="s">
        <v>91</v>
      </c>
      <c r="AA55" s="22"/>
      <c r="AB55" s="22"/>
      <c r="AC55" s="22"/>
      <c r="AD55" s="22"/>
      <c r="AE55" s="89"/>
      <c r="AF55" s="89"/>
      <c r="AG55" s="89"/>
      <c r="AH55" s="89"/>
      <c r="AI55" s="22"/>
      <c r="AK55" t="s">
        <v>91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35">
      <c r="S56" s="10" t="s">
        <v>166</v>
      </c>
      <c r="T56" s="25">
        <f>1-'Statistics CT'!J42</f>
        <v>0.19999999999999996</v>
      </c>
      <c r="U56" s="27" t="s">
        <v>105</v>
      </c>
      <c r="V56" s="25">
        <f>'Statistics TC'!J42</f>
        <v>0.4</v>
      </c>
      <c r="W56" s="25">
        <f>AVERAGE(T56:V56)</f>
        <v>0.3</v>
      </c>
      <c r="Z56" s="1" t="s">
        <v>39</v>
      </c>
      <c r="AA56" s="22"/>
      <c r="AB56" s="22"/>
      <c r="AC56" s="22"/>
      <c r="AD56" s="22"/>
      <c r="AE56" s="89"/>
      <c r="AF56" s="89"/>
      <c r="AG56" s="89"/>
      <c r="AH56" s="89"/>
      <c r="AI56" s="22"/>
      <c r="AK56" s="1" t="s">
        <v>39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35">
      <c r="S57" s="10" t="s">
        <v>167</v>
      </c>
      <c r="T57" s="25">
        <f>1-V55</f>
        <v>0.5714285714285714</v>
      </c>
      <c r="U57" s="25">
        <f>1-V56</f>
        <v>0.6</v>
      </c>
      <c r="V57" s="27" t="s">
        <v>105</v>
      </c>
      <c r="W57" s="25">
        <f>AVERAGE(T57:V57)</f>
        <v>0.58571428571428563</v>
      </c>
      <c r="Z57" s="1" t="s">
        <v>41</v>
      </c>
      <c r="AA57" s="22"/>
      <c r="AB57" s="22"/>
      <c r="AC57" s="22"/>
      <c r="AD57" s="22"/>
      <c r="AE57" s="89"/>
      <c r="AF57" s="89"/>
      <c r="AG57" s="89"/>
      <c r="AH57" s="89"/>
      <c r="AI57" s="22"/>
      <c r="AK57" s="1" t="s">
        <v>41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35">
      <c r="V58" s="28"/>
      <c r="W58" s="75"/>
      <c r="Z58" s="1" t="s">
        <v>44</v>
      </c>
      <c r="AA58" s="22"/>
      <c r="AB58" s="22"/>
      <c r="AC58" s="22"/>
      <c r="AD58" s="22"/>
      <c r="AE58" s="89"/>
      <c r="AF58" s="89"/>
      <c r="AG58" s="89"/>
      <c r="AH58" s="89"/>
      <c r="AI58" s="22"/>
      <c r="AK58" s="1" t="s">
        <v>44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35">
      <c r="Z59" s="1" t="s">
        <v>46</v>
      </c>
      <c r="AA59" s="22"/>
      <c r="AB59" s="22"/>
      <c r="AC59" s="22"/>
      <c r="AD59" s="22"/>
      <c r="AE59" s="89"/>
      <c r="AF59" s="89"/>
      <c r="AG59" s="89"/>
      <c r="AH59" s="89"/>
      <c r="AI59" s="22"/>
      <c r="AK59" s="1" t="s">
        <v>46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35">
      <c r="Z60" t="s">
        <v>49</v>
      </c>
      <c r="AA60" s="22"/>
      <c r="AB60" s="22"/>
      <c r="AC60" s="22"/>
      <c r="AD60" s="22"/>
      <c r="AE60" s="89"/>
      <c r="AF60" s="89"/>
      <c r="AG60" s="89"/>
      <c r="AH60" s="89"/>
      <c r="AI60" s="22"/>
      <c r="AK60" t="s">
        <v>49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35">
      <c r="Z61" t="s">
        <v>52</v>
      </c>
      <c r="AA61" s="22"/>
      <c r="AB61" s="22"/>
      <c r="AC61" s="22"/>
      <c r="AD61" s="22"/>
      <c r="AE61" s="89"/>
      <c r="AF61" s="89"/>
      <c r="AG61" s="89"/>
      <c r="AH61" s="89"/>
      <c r="AI61" s="22"/>
      <c r="AK61" t="s">
        <v>52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35">
      <c r="Z62" t="s">
        <v>55</v>
      </c>
      <c r="AA62" s="22"/>
      <c r="AB62" s="22"/>
      <c r="AC62" s="22"/>
      <c r="AD62" s="22"/>
      <c r="AE62" s="89"/>
      <c r="AF62" s="89"/>
      <c r="AG62" s="89"/>
      <c r="AH62" s="89"/>
      <c r="AI62" s="22"/>
      <c r="AK62" t="s">
        <v>55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35">
      <c r="Z63" t="s">
        <v>192</v>
      </c>
      <c r="AA63" s="22"/>
      <c r="AB63" s="22"/>
      <c r="AC63" s="22"/>
      <c r="AD63" s="22"/>
      <c r="AE63" s="89"/>
      <c r="AF63" s="89"/>
      <c r="AG63" s="89"/>
      <c r="AH63" s="89"/>
      <c r="AI63" s="22"/>
      <c r="AK63" t="s">
        <v>192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35">
      <c r="Z64" t="s">
        <v>206</v>
      </c>
      <c r="AA64" s="22"/>
      <c r="AB64" s="22"/>
      <c r="AC64" s="22"/>
      <c r="AD64" s="22"/>
      <c r="AE64" s="89"/>
      <c r="AF64" s="89"/>
      <c r="AG64" s="89"/>
      <c r="AH64" s="89"/>
      <c r="AI64" s="22"/>
      <c r="AK64" t="s">
        <v>206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35">
      <c r="Z65" s="1"/>
      <c r="AA65" s="22"/>
      <c r="AB65" s="22"/>
      <c r="AC65" s="22"/>
      <c r="AD65" s="22"/>
      <c r="AE65" s="89"/>
      <c r="AF65" s="89"/>
      <c r="AG65" s="89"/>
      <c r="AH65" s="89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3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35">
      <c r="Z67" s="1" t="s">
        <v>115</v>
      </c>
      <c r="AA67" s="1">
        <v>0</v>
      </c>
      <c r="AI67" s="2"/>
      <c r="AK67" s="1" t="s">
        <v>214</v>
      </c>
      <c r="AL67" s="1">
        <v>0</v>
      </c>
      <c r="AT67" s="2"/>
    </row>
    <row r="68" spans="18:46" ht="14.25" customHeight="1" x14ac:dyDescent="0.3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100</v>
      </c>
      <c r="AF68" s="21" t="s">
        <v>98</v>
      </c>
      <c r="AG68" s="10" t="s">
        <v>99</v>
      </c>
      <c r="AH68" s="21" t="s">
        <v>133</v>
      </c>
      <c r="AI68" s="2" t="s">
        <v>96</v>
      </c>
      <c r="AK68" s="10" t="s">
        <v>73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100</v>
      </c>
      <c r="AQ68" s="21" t="s">
        <v>98</v>
      </c>
      <c r="AR68" s="10" t="s">
        <v>99</v>
      </c>
      <c r="AS68" s="21" t="s">
        <v>133</v>
      </c>
      <c r="AT68" s="2" t="s">
        <v>96</v>
      </c>
    </row>
    <row r="69" spans="18:46" ht="14.25" customHeight="1" x14ac:dyDescent="0.35">
      <c r="Z69" s="1" t="s">
        <v>25</v>
      </c>
      <c r="AA69" s="22"/>
      <c r="AB69" s="22"/>
      <c r="AC69" s="22"/>
      <c r="AD69" s="22"/>
      <c r="AE69" s="89"/>
      <c r="AF69" s="89"/>
      <c r="AG69" s="89"/>
      <c r="AH69" s="89"/>
      <c r="AI69" s="22"/>
      <c r="AK69" s="1" t="s">
        <v>25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35">
      <c r="Z70" s="1" t="s">
        <v>26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26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35">
      <c r="Z71" s="1" t="s">
        <v>27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27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35">
      <c r="R72" s="32"/>
      <c r="Z72" s="1" t="s">
        <v>30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30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35">
      <c r="Z73" s="1" t="s">
        <v>32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32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35">
      <c r="Z74" s="1" t="s">
        <v>37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37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35">
      <c r="Z75" t="s">
        <v>91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91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35">
      <c r="T76" s="10" t="s">
        <v>114</v>
      </c>
      <c r="Z76" s="1" t="s">
        <v>39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39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35">
      <c r="S77" s="31" t="s">
        <v>63</v>
      </c>
      <c r="T77" t="s">
        <v>163</v>
      </c>
      <c r="U77" t="s">
        <v>35</v>
      </c>
      <c r="V77" t="s">
        <v>164</v>
      </c>
      <c r="Z77" s="1" t="s">
        <v>41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41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35">
      <c r="R78">
        <v>1</v>
      </c>
      <c r="S78" s="32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1" t="s">
        <v>44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44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35">
      <c r="R79">
        <v>2</v>
      </c>
      <c r="S79" s="32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1" t="s">
        <v>46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46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35">
      <c r="R80">
        <v>3</v>
      </c>
      <c r="S80" s="32">
        <f>'Statistics CT'!A9</f>
        <v>0</v>
      </c>
      <c r="T80">
        <f>T79+'Statistics CT'!D9</f>
        <v>0</v>
      </c>
      <c r="U80">
        <f>U79+'Statistics TC'!D9</f>
        <v>0</v>
      </c>
      <c r="V80">
        <f>V79+'Statistics GM'!D9</f>
        <v>0</v>
      </c>
      <c r="Z80" t="s">
        <v>49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49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35">
      <c r="R81">
        <v>4</v>
      </c>
      <c r="S81" s="32">
        <f>'Statistics CT'!A10</f>
        <v>0</v>
      </c>
      <c r="T81">
        <f>T80+'Statistics CT'!D10</f>
        <v>0</v>
      </c>
      <c r="U81">
        <f>U80+'Statistics TC'!D10</f>
        <v>0</v>
      </c>
      <c r="V81">
        <f>V80+'Statistics GM'!D10</f>
        <v>0</v>
      </c>
      <c r="Z81" t="s">
        <v>52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52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35">
      <c r="R82">
        <v>5</v>
      </c>
      <c r="S82" s="32">
        <f>'Statistics CT'!A11</f>
        <v>0</v>
      </c>
      <c r="T82">
        <f>T81+'Statistics CT'!D11</f>
        <v>0</v>
      </c>
      <c r="U82">
        <f>U81+'Statistics TC'!D11</f>
        <v>0</v>
      </c>
      <c r="V82">
        <f>V81+'Statistics GM'!D11</f>
        <v>0</v>
      </c>
      <c r="Z82" t="s">
        <v>55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55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35">
      <c r="R83">
        <v>6</v>
      </c>
      <c r="S83" s="32">
        <f>'Statistics CT'!A12</f>
        <v>0</v>
      </c>
      <c r="T83">
        <f>T82+'Statistics CT'!D12</f>
        <v>0</v>
      </c>
      <c r="U83">
        <f>U82+'Statistics TC'!D12</f>
        <v>0</v>
      </c>
      <c r="V83">
        <f>V82+'Statistics GM'!D12</f>
        <v>0</v>
      </c>
      <c r="Z83" t="s">
        <v>192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192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35">
      <c r="R84">
        <v>7</v>
      </c>
      <c r="S84" s="32">
        <f>'Statistics CT'!A13</f>
        <v>0</v>
      </c>
      <c r="T84">
        <f>T83+'Statistics CT'!D13</f>
        <v>0</v>
      </c>
      <c r="U84">
        <f>U83+'Statistics TC'!D13</f>
        <v>0</v>
      </c>
      <c r="V84">
        <f>V83+'Statistics GM'!D13</f>
        <v>0</v>
      </c>
      <c r="Z84" t="s">
        <v>206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206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35">
      <c r="R85">
        <v>8</v>
      </c>
      <c r="S85" s="32">
        <f>'Statistics CT'!A14</f>
        <v>0</v>
      </c>
      <c r="T85">
        <f>T84+'Statistics CT'!D14</f>
        <v>0</v>
      </c>
      <c r="U85">
        <f>U84+'Statistics TC'!D14</f>
        <v>0</v>
      </c>
      <c r="V85">
        <f>V84+'Statistics GM'!D14</f>
        <v>0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35">
      <c r="R86">
        <v>9</v>
      </c>
      <c r="S86" s="32">
        <f>'Statistics CT'!A15</f>
        <v>0</v>
      </c>
      <c r="T86">
        <f>T85+'Statistics CT'!D15</f>
        <v>0</v>
      </c>
      <c r="U86">
        <f>U85+'Statistics TC'!D15</f>
        <v>0</v>
      </c>
      <c r="V86">
        <f>V85+'Statistics GM'!D15</f>
        <v>0</v>
      </c>
      <c r="Z86" s="43"/>
      <c r="AA86" s="22"/>
      <c r="AB86" s="3"/>
      <c r="AC86" s="6"/>
      <c r="AD86" s="1"/>
      <c r="AE86" s="6"/>
      <c r="AF86" s="1"/>
      <c r="AG86" s="6"/>
      <c r="AH86" s="1"/>
      <c r="AK86" s="43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35">
      <c r="R87">
        <v>10</v>
      </c>
      <c r="S87" s="32">
        <f>'Statistics CT'!A16</f>
        <v>0</v>
      </c>
      <c r="T87">
        <f>T86+'Statistics CT'!D16</f>
        <v>0</v>
      </c>
      <c r="U87">
        <f>U86+'Statistics TC'!D16</f>
        <v>0</v>
      </c>
      <c r="V87">
        <f>V86+'Statistics GM'!D16</f>
        <v>0</v>
      </c>
      <c r="Z87" s="1" t="s">
        <v>160</v>
      </c>
      <c r="AA87" s="1">
        <v>0</v>
      </c>
      <c r="AI87" s="2"/>
    </row>
    <row r="88" spans="18:46" ht="14.25" customHeight="1" x14ac:dyDescent="0.35">
      <c r="R88">
        <v>11</v>
      </c>
      <c r="S88" s="32">
        <f>'Statistics CT'!A17</f>
        <v>0</v>
      </c>
      <c r="T88">
        <f>T87+'Statistics CT'!D17</f>
        <v>0</v>
      </c>
      <c r="U88">
        <f>U87+'Statistics TC'!D17</f>
        <v>0</v>
      </c>
      <c r="V88">
        <f>V87+'Statistics GM'!D17</f>
        <v>0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100</v>
      </c>
      <c r="AF88" s="21" t="s">
        <v>98</v>
      </c>
      <c r="AG88" s="10" t="s">
        <v>99</v>
      </c>
      <c r="AH88" s="21" t="s">
        <v>133</v>
      </c>
      <c r="AI88" s="2" t="s">
        <v>96</v>
      </c>
    </row>
    <row r="89" spans="18:46" ht="14.25" customHeight="1" x14ac:dyDescent="0.35">
      <c r="R89">
        <v>12</v>
      </c>
      <c r="S89" s="32">
        <f>'Statistics CT'!A18</f>
        <v>0</v>
      </c>
      <c r="T89">
        <f>T88+'Statistics CT'!D18</f>
        <v>0</v>
      </c>
      <c r="U89">
        <f>U88+'Statistics TC'!D18</f>
        <v>0</v>
      </c>
      <c r="V89">
        <f>V88+'Statistics GM'!D18</f>
        <v>0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8:46" ht="14.25" customHeight="1" x14ac:dyDescent="0.35">
      <c r="R90">
        <v>13</v>
      </c>
      <c r="S90" s="32">
        <f>'Statistics CT'!A19</f>
        <v>0</v>
      </c>
      <c r="T90">
        <f>T89+'Statistics CT'!D19</f>
        <v>0</v>
      </c>
      <c r="U90">
        <f>U89+'Statistics TC'!D19</f>
        <v>0</v>
      </c>
      <c r="V90">
        <f>V89+'Statistics GM'!D19</f>
        <v>0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8:46" ht="14.25" customHeight="1" x14ac:dyDescent="0.35">
      <c r="R91">
        <v>14</v>
      </c>
      <c r="S91" s="32">
        <f>'Statistics CT'!A20</f>
        <v>0</v>
      </c>
      <c r="T91">
        <f>T90+'Statistics CT'!D20</f>
        <v>0</v>
      </c>
      <c r="U91">
        <f>U90+'Statistics TC'!D20</f>
        <v>0</v>
      </c>
      <c r="V91">
        <f>V90+'Statistics GM'!D20</f>
        <v>0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8:46" ht="14.25" customHeight="1" x14ac:dyDescent="0.35">
      <c r="R92">
        <v>15</v>
      </c>
      <c r="S92" s="32">
        <f>'Statistics CT'!A21</f>
        <v>0</v>
      </c>
      <c r="T92">
        <f>T91+'Statistics CT'!D21</f>
        <v>0</v>
      </c>
      <c r="U92">
        <f>U91+'Statistics TC'!D21</f>
        <v>0</v>
      </c>
      <c r="V92">
        <f>V91+'Statistics GM'!D21</f>
        <v>0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8:46" ht="14.25" customHeight="1" x14ac:dyDescent="0.35">
      <c r="R93">
        <v>16</v>
      </c>
      <c r="S93" s="32">
        <f>'Statistics CT'!A22</f>
        <v>0</v>
      </c>
      <c r="T93">
        <f>T92+'Statistics CT'!D22</f>
        <v>0</v>
      </c>
      <c r="U93">
        <f>U92+'Statistics TC'!D22</f>
        <v>0</v>
      </c>
      <c r="V93">
        <f>V92+'Statistics GM'!D22</f>
        <v>0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8:46" ht="14.25" customHeight="1" x14ac:dyDescent="0.35">
      <c r="R94">
        <v>17</v>
      </c>
      <c r="S94" s="32">
        <f>'Statistics CT'!A23</f>
        <v>0</v>
      </c>
      <c r="T94">
        <f>T93+'Statistics CT'!D23</f>
        <v>0</v>
      </c>
      <c r="U94">
        <f>U93+'Statistics TC'!D23</f>
        <v>0</v>
      </c>
      <c r="V94">
        <f>V93+'Statistics GM'!D23</f>
        <v>0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8:46" ht="14.25" customHeight="1" x14ac:dyDescent="0.35">
      <c r="R95">
        <v>18</v>
      </c>
      <c r="S95" s="32">
        <f>'Statistics CT'!A24</f>
        <v>0</v>
      </c>
      <c r="T95">
        <f>T94+'Statistics CT'!D24</f>
        <v>0</v>
      </c>
      <c r="U95">
        <f>U94+'Statistics TC'!D24</f>
        <v>0</v>
      </c>
      <c r="V95">
        <f>V94+'Statistics GM'!D24</f>
        <v>0</v>
      </c>
      <c r="Z95" t="s">
        <v>91</v>
      </c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8:46" ht="14.25" customHeight="1" x14ac:dyDescent="0.35">
      <c r="R96">
        <v>19</v>
      </c>
      <c r="S96" s="32">
        <f>'Statistics CT'!A25</f>
        <v>0</v>
      </c>
      <c r="T96">
        <f>T95+'Statistics CT'!D25</f>
        <v>0</v>
      </c>
      <c r="U96">
        <f>U95+'Statistics TC'!D25</f>
        <v>0</v>
      </c>
      <c r="V96">
        <f>V95+'Statistics GM'!D25</f>
        <v>0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</row>
    <row r="97" spans="7:46" ht="14.25" customHeight="1" x14ac:dyDescent="0.3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</row>
    <row r="98" spans="7:46" ht="14.25" customHeight="1" x14ac:dyDescent="0.3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</row>
    <row r="99" spans="7:46" ht="14.25" customHeight="1" x14ac:dyDescent="0.3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7:46" ht="14.25" customHeight="1" x14ac:dyDescent="0.3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7:46" ht="14.25" customHeight="1" x14ac:dyDescent="0.3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7:46" ht="14.25" customHeight="1" x14ac:dyDescent="0.35">
      <c r="G102" s="37"/>
      <c r="H102" s="37"/>
      <c r="I102" s="37"/>
      <c r="J102" s="37"/>
      <c r="K102" s="37"/>
      <c r="L102" s="37"/>
      <c r="M102" s="37"/>
      <c r="N102" s="37"/>
      <c r="Q102" s="37"/>
      <c r="R102" s="37"/>
      <c r="S102" s="37"/>
      <c r="T102" s="37"/>
      <c r="U102" s="37"/>
      <c r="V102" s="37"/>
      <c r="W102" s="37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7:46" ht="14.25" customHeight="1" x14ac:dyDescent="0.35">
      <c r="G103" s="37"/>
      <c r="H103" s="38"/>
      <c r="I103" s="38"/>
      <c r="J103" s="38"/>
      <c r="K103" s="38"/>
      <c r="L103" s="38"/>
      <c r="M103" s="38"/>
      <c r="N103" s="38"/>
      <c r="Q103" s="38"/>
      <c r="R103" s="38"/>
      <c r="S103" s="38"/>
      <c r="T103" s="38"/>
      <c r="U103" s="38"/>
      <c r="V103" s="38"/>
      <c r="W103" s="37"/>
      <c r="Z103" t="s">
        <v>192</v>
      </c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7:46" ht="14.25" customHeight="1" x14ac:dyDescent="0.35">
      <c r="G104" s="37"/>
      <c r="H104" s="38"/>
      <c r="I104" s="38"/>
      <c r="J104" s="38"/>
      <c r="K104" s="38"/>
      <c r="L104" s="38"/>
      <c r="M104" s="38"/>
      <c r="N104" s="38"/>
      <c r="Q104" s="38"/>
      <c r="R104" s="38"/>
      <c r="S104" s="38"/>
      <c r="T104" s="38"/>
      <c r="U104" s="38"/>
      <c r="V104" s="38"/>
      <c r="W104" s="37"/>
      <c r="Z104" t="s">
        <v>206</v>
      </c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7:46" ht="14.25" customHeight="1" x14ac:dyDescent="0.35">
      <c r="G105" s="37"/>
      <c r="H105" s="38"/>
      <c r="I105" s="38"/>
      <c r="J105" s="38"/>
      <c r="K105" s="38"/>
      <c r="L105" s="38"/>
      <c r="M105" s="38"/>
      <c r="N105" s="38"/>
      <c r="Q105" s="38"/>
      <c r="R105" s="38"/>
      <c r="S105" s="38"/>
      <c r="T105" s="38"/>
      <c r="U105" s="38"/>
      <c r="V105" s="38"/>
      <c r="W105" s="37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35">
      <c r="G106" s="37"/>
      <c r="H106" s="38"/>
      <c r="I106" s="38"/>
      <c r="J106" s="38"/>
      <c r="K106" s="38"/>
      <c r="L106" s="38"/>
      <c r="M106" s="38"/>
      <c r="N106" s="38"/>
      <c r="Q106" s="38"/>
      <c r="R106" s="38"/>
      <c r="S106" s="38"/>
      <c r="T106" s="38"/>
      <c r="U106" s="38"/>
      <c r="V106" s="38"/>
      <c r="W106" s="37"/>
    </row>
    <row r="107" spans="7:46" ht="14.25" customHeight="1" x14ac:dyDescent="0.35">
      <c r="G107" s="37"/>
      <c r="H107" s="38"/>
      <c r="I107" s="38"/>
      <c r="J107" s="38"/>
      <c r="K107" s="38"/>
      <c r="L107" s="38"/>
      <c r="M107" s="38"/>
      <c r="N107" s="38"/>
      <c r="Q107" s="38"/>
      <c r="R107" s="38"/>
      <c r="S107" s="38"/>
      <c r="T107" s="38"/>
      <c r="U107" s="38"/>
      <c r="V107" s="38"/>
      <c r="W107" s="37"/>
    </row>
    <row r="108" spans="7:46" ht="14.25" customHeight="1" x14ac:dyDescent="0.35">
      <c r="G108" s="37"/>
      <c r="H108" s="38"/>
      <c r="I108" s="38"/>
      <c r="J108" s="38"/>
      <c r="K108" s="38"/>
      <c r="L108" s="38"/>
      <c r="M108" s="38"/>
      <c r="N108" s="38"/>
      <c r="Q108" s="38"/>
      <c r="R108" s="38"/>
      <c r="S108" s="38"/>
      <c r="T108" s="38"/>
      <c r="U108" s="38"/>
      <c r="V108" s="38"/>
      <c r="W108" s="37"/>
    </row>
    <row r="109" spans="7:46" ht="14.25" customHeight="1" x14ac:dyDescent="0.35"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7"/>
    </row>
    <row r="110" spans="7:46" ht="14.25" customHeight="1" x14ac:dyDescent="0.35"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7"/>
    </row>
    <row r="111" spans="7:46" ht="14.25" customHeight="1" x14ac:dyDescent="0.35"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7"/>
    </row>
    <row r="112" spans="7:46" ht="14.25" customHeight="1" x14ac:dyDescent="0.35"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7"/>
    </row>
    <row r="113" spans="7:21" ht="14.25" customHeight="1" x14ac:dyDescent="0.35"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7"/>
    </row>
    <row r="114" spans="7:21" ht="14.25" customHeight="1" x14ac:dyDescent="0.35"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7"/>
    </row>
    <row r="115" spans="7:21" ht="14.25" customHeight="1" x14ac:dyDescent="0.35"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7"/>
    </row>
    <row r="116" spans="7:21" ht="14.25" customHeight="1" x14ac:dyDescent="0.35"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7"/>
    </row>
    <row r="117" spans="7:21" ht="14.25" customHeight="1" x14ac:dyDescent="0.35"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7"/>
    </row>
    <row r="118" spans="7:21" ht="14.25" customHeight="1" x14ac:dyDescent="0.35"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7"/>
    </row>
    <row r="119" spans="7:21" ht="14.25" customHeight="1" x14ac:dyDescent="0.35"/>
    <row r="120" spans="7:21" ht="14.25" customHeight="1" x14ac:dyDescent="0.35"/>
    <row r="121" spans="7:21" ht="14.25" customHeight="1" x14ac:dyDescent="0.35"/>
    <row r="122" spans="7:21" ht="14.25" customHeight="1" x14ac:dyDescent="0.35"/>
    <row r="123" spans="7:21" ht="14.25" customHeight="1" x14ac:dyDescent="0.35"/>
    <row r="124" spans="7:21" ht="14.25" customHeight="1" x14ac:dyDescent="0.35"/>
    <row r="125" spans="7:21" ht="14.25" customHeight="1" x14ac:dyDescent="0.35"/>
    <row r="126" spans="7:21" ht="14.25" customHeight="1" x14ac:dyDescent="0.35"/>
    <row r="127" spans="7:21" ht="14.25" customHeight="1" x14ac:dyDescent="0.35"/>
    <row r="128" spans="7:21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honeticPr fontId="30" type="noConversion"/>
  <conditionalFormatting sqref="W103:W108 U109:U118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AQ8:AQ24">
    <cfRule type="cellIs" dxfId="4" priority="5" operator="equal">
      <formula>$AA$4</formula>
    </cfRule>
    <cfRule type="cellIs" dxfId="3" priority="6" operator="lessThan">
      <formula>$AA$4</formula>
    </cfRule>
    <cfRule type="cellIs" dxfId="2" priority="7" operator="greaterThan">
      <formula>$AA$4</formula>
    </cfRule>
  </conditionalFormatting>
  <conditionalFormatting sqref="AT8:AU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topLeftCell="A3" zoomScale="80" workbookViewId="0">
      <selection activeCell="M48" sqref="M48"/>
    </sheetView>
  </sheetViews>
  <sheetFormatPr defaultColWidth="14.36328125" defaultRowHeight="15" customHeight="1" x14ac:dyDescent="0.35"/>
  <cols>
    <col min="1" max="24" width="8.7265625" style="36" customWidth="1"/>
    <col min="25" max="25" width="9.6328125" style="36" customWidth="1"/>
    <col min="26" max="28" width="8.7265625" style="36" customWidth="1"/>
    <col min="29" max="29" width="17.7265625" style="36" customWidth="1"/>
    <col min="30" max="30" width="9.26953125" style="36" customWidth="1"/>
    <col min="31" max="31" width="10.26953125" style="36" customWidth="1"/>
    <col min="32" max="32" width="11.36328125" style="36" customWidth="1"/>
    <col min="33" max="33" width="12.453125" style="36" customWidth="1"/>
    <col min="34" max="34" width="11.08984375" style="36" customWidth="1"/>
    <col min="35" max="35" width="11.36328125" style="36" customWidth="1"/>
    <col min="36" max="37" width="10.6328125" style="36" customWidth="1"/>
    <col min="38" max="39" width="14.36328125" style="36" customWidth="1"/>
    <col min="40" max="16384" width="14.36328125" style="36"/>
  </cols>
  <sheetData>
    <row r="1" spans="1:25" ht="14.5" customHeight="1" x14ac:dyDescent="0.35">
      <c r="N1" s="52"/>
    </row>
    <row r="2" spans="1:25" ht="14.5" customHeight="1" x14ac:dyDescent="0.35">
      <c r="B2" s="51" t="s">
        <v>177</v>
      </c>
      <c r="F2" s="52" t="s">
        <v>77</v>
      </c>
      <c r="G2" s="52" t="s">
        <v>78</v>
      </c>
      <c r="H2" s="36" t="s">
        <v>79</v>
      </c>
      <c r="J2" s="52" t="s">
        <v>161</v>
      </c>
      <c r="M2" s="52" t="s">
        <v>162</v>
      </c>
      <c r="P2" s="66" t="s">
        <v>143</v>
      </c>
    </row>
    <row r="3" spans="1:25" ht="14.5" customHeight="1" x14ac:dyDescent="0.35">
      <c r="A3" s="53" t="s">
        <v>63</v>
      </c>
      <c r="B3" s="53" t="s">
        <v>75</v>
      </c>
      <c r="C3" s="53" t="s">
        <v>76</v>
      </c>
      <c r="D3" s="53" t="s">
        <v>0</v>
      </c>
      <c r="F3" s="106">
        <f>SUM(B4:B40)</f>
        <v>7</v>
      </c>
      <c r="G3" s="106">
        <f>SUM(C4:C40)</f>
        <v>8</v>
      </c>
      <c r="H3" s="106">
        <f>SUM(D4:D40)</f>
        <v>8</v>
      </c>
      <c r="J3" s="52" t="s">
        <v>75</v>
      </c>
      <c r="K3" s="52" t="s">
        <v>76</v>
      </c>
      <c r="L3" s="52"/>
      <c r="M3" s="52" t="s">
        <v>75</v>
      </c>
      <c r="N3" s="52" t="s">
        <v>76</v>
      </c>
      <c r="P3" s="67" t="s">
        <v>4</v>
      </c>
      <c r="Q3" s="68" t="s">
        <v>0</v>
      </c>
      <c r="R3" s="68" t="s">
        <v>74</v>
      </c>
      <c r="S3" s="68" t="s">
        <v>1</v>
      </c>
      <c r="T3" s="69" t="s">
        <v>69</v>
      </c>
      <c r="U3" s="69" t="s">
        <v>2</v>
      </c>
      <c r="V3" s="69" t="s">
        <v>93</v>
      </c>
      <c r="W3" s="68" t="s">
        <v>3</v>
      </c>
      <c r="X3" s="69" t="s">
        <v>94</v>
      </c>
      <c r="Y3" s="69" t="s">
        <v>96</v>
      </c>
    </row>
    <row r="4" spans="1:25" ht="14.5" customHeight="1" x14ac:dyDescent="0.35">
      <c r="A4" s="107" t="str">
        <f>'Stats Global'!B5</f>
        <v>24 January</v>
      </c>
      <c r="B4" s="107">
        <f>'Stats Global'!F5</f>
        <v>4</v>
      </c>
      <c r="C4" s="107">
        <f>'Stats Global'!G5+'Stats Global'!G5</f>
        <v>2</v>
      </c>
      <c r="D4" s="107">
        <f>'Stats Global'!O5</f>
        <v>3</v>
      </c>
      <c r="H4" s="54"/>
      <c r="J4" s="126">
        <f>'Stats Global'!M5</f>
        <v>2</v>
      </c>
      <c r="K4" s="126">
        <f>'Stats Global'!H5</f>
        <v>1</v>
      </c>
      <c r="L4" s="56"/>
      <c r="M4" s="126">
        <f>'Stats Global'!J5</f>
        <v>2</v>
      </c>
      <c r="N4" s="126">
        <f>'Stats Global'!G5</f>
        <v>1</v>
      </c>
      <c r="P4" s="70" t="str">
        <f>'Stats Global'!Z18</f>
        <v>Ryan Pattemore</v>
      </c>
      <c r="Q4" s="70">
        <f>'Stats Global'!AA18</f>
        <v>1</v>
      </c>
      <c r="R4" s="70">
        <f>'Stats Global'!AB18</f>
        <v>0.5</v>
      </c>
      <c r="S4" s="70">
        <f>'Stats Global'!AC18</f>
        <v>0</v>
      </c>
      <c r="T4" s="70">
        <f>'Stats Global'!AD18</f>
        <v>0</v>
      </c>
      <c r="U4" s="70">
        <f>'Stats Global'!AE18</f>
        <v>1</v>
      </c>
      <c r="V4" s="70">
        <f>'Stats Global'!AF18</f>
        <v>0.5</v>
      </c>
      <c r="W4" s="70">
        <f>'Stats Global'!AG18</f>
        <v>0</v>
      </c>
      <c r="X4" s="70">
        <f>'Stats Global'!AH18</f>
        <v>0</v>
      </c>
      <c r="Y4" s="70">
        <f>'Stats Global'!AIJ8</f>
        <v>0</v>
      </c>
    </row>
    <row r="5" spans="1:25" ht="14.5" customHeight="1" x14ac:dyDescent="0.35">
      <c r="A5" s="107" t="str">
        <f>'Stats Global'!B6</f>
        <v>25 January</v>
      </c>
      <c r="B5" s="107">
        <f>'Stats Global'!F6</f>
        <v>2</v>
      </c>
      <c r="C5" s="107">
        <f>'Stats Global'!G6+'Stats Global'!G6</f>
        <v>2</v>
      </c>
      <c r="D5" s="107">
        <f>'Stats Global'!O6</f>
        <v>3</v>
      </c>
      <c r="G5" s="52"/>
      <c r="H5" s="54"/>
      <c r="J5" s="126">
        <f>'Stats Global'!M6</f>
        <v>1</v>
      </c>
      <c r="K5" s="126">
        <f>'Stats Global'!H6</f>
        <v>0</v>
      </c>
      <c r="L5" s="56"/>
      <c r="M5" s="126">
        <f>'Stats Global'!J6</f>
        <v>1</v>
      </c>
      <c r="N5" s="126">
        <f>'Stats Global'!G6</f>
        <v>1</v>
      </c>
      <c r="P5" s="54" t="str">
        <f>'Stats Global'!Z8</f>
        <v>Jasper Collier</v>
      </c>
      <c r="Q5" s="54">
        <f>'Stats Global'!AA8</f>
        <v>0</v>
      </c>
      <c r="R5" s="54">
        <f>'Stats Global'!AB8</f>
        <v>0</v>
      </c>
      <c r="S5" s="54">
        <f>'Stats Global'!AC8</f>
        <v>0</v>
      </c>
      <c r="T5" s="54">
        <f>'Stats Global'!AD8</f>
        <v>0</v>
      </c>
      <c r="U5" s="54">
        <f>'Stats Global'!AE8</f>
        <v>0</v>
      </c>
      <c r="V5" s="54">
        <f>'Stats Global'!AF8</f>
        <v>0</v>
      </c>
      <c r="W5" s="54">
        <f>'Stats Global'!AG8</f>
        <v>0</v>
      </c>
      <c r="X5" s="54">
        <f>'Stats Global'!AH8</f>
        <v>0</v>
      </c>
      <c r="Y5" s="63">
        <f>'Stats Global'!AJ8</f>
        <v>0</v>
      </c>
    </row>
    <row r="6" spans="1:25" ht="14.5" customHeight="1" x14ac:dyDescent="0.35">
      <c r="A6" s="107" t="str">
        <f>'Stats Global'!B7</f>
        <v>29 January</v>
      </c>
      <c r="B6" s="107">
        <f>'Stats Global'!F7</f>
        <v>1</v>
      </c>
      <c r="C6" s="107">
        <f>'Stats Global'!G7+'Stats Global'!G7</f>
        <v>4</v>
      </c>
      <c r="D6" s="107">
        <f>'Stats Global'!O7</f>
        <v>2</v>
      </c>
      <c r="G6" s="52"/>
      <c r="H6" s="54"/>
      <c r="J6" s="126">
        <f>'Stats Global'!M7</f>
        <v>1</v>
      </c>
      <c r="K6" s="126">
        <f>'Stats Global'!H7</f>
        <v>0</v>
      </c>
      <c r="L6" s="56"/>
      <c r="M6" s="126">
        <f>'Stats Global'!J7</f>
        <v>0</v>
      </c>
      <c r="N6" s="126">
        <f>'Stats Global'!G7</f>
        <v>2</v>
      </c>
      <c r="P6" s="63" t="str">
        <f>'Stats Global'!Z10</f>
        <v>Alexander Galt</v>
      </c>
      <c r="Q6" s="63">
        <f>'Stats Global'!AA10</f>
        <v>6</v>
      </c>
      <c r="R6" s="63">
        <f>'Stats Global'!AB10</f>
        <v>3</v>
      </c>
      <c r="S6" s="63">
        <f>'Stats Global'!AC10</f>
        <v>6</v>
      </c>
      <c r="T6" s="63">
        <f>'Stats Global'!AD10</f>
        <v>3</v>
      </c>
      <c r="U6" s="63">
        <f>'Stats Global'!AE10</f>
        <v>0</v>
      </c>
      <c r="V6" s="63">
        <f>'Stats Global'!AF10</f>
        <v>0</v>
      </c>
      <c r="W6" s="63">
        <f>'Stats Global'!AG10</f>
        <v>0</v>
      </c>
      <c r="X6" s="63">
        <f>'Stats Global'!AH10</f>
        <v>0</v>
      </c>
      <c r="Y6" s="63">
        <f>'Stats Global'!AJ10</f>
        <v>1</v>
      </c>
    </row>
    <row r="7" spans="1:25" ht="14.5" customHeight="1" x14ac:dyDescent="0.35">
      <c r="A7" s="107">
        <f>'Stats Global'!B8</f>
        <v>0</v>
      </c>
      <c r="B7" s="107">
        <f>'Stats Global'!F8</f>
        <v>0</v>
      </c>
      <c r="C7" s="107">
        <f>'Stats Global'!G8+'Stats Global'!G8</f>
        <v>0</v>
      </c>
      <c r="D7" s="107">
        <f>'Stats Global'!O8</f>
        <v>0</v>
      </c>
      <c r="G7" s="52"/>
      <c r="H7" s="54"/>
      <c r="J7" s="126">
        <f>'Stats Global'!M8</f>
        <v>0</v>
      </c>
      <c r="K7" s="126">
        <f>'Stats Global'!H8</f>
        <v>0</v>
      </c>
      <c r="L7" s="56"/>
      <c r="M7" s="126">
        <f>'Stats Global'!J8</f>
        <v>0</v>
      </c>
      <c r="N7" s="126">
        <f>'Stats Global'!G8</f>
        <v>0</v>
      </c>
      <c r="P7" s="54" t="str">
        <f>'Stats Global'!Z11</f>
        <v>Rudy Hoschke</v>
      </c>
      <c r="Q7" s="54">
        <f>'Stats Global'!AA11</f>
        <v>6</v>
      </c>
      <c r="R7" s="54">
        <f>'Stats Global'!AB11</f>
        <v>2</v>
      </c>
      <c r="S7" s="54">
        <f>'Stats Global'!AC11</f>
        <v>6</v>
      </c>
      <c r="T7" s="54">
        <f>'Stats Global'!AD11</f>
        <v>2</v>
      </c>
      <c r="U7" s="54">
        <f>'Stats Global'!AE11</f>
        <v>0</v>
      </c>
      <c r="V7" s="54">
        <f>'Stats Global'!AF11</f>
        <v>0</v>
      </c>
      <c r="W7" s="54">
        <f>'Stats Global'!AG11</f>
        <v>0</v>
      </c>
      <c r="X7" s="54">
        <f>'Stats Global'!AH11</f>
        <v>0</v>
      </c>
      <c r="Y7" s="63">
        <f>'Stats Global'!AJ11</f>
        <v>0</v>
      </c>
    </row>
    <row r="8" spans="1:25" ht="14.5" customHeight="1" x14ac:dyDescent="0.35">
      <c r="A8" s="107">
        <f>'Stats Global'!B9</f>
        <v>0</v>
      </c>
      <c r="B8" s="107">
        <f>'Stats Global'!F9</f>
        <v>0</v>
      </c>
      <c r="C8" s="107">
        <f>'Stats Global'!G9+'Stats Global'!G9</f>
        <v>0</v>
      </c>
      <c r="D8" s="107">
        <f>'Stats Global'!O9</f>
        <v>0</v>
      </c>
      <c r="G8" s="52"/>
      <c r="H8" s="54"/>
      <c r="J8" s="126">
        <f>'Stats Global'!M9</f>
        <v>0</v>
      </c>
      <c r="K8" s="126">
        <f>'Stats Global'!H9</f>
        <v>0</v>
      </c>
      <c r="L8" s="56"/>
      <c r="M8" s="126">
        <f>'Stats Global'!J9</f>
        <v>0</v>
      </c>
      <c r="N8" s="126">
        <f>'Stats Global'!G9</f>
        <v>0</v>
      </c>
      <c r="P8" s="54" t="str">
        <f>'Stats Global'!Z20</f>
        <v>Christopher Tomkinson</v>
      </c>
      <c r="Q8" s="54">
        <f>'Stats Global'!AA20</f>
        <v>4</v>
      </c>
      <c r="R8" s="54">
        <f>'Stats Global'!AB20</f>
        <v>1.3333333333333333</v>
      </c>
      <c r="S8" s="54">
        <f>'Stats Global'!AC20</f>
        <v>2</v>
      </c>
      <c r="T8" s="54">
        <f>'Stats Global'!AD20</f>
        <v>0.66666666666666663</v>
      </c>
      <c r="U8" s="54">
        <f>'Stats Global'!AE20</f>
        <v>2</v>
      </c>
      <c r="V8" s="54">
        <f>'Stats Global'!AF20</f>
        <v>0.66666666666666663</v>
      </c>
      <c r="W8" s="54">
        <f>'Stats Global'!AG20</f>
        <v>0</v>
      </c>
      <c r="X8" s="54">
        <f>'Stats Global'!AH20</f>
        <v>0</v>
      </c>
      <c r="Y8" s="63">
        <f>'Stats Global'!AJ20</f>
        <v>0</v>
      </c>
    </row>
    <row r="9" spans="1:25" ht="14.5" customHeight="1" x14ac:dyDescent="0.35">
      <c r="A9" s="107">
        <f>'Stats Global'!B10</f>
        <v>0</v>
      </c>
      <c r="B9" s="107">
        <f>'Stats Global'!F10</f>
        <v>0</v>
      </c>
      <c r="C9" s="107">
        <f>'Stats Global'!G10+'Stats Global'!G10</f>
        <v>0</v>
      </c>
      <c r="D9" s="107">
        <f>'Stats Global'!O10</f>
        <v>0</v>
      </c>
      <c r="G9" s="52"/>
      <c r="H9" s="54"/>
      <c r="J9" s="126">
        <f>'Stats Global'!M10</f>
        <v>0</v>
      </c>
      <c r="K9" s="126">
        <f>'Stats Global'!H10</f>
        <v>0</v>
      </c>
      <c r="L9" s="56"/>
      <c r="M9" s="126">
        <f>'Stats Global'!J10</f>
        <v>0</v>
      </c>
      <c r="N9" s="126">
        <f>'Stats Global'!G10</f>
        <v>0</v>
      </c>
      <c r="Q9" s="26"/>
      <c r="R9" s="26"/>
      <c r="S9" s="26"/>
      <c r="T9" s="26"/>
      <c r="U9" s="26"/>
    </row>
    <row r="10" spans="1:25" ht="14.5" customHeight="1" x14ac:dyDescent="0.35">
      <c r="A10" s="107">
        <f>'Stats Global'!B11</f>
        <v>0</v>
      </c>
      <c r="B10" s="107">
        <f>'Stats Global'!F11</f>
        <v>0</v>
      </c>
      <c r="C10" s="107">
        <f>'Stats Global'!G11+'Stats Global'!G11</f>
        <v>0</v>
      </c>
      <c r="D10" s="107">
        <f>'Stats Global'!O11</f>
        <v>0</v>
      </c>
      <c r="G10" s="52"/>
      <c r="H10" s="54"/>
      <c r="J10" s="126">
        <f>'Stats Global'!M11</f>
        <v>0</v>
      </c>
      <c r="K10" s="126">
        <f>'Stats Global'!H11</f>
        <v>0</v>
      </c>
      <c r="L10" s="56"/>
      <c r="M10" s="126">
        <f>'Stats Global'!J11</f>
        <v>0</v>
      </c>
      <c r="N10" s="126">
        <f>'Stats Global'!G11</f>
        <v>0</v>
      </c>
      <c r="R10" s="26"/>
      <c r="S10" s="26"/>
      <c r="T10" s="26"/>
      <c r="U10" s="26"/>
    </row>
    <row r="11" spans="1:25" ht="14.5" customHeight="1" x14ac:dyDescent="0.35">
      <c r="A11" s="107">
        <f>'Stats Global'!B12</f>
        <v>0</v>
      </c>
      <c r="B11" s="107">
        <f>'Stats Global'!F12</f>
        <v>0</v>
      </c>
      <c r="C11" s="107">
        <f>'Stats Global'!G12+'Stats Global'!G12</f>
        <v>0</v>
      </c>
      <c r="D11" s="107">
        <f>'Stats Global'!O12</f>
        <v>0</v>
      </c>
      <c r="G11" s="52"/>
      <c r="H11" s="54"/>
      <c r="J11" s="126">
        <f>'Stats Global'!M12</f>
        <v>0</v>
      </c>
      <c r="K11" s="126">
        <f>'Stats Global'!H12</f>
        <v>0</v>
      </c>
      <c r="L11" s="56"/>
      <c r="M11" s="126">
        <f>'Stats Global'!J12</f>
        <v>0</v>
      </c>
      <c r="N11" s="126">
        <f>'Stats Global'!G12</f>
        <v>0</v>
      </c>
      <c r="P11" s="35"/>
      <c r="Q11" s="35"/>
    </row>
    <row r="12" spans="1:25" ht="14.5" customHeight="1" x14ac:dyDescent="0.35">
      <c r="A12" s="107">
        <f>'Stats Global'!B13</f>
        <v>0</v>
      </c>
      <c r="B12" s="107">
        <f>'Stats Global'!F13</f>
        <v>0</v>
      </c>
      <c r="C12" s="107">
        <f>'Stats Global'!G13+'Stats Global'!G13</f>
        <v>0</v>
      </c>
      <c r="D12" s="107">
        <f>'Stats Global'!O13</f>
        <v>0</v>
      </c>
      <c r="G12" s="52"/>
      <c r="H12" s="54"/>
      <c r="J12" s="126">
        <f>'Stats Global'!M13</f>
        <v>0</v>
      </c>
      <c r="K12" s="126">
        <f>'Stats Global'!H13</f>
        <v>0</v>
      </c>
      <c r="L12" s="56"/>
      <c r="M12" s="126">
        <f>'Stats Global'!J13</f>
        <v>0</v>
      </c>
      <c r="N12" s="126">
        <f>'Stats Global'!G13</f>
        <v>0</v>
      </c>
      <c r="R12" s="35"/>
      <c r="S12" s="35"/>
      <c r="T12" s="35"/>
      <c r="U12" s="35"/>
    </row>
    <row r="13" spans="1:25" ht="14.5" customHeight="1" x14ac:dyDescent="0.35">
      <c r="A13" s="107">
        <f>'Stats Global'!B14</f>
        <v>0</v>
      </c>
      <c r="B13" s="107">
        <f>'Stats Global'!F14</f>
        <v>0</v>
      </c>
      <c r="C13" s="107">
        <f>'Stats Global'!G14+'Stats Global'!G14</f>
        <v>0</v>
      </c>
      <c r="D13" s="107">
        <f>'Stats Global'!O14</f>
        <v>0</v>
      </c>
      <c r="H13" s="54"/>
      <c r="J13" s="126">
        <f>'Stats Global'!M14</f>
        <v>0</v>
      </c>
      <c r="K13" s="126">
        <f>'Stats Global'!H14</f>
        <v>0</v>
      </c>
      <c r="L13" s="56"/>
      <c r="M13" s="126">
        <f>'Stats Global'!J14</f>
        <v>0</v>
      </c>
      <c r="N13" s="126">
        <f>'Stats Global'!G14</f>
        <v>0</v>
      </c>
    </row>
    <row r="14" spans="1:25" ht="14.5" customHeight="1" x14ac:dyDescent="0.35">
      <c r="A14" s="107">
        <f>'Stats Global'!B15</f>
        <v>0</v>
      </c>
      <c r="B14" s="107">
        <f>'Stats Global'!F15</f>
        <v>0</v>
      </c>
      <c r="C14" s="107">
        <f>'Stats Global'!G15+'Stats Global'!G15</f>
        <v>0</v>
      </c>
      <c r="D14" s="107">
        <f>'Stats Global'!O15</f>
        <v>0</v>
      </c>
      <c r="H14" s="54"/>
      <c r="J14" s="126">
        <f>'Stats Global'!M15</f>
        <v>0</v>
      </c>
      <c r="K14" s="126">
        <f>'Stats Global'!H15</f>
        <v>0</v>
      </c>
      <c r="L14" s="56"/>
      <c r="M14" s="126">
        <f>'Stats Global'!J15</f>
        <v>0</v>
      </c>
      <c r="N14" s="126">
        <f>'Stats Global'!G15</f>
        <v>0</v>
      </c>
    </row>
    <row r="15" spans="1:25" ht="14.5" customHeight="1" x14ac:dyDescent="0.35">
      <c r="A15" s="107">
        <f>'Stats Global'!B16</f>
        <v>0</v>
      </c>
      <c r="B15" s="107">
        <f>'Stats Global'!F16</f>
        <v>0</v>
      </c>
      <c r="C15" s="107">
        <f>'Stats Global'!G16+'Stats Global'!G16</f>
        <v>0</v>
      </c>
      <c r="D15" s="107">
        <f>'Stats Global'!O16</f>
        <v>0</v>
      </c>
      <c r="H15" s="54"/>
      <c r="J15" s="126">
        <f>'Stats Global'!M16</f>
        <v>0</v>
      </c>
      <c r="K15" s="126">
        <f>'Stats Global'!H16</f>
        <v>0</v>
      </c>
      <c r="L15" s="56"/>
      <c r="M15" s="126">
        <f>'Stats Global'!J16</f>
        <v>0</v>
      </c>
      <c r="N15" s="126">
        <f>'Stats Global'!G16</f>
        <v>0</v>
      </c>
    </row>
    <row r="16" spans="1:25" ht="14.5" customHeight="1" x14ac:dyDescent="0.35">
      <c r="A16" s="107">
        <f>'Stats Global'!B17</f>
        <v>0</v>
      </c>
      <c r="B16" s="107">
        <f>'Stats Global'!F17</f>
        <v>0</v>
      </c>
      <c r="C16" s="107">
        <f>'Stats Global'!G17+'Stats Global'!G17</f>
        <v>0</v>
      </c>
      <c r="D16" s="107">
        <f>'Stats Global'!O17</f>
        <v>0</v>
      </c>
      <c r="H16" s="54"/>
      <c r="J16" s="126">
        <f>'Stats Global'!M17</f>
        <v>0</v>
      </c>
      <c r="K16" s="126">
        <f>'Stats Global'!H17</f>
        <v>0</v>
      </c>
      <c r="L16" s="56"/>
      <c r="M16" s="126">
        <f>'Stats Global'!J17</f>
        <v>0</v>
      </c>
      <c r="N16" s="126">
        <f>'Stats Global'!G17</f>
        <v>0</v>
      </c>
    </row>
    <row r="17" spans="1:14" ht="14.5" customHeight="1" x14ac:dyDescent="0.35">
      <c r="A17" s="107">
        <f>'Stats Global'!B18</f>
        <v>0</v>
      </c>
      <c r="B17" s="107">
        <f>'Stats Global'!F18</f>
        <v>0</v>
      </c>
      <c r="C17" s="107">
        <f>'Stats Global'!G18+'Stats Global'!G18</f>
        <v>0</v>
      </c>
      <c r="D17" s="107">
        <f>'Stats Global'!O18</f>
        <v>0</v>
      </c>
      <c r="E17" s="116"/>
      <c r="H17" s="54"/>
      <c r="J17" s="126">
        <f>'Stats Global'!M18</f>
        <v>0</v>
      </c>
      <c r="K17" s="126">
        <f>'Stats Global'!H18</f>
        <v>0</v>
      </c>
      <c r="L17" s="56"/>
      <c r="M17" s="126">
        <f>'Stats Global'!J18</f>
        <v>0</v>
      </c>
      <c r="N17" s="126">
        <f>'Stats Global'!G18</f>
        <v>0</v>
      </c>
    </row>
    <row r="18" spans="1:14" ht="14.5" customHeight="1" x14ac:dyDescent="0.35">
      <c r="A18" s="107">
        <f>'Stats Global'!B19</f>
        <v>0</v>
      </c>
      <c r="B18" s="107">
        <f>'Stats Global'!F19</f>
        <v>0</v>
      </c>
      <c r="C18" s="107">
        <f>'Stats Global'!G19+'Stats Global'!G19</f>
        <v>0</v>
      </c>
      <c r="D18" s="107">
        <f>'Stats Global'!O19</f>
        <v>0</v>
      </c>
      <c r="E18" s="117"/>
      <c r="H18" s="54"/>
      <c r="J18" s="126">
        <f>'Stats Global'!M19</f>
        <v>0</v>
      </c>
      <c r="K18" s="126">
        <f>'Stats Global'!H19</f>
        <v>0</v>
      </c>
      <c r="L18" s="56"/>
      <c r="M18" s="126">
        <f>'Stats Global'!J19</f>
        <v>0</v>
      </c>
      <c r="N18" s="126">
        <f>'Stats Global'!G19</f>
        <v>0</v>
      </c>
    </row>
    <row r="19" spans="1:14" ht="14.5" customHeight="1" x14ac:dyDescent="0.35">
      <c r="A19" s="107">
        <f>'Stats Global'!B20</f>
        <v>0</v>
      </c>
      <c r="B19" s="107">
        <f>'Stats Global'!F20</f>
        <v>0</v>
      </c>
      <c r="C19" s="107">
        <f>'Stats Global'!G20+'Stats Global'!G20</f>
        <v>0</v>
      </c>
      <c r="D19" s="107">
        <f>'Stats Global'!O20</f>
        <v>0</v>
      </c>
      <c r="E19" s="118"/>
      <c r="H19" s="54"/>
      <c r="J19" s="126">
        <f>'Stats Global'!M20</f>
        <v>0</v>
      </c>
      <c r="K19" s="126">
        <f>'Stats Global'!H20</f>
        <v>0</v>
      </c>
      <c r="L19" s="56"/>
      <c r="M19" s="126">
        <f>'Stats Global'!J20</f>
        <v>0</v>
      </c>
      <c r="N19" s="126">
        <f>'Stats Global'!G20</f>
        <v>0</v>
      </c>
    </row>
    <row r="20" spans="1:14" ht="14.5" customHeight="1" x14ac:dyDescent="0.35">
      <c r="A20" s="107">
        <f>'Stats Global'!B21</f>
        <v>0</v>
      </c>
      <c r="B20" s="107">
        <f>'Stats Global'!F21</f>
        <v>0</v>
      </c>
      <c r="C20" s="107">
        <f>'Stats Global'!G21+'Stats Global'!G21</f>
        <v>0</v>
      </c>
      <c r="D20" s="107">
        <f>'Stats Global'!O21</f>
        <v>0</v>
      </c>
      <c r="E20" s="119"/>
      <c r="H20" s="54"/>
      <c r="J20" s="126">
        <f>'Stats Global'!M21</f>
        <v>0</v>
      </c>
      <c r="K20" s="126">
        <f>'Stats Global'!H21</f>
        <v>0</v>
      </c>
      <c r="L20" s="56"/>
      <c r="M20" s="126">
        <f>'Stats Global'!J21</f>
        <v>0</v>
      </c>
      <c r="N20" s="126">
        <f>'Stats Global'!G21</f>
        <v>0</v>
      </c>
    </row>
    <row r="21" spans="1:14" ht="14.5" customHeight="1" x14ac:dyDescent="0.35">
      <c r="A21" s="107">
        <f>'Stats Global'!B22</f>
        <v>0</v>
      </c>
      <c r="B21" s="107">
        <f>'Stats Global'!F22</f>
        <v>0</v>
      </c>
      <c r="C21" s="107">
        <f>'Stats Global'!G22+'Stats Global'!G22</f>
        <v>0</v>
      </c>
      <c r="D21" s="107">
        <f>'Stats Global'!O22</f>
        <v>0</v>
      </c>
      <c r="H21" s="54"/>
      <c r="J21" s="126">
        <f>'Stats Global'!M22</f>
        <v>0</v>
      </c>
      <c r="K21" s="126">
        <f>'Stats Global'!H22</f>
        <v>0</v>
      </c>
      <c r="L21" s="56"/>
      <c r="M21" s="126">
        <f>'Stats Global'!J22</f>
        <v>0</v>
      </c>
      <c r="N21" s="126">
        <f>'Stats Global'!G22</f>
        <v>0</v>
      </c>
    </row>
    <row r="22" spans="1:14" ht="14.5" customHeight="1" x14ac:dyDescent="0.35">
      <c r="A22" s="107">
        <f>'Stats Global'!B23</f>
        <v>0</v>
      </c>
      <c r="B22" s="107">
        <f>'Stats Global'!F23</f>
        <v>0</v>
      </c>
      <c r="C22" s="107">
        <f>'Stats Global'!G23+'Stats Global'!G23</f>
        <v>0</v>
      </c>
      <c r="D22" s="107">
        <f>'Stats Global'!O23</f>
        <v>0</v>
      </c>
      <c r="F22" s="57"/>
      <c r="H22" s="54"/>
      <c r="J22" s="126">
        <f>'Stats Global'!M23</f>
        <v>0</v>
      </c>
      <c r="K22" s="126">
        <f>'Stats Global'!H23</f>
        <v>0</v>
      </c>
      <c r="L22" s="56"/>
      <c r="M22" s="126">
        <f>'Stats Global'!J23</f>
        <v>0</v>
      </c>
      <c r="N22" s="126">
        <f>'Stats Global'!G23</f>
        <v>0</v>
      </c>
    </row>
    <row r="23" spans="1:14" ht="14.5" customHeight="1" x14ac:dyDescent="0.35">
      <c r="A23" s="107">
        <f>'Stats Global'!B24</f>
        <v>0</v>
      </c>
      <c r="B23" s="107">
        <f>'Stats Global'!F24</f>
        <v>0</v>
      </c>
      <c r="C23" s="107">
        <f>'Stats Global'!G24+'Stats Global'!G24</f>
        <v>0</v>
      </c>
      <c r="D23" s="107">
        <f>'Stats Global'!O24</f>
        <v>0</v>
      </c>
      <c r="E23" s="120"/>
      <c r="F23" s="57"/>
      <c r="H23" s="54"/>
      <c r="J23" s="126">
        <f>'Stats Global'!M24</f>
        <v>0</v>
      </c>
      <c r="K23" s="126">
        <f>'Stats Global'!H24</f>
        <v>0</v>
      </c>
      <c r="L23" s="56"/>
      <c r="M23" s="126">
        <f>'Stats Global'!J24</f>
        <v>0</v>
      </c>
      <c r="N23" s="126">
        <f>'Stats Global'!G24</f>
        <v>0</v>
      </c>
    </row>
    <row r="24" spans="1:14" ht="14.5" customHeight="1" x14ac:dyDescent="0.35">
      <c r="A24" s="107">
        <f>'Stats Global'!B25</f>
        <v>0</v>
      </c>
      <c r="B24" s="107">
        <f>'Stats Global'!F25</f>
        <v>0</v>
      </c>
      <c r="C24" s="107">
        <f>'Stats Global'!G25+'Stats Global'!G25</f>
        <v>0</v>
      </c>
      <c r="D24" s="107">
        <f>'Stats Global'!O25</f>
        <v>0</v>
      </c>
      <c r="E24" s="57"/>
      <c r="F24" s="57"/>
      <c r="H24" s="54"/>
      <c r="J24" s="126">
        <f>'Stats Global'!M25</f>
        <v>0</v>
      </c>
      <c r="K24" s="126">
        <f>'Stats Global'!H25</f>
        <v>0</v>
      </c>
      <c r="L24" s="56"/>
      <c r="M24" s="126">
        <f>'Stats Global'!J25</f>
        <v>0</v>
      </c>
      <c r="N24" s="126">
        <f>'Stats Global'!G25</f>
        <v>0</v>
      </c>
    </row>
    <row r="25" spans="1:14" ht="14.5" customHeight="1" x14ac:dyDescent="0.35">
      <c r="A25" s="107">
        <f>'Stats Global'!B26</f>
        <v>0</v>
      </c>
      <c r="B25" s="107">
        <f>'Stats Global'!F26</f>
        <v>0</v>
      </c>
      <c r="C25" s="107">
        <f>'Stats Global'!G26+'Stats Global'!G26</f>
        <v>0</v>
      </c>
      <c r="D25" s="107">
        <f>'Stats Global'!O26</f>
        <v>0</v>
      </c>
      <c r="E25" s="57"/>
      <c r="H25" s="54"/>
      <c r="J25" s="126">
        <f>'Stats Global'!M26</f>
        <v>0</v>
      </c>
      <c r="K25" s="126">
        <f>'Stats Global'!H26</f>
        <v>0</v>
      </c>
      <c r="L25" s="56"/>
      <c r="M25" s="126">
        <f>'Stats Global'!J26</f>
        <v>0</v>
      </c>
      <c r="N25" s="126">
        <f>'Stats Global'!G26</f>
        <v>0</v>
      </c>
    </row>
    <row r="26" spans="1:14" ht="14.5" customHeight="1" x14ac:dyDescent="0.35">
      <c r="A26" s="107">
        <f>'Stats Global'!B27</f>
        <v>0</v>
      </c>
      <c r="B26" s="107">
        <f>'Stats Global'!F27</f>
        <v>0</v>
      </c>
      <c r="C26" s="107">
        <f>'Stats Global'!G27+'Stats Global'!G27</f>
        <v>0</v>
      </c>
      <c r="D26" s="107">
        <f>'Stats Global'!O27</f>
        <v>0</v>
      </c>
      <c r="H26" s="54"/>
      <c r="J26" s="126">
        <f>'Stats Global'!M27</f>
        <v>0</v>
      </c>
      <c r="K26" s="126">
        <f>'Stats Global'!H27</f>
        <v>0</v>
      </c>
      <c r="L26" s="56"/>
      <c r="M26" s="126">
        <f>'Stats Global'!J27</f>
        <v>0</v>
      </c>
      <c r="N26" s="126">
        <f>'Stats Global'!G27</f>
        <v>0</v>
      </c>
    </row>
    <row r="27" spans="1:14" ht="14.5" customHeight="1" x14ac:dyDescent="0.35">
      <c r="A27" s="107">
        <f>'Stats Global'!B28</f>
        <v>0</v>
      </c>
      <c r="B27" s="107">
        <f>'Stats Global'!F28</f>
        <v>0</v>
      </c>
      <c r="C27" s="107">
        <f>'Stats Global'!G28+'Stats Global'!G28</f>
        <v>0</v>
      </c>
      <c r="D27" s="107">
        <f>'Stats Global'!O28</f>
        <v>0</v>
      </c>
      <c r="H27" s="54"/>
      <c r="J27" s="126">
        <f>'Stats Global'!M28</f>
        <v>0</v>
      </c>
      <c r="K27" s="126">
        <f>'Stats Global'!H28</f>
        <v>0</v>
      </c>
      <c r="L27" s="56"/>
      <c r="M27" s="126">
        <f>'Stats Global'!J28</f>
        <v>0</v>
      </c>
      <c r="N27" s="126">
        <f>'Stats Global'!G28</f>
        <v>0</v>
      </c>
    </row>
    <row r="28" spans="1:14" ht="14.5" customHeight="1" x14ac:dyDescent="0.35">
      <c r="A28" s="107">
        <f>'Stats Global'!B29</f>
        <v>0</v>
      </c>
      <c r="B28" s="107">
        <f>'Stats Global'!F29</f>
        <v>0</v>
      </c>
      <c r="C28" s="107">
        <f>'Stats Global'!G29+'Stats Global'!G29</f>
        <v>0</v>
      </c>
      <c r="D28" s="107">
        <f>'Stats Global'!O29</f>
        <v>0</v>
      </c>
      <c r="H28" s="54"/>
      <c r="J28" s="126">
        <f>'Stats Global'!M29</f>
        <v>0</v>
      </c>
      <c r="K28" s="126">
        <f>'Stats Global'!H29</f>
        <v>0</v>
      </c>
      <c r="L28" s="56"/>
      <c r="M28" s="126">
        <f>'Stats Global'!J29</f>
        <v>0</v>
      </c>
      <c r="N28" s="126">
        <f>'Stats Global'!G29</f>
        <v>0</v>
      </c>
    </row>
    <row r="29" spans="1:14" ht="14.5" customHeight="1" x14ac:dyDescent="0.35">
      <c r="A29" s="107">
        <f>'Stats Global'!B30</f>
        <v>0</v>
      </c>
      <c r="B29" s="107">
        <f>'Stats Global'!F30</f>
        <v>0</v>
      </c>
      <c r="C29" s="107">
        <f>'Stats Global'!G30+'Stats Global'!G30</f>
        <v>0</v>
      </c>
      <c r="D29" s="107">
        <f>'Stats Global'!O30</f>
        <v>0</v>
      </c>
      <c r="H29" s="54"/>
      <c r="J29" s="126">
        <f>'Stats Global'!M30</f>
        <v>0</v>
      </c>
      <c r="K29" s="126">
        <f>'Stats Global'!H30</f>
        <v>0</v>
      </c>
      <c r="L29" s="56"/>
      <c r="M29" s="126">
        <f>'Stats Global'!J30</f>
        <v>0</v>
      </c>
      <c r="N29" s="126">
        <f>'Stats Global'!G30</f>
        <v>0</v>
      </c>
    </row>
    <row r="30" spans="1:14" ht="14.5" customHeight="1" x14ac:dyDescent="0.35">
      <c r="A30" s="107">
        <f>'Stats Global'!B31</f>
        <v>0</v>
      </c>
      <c r="B30" s="107">
        <f>'Stats Global'!F31</f>
        <v>0</v>
      </c>
      <c r="C30" s="107">
        <f>'Stats Global'!G31+'Stats Global'!G31</f>
        <v>0</v>
      </c>
      <c r="D30" s="107">
        <f>'Stats Global'!O31</f>
        <v>0</v>
      </c>
      <c r="J30" s="126">
        <f>'Stats Global'!M31</f>
        <v>0</v>
      </c>
      <c r="K30" s="126">
        <f>'Stats Global'!H31</f>
        <v>0</v>
      </c>
      <c r="L30" s="56"/>
      <c r="M30" s="126">
        <f>'Stats Global'!J31</f>
        <v>0</v>
      </c>
      <c r="N30" s="126">
        <f>'Stats Global'!G31</f>
        <v>0</v>
      </c>
    </row>
    <row r="31" spans="1:14" ht="14.5" customHeight="1" x14ac:dyDescent="0.35">
      <c r="A31" s="107">
        <f>'Stats Global'!B32</f>
        <v>0</v>
      </c>
      <c r="B31" s="107">
        <f>'Stats Global'!F32</f>
        <v>0</v>
      </c>
      <c r="C31" s="107">
        <f>'Stats Global'!G32+'Stats Global'!G32</f>
        <v>0</v>
      </c>
      <c r="D31" s="107">
        <f>'Stats Global'!O32</f>
        <v>0</v>
      </c>
      <c r="J31" s="126">
        <f>'Stats Global'!M32</f>
        <v>0</v>
      </c>
      <c r="K31" s="126">
        <f>'Stats Global'!H32</f>
        <v>0</v>
      </c>
      <c r="L31" s="56"/>
      <c r="M31" s="126">
        <f>'Stats Global'!J32</f>
        <v>0</v>
      </c>
      <c r="N31" s="126">
        <f>'Stats Global'!G32</f>
        <v>0</v>
      </c>
    </row>
    <row r="32" spans="1:14" ht="14.5" customHeight="1" x14ac:dyDescent="0.35">
      <c r="A32" s="107">
        <f>'Stats Global'!B33</f>
        <v>0</v>
      </c>
      <c r="B32" s="107">
        <f>'Stats Global'!F33</f>
        <v>0</v>
      </c>
      <c r="C32" s="107">
        <f>'Stats Global'!G33+'Stats Global'!G33</f>
        <v>0</v>
      </c>
      <c r="D32" s="107">
        <f>'Stats Global'!O33</f>
        <v>0</v>
      </c>
      <c r="J32" s="126">
        <f>'Stats Global'!M33</f>
        <v>0</v>
      </c>
      <c r="K32" s="126">
        <f>'Stats Global'!H33</f>
        <v>0</v>
      </c>
      <c r="L32" s="56"/>
      <c r="M32" s="126">
        <f>'Stats Global'!J33</f>
        <v>0</v>
      </c>
      <c r="N32" s="126">
        <f>'Stats Global'!G33</f>
        <v>0</v>
      </c>
    </row>
    <row r="33" spans="1:14" ht="14.5" customHeight="1" x14ac:dyDescent="0.35">
      <c r="A33" s="107">
        <f>'Stats Global'!B34</f>
        <v>0</v>
      </c>
      <c r="B33" s="107">
        <f>'Stats Global'!F34</f>
        <v>0</v>
      </c>
      <c r="C33" s="107">
        <f>'Stats Global'!G34+'Stats Global'!G34</f>
        <v>0</v>
      </c>
      <c r="D33" s="107">
        <f>'Stats Global'!O34</f>
        <v>0</v>
      </c>
      <c r="J33" s="126">
        <f>'Stats Global'!M34</f>
        <v>0</v>
      </c>
      <c r="K33" s="126">
        <f>'Stats Global'!H34</f>
        <v>0</v>
      </c>
      <c r="L33" s="56"/>
      <c r="M33" s="126">
        <f>'Stats Global'!J34</f>
        <v>0</v>
      </c>
      <c r="N33" s="126">
        <f>'Stats Global'!G34</f>
        <v>0</v>
      </c>
    </row>
    <row r="34" spans="1:14" ht="14.25" customHeight="1" x14ac:dyDescent="0.35">
      <c r="A34" s="107">
        <f>'Stats Global'!B35</f>
        <v>0</v>
      </c>
      <c r="B34" s="107">
        <f>'Stats Global'!F35</f>
        <v>0</v>
      </c>
      <c r="C34" s="107">
        <f>'Stats Global'!G35+'Stats Global'!G35</f>
        <v>0</v>
      </c>
      <c r="D34" s="107">
        <f>'Stats Global'!O35</f>
        <v>0</v>
      </c>
      <c r="J34" s="126">
        <f>'Stats Global'!M35</f>
        <v>0</v>
      </c>
      <c r="K34" s="126">
        <f>'Stats Global'!H35</f>
        <v>0</v>
      </c>
      <c r="L34" s="56"/>
      <c r="M34" s="126">
        <f>'Stats Global'!J35</f>
        <v>0</v>
      </c>
      <c r="N34" s="126">
        <f>'Stats Global'!G35</f>
        <v>0</v>
      </c>
    </row>
    <row r="35" spans="1:14" ht="14.25" customHeight="1" x14ac:dyDescent="0.35">
      <c r="A35" s="107">
        <f>'Stats Global'!B36</f>
        <v>0</v>
      </c>
      <c r="B35" s="107">
        <f>'Stats Global'!F36</f>
        <v>0</v>
      </c>
      <c r="C35" s="107">
        <f>'Stats Global'!G36+'Stats Global'!G36</f>
        <v>0</v>
      </c>
      <c r="D35" s="107">
        <f>'Stats Global'!O36</f>
        <v>0</v>
      </c>
      <c r="J35" s="126">
        <f>'Stats Global'!M36</f>
        <v>0</v>
      </c>
      <c r="K35" s="126">
        <f>'Stats Global'!H36</f>
        <v>0</v>
      </c>
      <c r="L35" s="56"/>
      <c r="M35" s="126">
        <f>'Stats Global'!J36</f>
        <v>0</v>
      </c>
      <c r="N35" s="126">
        <f>'Stats Global'!G36</f>
        <v>0</v>
      </c>
    </row>
    <row r="36" spans="1:14" ht="14.25" customHeight="1" x14ac:dyDescent="0.35">
      <c r="A36" s="107">
        <f>'Stats Global'!B37</f>
        <v>0</v>
      </c>
      <c r="B36" s="107">
        <f>'Stats Global'!F37</f>
        <v>0</v>
      </c>
      <c r="C36" s="107">
        <f>'Stats Global'!G37+'Stats Global'!G37</f>
        <v>0</v>
      </c>
      <c r="D36" s="107">
        <f>'Stats Global'!O37</f>
        <v>0</v>
      </c>
      <c r="J36" s="126">
        <f>'Stats Global'!M37</f>
        <v>0</v>
      </c>
      <c r="K36" s="126">
        <f>'Stats Global'!H37</f>
        <v>0</v>
      </c>
      <c r="L36" s="56"/>
      <c r="M36" s="126">
        <f>'Stats Global'!J37</f>
        <v>0</v>
      </c>
      <c r="N36" s="126">
        <f>'Stats Global'!G37</f>
        <v>0</v>
      </c>
    </row>
    <row r="37" spans="1:14" ht="14.25" customHeight="1" x14ac:dyDescent="0.35">
      <c r="A37" s="107">
        <f>'Stats Global'!B38</f>
        <v>0</v>
      </c>
      <c r="B37" s="107">
        <f>'Stats Global'!F38</f>
        <v>0</v>
      </c>
      <c r="C37" s="107">
        <f>'Stats Global'!G38+'Stats Global'!G38</f>
        <v>0</v>
      </c>
      <c r="D37" s="107">
        <f>'Stats Global'!O38</f>
        <v>0</v>
      </c>
      <c r="J37" s="126">
        <f>'Stats Global'!M38</f>
        <v>0</v>
      </c>
      <c r="K37" s="126">
        <f>'Stats Global'!H38</f>
        <v>0</v>
      </c>
      <c r="L37" s="56"/>
      <c r="M37" s="126">
        <f>'Stats Global'!J38</f>
        <v>0</v>
      </c>
      <c r="N37" s="126">
        <f>'Stats Global'!G38</f>
        <v>0</v>
      </c>
    </row>
    <row r="38" spans="1:14" ht="14.25" customHeight="1" x14ac:dyDescent="0.35">
      <c r="A38" s="107">
        <f>'Stats Global'!B39</f>
        <v>0</v>
      </c>
      <c r="B38" s="107">
        <f>'Stats Global'!F39</f>
        <v>0</v>
      </c>
      <c r="C38" s="107">
        <f>'Stats Global'!G39+'Stats Global'!G39</f>
        <v>0</v>
      </c>
      <c r="D38" s="107">
        <f>'Stats Global'!O39</f>
        <v>0</v>
      </c>
      <c r="J38" s="126">
        <f>'Stats Global'!M39</f>
        <v>0</v>
      </c>
      <c r="K38" s="126">
        <f>'Stats Global'!H39</f>
        <v>0</v>
      </c>
      <c r="L38" s="56"/>
      <c r="M38" s="126">
        <f>'Stats Global'!J39</f>
        <v>0</v>
      </c>
      <c r="N38" s="126">
        <f>'Stats Global'!G39</f>
        <v>0</v>
      </c>
    </row>
    <row r="39" spans="1:14" ht="14.25" customHeight="1" x14ac:dyDescent="0.35">
      <c r="A39" s="107">
        <f>'Stats Global'!B40</f>
        <v>0</v>
      </c>
      <c r="B39" s="107">
        <f>'Stats Global'!F40</f>
        <v>0</v>
      </c>
      <c r="C39" s="107">
        <f>'Stats Global'!G40+'Stats Global'!G40</f>
        <v>0</v>
      </c>
      <c r="D39" s="107">
        <f>'Stats Global'!O40</f>
        <v>0</v>
      </c>
      <c r="J39" s="126">
        <f>'Stats Global'!M40</f>
        <v>0</v>
      </c>
      <c r="K39" s="126">
        <f>'Stats Global'!H40</f>
        <v>0</v>
      </c>
      <c r="L39" s="56"/>
      <c r="M39" s="126">
        <f>'Stats Global'!J40</f>
        <v>0</v>
      </c>
      <c r="N39" s="126">
        <f>'Stats Global'!G40</f>
        <v>0</v>
      </c>
    </row>
    <row r="40" spans="1:14" ht="14.25" customHeight="1" x14ac:dyDescent="0.35">
      <c r="A40" s="107">
        <f>'Stats Global'!B41</f>
        <v>0</v>
      </c>
      <c r="B40" s="107">
        <f>'Stats Global'!F41</f>
        <v>0</v>
      </c>
      <c r="C40" s="107">
        <f>'Stats Global'!G41+'Stats Global'!G41</f>
        <v>0</v>
      </c>
      <c r="D40" s="107">
        <f>'Stats Global'!O41</f>
        <v>0</v>
      </c>
      <c r="J40" s="126">
        <f>'Stats Global'!M41</f>
        <v>0</v>
      </c>
      <c r="K40" s="126">
        <f>'Stats Global'!H41</f>
        <v>0</v>
      </c>
      <c r="L40" s="56"/>
      <c r="M40" s="126">
        <f>'Stats Global'!J41</f>
        <v>0</v>
      </c>
      <c r="N40" s="126">
        <f>'Stats Global'!G41</f>
        <v>0</v>
      </c>
    </row>
    <row r="41" spans="1:14" ht="14.25" customHeight="1" x14ac:dyDescent="0.35">
      <c r="C41" s="76">
        <f>SUM(B4:B40)/SUM(B4:C40)</f>
        <v>0.46666666666666667</v>
      </c>
      <c r="H41" s="54"/>
      <c r="I41" s="52" t="s">
        <v>81</v>
      </c>
      <c r="J41" s="110">
        <f>SUM(J4:J40)</f>
        <v>4</v>
      </c>
      <c r="K41" s="110">
        <f>SUM(K4:K40)</f>
        <v>1</v>
      </c>
      <c r="L41" s="54"/>
      <c r="M41" s="110">
        <f>SUM(M4:M40)</f>
        <v>3</v>
      </c>
      <c r="N41" s="110">
        <f>SUM(N4:N40)</f>
        <v>4</v>
      </c>
    </row>
    <row r="42" spans="1:14" ht="14.25" customHeight="1" x14ac:dyDescent="0.35">
      <c r="J42" s="58">
        <f>IFERROR(J41/(K41+J41),0)</f>
        <v>0.8</v>
      </c>
      <c r="M42" s="58">
        <f>IFERROR(M41/(N41+M41),0)</f>
        <v>0.42857142857142855</v>
      </c>
    </row>
    <row r="43" spans="1:14" ht="14.25" customHeight="1" x14ac:dyDescent="0.35">
      <c r="G43" s="59" t="str">
        <f>F3&amp;","&amp;G3&amp;","&amp;H3&amp;"],"</f>
        <v>7,8,8],</v>
      </c>
      <c r="I43" s="36" t="s">
        <v>106</v>
      </c>
      <c r="K43" s="36" t="s">
        <v>110</v>
      </c>
      <c r="M43" s="60">
        <f>IFERROR(ROUND((SUM(Table1114[Points]))/'Stats Global'!AA6,1),0)</f>
        <v>5.7</v>
      </c>
    </row>
    <row r="44" spans="1:14" ht="14.25" customHeight="1" x14ac:dyDescent="0.35">
      <c r="G44" s="36" t="str">
        <f>K44&amp;","&amp;CHAR(34)&amp;L44&amp;CHAR(34)&amp;","&amp;K45&amp;","&amp;CHAR(34)&amp;L45&amp;CHAR(34)&amp;","&amp;K46&amp;","&amp;CHAR(34)&amp;L46&amp;CHAR(34)&amp;","&amp;K47&amp;","&amp;CHAR(34)&amp;L47&amp;CHAR(34)&amp;"],"</f>
        <v>6,"Alexander Galt",6,"Alexander Galt",2,"Christopher Tomkinson",0,"N/A"],</v>
      </c>
      <c r="I44" s="36" t="s">
        <v>107</v>
      </c>
      <c r="K44" s="61">
        <f>MAX(Table1114[Points])</f>
        <v>6</v>
      </c>
      <c r="L44" s="36" t="str">
        <f>IF(K44&lt;&gt;0, _xlfn.XLOOKUP(K44,Table1114[Points],Table1114[Name], "N/A"), "N/A")</f>
        <v>Alexander Galt</v>
      </c>
      <c r="M44" s="60">
        <f>IFERROR(ROUND((SUM(Table1114[Finishes]))/'Stats Global'!AA6,1),0)</f>
        <v>4.7</v>
      </c>
    </row>
    <row r="45" spans="1:14" ht="14.25" customHeight="1" x14ac:dyDescent="0.35">
      <c r="G45" s="36" t="str">
        <f>M43&amp;","&amp;M44&amp;","&amp;M45&amp;","&amp;M46&amp;","&amp;M47&amp;","&amp;M48&amp;"],"</f>
        <v>5.7,4.7,1,0,2.3,2.7],</v>
      </c>
      <c r="I45" s="36" t="s">
        <v>108</v>
      </c>
      <c r="K45" s="61">
        <f>MAX(Table1114[Finishes])</f>
        <v>6</v>
      </c>
      <c r="L45" s="36" t="str">
        <f>IF(K45&lt;&gt;0, _xlfn.XLOOKUP(K45,Table1114[Finishes],Table1114[Name], "N/A"), "N/A")</f>
        <v>Alexander Galt</v>
      </c>
      <c r="M45" s="60">
        <f>IFERROR(ROUND((SUM(Table1114[Midranges]))/'Stats Global'!AA6,1),0)</f>
        <v>1</v>
      </c>
    </row>
    <row r="46" spans="1:14" ht="14.25" customHeight="1" x14ac:dyDescent="0.35">
      <c r="G46" s="36" t="str">
        <f>J41&amp;","&amp;K41&amp;","&amp;ROUND(J42*100,1)&amp;","&amp;M41&amp;","&amp;N41&amp;","&amp;ROUND(M42*100,1)&amp;"],"</f>
        <v>4,1,80,3,4,42.9],</v>
      </c>
      <c r="I46" s="36" t="s">
        <v>109</v>
      </c>
      <c r="K46" s="61">
        <f>MAX(Table1114[Midranges])</f>
        <v>2</v>
      </c>
      <c r="L46" s="36" t="str">
        <f>IF(K46&lt;&gt;0, _xlfn.XLOOKUP(K46,Table1114[Midranges],Table1114[Name], "N/A"), "N/A")</f>
        <v>Christopher Tomkinson</v>
      </c>
      <c r="M46" s="60">
        <f>IFERROR(ROUND((SUM(Table1114[Threes]))/'Stats Global'!AA6,1),0)</f>
        <v>0</v>
      </c>
    </row>
    <row r="47" spans="1:14" ht="14.25" customHeight="1" x14ac:dyDescent="0.35">
      <c r="K47" s="61">
        <f>MAX(Table1114[Threes])</f>
        <v>0</v>
      </c>
      <c r="L47" s="36" t="str">
        <f>IF(K47&lt;&gt;0, _xlfn.XLOOKUP(K47,Table1114[Threes],Table1114[Name], "N/A"), "N/A")</f>
        <v>N/A</v>
      </c>
      <c r="M47" s="36">
        <f>IFERROR(ROUND(F3/'Stats Global'!AA6,1),0)</f>
        <v>2.2999999999999998</v>
      </c>
    </row>
    <row r="48" spans="1:14" ht="14.25" customHeight="1" x14ac:dyDescent="0.35">
      <c r="M48" s="36">
        <f>IFERROR(ROUND(G3/'Stats Global'!AA6,1),0)</f>
        <v>2.7</v>
      </c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1000"/>
  <sheetViews>
    <sheetView topLeftCell="A7" zoomScale="78" workbookViewId="0">
      <selection activeCell="N47" sqref="N47"/>
    </sheetView>
  </sheetViews>
  <sheetFormatPr defaultColWidth="14.36328125" defaultRowHeight="15" customHeight="1" x14ac:dyDescent="0.35"/>
  <cols>
    <col min="1" max="32" width="8.7265625" style="36" customWidth="1"/>
    <col min="33" max="16384" width="14.36328125" style="36"/>
  </cols>
  <sheetData>
    <row r="1" spans="1:22" ht="14.25" customHeight="1" x14ac:dyDescent="0.35"/>
    <row r="2" spans="1:22" ht="14.25" customHeight="1" x14ac:dyDescent="0.35">
      <c r="B2" s="51" t="s">
        <v>178</v>
      </c>
      <c r="F2" s="52" t="s">
        <v>77</v>
      </c>
      <c r="G2" s="52" t="s">
        <v>78</v>
      </c>
      <c r="H2" s="36" t="s">
        <v>79</v>
      </c>
      <c r="J2" s="52" t="s">
        <v>162</v>
      </c>
      <c r="M2" s="66" t="s">
        <v>143</v>
      </c>
    </row>
    <row r="3" spans="1:22" ht="14.25" customHeight="1" x14ac:dyDescent="0.35">
      <c r="A3" s="53" t="s">
        <v>63</v>
      </c>
      <c r="B3" s="53" t="s">
        <v>75</v>
      </c>
      <c r="C3" s="53" t="s">
        <v>76</v>
      </c>
      <c r="D3" s="53" t="s">
        <v>0</v>
      </c>
      <c r="F3" s="109">
        <f>SUM(B4:B40)</f>
        <v>4</v>
      </c>
      <c r="G3" s="109">
        <f>SUM(C4:C40)</f>
        <v>6</v>
      </c>
      <c r="H3" s="109">
        <f>SUM(D4:D40)</f>
        <v>4.5</v>
      </c>
      <c r="J3" s="52" t="s">
        <v>75</v>
      </c>
      <c r="K3" s="52" t="s">
        <v>76</v>
      </c>
      <c r="L3" s="52"/>
      <c r="M3" s="67" t="s">
        <v>4</v>
      </c>
      <c r="N3" s="68" t="s">
        <v>0</v>
      </c>
      <c r="O3" s="68" t="s">
        <v>74</v>
      </c>
      <c r="P3" s="68" t="s">
        <v>1</v>
      </c>
      <c r="Q3" s="69" t="s">
        <v>69</v>
      </c>
      <c r="R3" s="69" t="s">
        <v>2</v>
      </c>
      <c r="S3" s="69" t="s">
        <v>93</v>
      </c>
      <c r="T3" s="68" t="s">
        <v>3</v>
      </c>
      <c r="U3" s="69" t="s">
        <v>94</v>
      </c>
      <c r="V3" s="69" t="s">
        <v>96</v>
      </c>
    </row>
    <row r="4" spans="1:22" ht="14.25" customHeight="1" x14ac:dyDescent="0.35">
      <c r="A4" s="107" t="str">
        <f>'Stats Global'!B5</f>
        <v>24 January</v>
      </c>
      <c r="B4" s="108">
        <f>'Stats Global'!L5</f>
        <v>2</v>
      </c>
      <c r="C4" s="108">
        <f>'Stats Global'!M5+'Stats Global'!N5</f>
        <v>3</v>
      </c>
      <c r="D4" s="108">
        <f>'Stats Global'!Q5</f>
        <v>1.5</v>
      </c>
      <c r="J4" s="127">
        <f>'Stats Global'!K5</f>
        <v>1</v>
      </c>
      <c r="K4" s="127">
        <f>'Stats Global'!N5</f>
        <v>1</v>
      </c>
      <c r="L4" s="56"/>
      <c r="M4" s="54" t="str">
        <f>'Stats Global'!Z15</f>
        <v>Clarrie Jones</v>
      </c>
      <c r="N4" s="54">
        <f>'Stats Global'!AA15</f>
        <v>2</v>
      </c>
      <c r="O4" s="54">
        <f>'Stats Global'!AB15</f>
        <v>0.66666666666666663</v>
      </c>
      <c r="P4" s="54">
        <f>'Stats Global'!AC15</f>
        <v>0</v>
      </c>
      <c r="Q4" s="54">
        <f>'Stats Global'!AD15</f>
        <v>0</v>
      </c>
      <c r="R4" s="54">
        <f>'Stats Global'!AE15</f>
        <v>0</v>
      </c>
      <c r="S4" s="54">
        <f>'Stats Global'!AF15</f>
        <v>0</v>
      </c>
      <c r="T4" s="54">
        <f>'Stats Global'!AG15</f>
        <v>1</v>
      </c>
      <c r="U4" s="54">
        <f>'Stats Global'!AH15</f>
        <v>0.33333333333333331</v>
      </c>
      <c r="V4" s="63">
        <f>'Stats Global'!AJ15</f>
        <v>0</v>
      </c>
    </row>
    <row r="5" spans="1:22" ht="14.25" customHeight="1" x14ac:dyDescent="0.35">
      <c r="A5" s="107" t="str">
        <f>'Stats Global'!B6</f>
        <v>25 January</v>
      </c>
      <c r="B5" s="108">
        <f>'Stats Global'!L6</f>
        <v>1</v>
      </c>
      <c r="C5" s="108">
        <f>'Stats Global'!M6+'Stats Global'!N6</f>
        <v>1</v>
      </c>
      <c r="D5" s="108">
        <f>'Stats Global'!Q6</f>
        <v>2</v>
      </c>
      <c r="H5" s="54"/>
      <c r="J5" s="55">
        <f>'Stats Global'!N6</f>
        <v>0</v>
      </c>
      <c r="K5" s="55">
        <f>'Stats Global'!K6</f>
        <v>1</v>
      </c>
      <c r="L5" s="56"/>
      <c r="M5" s="54" t="str">
        <f>'Stats Global'!Z14</f>
        <v>Sam James</v>
      </c>
      <c r="N5" s="54">
        <f>'Stats Global'!AA14</f>
        <v>1</v>
      </c>
      <c r="O5" s="54">
        <f>'Stats Global'!AB14</f>
        <v>0.33333333333333331</v>
      </c>
      <c r="P5" s="54">
        <f>'Stats Global'!AC14</f>
        <v>0</v>
      </c>
      <c r="Q5" s="54">
        <f>'Stats Global'!AD14</f>
        <v>0</v>
      </c>
      <c r="R5" s="54">
        <f>'Stats Global'!AE14</f>
        <v>1</v>
      </c>
      <c r="S5" s="54">
        <f>'Stats Global'!AF14</f>
        <v>0.33333333333333331</v>
      </c>
      <c r="T5" s="54">
        <f>'Stats Global'!AG14</f>
        <v>0</v>
      </c>
      <c r="U5" s="54">
        <f>'Stats Global'!AH14</f>
        <v>0</v>
      </c>
      <c r="V5" s="63">
        <f>'Stats Global'!AJ14</f>
        <v>0</v>
      </c>
    </row>
    <row r="6" spans="1:22" ht="14.25" customHeight="1" x14ac:dyDescent="0.35">
      <c r="A6" s="107" t="str">
        <f>'Stats Global'!B7</f>
        <v>29 January</v>
      </c>
      <c r="B6" s="108">
        <f>'Stats Global'!L7</f>
        <v>1</v>
      </c>
      <c r="C6" s="108">
        <f>'Stats Global'!M7+'Stats Global'!N7</f>
        <v>2</v>
      </c>
      <c r="D6" s="108">
        <f>'Stats Global'!Q7</f>
        <v>1</v>
      </c>
      <c r="G6" s="52"/>
      <c r="H6" s="54"/>
      <c r="J6" s="55">
        <f>'Stats Global'!N7</f>
        <v>1</v>
      </c>
      <c r="K6" s="55">
        <f>'Stats Global'!K7</f>
        <v>1</v>
      </c>
      <c r="L6" s="56"/>
      <c r="M6" s="54" t="str">
        <f>'Stats Global'!Z16</f>
        <v>William Kim</v>
      </c>
      <c r="N6" s="54">
        <f>'Stats Global'!AA16</f>
        <v>3</v>
      </c>
      <c r="O6" s="54">
        <f>'Stats Global'!AB16</f>
        <v>1</v>
      </c>
      <c r="P6" s="54">
        <f>'Stats Global'!AC16</f>
        <v>1</v>
      </c>
      <c r="Q6" s="54">
        <f>'Stats Global'!AD16</f>
        <v>0.33333333333333331</v>
      </c>
      <c r="R6" s="54">
        <f>'Stats Global'!AE16</f>
        <v>2</v>
      </c>
      <c r="S6" s="54">
        <f>'Stats Global'!AF16</f>
        <v>0.66666666666666663</v>
      </c>
      <c r="T6" s="54">
        <f>'Stats Global'!AG16</f>
        <v>0</v>
      </c>
      <c r="U6" s="54">
        <f>'Stats Global'!AH16</f>
        <v>0</v>
      </c>
      <c r="V6" s="63">
        <f>'Stats Global'!AJ16</f>
        <v>0</v>
      </c>
    </row>
    <row r="7" spans="1:22" ht="14.25" customHeight="1" x14ac:dyDescent="0.35">
      <c r="A7" s="107">
        <f>'Stats Global'!B8</f>
        <v>0</v>
      </c>
      <c r="B7" s="108">
        <f>'Stats Global'!L8</f>
        <v>0</v>
      </c>
      <c r="C7" s="108">
        <f>'Stats Global'!M8+'Stats Global'!N8</f>
        <v>0</v>
      </c>
      <c r="D7" s="108">
        <f>'Stats Global'!Q8</f>
        <v>0</v>
      </c>
      <c r="G7" s="52"/>
      <c r="H7" s="54"/>
      <c r="J7" s="55">
        <f>'Stats Global'!N8</f>
        <v>0</v>
      </c>
      <c r="K7" s="55">
        <f>'Stats Global'!K8</f>
        <v>0</v>
      </c>
      <c r="L7" s="56"/>
      <c r="M7" s="54" t="str">
        <f>'Stats Global'!Z19</f>
        <v>Nicholas Szogi</v>
      </c>
      <c r="N7" s="54">
        <f>'Stats Global'!AA19</f>
        <v>0</v>
      </c>
      <c r="O7" s="54">
        <f>'Stats Global'!AB19</f>
        <v>0</v>
      </c>
      <c r="P7" s="54">
        <f>'Stats Global'!AC19</f>
        <v>0</v>
      </c>
      <c r="Q7" s="54">
        <f>'Stats Global'!AD19</f>
        <v>0</v>
      </c>
      <c r="R7" s="54">
        <f>'Stats Global'!AE19</f>
        <v>0</v>
      </c>
      <c r="S7" s="54">
        <f>'Stats Global'!AF19</f>
        <v>0</v>
      </c>
      <c r="T7" s="54">
        <f>'Stats Global'!AG19</f>
        <v>0</v>
      </c>
      <c r="U7" s="54">
        <f>'Stats Global'!AH19</f>
        <v>0</v>
      </c>
      <c r="V7" s="63">
        <f>'Stats Global'!AJ19</f>
        <v>3</v>
      </c>
    </row>
    <row r="8" spans="1:22" ht="14.25" customHeight="1" x14ac:dyDescent="0.35">
      <c r="A8" s="107">
        <f>'Stats Global'!B9</f>
        <v>0</v>
      </c>
      <c r="B8" s="108">
        <f>'Stats Global'!L9</f>
        <v>0</v>
      </c>
      <c r="C8" s="108">
        <f>'Stats Global'!M9+'Stats Global'!N9</f>
        <v>0</v>
      </c>
      <c r="D8" s="108">
        <f>'Stats Global'!Q9</f>
        <v>0</v>
      </c>
      <c r="G8" s="52"/>
      <c r="H8" s="54"/>
      <c r="J8" s="55">
        <f>'Stats Global'!N9</f>
        <v>0</v>
      </c>
      <c r="K8" s="55">
        <f>'Stats Global'!K9</f>
        <v>0</v>
      </c>
      <c r="L8" s="56"/>
      <c r="M8" s="54" t="str">
        <f>'Stats Global'!Z21</f>
        <v>Angus Walker</v>
      </c>
      <c r="N8" s="54">
        <f>'Stats Global'!AA21</f>
        <v>4</v>
      </c>
      <c r="O8" s="54">
        <f>'Stats Global'!AB21</f>
        <v>1.3333333333333333</v>
      </c>
      <c r="P8" s="54">
        <f>'Stats Global'!AC21</f>
        <v>0</v>
      </c>
      <c r="Q8" s="54">
        <f>'Stats Global'!AD21</f>
        <v>0</v>
      </c>
      <c r="R8" s="54">
        <f>'Stats Global'!AE21</f>
        <v>0</v>
      </c>
      <c r="S8" s="54">
        <f>'Stats Global'!AF21</f>
        <v>0</v>
      </c>
      <c r="T8" s="54">
        <f>'Stats Global'!AG21</f>
        <v>2</v>
      </c>
      <c r="U8" s="54">
        <f>'Stats Global'!AH21</f>
        <v>0.66666666666666663</v>
      </c>
      <c r="V8" s="63">
        <f>'Stats Global'!AJ21</f>
        <v>0</v>
      </c>
    </row>
    <row r="9" spans="1:22" ht="14.25" customHeight="1" x14ac:dyDescent="0.35">
      <c r="A9" s="107">
        <f>'Stats Global'!B10</f>
        <v>0</v>
      </c>
      <c r="B9" s="108">
        <f>'Stats Global'!L10</f>
        <v>0</v>
      </c>
      <c r="C9" s="108">
        <f>'Stats Global'!M10+'Stats Global'!N10</f>
        <v>0</v>
      </c>
      <c r="D9" s="108">
        <f>'Stats Global'!Q10</f>
        <v>0</v>
      </c>
      <c r="G9" s="52"/>
      <c r="H9" s="54"/>
      <c r="J9" s="55">
        <f>'Stats Global'!N10</f>
        <v>0</v>
      </c>
      <c r="K9" s="55">
        <f>'Stats Global'!K10</f>
        <v>0</v>
      </c>
      <c r="L9" s="56"/>
      <c r="M9" s="54"/>
      <c r="N9" s="73"/>
      <c r="O9" s="73"/>
      <c r="P9" s="73"/>
      <c r="Q9" s="73"/>
      <c r="R9" s="73"/>
      <c r="S9" s="73"/>
      <c r="T9" s="73"/>
      <c r="U9" s="73"/>
      <c r="V9" s="73"/>
    </row>
    <row r="10" spans="1:22" ht="14.25" customHeight="1" x14ac:dyDescent="0.35">
      <c r="A10" s="107">
        <f>'Stats Global'!B11</f>
        <v>0</v>
      </c>
      <c r="B10" s="108">
        <f>'Stats Global'!L11</f>
        <v>0</v>
      </c>
      <c r="C10" s="108">
        <f>'Stats Global'!M11+'Stats Global'!N11</f>
        <v>0</v>
      </c>
      <c r="D10" s="108">
        <f>'Stats Global'!Q11</f>
        <v>0</v>
      </c>
      <c r="G10" s="52"/>
      <c r="H10" s="54"/>
      <c r="J10" s="55">
        <f>'Stats Global'!N11</f>
        <v>0</v>
      </c>
      <c r="K10" s="55">
        <f>'Stats Global'!K11</f>
        <v>0</v>
      </c>
      <c r="L10" s="56"/>
      <c r="M10" s="54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4.25" customHeight="1" x14ac:dyDescent="0.35">
      <c r="A11" s="107">
        <f>'Stats Global'!B12</f>
        <v>0</v>
      </c>
      <c r="B11" s="108">
        <f>'Stats Global'!L12</f>
        <v>0</v>
      </c>
      <c r="C11" s="108">
        <f>'Stats Global'!M12+'Stats Global'!N12</f>
        <v>0</v>
      </c>
      <c r="D11" s="108">
        <f>'Stats Global'!Q12</f>
        <v>0</v>
      </c>
      <c r="G11" s="52"/>
      <c r="H11" s="54"/>
      <c r="J11" s="55">
        <f>'Stats Global'!N12</f>
        <v>0</v>
      </c>
      <c r="K11" s="55">
        <f>'Stats Global'!K12</f>
        <v>0</v>
      </c>
      <c r="L11" s="56"/>
      <c r="M11" s="54"/>
      <c r="U11" s="54"/>
      <c r="V11" s="54"/>
    </row>
    <row r="12" spans="1:22" ht="14.25" customHeight="1" x14ac:dyDescent="0.35">
      <c r="A12" s="107">
        <f>'Stats Global'!B13</f>
        <v>0</v>
      </c>
      <c r="B12" s="108">
        <f>'Stats Global'!L13</f>
        <v>0</v>
      </c>
      <c r="C12" s="108">
        <f>'Stats Global'!M13+'Stats Global'!N13</f>
        <v>0</v>
      </c>
      <c r="D12" s="108">
        <f>'Stats Global'!Q13</f>
        <v>0</v>
      </c>
      <c r="G12" s="52"/>
      <c r="H12" s="54"/>
      <c r="J12" s="55">
        <f>'Stats Global'!N13</f>
        <v>0</v>
      </c>
      <c r="K12" s="55">
        <f>'Stats Global'!K13</f>
        <v>0</v>
      </c>
      <c r="L12" s="56"/>
      <c r="M12" s="54"/>
      <c r="U12" s="54"/>
      <c r="V12" s="54"/>
    </row>
    <row r="13" spans="1:22" ht="14.25" customHeight="1" x14ac:dyDescent="0.35">
      <c r="A13" s="107">
        <f>'Stats Global'!B14</f>
        <v>0</v>
      </c>
      <c r="B13" s="108">
        <f>'Stats Global'!L14</f>
        <v>0</v>
      </c>
      <c r="C13" s="108">
        <f>'Stats Global'!M14+'Stats Global'!N14</f>
        <v>0</v>
      </c>
      <c r="D13" s="108">
        <f>'Stats Global'!Q14</f>
        <v>0</v>
      </c>
      <c r="G13" s="52"/>
      <c r="H13" s="54"/>
      <c r="J13" s="55">
        <f>'Stats Global'!N14</f>
        <v>0</v>
      </c>
      <c r="K13" s="55">
        <f>'Stats Global'!K14</f>
        <v>0</v>
      </c>
      <c r="L13" s="56"/>
      <c r="M13" s="54"/>
      <c r="U13" s="54"/>
      <c r="V13" s="54"/>
    </row>
    <row r="14" spans="1:22" ht="14.25" customHeight="1" x14ac:dyDescent="0.35">
      <c r="A14" s="107">
        <f>'Stats Global'!B15</f>
        <v>0</v>
      </c>
      <c r="B14" s="108">
        <f>'Stats Global'!L15</f>
        <v>0</v>
      </c>
      <c r="C14" s="108">
        <f>'Stats Global'!M15+'Stats Global'!N15</f>
        <v>0</v>
      </c>
      <c r="D14" s="108">
        <f>'Stats Global'!Q15</f>
        <v>0</v>
      </c>
      <c r="H14" s="54"/>
      <c r="J14" s="55">
        <f>'Stats Global'!N15</f>
        <v>0</v>
      </c>
      <c r="K14" s="55">
        <f>'Stats Global'!K15</f>
        <v>0</v>
      </c>
      <c r="L14" s="56"/>
      <c r="M14" s="54"/>
      <c r="U14" s="54"/>
      <c r="V14" s="54"/>
    </row>
    <row r="15" spans="1:22" ht="14.25" customHeight="1" x14ac:dyDescent="0.35">
      <c r="A15" s="107">
        <f>'Stats Global'!B16</f>
        <v>0</v>
      </c>
      <c r="B15" s="108">
        <f>'Stats Global'!L16</f>
        <v>0</v>
      </c>
      <c r="C15" s="108">
        <f>'Stats Global'!M16+'Stats Global'!N16</f>
        <v>0</v>
      </c>
      <c r="D15" s="108">
        <f>'Stats Global'!Q16</f>
        <v>0</v>
      </c>
      <c r="H15" s="54"/>
      <c r="J15" s="55">
        <f>'Stats Global'!N16</f>
        <v>0</v>
      </c>
      <c r="K15" s="55">
        <f>'Stats Global'!K16</f>
        <v>0</v>
      </c>
      <c r="L15" s="56"/>
      <c r="M15" s="54"/>
      <c r="U15" s="54"/>
      <c r="V15" s="54"/>
    </row>
    <row r="16" spans="1:22" ht="14.25" customHeight="1" x14ac:dyDescent="0.35">
      <c r="A16" s="107">
        <f>'Stats Global'!B17</f>
        <v>0</v>
      </c>
      <c r="B16" s="108">
        <f>'Stats Global'!L17</f>
        <v>0</v>
      </c>
      <c r="C16" s="108">
        <f>'Stats Global'!M17+'Stats Global'!N17</f>
        <v>0</v>
      </c>
      <c r="D16" s="108">
        <f>'Stats Global'!Q17</f>
        <v>0</v>
      </c>
      <c r="H16" s="54"/>
      <c r="J16" s="55">
        <f>'Stats Global'!N17</f>
        <v>0</v>
      </c>
      <c r="K16" s="55">
        <f>'Stats Global'!K17</f>
        <v>0</v>
      </c>
      <c r="L16" s="56"/>
      <c r="M16" s="54"/>
      <c r="U16" s="54"/>
      <c r="V16" s="54"/>
    </row>
    <row r="17" spans="1:22" ht="14.25" customHeight="1" x14ac:dyDescent="0.35">
      <c r="A17" s="107">
        <f>'Stats Global'!B18</f>
        <v>0</v>
      </c>
      <c r="B17" s="108">
        <f>'Stats Global'!L18</f>
        <v>0</v>
      </c>
      <c r="C17" s="108">
        <f>'Stats Global'!M18+'Stats Global'!N18</f>
        <v>0</v>
      </c>
      <c r="D17" s="108">
        <f>'Stats Global'!Q18</f>
        <v>0</v>
      </c>
      <c r="H17" s="54"/>
      <c r="J17" s="55">
        <f>'Stats Global'!N18</f>
        <v>0</v>
      </c>
      <c r="K17" s="55">
        <f>'Stats Global'!K18</f>
        <v>0</v>
      </c>
      <c r="L17" s="54"/>
      <c r="M17" s="54"/>
      <c r="U17" s="54"/>
      <c r="V17" s="54"/>
    </row>
    <row r="18" spans="1:22" ht="14.25" customHeight="1" x14ac:dyDescent="0.35">
      <c r="A18" s="107">
        <f>'Stats Global'!B19</f>
        <v>0</v>
      </c>
      <c r="B18" s="108">
        <f>'Stats Global'!L19</f>
        <v>0</v>
      </c>
      <c r="C18" s="108">
        <f>'Stats Global'!M19+'Stats Global'!N19</f>
        <v>0</v>
      </c>
      <c r="D18" s="108">
        <f>'Stats Global'!Q19</f>
        <v>0</v>
      </c>
      <c r="H18" s="54"/>
      <c r="J18" s="55">
        <f>'Stats Global'!N19</f>
        <v>0</v>
      </c>
      <c r="K18" s="55">
        <f>'Stats Global'!K19</f>
        <v>0</v>
      </c>
      <c r="L18" s="54"/>
      <c r="M18" s="54"/>
      <c r="U18" s="54"/>
      <c r="V18" s="54"/>
    </row>
    <row r="19" spans="1:22" ht="14.25" customHeight="1" x14ac:dyDescent="0.35">
      <c r="A19" s="107">
        <f>'Stats Global'!B20</f>
        <v>0</v>
      </c>
      <c r="B19" s="108">
        <f>'Stats Global'!L20</f>
        <v>0</v>
      </c>
      <c r="C19" s="108">
        <f>'Stats Global'!M20+'Stats Global'!N20</f>
        <v>0</v>
      </c>
      <c r="D19" s="108">
        <f>'Stats Global'!Q20</f>
        <v>0</v>
      </c>
      <c r="H19" s="54"/>
      <c r="J19" s="55">
        <f>'Stats Global'!N20</f>
        <v>0</v>
      </c>
      <c r="K19" s="55">
        <f>'Stats Global'!K20</f>
        <v>0</v>
      </c>
      <c r="L19" s="54"/>
      <c r="M19" s="54"/>
      <c r="U19" s="54"/>
      <c r="V19" s="54"/>
    </row>
    <row r="20" spans="1:22" ht="14.25" customHeight="1" x14ac:dyDescent="0.35">
      <c r="A20" s="107">
        <f>'Stats Global'!B21</f>
        <v>0</v>
      </c>
      <c r="B20" s="108">
        <f>'Stats Global'!L21</f>
        <v>0</v>
      </c>
      <c r="C20" s="108">
        <f>'Stats Global'!M21+'Stats Global'!N21</f>
        <v>0</v>
      </c>
      <c r="D20" s="108">
        <f>'Stats Global'!Q21</f>
        <v>0</v>
      </c>
      <c r="H20" s="54"/>
      <c r="J20" s="55">
        <f>'Stats Global'!N21</f>
        <v>0</v>
      </c>
      <c r="K20" s="55">
        <f>'Stats Global'!K21</f>
        <v>0</v>
      </c>
      <c r="L20" s="54"/>
      <c r="M20" s="54"/>
      <c r="U20" s="54"/>
      <c r="V20" s="54"/>
    </row>
    <row r="21" spans="1:22" ht="14.25" customHeight="1" x14ac:dyDescent="0.35">
      <c r="A21" s="107">
        <f>'Stats Global'!B22</f>
        <v>0</v>
      </c>
      <c r="B21" s="108">
        <f>'Stats Global'!L22</f>
        <v>0</v>
      </c>
      <c r="C21" s="108">
        <f>'Stats Global'!M22+'Stats Global'!N22</f>
        <v>0</v>
      </c>
      <c r="D21" s="108">
        <f>'Stats Global'!Q22</f>
        <v>0</v>
      </c>
      <c r="H21" s="54"/>
      <c r="J21" s="55">
        <f>'Stats Global'!N22</f>
        <v>0</v>
      </c>
      <c r="K21" s="55">
        <f>'Stats Global'!K22</f>
        <v>0</v>
      </c>
      <c r="L21" s="54"/>
      <c r="M21" s="54"/>
      <c r="U21" s="54"/>
      <c r="V21" s="54"/>
    </row>
    <row r="22" spans="1:22" ht="14.25" customHeight="1" x14ac:dyDescent="0.35">
      <c r="A22" s="107">
        <f>'Stats Global'!B23</f>
        <v>0</v>
      </c>
      <c r="B22" s="108">
        <f>'Stats Global'!L23</f>
        <v>0</v>
      </c>
      <c r="C22" s="108">
        <f>'Stats Global'!M23+'Stats Global'!N23</f>
        <v>0</v>
      </c>
      <c r="D22" s="108">
        <f>'Stats Global'!Q23</f>
        <v>0</v>
      </c>
      <c r="H22" s="54"/>
      <c r="J22" s="55">
        <f>'Stats Global'!N23</f>
        <v>0</v>
      </c>
      <c r="K22" s="55">
        <f>'Stats Global'!K23</f>
        <v>0</v>
      </c>
      <c r="L22" s="54"/>
      <c r="M22" s="54"/>
      <c r="U22" s="54"/>
      <c r="V22" s="54"/>
    </row>
    <row r="23" spans="1:22" ht="14.25" customHeight="1" x14ac:dyDescent="0.35">
      <c r="A23" s="107">
        <f>'Stats Global'!B24</f>
        <v>0</v>
      </c>
      <c r="B23" s="108">
        <f>'Stats Global'!L24</f>
        <v>0</v>
      </c>
      <c r="C23" s="108">
        <f>'Stats Global'!M24+'Stats Global'!N24</f>
        <v>0</v>
      </c>
      <c r="D23" s="108">
        <f>'Stats Global'!Q24</f>
        <v>0</v>
      </c>
      <c r="F23" s="57"/>
      <c r="H23" s="54"/>
      <c r="J23" s="55">
        <f>'Stats Global'!N24</f>
        <v>0</v>
      </c>
      <c r="K23" s="55">
        <f>'Stats Global'!K24</f>
        <v>0</v>
      </c>
      <c r="L23" s="54"/>
      <c r="M23" s="54"/>
      <c r="U23" s="54"/>
      <c r="V23" s="54"/>
    </row>
    <row r="24" spans="1:22" ht="14.25" customHeight="1" x14ac:dyDescent="0.35">
      <c r="A24" s="107">
        <f>'Stats Global'!B25</f>
        <v>0</v>
      </c>
      <c r="B24" s="108">
        <f>'Stats Global'!L25</f>
        <v>0</v>
      </c>
      <c r="C24" s="108">
        <f>'Stats Global'!M25+'Stats Global'!N25</f>
        <v>0</v>
      </c>
      <c r="D24" s="108">
        <f>'Stats Global'!Q25</f>
        <v>0</v>
      </c>
      <c r="F24" s="57"/>
      <c r="H24" s="54"/>
      <c r="J24" s="55">
        <f>'Stats Global'!N25</f>
        <v>0</v>
      </c>
      <c r="K24" s="55">
        <f>'Stats Global'!K25</f>
        <v>0</v>
      </c>
      <c r="L24" s="54"/>
      <c r="M24" s="54"/>
      <c r="U24" s="54"/>
      <c r="V24" s="54"/>
    </row>
    <row r="25" spans="1:22" ht="14.25" customHeight="1" x14ac:dyDescent="0.35">
      <c r="A25" s="107">
        <f>'Stats Global'!B26</f>
        <v>0</v>
      </c>
      <c r="B25" s="108">
        <f>'Stats Global'!L26</f>
        <v>0</v>
      </c>
      <c r="C25" s="108">
        <f>'Stats Global'!M26+'Stats Global'!N26</f>
        <v>0</v>
      </c>
      <c r="D25" s="108">
        <f>'Stats Global'!Q26</f>
        <v>0</v>
      </c>
      <c r="F25" s="57"/>
      <c r="H25" s="54"/>
      <c r="J25" s="55">
        <f>'Stats Global'!N26</f>
        <v>0</v>
      </c>
      <c r="K25" s="55">
        <f>'Stats Global'!K26</f>
        <v>0</v>
      </c>
      <c r="L25" s="54"/>
      <c r="M25" s="54"/>
      <c r="U25" s="54"/>
      <c r="V25" s="54"/>
    </row>
    <row r="26" spans="1:22" ht="14.25" customHeight="1" x14ac:dyDescent="0.35">
      <c r="A26" s="107">
        <f>'Stats Global'!B27</f>
        <v>0</v>
      </c>
      <c r="B26" s="108">
        <f>'Stats Global'!L27</f>
        <v>0</v>
      </c>
      <c r="C26" s="108">
        <f>'Stats Global'!M27+'Stats Global'!N27</f>
        <v>0</v>
      </c>
      <c r="D26" s="108">
        <f>'Stats Global'!Q27</f>
        <v>0</v>
      </c>
      <c r="H26" s="54"/>
      <c r="J26" s="55">
        <f>'Stats Global'!N27</f>
        <v>0</v>
      </c>
      <c r="K26" s="55">
        <f>'Stats Global'!K27</f>
        <v>0</v>
      </c>
      <c r="L26" s="54"/>
      <c r="M26" s="54"/>
      <c r="U26" s="54"/>
      <c r="V26" s="54"/>
    </row>
    <row r="27" spans="1:22" ht="14.25" customHeight="1" x14ac:dyDescent="0.35">
      <c r="A27" s="107">
        <f>'Stats Global'!B28</f>
        <v>0</v>
      </c>
      <c r="B27" s="108">
        <f>'Stats Global'!L28</f>
        <v>0</v>
      </c>
      <c r="C27" s="108">
        <f>'Stats Global'!M28+'Stats Global'!N28</f>
        <v>0</v>
      </c>
      <c r="D27" s="108">
        <f>'Stats Global'!Q28</f>
        <v>0</v>
      </c>
      <c r="H27" s="54"/>
      <c r="J27" s="55">
        <f>'Stats Global'!N28</f>
        <v>0</v>
      </c>
      <c r="K27" s="55">
        <f>'Stats Global'!K28</f>
        <v>0</v>
      </c>
      <c r="L27" s="54"/>
      <c r="M27" s="54"/>
      <c r="U27" s="54"/>
      <c r="V27" s="54"/>
    </row>
    <row r="28" spans="1:22" ht="14.25" customHeight="1" x14ac:dyDescent="0.35">
      <c r="A28" s="107">
        <f>'Stats Global'!B29</f>
        <v>0</v>
      </c>
      <c r="B28" s="108">
        <f>'Stats Global'!L29</f>
        <v>0</v>
      </c>
      <c r="C28" s="108">
        <f>'Stats Global'!M29+'Stats Global'!N29</f>
        <v>0</v>
      </c>
      <c r="D28" s="108">
        <f>'Stats Global'!Q29</f>
        <v>0</v>
      </c>
      <c r="H28" s="54"/>
      <c r="J28" s="55">
        <f>'Stats Global'!N29</f>
        <v>0</v>
      </c>
      <c r="K28" s="55">
        <f>'Stats Global'!K29</f>
        <v>0</v>
      </c>
      <c r="L28" s="54"/>
      <c r="M28" s="54"/>
      <c r="U28" s="54"/>
      <c r="V28" s="54"/>
    </row>
    <row r="29" spans="1:22" ht="14.25" customHeight="1" x14ac:dyDescent="0.35">
      <c r="A29" s="107">
        <f>'Stats Global'!B30</f>
        <v>0</v>
      </c>
      <c r="B29" s="108">
        <f>'Stats Global'!L30</f>
        <v>0</v>
      </c>
      <c r="C29" s="108">
        <f>'Stats Global'!M30+'Stats Global'!N30</f>
        <v>0</v>
      </c>
      <c r="D29" s="108">
        <f>'Stats Global'!Q30</f>
        <v>0</v>
      </c>
      <c r="H29" s="54"/>
      <c r="J29" s="55">
        <f>'Stats Global'!N30</f>
        <v>0</v>
      </c>
      <c r="K29" s="55">
        <f>'Stats Global'!K30</f>
        <v>0</v>
      </c>
      <c r="L29" s="54"/>
      <c r="M29" s="54"/>
      <c r="U29" s="54"/>
      <c r="V29" s="54"/>
    </row>
    <row r="30" spans="1:22" ht="14.25" customHeight="1" x14ac:dyDescent="0.35">
      <c r="A30" s="107">
        <f>'Stats Global'!B31</f>
        <v>0</v>
      </c>
      <c r="B30" s="108">
        <f>'Stats Global'!L31</f>
        <v>0</v>
      </c>
      <c r="C30" s="108">
        <f>'Stats Global'!M31+'Stats Global'!N31</f>
        <v>0</v>
      </c>
      <c r="D30" s="108">
        <f>'Stats Global'!Q31</f>
        <v>0</v>
      </c>
      <c r="J30" s="55">
        <f>'Stats Global'!N31</f>
        <v>0</v>
      </c>
      <c r="K30" s="55">
        <f>'Stats Global'!K31</f>
        <v>0</v>
      </c>
      <c r="U30" s="54"/>
      <c r="V30" s="54"/>
    </row>
    <row r="31" spans="1:22" ht="14.25" customHeight="1" x14ac:dyDescent="0.35">
      <c r="A31" s="107">
        <f>'Stats Global'!B32</f>
        <v>0</v>
      </c>
      <c r="B31" s="108">
        <f>'Stats Global'!L32</f>
        <v>0</v>
      </c>
      <c r="C31" s="108">
        <f>'Stats Global'!M32+'Stats Global'!N32</f>
        <v>0</v>
      </c>
      <c r="D31" s="108">
        <f>'Stats Global'!Q32</f>
        <v>0</v>
      </c>
      <c r="J31" s="55">
        <f>'Stats Global'!N32</f>
        <v>0</v>
      </c>
      <c r="K31" s="55">
        <f>'Stats Global'!K32</f>
        <v>0</v>
      </c>
    </row>
    <row r="32" spans="1:22" ht="14.25" customHeight="1" x14ac:dyDescent="0.35">
      <c r="A32" s="107">
        <f>'Stats Global'!B33</f>
        <v>0</v>
      </c>
      <c r="B32" s="108">
        <f>'Stats Global'!L33</f>
        <v>0</v>
      </c>
      <c r="C32" s="108">
        <f>'Stats Global'!M33+'Stats Global'!N33</f>
        <v>0</v>
      </c>
      <c r="D32" s="108">
        <f>'Stats Global'!Q33</f>
        <v>0</v>
      </c>
      <c r="J32" s="55">
        <f>'Stats Global'!N33</f>
        <v>0</v>
      </c>
      <c r="K32" s="55">
        <f>'Stats Global'!K33</f>
        <v>0</v>
      </c>
    </row>
    <row r="33" spans="1:14" ht="14.25" customHeight="1" x14ac:dyDescent="0.35">
      <c r="A33" s="107">
        <f>'Stats Global'!B34</f>
        <v>0</v>
      </c>
      <c r="B33" s="108">
        <f>'Stats Global'!L34</f>
        <v>0</v>
      </c>
      <c r="C33" s="108">
        <f>'Stats Global'!M34+'Stats Global'!N34</f>
        <v>0</v>
      </c>
      <c r="D33" s="108">
        <f>'Stats Global'!Q34</f>
        <v>0</v>
      </c>
      <c r="J33" s="55">
        <f>'Stats Global'!N34</f>
        <v>0</v>
      </c>
      <c r="K33" s="55">
        <f>'Stats Global'!K34</f>
        <v>0</v>
      </c>
    </row>
    <row r="34" spans="1:14" ht="14.25" customHeight="1" x14ac:dyDescent="0.35">
      <c r="A34" s="107">
        <f>'Stats Global'!B35</f>
        <v>0</v>
      </c>
      <c r="B34" s="108">
        <f>'Stats Global'!L35</f>
        <v>0</v>
      </c>
      <c r="C34" s="108">
        <f>'Stats Global'!M35+'Stats Global'!N35</f>
        <v>0</v>
      </c>
      <c r="D34" s="108">
        <f>'Stats Global'!Q35</f>
        <v>0</v>
      </c>
      <c r="J34" s="55">
        <f>'Stats Global'!N35</f>
        <v>0</v>
      </c>
      <c r="K34" s="55">
        <f>'Stats Global'!K35</f>
        <v>0</v>
      </c>
    </row>
    <row r="35" spans="1:14" ht="14.25" customHeight="1" x14ac:dyDescent="0.35">
      <c r="A35" s="107">
        <f>'Stats Global'!B36</f>
        <v>0</v>
      </c>
      <c r="B35" s="108">
        <f>'Stats Global'!L36</f>
        <v>0</v>
      </c>
      <c r="C35" s="108">
        <f>'Stats Global'!M36+'Stats Global'!N36</f>
        <v>0</v>
      </c>
      <c r="D35" s="108">
        <f>'Stats Global'!Q36</f>
        <v>0</v>
      </c>
      <c r="J35" s="55">
        <f>'Stats Global'!N36</f>
        <v>0</v>
      </c>
      <c r="K35" s="55">
        <f>'Stats Global'!K36</f>
        <v>0</v>
      </c>
    </row>
    <row r="36" spans="1:14" ht="14.25" customHeight="1" x14ac:dyDescent="0.35">
      <c r="A36" s="107">
        <f>'Stats Global'!B37</f>
        <v>0</v>
      </c>
      <c r="B36" s="108">
        <f>'Stats Global'!L37</f>
        <v>0</v>
      </c>
      <c r="C36" s="108">
        <f>'Stats Global'!M37+'Stats Global'!N37</f>
        <v>0</v>
      </c>
      <c r="D36" s="108">
        <f>'Stats Global'!Q37</f>
        <v>0</v>
      </c>
      <c r="J36" s="55">
        <f>'Stats Global'!N37</f>
        <v>0</v>
      </c>
      <c r="K36" s="55">
        <f>'Stats Global'!K37</f>
        <v>0</v>
      </c>
    </row>
    <row r="37" spans="1:14" ht="14.25" customHeight="1" x14ac:dyDescent="0.35">
      <c r="A37" s="107">
        <f>'Stats Global'!B38</f>
        <v>0</v>
      </c>
      <c r="B37" s="108">
        <f>'Stats Global'!L38</f>
        <v>0</v>
      </c>
      <c r="C37" s="108">
        <f>'Stats Global'!M38+'Stats Global'!N38</f>
        <v>0</v>
      </c>
      <c r="D37" s="108">
        <f>'Stats Global'!Q38</f>
        <v>0</v>
      </c>
      <c r="J37" s="55">
        <f>'Stats Global'!N38</f>
        <v>0</v>
      </c>
      <c r="K37" s="55">
        <f>'Stats Global'!K38</f>
        <v>0</v>
      </c>
    </row>
    <row r="38" spans="1:14" ht="14.25" customHeight="1" x14ac:dyDescent="0.35">
      <c r="A38" s="107">
        <f>'Stats Global'!B39</f>
        <v>0</v>
      </c>
      <c r="B38" s="108">
        <f>'Stats Global'!L39</f>
        <v>0</v>
      </c>
      <c r="C38" s="108">
        <f>'Stats Global'!M39+'Stats Global'!N39</f>
        <v>0</v>
      </c>
      <c r="D38" s="108">
        <f>'Stats Global'!Q39</f>
        <v>0</v>
      </c>
      <c r="J38" s="55">
        <f>'Stats Global'!N39</f>
        <v>0</v>
      </c>
      <c r="K38" s="55">
        <f>'Stats Global'!K39</f>
        <v>0</v>
      </c>
    </row>
    <row r="39" spans="1:14" ht="14.25" customHeight="1" x14ac:dyDescent="0.35">
      <c r="A39" s="107">
        <f>'Stats Global'!B40</f>
        <v>0</v>
      </c>
      <c r="B39" s="108">
        <f>'Stats Global'!L40</f>
        <v>0</v>
      </c>
      <c r="C39" s="108">
        <f>'Stats Global'!M40+'Stats Global'!N40</f>
        <v>0</v>
      </c>
      <c r="D39" s="108">
        <f>'Stats Global'!Q40</f>
        <v>0</v>
      </c>
      <c r="J39" s="55">
        <f>'Stats Global'!N40</f>
        <v>0</v>
      </c>
      <c r="K39" s="55">
        <f>'Stats Global'!K40</f>
        <v>0</v>
      </c>
    </row>
    <row r="40" spans="1:14" ht="14.25" customHeight="1" x14ac:dyDescent="0.35">
      <c r="A40" s="107">
        <f>'Stats Global'!B41</f>
        <v>0</v>
      </c>
      <c r="B40" s="108">
        <f>'Stats Global'!L41</f>
        <v>0</v>
      </c>
      <c r="C40" s="108">
        <f>'Stats Global'!M41+'Stats Global'!N41</f>
        <v>0</v>
      </c>
      <c r="D40" s="108">
        <f>'Stats Global'!Q41</f>
        <v>0</v>
      </c>
      <c r="J40" s="55">
        <f>'Stats Global'!N41</f>
        <v>0</v>
      </c>
      <c r="K40" s="55">
        <f>'Stats Global'!K41</f>
        <v>0</v>
      </c>
    </row>
    <row r="41" spans="1:14" ht="14.25" customHeight="1" x14ac:dyDescent="0.35">
      <c r="C41" s="76">
        <f>SUM(B4:B40)/SUM(B4:C40)</f>
        <v>0.4</v>
      </c>
      <c r="H41" s="54"/>
      <c r="I41" s="36" t="s">
        <v>81</v>
      </c>
      <c r="J41" s="111">
        <f>SUM(J4:J40)</f>
        <v>2</v>
      </c>
      <c r="K41" s="111">
        <f>SUM(K4:K40)</f>
        <v>3</v>
      </c>
      <c r="L41" s="54"/>
      <c r="M41" s="54"/>
    </row>
    <row r="42" spans="1:14" ht="14.25" customHeight="1" x14ac:dyDescent="0.35">
      <c r="J42" s="58">
        <f>IFERROR(J41/(K41+J41),0)</f>
        <v>0.4</v>
      </c>
    </row>
    <row r="43" spans="1:14" ht="14.25" customHeight="1" x14ac:dyDescent="0.35">
      <c r="H43" s="59" t="str">
        <f>F3&amp;","&amp;G3&amp;","&amp;H3&amp;"],"</f>
        <v>4,6,4.5],</v>
      </c>
      <c r="I43" s="52"/>
      <c r="J43" s="36" t="s">
        <v>106</v>
      </c>
      <c r="L43" s="36" t="s">
        <v>110</v>
      </c>
      <c r="N43" s="60">
        <f>IFERROR(ROUND((SUM(Table1114[Points]))/'Stats Global'!AA6,1),0)</f>
        <v>5.7</v>
      </c>
    </row>
    <row r="44" spans="1:14" ht="14.25" customHeight="1" x14ac:dyDescent="0.35">
      <c r="H44" s="36" t="str">
        <f>L44&amp;","&amp;CHAR(34)&amp;M44&amp;CHAR(34)&amp;","&amp;L45&amp;","&amp;CHAR(34)&amp;M45&amp;CHAR(34)&amp;","&amp;L46&amp;","&amp;CHAR(34)&amp;M46&amp;CHAR(34)&amp;","&amp;L47&amp;","&amp;CHAR(34)&amp;M47&amp;CHAR(34)&amp;"],"</f>
        <v>4,"Angus Walker",1,"William Kim",2,"William Kim",2,"Angus Walker"],</v>
      </c>
      <c r="J44" s="36" t="s">
        <v>107</v>
      </c>
      <c r="L44" s="61">
        <f>MAX(Table1113[Points])</f>
        <v>4</v>
      </c>
      <c r="M44" s="36" t="str">
        <f>IF(L44&lt;&gt;0, _xlfn.XLOOKUP(L44,Table1113[Points],Table1113[Name], "N/A"), "N/A")</f>
        <v>Angus Walker</v>
      </c>
      <c r="N44" s="60">
        <f>IFERROR(ROUND((SUM(Table1113[Finishes]))/'Stats Global'!AA6,1),0)</f>
        <v>0.3</v>
      </c>
    </row>
    <row r="45" spans="1:14" ht="14.25" customHeight="1" x14ac:dyDescent="0.35">
      <c r="H45" s="36" t="str">
        <f>N43&amp;","&amp;N44&amp;","&amp;N45&amp;","&amp;N46&amp;","&amp;N47&amp;","&amp;N48&amp;"],"</f>
        <v>5.7,0.3,1,1,1.3,2],</v>
      </c>
      <c r="J45" s="36" t="s">
        <v>108</v>
      </c>
      <c r="L45" s="61">
        <f>MAX(Table1113[Finishes])</f>
        <v>1</v>
      </c>
      <c r="M45" s="36" t="str">
        <f>IF(L45&lt;&gt;0, _xlfn.XLOOKUP(L45,Table1113[Finishes],Table1113[Name], "N/A"), "N/A")</f>
        <v>William Kim</v>
      </c>
      <c r="N45" s="60">
        <f>IFERROR(ROUND((SUM(Table1113[Midranges]))/'Stats Global'!AA6,1),0)</f>
        <v>1</v>
      </c>
    </row>
    <row r="46" spans="1:14" ht="14.25" customHeight="1" x14ac:dyDescent="0.35">
      <c r="H46" s="36" t="str">
        <f>'Statistics CT'!K41&amp;","&amp;'Statistics CT'!J41&amp;","&amp;ROUND((1-'Statistics CT'!J42)*100,1)&amp;","&amp;J41&amp;","&amp;K41&amp;","&amp;ROUND(J42*100,1)&amp;"],"</f>
        <v>1,4,20,2,3,40],</v>
      </c>
      <c r="J46" s="36" t="s">
        <v>109</v>
      </c>
      <c r="L46" s="61">
        <f>MAX(Table1113[Midranges])</f>
        <v>2</v>
      </c>
      <c r="M46" s="36" t="str">
        <f>IF(L46&lt;&gt;0, _xlfn.XLOOKUP(L46,Table1113[Midranges],Table1113[Name], "N/A"), "N/A")</f>
        <v>William Kim</v>
      </c>
      <c r="N46" s="60">
        <f>IFERROR(ROUND((SUM(Table1113[Threes]))/'Stats Global'!AA6,1),0)</f>
        <v>1</v>
      </c>
    </row>
    <row r="47" spans="1:14" ht="14.25" customHeight="1" x14ac:dyDescent="0.35">
      <c r="L47" s="61">
        <f>MAX(Table1113[Threes])</f>
        <v>2</v>
      </c>
      <c r="M47" s="36" t="str">
        <f>IF(L47&lt;&gt;0, _xlfn.XLOOKUP(L47,Table1113[Threes],Table1113[Name], "N/A"), "N/A")</f>
        <v>Angus Walker</v>
      </c>
      <c r="N47" s="36">
        <f>IFERROR(ROUND(F3/'Stats Global'!AA6,1),0)</f>
        <v>1.3</v>
      </c>
    </row>
    <row r="48" spans="1:14" ht="14.25" customHeight="1" x14ac:dyDescent="0.35">
      <c r="N48" s="36">
        <f>IFERROR(ROUND(G3/'Stats Global'!AA6,1),0)</f>
        <v>2</v>
      </c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3" workbookViewId="0">
      <selection activeCell="N36" sqref="N36"/>
    </sheetView>
  </sheetViews>
  <sheetFormatPr defaultColWidth="14.36328125" defaultRowHeight="15" customHeight="1" x14ac:dyDescent="0.35"/>
  <cols>
    <col min="1" max="11" width="8.7265625" style="36" customWidth="1"/>
    <col min="12" max="20" width="10" style="36" customWidth="1"/>
    <col min="21" max="22" width="11.08984375" style="36" customWidth="1"/>
    <col min="23" max="32" width="8.7265625" style="36" customWidth="1"/>
    <col min="33" max="16384" width="14.36328125" style="36"/>
  </cols>
  <sheetData>
    <row r="1" spans="1:24" ht="14.25" customHeight="1" x14ac:dyDescent="0.35"/>
    <row r="2" spans="1:24" ht="14.25" customHeight="1" x14ac:dyDescent="0.35">
      <c r="B2" s="51" t="s">
        <v>179</v>
      </c>
      <c r="E2" s="52" t="s">
        <v>77</v>
      </c>
      <c r="F2" s="52" t="s">
        <v>78</v>
      </c>
      <c r="G2" s="52" t="s">
        <v>79</v>
      </c>
      <c r="J2" s="52"/>
      <c r="N2" s="52"/>
    </row>
    <row r="3" spans="1:24" ht="14.25" customHeight="1" x14ac:dyDescent="0.35">
      <c r="A3" s="53" t="s">
        <v>63</v>
      </c>
      <c r="B3" s="53" t="s">
        <v>75</v>
      </c>
      <c r="C3" s="53" t="s">
        <v>76</v>
      </c>
      <c r="D3" s="53" t="s">
        <v>0</v>
      </c>
      <c r="E3" s="109">
        <f>SUM(B4:B40)</f>
        <v>6</v>
      </c>
      <c r="F3" s="109">
        <f>SUM(C4:C40)</f>
        <v>6</v>
      </c>
      <c r="G3" s="109">
        <f>SUM(D4:D40)</f>
        <v>5.5</v>
      </c>
      <c r="H3" s="52"/>
      <c r="I3" s="66" t="s">
        <v>143</v>
      </c>
      <c r="V3" s="52"/>
      <c r="W3" s="52"/>
      <c r="X3" s="52"/>
    </row>
    <row r="4" spans="1:24" ht="14.25" customHeight="1" x14ac:dyDescent="0.35">
      <c r="A4" s="107" t="str">
        <f>'Stats Global'!B5</f>
        <v>24 January</v>
      </c>
      <c r="B4" s="108">
        <f>'Stats Global'!I5</f>
        <v>2</v>
      </c>
      <c r="C4" s="108">
        <f>'Stats Global'!J5+'Stats Global'!K5</f>
        <v>3</v>
      </c>
      <c r="D4" s="108">
        <f>'Stats Global'!P5</f>
        <v>1.5</v>
      </c>
      <c r="H4" s="54"/>
      <c r="I4" s="67" t="s">
        <v>4</v>
      </c>
      <c r="J4" s="68" t="s">
        <v>0</v>
      </c>
      <c r="K4" s="68" t="s">
        <v>74</v>
      </c>
      <c r="L4" s="68" t="s">
        <v>1</v>
      </c>
      <c r="M4" s="69" t="s">
        <v>69</v>
      </c>
      <c r="N4" s="69" t="s">
        <v>2</v>
      </c>
      <c r="O4" s="69" t="s">
        <v>93</v>
      </c>
      <c r="P4" s="68" t="s">
        <v>3</v>
      </c>
      <c r="Q4" s="69" t="s">
        <v>94</v>
      </c>
      <c r="R4" s="69" t="s">
        <v>96</v>
      </c>
      <c r="V4" s="54"/>
      <c r="W4" s="54"/>
      <c r="X4" s="54"/>
    </row>
    <row r="5" spans="1:24" ht="14.25" customHeight="1" x14ac:dyDescent="0.35">
      <c r="A5" s="107" t="str">
        <f>'Stats Global'!B6</f>
        <v>25 January</v>
      </c>
      <c r="B5" s="108">
        <f>'Stats Global'!I6</f>
        <v>1</v>
      </c>
      <c r="C5" s="108">
        <f>'Stats Global'!J6+'Stats Global'!K6</f>
        <v>2</v>
      </c>
      <c r="D5" s="108">
        <f>'Stats Global'!P6</f>
        <v>1</v>
      </c>
      <c r="H5" s="54"/>
      <c r="I5" s="54" t="str">
        <f>'Stats Global'!Z9</f>
        <v>Conor Farrington</v>
      </c>
      <c r="J5" s="54">
        <f>'Stats Global'!AA9</f>
        <v>0</v>
      </c>
      <c r="K5" s="54">
        <f>'Stats Global'!AB9</f>
        <v>0</v>
      </c>
      <c r="L5" s="54">
        <f>'Stats Global'!AC9</f>
        <v>0</v>
      </c>
      <c r="M5" s="54">
        <f>'Stats Global'!AD9</f>
        <v>0</v>
      </c>
      <c r="N5" s="54">
        <f>'Stats Global'!AE9</f>
        <v>0</v>
      </c>
      <c r="O5" s="54">
        <f>'Stats Global'!AF9</f>
        <v>0</v>
      </c>
      <c r="P5" s="54">
        <f>'Stats Global'!AG9</f>
        <v>0</v>
      </c>
      <c r="Q5" s="54">
        <f>'Stats Global'!AH9</f>
        <v>0</v>
      </c>
      <c r="R5" s="63">
        <f>'Stats Global'!AJ9</f>
        <v>0</v>
      </c>
      <c r="V5" s="54"/>
      <c r="W5" s="54"/>
      <c r="X5" s="54"/>
    </row>
    <row r="6" spans="1:24" ht="14.25" customHeight="1" x14ac:dyDescent="0.35">
      <c r="A6" s="107" t="str">
        <f>'Stats Global'!B7</f>
        <v>29 January</v>
      </c>
      <c r="B6" s="108">
        <f>'Stats Global'!I7</f>
        <v>3</v>
      </c>
      <c r="C6" s="108">
        <f>'Stats Global'!J7+'Stats Global'!K7</f>
        <v>1</v>
      </c>
      <c r="D6" s="108">
        <f>'Stats Global'!P7</f>
        <v>3</v>
      </c>
      <c r="E6" s="52"/>
      <c r="F6" s="62"/>
      <c r="H6" s="54"/>
      <c r="I6" s="54" t="str">
        <f>'Stats Global'!Z12</f>
        <v>Michael Iffland</v>
      </c>
      <c r="J6" s="54">
        <f>'Stats Global'!AA12</f>
        <v>6</v>
      </c>
      <c r="K6" s="54">
        <f>'Stats Global'!AB12</f>
        <v>2</v>
      </c>
      <c r="L6" s="54">
        <f>'Stats Global'!AC12</f>
        <v>4</v>
      </c>
      <c r="M6" s="54">
        <f>'Stats Global'!AD12</f>
        <v>1.3333333333333333</v>
      </c>
      <c r="N6" s="54">
        <f>'Stats Global'!AE12</f>
        <v>2</v>
      </c>
      <c r="O6" s="54">
        <f>'Stats Global'!AF12</f>
        <v>0.66666666666666663</v>
      </c>
      <c r="P6" s="54">
        <f>'Stats Global'!AG12</f>
        <v>0</v>
      </c>
      <c r="Q6" s="54">
        <f>'Stats Global'!AH12</f>
        <v>0</v>
      </c>
      <c r="R6" s="63">
        <f>'Stats Global'!AJ12</f>
        <v>0</v>
      </c>
      <c r="V6" s="54"/>
      <c r="W6" s="54"/>
      <c r="X6" s="54"/>
    </row>
    <row r="7" spans="1:24" ht="14.25" customHeight="1" x14ac:dyDescent="0.35">
      <c r="A7" s="107">
        <f>'Stats Global'!B8</f>
        <v>0</v>
      </c>
      <c r="B7" s="108">
        <f>'Stats Global'!I8</f>
        <v>0</v>
      </c>
      <c r="C7" s="108">
        <f>'Stats Global'!J8+'Stats Global'!K8</f>
        <v>0</v>
      </c>
      <c r="D7" s="108">
        <f>'Stats Global'!P8</f>
        <v>0</v>
      </c>
      <c r="E7" s="52"/>
      <c r="F7" s="62"/>
      <c r="H7" s="54"/>
      <c r="I7" s="54" t="str">
        <f>'Stats Global'!Z13</f>
        <v>Lukas Johnston</v>
      </c>
      <c r="J7" s="54">
        <f>'Stats Global'!AA13</f>
        <v>4</v>
      </c>
      <c r="K7" s="54">
        <f>'Stats Global'!AB13</f>
        <v>1.3333333333333333</v>
      </c>
      <c r="L7" s="54">
        <f>'Stats Global'!AC13</f>
        <v>4</v>
      </c>
      <c r="M7" s="54">
        <f>'Stats Global'!AD13</f>
        <v>1.3333333333333333</v>
      </c>
      <c r="N7" s="54">
        <f>'Stats Global'!AE13</f>
        <v>0</v>
      </c>
      <c r="O7" s="54">
        <f>'Stats Global'!AF13</f>
        <v>0</v>
      </c>
      <c r="P7" s="54">
        <f>'Stats Global'!AG13</f>
        <v>0</v>
      </c>
      <c r="Q7" s="54">
        <f>'Stats Global'!AH13</f>
        <v>0</v>
      </c>
      <c r="R7" s="63">
        <f>'Stats Global'!AJ13</f>
        <v>0</v>
      </c>
      <c r="V7" s="54"/>
      <c r="W7" s="54"/>
      <c r="X7" s="54"/>
    </row>
    <row r="8" spans="1:24" ht="14.25" customHeight="1" x14ac:dyDescent="0.35">
      <c r="A8" s="107">
        <f>'Stats Global'!B9</f>
        <v>0</v>
      </c>
      <c r="B8" s="108">
        <f>'Stats Global'!I9</f>
        <v>0</v>
      </c>
      <c r="C8" s="108">
        <f>'Stats Global'!J9+'Stats Global'!K9</f>
        <v>0</v>
      </c>
      <c r="D8" s="108">
        <f>'Stats Global'!P9</f>
        <v>0</v>
      </c>
      <c r="E8" s="52"/>
      <c r="F8" s="62"/>
      <c r="H8" s="54"/>
      <c r="I8" s="54" t="str">
        <f>'Stats Global'!Z17</f>
        <v>Samuel McConaghy</v>
      </c>
      <c r="J8" s="54">
        <f>'Stats Global'!AA17</f>
        <v>5</v>
      </c>
      <c r="K8" s="54">
        <f>'Stats Global'!AB17</f>
        <v>1.6666666666666667</v>
      </c>
      <c r="L8" s="54">
        <f>'Stats Global'!AC17</f>
        <v>2</v>
      </c>
      <c r="M8" s="54">
        <f>'Stats Global'!AD17</f>
        <v>0.66666666666666663</v>
      </c>
      <c r="N8" s="54">
        <f>'Stats Global'!AE17</f>
        <v>3</v>
      </c>
      <c r="O8" s="54">
        <f>'Stats Global'!AF17</f>
        <v>1</v>
      </c>
      <c r="P8" s="54">
        <f>'Stats Global'!AG17</f>
        <v>0</v>
      </c>
      <c r="Q8" s="54">
        <f>'Stats Global'!AH17</f>
        <v>0</v>
      </c>
      <c r="R8" s="63">
        <f>'Stats Global'!AJ17</f>
        <v>0</v>
      </c>
      <c r="V8" s="54"/>
      <c r="W8" s="54"/>
      <c r="X8" s="54"/>
    </row>
    <row r="9" spans="1:24" ht="14.25" customHeight="1" x14ac:dyDescent="0.35">
      <c r="A9" s="107">
        <f>'Stats Global'!B10</f>
        <v>0</v>
      </c>
      <c r="B9" s="108">
        <f>'Stats Global'!I10</f>
        <v>0</v>
      </c>
      <c r="C9" s="108">
        <f>'Stats Global'!J10+'Stats Global'!K10</f>
        <v>0</v>
      </c>
      <c r="D9" s="108">
        <f>'Stats Global'!P10</f>
        <v>0</v>
      </c>
      <c r="E9" s="52"/>
      <c r="F9" s="62"/>
      <c r="H9" s="54"/>
      <c r="I9" s="54" t="str">
        <f>'Stats Global'!Z22</f>
        <v>Will Weekes</v>
      </c>
      <c r="J9" s="54">
        <f>'Stats Global'!AA22</f>
        <v>1</v>
      </c>
      <c r="K9" s="54">
        <f>'Stats Global'!AB22</f>
        <v>0.33333333333333331</v>
      </c>
      <c r="L9" s="54">
        <f>'Stats Global'!AC22</f>
        <v>1</v>
      </c>
      <c r="M9" s="54">
        <f>'Stats Global'!AD22</f>
        <v>0.33333333333333331</v>
      </c>
      <c r="N9" s="54">
        <f>'Stats Global'!AE22</f>
        <v>0</v>
      </c>
      <c r="O9" s="54">
        <f>'Stats Global'!AF22</f>
        <v>0</v>
      </c>
      <c r="P9" s="54">
        <f>'Stats Global'!AG22</f>
        <v>0</v>
      </c>
      <c r="Q9" s="54">
        <f>'Stats Global'!AH22</f>
        <v>0</v>
      </c>
      <c r="R9" s="63">
        <f>'Stats Global'!AJ22</f>
        <v>0</v>
      </c>
      <c r="V9" s="54"/>
      <c r="W9" s="54"/>
      <c r="X9" s="54"/>
    </row>
    <row r="10" spans="1:24" ht="14.25" customHeight="1" x14ac:dyDescent="0.35">
      <c r="A10" s="107">
        <f>'Stats Global'!B11</f>
        <v>0</v>
      </c>
      <c r="B10" s="108">
        <f>'Stats Global'!I11</f>
        <v>0</v>
      </c>
      <c r="C10" s="108">
        <f>'Stats Global'!J11+'Stats Global'!K11</f>
        <v>0</v>
      </c>
      <c r="D10" s="108">
        <f>'Stats Global'!P11</f>
        <v>0</v>
      </c>
      <c r="E10" s="52"/>
      <c r="F10" s="62"/>
      <c r="I10" s="54" t="str">
        <f>'Stats Global'!Z23</f>
        <v>Mitch Yue</v>
      </c>
      <c r="J10" s="54">
        <f>'Stats Global'!AA23</f>
        <v>0</v>
      </c>
      <c r="K10" s="54">
        <f>'Stats Global'!AB23</f>
        <v>0</v>
      </c>
      <c r="L10" s="54">
        <f>'Stats Global'!AC23</f>
        <v>0</v>
      </c>
      <c r="M10" s="54">
        <f>'Stats Global'!AD23</f>
        <v>0</v>
      </c>
      <c r="N10" s="54">
        <f>'Stats Global'!AE23</f>
        <v>0</v>
      </c>
      <c r="O10" s="54">
        <f>'Stats Global'!AF23</f>
        <v>0</v>
      </c>
      <c r="P10" s="54">
        <f>'Stats Global'!AG23</f>
        <v>0</v>
      </c>
      <c r="Q10" s="54">
        <f>'Stats Global'!AH23</f>
        <v>0</v>
      </c>
      <c r="R10" s="63">
        <f>'Stats Global'!AJ23</f>
        <v>3</v>
      </c>
      <c r="V10" s="54"/>
      <c r="W10" s="54"/>
      <c r="X10" s="54"/>
    </row>
    <row r="11" spans="1:24" ht="14.25" customHeight="1" x14ac:dyDescent="0.35">
      <c r="A11" s="107">
        <f>'Stats Global'!B12</f>
        <v>0</v>
      </c>
      <c r="B11" s="108">
        <f>'Stats Global'!I12</f>
        <v>0</v>
      </c>
      <c r="C11" s="108">
        <f>'Stats Global'!J12+'Stats Global'!K12</f>
        <v>0</v>
      </c>
      <c r="D11" s="108">
        <f>'Stats Global'!P12</f>
        <v>0</v>
      </c>
      <c r="E11" s="52"/>
      <c r="F11" s="62"/>
      <c r="H11" s="54"/>
      <c r="I11" s="54"/>
      <c r="J11" s="54"/>
      <c r="K11" s="54"/>
      <c r="L11" s="54"/>
      <c r="N11" s="54"/>
      <c r="O11" s="54"/>
      <c r="P11" s="54"/>
      <c r="Q11" s="54"/>
      <c r="V11" s="54"/>
      <c r="W11" s="54"/>
      <c r="X11" s="54"/>
    </row>
    <row r="12" spans="1:24" ht="14.25" customHeight="1" x14ac:dyDescent="0.35">
      <c r="A12" s="107">
        <f>'Stats Global'!B13</f>
        <v>0</v>
      </c>
      <c r="B12" s="108">
        <f>'Stats Global'!I13</f>
        <v>0</v>
      </c>
      <c r="C12" s="108">
        <f>'Stats Global'!J13+'Stats Global'!K13</f>
        <v>0</v>
      </c>
      <c r="D12" s="108">
        <f>'Stats Global'!P13</f>
        <v>0</v>
      </c>
      <c r="E12" s="52"/>
      <c r="F12" s="62"/>
      <c r="H12" s="54"/>
      <c r="I12" s="54"/>
      <c r="J12" s="54"/>
      <c r="K12" s="54"/>
      <c r="L12" s="54"/>
      <c r="N12" s="54"/>
      <c r="O12" s="54"/>
      <c r="P12" s="54"/>
      <c r="Q12" s="54"/>
      <c r="V12" s="54"/>
      <c r="W12" s="54"/>
      <c r="X12" s="54"/>
    </row>
    <row r="13" spans="1:24" ht="14.25" customHeight="1" x14ac:dyDescent="0.35">
      <c r="A13" s="107">
        <f>'Stats Global'!B14</f>
        <v>0</v>
      </c>
      <c r="B13" s="108">
        <f>'Stats Global'!I14</f>
        <v>0</v>
      </c>
      <c r="C13" s="108">
        <f>'Stats Global'!J14+'Stats Global'!K14</f>
        <v>0</v>
      </c>
      <c r="D13" s="108">
        <f>'Stats Global'!P14</f>
        <v>0</v>
      </c>
      <c r="E13" s="52"/>
      <c r="F13" s="62"/>
      <c r="H13" s="54"/>
      <c r="I13" s="54"/>
      <c r="J13" s="54"/>
      <c r="K13" s="54"/>
      <c r="L13" s="54"/>
      <c r="N13" s="54"/>
      <c r="O13" s="54"/>
      <c r="P13" s="54"/>
      <c r="Q13" s="54"/>
      <c r="V13" s="54"/>
      <c r="W13" s="54"/>
      <c r="X13" s="54"/>
    </row>
    <row r="14" spans="1:24" ht="14.25" customHeight="1" x14ac:dyDescent="0.35">
      <c r="A14" s="107">
        <f>'Stats Global'!B15</f>
        <v>0</v>
      </c>
      <c r="B14" s="108">
        <f>'Stats Global'!I15</f>
        <v>0</v>
      </c>
      <c r="C14" s="108">
        <f>'Stats Global'!J15+'Stats Global'!K15</f>
        <v>0</v>
      </c>
      <c r="D14" s="108">
        <f>'Stats Global'!P15</f>
        <v>0</v>
      </c>
      <c r="H14" s="54"/>
      <c r="I14" s="54"/>
      <c r="J14" s="54"/>
      <c r="K14" s="54"/>
      <c r="L14" s="54"/>
      <c r="N14" s="54"/>
      <c r="O14" s="54"/>
      <c r="P14" s="54"/>
      <c r="Q14" s="54"/>
      <c r="V14" s="54"/>
      <c r="W14" s="54"/>
      <c r="X14" s="54"/>
    </row>
    <row r="15" spans="1:24" ht="14.25" customHeight="1" x14ac:dyDescent="0.35">
      <c r="A15" s="107">
        <f>'Stats Global'!B16</f>
        <v>0</v>
      </c>
      <c r="B15" s="108">
        <f>'Stats Global'!I16</f>
        <v>0</v>
      </c>
      <c r="C15" s="108">
        <f>'Stats Global'!J16+'Stats Global'!K16</f>
        <v>0</v>
      </c>
      <c r="D15" s="108">
        <f>'Stats Global'!P16</f>
        <v>0</v>
      </c>
      <c r="H15" s="54"/>
      <c r="I15" s="54"/>
      <c r="J15" s="54"/>
      <c r="K15" s="54"/>
      <c r="L15" s="54"/>
      <c r="N15" s="54"/>
      <c r="O15" s="54"/>
      <c r="P15" s="54"/>
      <c r="Q15" s="54"/>
      <c r="V15" s="54"/>
      <c r="W15" s="54"/>
      <c r="X15" s="54"/>
    </row>
    <row r="16" spans="1:24" ht="14.25" customHeight="1" x14ac:dyDescent="0.35">
      <c r="A16" s="107">
        <f>'Stats Global'!B17</f>
        <v>0</v>
      </c>
      <c r="B16" s="108">
        <f>'Stats Global'!I17</f>
        <v>0</v>
      </c>
      <c r="C16" s="108">
        <f>'Stats Global'!J17+'Stats Global'!K17</f>
        <v>0</v>
      </c>
      <c r="D16" s="108">
        <f>'Stats Global'!P17</f>
        <v>0</v>
      </c>
      <c r="H16" s="54"/>
      <c r="I16" s="54"/>
      <c r="J16" s="54"/>
      <c r="K16" s="54"/>
      <c r="L16" s="54"/>
      <c r="N16" s="54"/>
      <c r="O16" s="54"/>
      <c r="P16" s="54"/>
      <c r="Q16" s="54"/>
      <c r="V16" s="54"/>
      <c r="W16" s="54"/>
      <c r="X16" s="54"/>
    </row>
    <row r="17" spans="1:24" ht="14.25" customHeight="1" x14ac:dyDescent="0.35">
      <c r="A17" s="107">
        <f>'Stats Global'!B18</f>
        <v>0</v>
      </c>
      <c r="B17" s="108">
        <f>'Stats Global'!I18</f>
        <v>0</v>
      </c>
      <c r="C17" s="108">
        <f>'Stats Global'!J18+'Stats Global'!K18</f>
        <v>0</v>
      </c>
      <c r="D17" s="108">
        <f>'Stats Global'!P18</f>
        <v>0</v>
      </c>
      <c r="H17" s="54"/>
      <c r="I17" s="54"/>
      <c r="J17" s="54"/>
      <c r="K17" s="54"/>
      <c r="L17" s="54"/>
      <c r="N17" s="54"/>
      <c r="O17" s="54"/>
      <c r="P17" s="54"/>
      <c r="Q17" s="54"/>
      <c r="V17" s="54"/>
      <c r="W17" s="54"/>
      <c r="X17" s="54"/>
    </row>
    <row r="18" spans="1:24" ht="14.25" customHeight="1" x14ac:dyDescent="0.35">
      <c r="A18" s="107">
        <f>'Stats Global'!B19</f>
        <v>0</v>
      </c>
      <c r="B18" s="108">
        <f>'Stats Global'!I19</f>
        <v>0</v>
      </c>
      <c r="C18" s="108">
        <f>'Stats Global'!J19+'Stats Global'!K19</f>
        <v>0</v>
      </c>
      <c r="D18" s="108">
        <f>'Stats Global'!P19</f>
        <v>0</v>
      </c>
      <c r="H18" s="54"/>
      <c r="I18" s="54"/>
      <c r="J18" s="54"/>
      <c r="K18" s="54"/>
      <c r="L18" s="54"/>
      <c r="N18" s="54"/>
      <c r="O18" s="54"/>
      <c r="P18" s="54"/>
      <c r="Q18" s="54"/>
      <c r="V18" s="54"/>
      <c r="W18" s="54"/>
      <c r="X18" s="54"/>
    </row>
    <row r="19" spans="1:24" ht="14.25" customHeight="1" x14ac:dyDescent="0.35">
      <c r="A19" s="107">
        <f>'Stats Global'!B20</f>
        <v>0</v>
      </c>
      <c r="B19" s="108">
        <f>'Stats Global'!I20</f>
        <v>0</v>
      </c>
      <c r="C19" s="108">
        <f>'Stats Global'!J20+'Stats Global'!K20</f>
        <v>0</v>
      </c>
      <c r="D19" s="108">
        <f>'Stats Global'!P20</f>
        <v>0</v>
      </c>
      <c r="H19" s="54"/>
      <c r="I19" s="54"/>
      <c r="J19" s="54"/>
      <c r="K19" s="54"/>
      <c r="L19" s="54"/>
      <c r="N19" s="54"/>
      <c r="O19" s="54"/>
      <c r="P19" s="54"/>
      <c r="Q19" s="54"/>
      <c r="V19" s="54"/>
      <c r="W19" s="54"/>
      <c r="X19" s="54"/>
    </row>
    <row r="20" spans="1:24" ht="14.25" customHeight="1" x14ac:dyDescent="0.35">
      <c r="A20" s="107">
        <f>'Stats Global'!B21</f>
        <v>0</v>
      </c>
      <c r="B20" s="108">
        <f>'Stats Global'!I21</f>
        <v>0</v>
      </c>
      <c r="C20" s="108">
        <f>'Stats Global'!J21+'Stats Global'!K21</f>
        <v>0</v>
      </c>
      <c r="D20" s="108">
        <f>'Stats Global'!P21</f>
        <v>0</v>
      </c>
      <c r="H20" s="54"/>
      <c r="I20" s="54"/>
      <c r="J20" s="54"/>
      <c r="K20" s="54"/>
      <c r="L20" s="54"/>
      <c r="N20" s="54"/>
      <c r="O20" s="54"/>
      <c r="P20" s="54"/>
      <c r="Q20" s="54"/>
      <c r="V20" s="54"/>
      <c r="W20" s="54"/>
      <c r="X20" s="54"/>
    </row>
    <row r="21" spans="1:24" ht="14.25" customHeight="1" x14ac:dyDescent="0.35">
      <c r="A21" s="107">
        <f>'Stats Global'!B22</f>
        <v>0</v>
      </c>
      <c r="B21" s="108">
        <f>'Stats Global'!I22</f>
        <v>0</v>
      </c>
      <c r="C21" s="108">
        <f>'Stats Global'!J22+'Stats Global'!K22</f>
        <v>0</v>
      </c>
      <c r="D21" s="108">
        <f>'Stats Global'!P22</f>
        <v>0</v>
      </c>
      <c r="H21" s="54"/>
      <c r="I21" s="54"/>
      <c r="J21" s="54"/>
      <c r="K21" s="54"/>
      <c r="L21" s="54"/>
      <c r="N21" s="54"/>
      <c r="O21" s="54"/>
      <c r="P21" s="54"/>
      <c r="Q21" s="54"/>
      <c r="V21" s="54"/>
      <c r="W21" s="54"/>
      <c r="X21" s="54"/>
    </row>
    <row r="22" spans="1:24" ht="14.25" customHeight="1" x14ac:dyDescent="0.35">
      <c r="A22" s="107">
        <f>'Stats Global'!B23</f>
        <v>0</v>
      </c>
      <c r="B22" s="108">
        <f>'Stats Global'!I23</f>
        <v>0</v>
      </c>
      <c r="C22" s="108">
        <f>'Stats Global'!J23+'Stats Global'!K23</f>
        <v>0</v>
      </c>
      <c r="D22" s="108">
        <f>'Stats Global'!P23</f>
        <v>0</v>
      </c>
      <c r="H22" s="54"/>
      <c r="I22" s="54"/>
      <c r="J22" s="54"/>
      <c r="K22" s="54"/>
      <c r="L22" s="54"/>
      <c r="N22" s="54"/>
      <c r="O22" s="54"/>
      <c r="P22" s="54"/>
      <c r="Q22" s="54"/>
      <c r="V22" s="54"/>
      <c r="W22" s="54"/>
      <c r="X22" s="54"/>
    </row>
    <row r="23" spans="1:24" ht="14.25" customHeight="1" x14ac:dyDescent="0.35">
      <c r="A23" s="107">
        <f>'Stats Global'!B24</f>
        <v>0</v>
      </c>
      <c r="B23" s="108">
        <f>'Stats Global'!I24</f>
        <v>0</v>
      </c>
      <c r="C23" s="108">
        <f>'Stats Global'!J24+'Stats Global'!K24</f>
        <v>0</v>
      </c>
      <c r="D23" s="108">
        <f>'Stats Global'!P24</f>
        <v>0</v>
      </c>
      <c r="H23" s="54"/>
      <c r="I23" s="54"/>
      <c r="J23" s="54"/>
      <c r="K23" s="54"/>
      <c r="L23" s="54"/>
      <c r="N23" s="54"/>
      <c r="O23" s="54"/>
      <c r="P23" s="54"/>
      <c r="Q23" s="54"/>
      <c r="V23" s="54"/>
      <c r="W23" s="54"/>
      <c r="X23" s="54"/>
    </row>
    <row r="24" spans="1:24" ht="14.25" customHeight="1" x14ac:dyDescent="0.35">
      <c r="A24" s="107">
        <f>'Stats Global'!B25</f>
        <v>0</v>
      </c>
      <c r="B24" s="108">
        <f>'Stats Global'!I25</f>
        <v>0</v>
      </c>
      <c r="C24" s="108">
        <f>'Stats Global'!J25+'Stats Global'!K25</f>
        <v>0</v>
      </c>
      <c r="D24" s="108">
        <f>'Stats Global'!P25</f>
        <v>0</v>
      </c>
      <c r="H24" s="54"/>
      <c r="I24" s="54"/>
      <c r="J24" s="54"/>
      <c r="K24" s="54"/>
      <c r="L24" s="54"/>
      <c r="N24" s="54"/>
      <c r="O24" s="54"/>
      <c r="P24" s="54"/>
      <c r="Q24" s="54"/>
      <c r="V24" s="54"/>
      <c r="W24" s="54"/>
      <c r="X24" s="54"/>
    </row>
    <row r="25" spans="1:24" ht="14.25" customHeight="1" x14ac:dyDescent="0.35">
      <c r="A25" s="107">
        <f>'Stats Global'!B26</f>
        <v>0</v>
      </c>
      <c r="B25" s="108">
        <f>'Stats Global'!I26</f>
        <v>0</v>
      </c>
      <c r="C25" s="108">
        <f>'Stats Global'!J26+'Stats Global'!K26</f>
        <v>0</v>
      </c>
      <c r="D25" s="108">
        <f>'Stats Global'!P26</f>
        <v>0</v>
      </c>
      <c r="H25" s="54"/>
      <c r="I25" s="54"/>
      <c r="J25" s="54"/>
      <c r="K25" s="54"/>
      <c r="L25" s="54"/>
      <c r="N25" s="54"/>
      <c r="O25" s="54"/>
      <c r="P25" s="54"/>
      <c r="Q25" s="54"/>
      <c r="V25" s="54"/>
      <c r="W25" s="54"/>
      <c r="X25" s="54"/>
    </row>
    <row r="26" spans="1:24" ht="14.25" customHeight="1" x14ac:dyDescent="0.35">
      <c r="A26" s="107">
        <f>'Stats Global'!B27</f>
        <v>0</v>
      </c>
      <c r="B26" s="108">
        <f>'Stats Global'!I27</f>
        <v>0</v>
      </c>
      <c r="C26" s="108">
        <f>'Stats Global'!J27+'Stats Global'!K27</f>
        <v>0</v>
      </c>
      <c r="D26" s="108">
        <f>'Stats Global'!P27</f>
        <v>0</v>
      </c>
      <c r="H26" s="54"/>
      <c r="I26" s="54"/>
      <c r="J26" s="54"/>
      <c r="K26" s="54"/>
      <c r="L26" s="54"/>
      <c r="N26" s="54"/>
      <c r="O26" s="54"/>
      <c r="P26" s="54"/>
      <c r="Q26" s="54"/>
      <c r="V26" s="54"/>
      <c r="W26" s="54"/>
      <c r="X26" s="54"/>
    </row>
    <row r="27" spans="1:24" ht="14.25" customHeight="1" x14ac:dyDescent="0.35">
      <c r="A27" s="107">
        <f>'Stats Global'!B28</f>
        <v>0</v>
      </c>
      <c r="B27" s="108">
        <f>'Stats Global'!I28</f>
        <v>0</v>
      </c>
      <c r="C27" s="108">
        <f>'Stats Global'!J28+'Stats Global'!K28</f>
        <v>0</v>
      </c>
      <c r="D27" s="108">
        <f>'Stats Global'!P28</f>
        <v>0</v>
      </c>
      <c r="H27" s="54"/>
      <c r="I27" s="54"/>
      <c r="J27" s="54"/>
      <c r="K27" s="54"/>
      <c r="L27" s="54"/>
      <c r="N27" s="54"/>
      <c r="O27" s="54"/>
      <c r="P27" s="54"/>
      <c r="Q27" s="54"/>
      <c r="V27" s="54"/>
      <c r="W27" s="54"/>
      <c r="X27" s="54"/>
    </row>
    <row r="28" spans="1:24" ht="14.25" customHeight="1" x14ac:dyDescent="0.35">
      <c r="A28" s="107">
        <f>'Stats Global'!B29</f>
        <v>0</v>
      </c>
      <c r="B28" s="108">
        <f>'Stats Global'!I29</f>
        <v>0</v>
      </c>
      <c r="C28" s="108">
        <f>'Stats Global'!J29+'Stats Global'!K29</f>
        <v>0</v>
      </c>
      <c r="D28" s="108">
        <f>'Stats Global'!P29</f>
        <v>0</v>
      </c>
      <c r="H28" s="54"/>
      <c r="I28" s="54"/>
      <c r="J28" s="54"/>
      <c r="K28" s="54"/>
      <c r="L28" s="54"/>
      <c r="N28" s="54"/>
      <c r="O28" s="54"/>
      <c r="P28" s="54"/>
      <c r="Q28" s="54"/>
      <c r="V28" s="54"/>
      <c r="W28" s="54"/>
      <c r="X28" s="54"/>
    </row>
    <row r="29" spans="1:24" ht="14.25" customHeight="1" x14ac:dyDescent="0.35">
      <c r="A29" s="107">
        <f>'Stats Global'!B30</f>
        <v>0</v>
      </c>
      <c r="B29" s="108">
        <f>'Stats Global'!I30</f>
        <v>0</v>
      </c>
      <c r="C29" s="108">
        <f>'Stats Global'!J30+'Stats Global'!K30</f>
        <v>0</v>
      </c>
      <c r="D29" s="108">
        <f>'Stats Global'!P30</f>
        <v>0</v>
      </c>
      <c r="H29" s="54"/>
      <c r="I29" s="54"/>
      <c r="J29" s="54"/>
      <c r="K29" s="54"/>
      <c r="L29" s="54"/>
      <c r="N29" s="54"/>
      <c r="O29" s="54"/>
      <c r="P29" s="54"/>
      <c r="Q29" s="54"/>
      <c r="V29" s="63"/>
      <c r="W29" s="54"/>
      <c r="X29" s="54"/>
    </row>
    <row r="30" spans="1:24" ht="14.25" customHeight="1" x14ac:dyDescent="0.35">
      <c r="A30" s="107">
        <f>'Stats Global'!B31</f>
        <v>0</v>
      </c>
      <c r="B30" s="108">
        <f>'Stats Global'!I31</f>
        <v>0</v>
      </c>
      <c r="C30" s="108">
        <f>'Stats Global'!J31+'Stats Global'!K31</f>
        <v>0</v>
      </c>
      <c r="D30" s="108">
        <f>'Stats Global'!P31</f>
        <v>0</v>
      </c>
      <c r="H30" s="54"/>
      <c r="I30" s="54"/>
      <c r="J30" s="54"/>
      <c r="K30" s="54"/>
      <c r="L30" s="54"/>
      <c r="M30" s="52"/>
      <c r="N30" s="54"/>
      <c r="O30" s="54"/>
      <c r="P30" s="54"/>
      <c r="Q30" s="54"/>
      <c r="V30" s="54"/>
      <c r="W30" s="54"/>
      <c r="X30" s="54"/>
    </row>
    <row r="31" spans="1:24" ht="14.25" customHeight="1" x14ac:dyDescent="0.35">
      <c r="A31" s="107">
        <f>'Stats Global'!B32</f>
        <v>0</v>
      </c>
      <c r="B31" s="108">
        <f>'Stats Global'!I32</f>
        <v>0</v>
      </c>
      <c r="C31" s="108">
        <f>'Stats Global'!J32+'Stats Global'!K32</f>
        <v>0</v>
      </c>
      <c r="D31" s="108">
        <f>'Stats Global'!P32</f>
        <v>0</v>
      </c>
      <c r="G31" s="52"/>
      <c r="N31" s="58"/>
    </row>
    <row r="32" spans="1:24" ht="14.25" customHeight="1" x14ac:dyDescent="0.35">
      <c r="A32" s="107">
        <f>'Stats Global'!B33</f>
        <v>0</v>
      </c>
      <c r="B32" s="108">
        <f>'Stats Global'!I33</f>
        <v>0</v>
      </c>
      <c r="C32" s="108">
        <f>'Stats Global'!J33+'Stats Global'!K33</f>
        <v>0</v>
      </c>
      <c r="D32" s="108">
        <f>'Stats Global'!P33</f>
        <v>0</v>
      </c>
      <c r="G32" s="52"/>
      <c r="H32" s="59" t="str">
        <f>E3&amp;","&amp;F3&amp;","&amp;G3&amp;"],"</f>
        <v>6,6,5.5],</v>
      </c>
      <c r="I32" s="52"/>
      <c r="J32" s="36" t="s">
        <v>106</v>
      </c>
      <c r="L32" s="36" t="s">
        <v>110</v>
      </c>
      <c r="N32" s="60">
        <f>IFERROR(ROUND((SUM(Table11[Points]))/'Stats Global'!AA6,1),0)</f>
        <v>5.3</v>
      </c>
    </row>
    <row r="33" spans="1:14" ht="14.25" customHeight="1" x14ac:dyDescent="0.35">
      <c r="A33" s="107">
        <f>'Stats Global'!B34</f>
        <v>0</v>
      </c>
      <c r="B33" s="108">
        <f>'Stats Global'!I34</f>
        <v>0</v>
      </c>
      <c r="C33" s="108">
        <f>'Stats Global'!J34+'Stats Global'!K34</f>
        <v>0</v>
      </c>
      <c r="D33" s="108">
        <f>'Stats Global'!P34</f>
        <v>0</v>
      </c>
      <c r="H33" s="36" t="str">
        <f>L33&amp;","&amp;CHAR(34)&amp;M33&amp;CHAR(34)&amp;","&amp;L34&amp;","&amp;CHAR(34)&amp;M34&amp;CHAR(34)&amp;","&amp;L35&amp;","&amp;CHAR(34)&amp;M35&amp;CHAR(34)&amp;","&amp;L36&amp;","&amp;CHAR(34)&amp;M36&amp;CHAR(34)&amp;"],"</f>
        <v>6,"Michael Iffland",4,"N/A",3,"N/A",0,"N/A"],</v>
      </c>
      <c r="J33" s="36" t="s">
        <v>107</v>
      </c>
      <c r="L33" s="61">
        <f>MAX(Table11[Points])</f>
        <v>6</v>
      </c>
      <c r="M33" s="36" t="str">
        <f>IF(L33&lt;&gt;0, _xlfn.XLOOKUP(L33,J5:J10,I5:I10, "N/A"), "N/A")</f>
        <v>Michael Iffland</v>
      </c>
      <c r="N33" s="60">
        <f>IFERROR(ROUND((SUM(Table11[Finishes]))/'Stats Global'!AA6,1),0)</f>
        <v>3.7</v>
      </c>
    </row>
    <row r="34" spans="1:14" ht="14.25" customHeight="1" x14ac:dyDescent="0.35">
      <c r="A34" s="107">
        <f>'Stats Global'!B35</f>
        <v>0</v>
      </c>
      <c r="B34" s="108">
        <f>'Stats Global'!I35</f>
        <v>0</v>
      </c>
      <c r="C34" s="108">
        <f>'Stats Global'!J35+'Stats Global'!K35</f>
        <v>0</v>
      </c>
      <c r="D34" s="108">
        <f>'Stats Global'!P35</f>
        <v>0</v>
      </c>
      <c r="H34" s="36" t="str">
        <f>N32&amp;","&amp;N33&amp;","&amp;N34&amp;","&amp;N35&amp;","&amp;N36&amp;","&amp;N37&amp;"],"</f>
        <v>5.3,3.7,1.7,0,2,2],</v>
      </c>
      <c r="J34" s="36" t="s">
        <v>108</v>
      </c>
      <c r="L34" s="61">
        <f>MAX(Table11[Finishes])</f>
        <v>4</v>
      </c>
      <c r="M34" s="36" t="str">
        <f>IF(L33&lt;&gt;0, _xlfn.XLOOKUP(L33,K5:K10,I5:I10, "N/A"), "N/A")</f>
        <v>N/A</v>
      </c>
      <c r="N34" s="60">
        <f>IFERROR(ROUND((SUM(Table11[Midranges]))/'Stats Global'!AA6,1),0)</f>
        <v>1.7</v>
      </c>
    </row>
    <row r="35" spans="1:14" ht="14.25" customHeight="1" x14ac:dyDescent="0.35">
      <c r="A35" s="107">
        <f>'Stats Global'!B36</f>
        <v>0</v>
      </c>
      <c r="B35" s="108">
        <f>'Stats Global'!I36</f>
        <v>0</v>
      </c>
      <c r="C35" s="108">
        <f>'Stats Global'!J36+'Stats Global'!K36</f>
        <v>0</v>
      </c>
      <c r="D35" s="108">
        <f>'Stats Global'!P36</f>
        <v>0</v>
      </c>
      <c r="H35" s="36" t="str">
        <f>'Statistics CT'!N41&amp;","&amp;'Statistics CT'!M41&amp;","&amp;ROUND((1-'Statistics CT'!M42)*100,1)&amp;","&amp;'Statistics TC'!K41&amp;","&amp;'Statistics TC'!J41&amp;","&amp;ROUND((1-'Statistics TC'!J42)*100,1)&amp;"],"</f>
        <v>4,3,57.1,3,2,60],</v>
      </c>
      <c r="J35" s="36" t="s">
        <v>109</v>
      </c>
      <c r="L35" s="61">
        <f>MAX(Table11[Midranges])</f>
        <v>3</v>
      </c>
      <c r="M35" s="36" t="str">
        <f>IF(L33&lt;&gt;0, _xlfn.XLOOKUP(L33,L5:L10,I5:I10, "N/A"), "N/A")</f>
        <v>N/A</v>
      </c>
      <c r="N35" s="60">
        <f>IFERROR(ROUND((SUM(Table11[Threes]))/'Stats Global'!AA6,1),0)</f>
        <v>0</v>
      </c>
    </row>
    <row r="36" spans="1:14" ht="14.25" customHeight="1" x14ac:dyDescent="0.35">
      <c r="A36" s="107">
        <f>'Stats Global'!B37</f>
        <v>0</v>
      </c>
      <c r="B36" s="108">
        <f>'Stats Global'!I37</f>
        <v>0</v>
      </c>
      <c r="C36" s="108">
        <f>'Stats Global'!J37+'Stats Global'!K37</f>
        <v>0</v>
      </c>
      <c r="D36" s="108">
        <f>'Stats Global'!P37</f>
        <v>0</v>
      </c>
      <c r="L36" s="61">
        <f>MAX(Table11[Threes])</f>
        <v>0</v>
      </c>
      <c r="M36" s="36" t="str">
        <f>IF(L33&lt;&gt;0, _xlfn.XLOOKUP(L33,M5:M10,I5:I10, "N/A"), "N/A")</f>
        <v>N/A</v>
      </c>
      <c r="N36" s="36">
        <f>IFERROR(ROUND(E3/'Stats Global'!AA6,1),0)</f>
        <v>2</v>
      </c>
    </row>
    <row r="37" spans="1:14" ht="14.25" customHeight="1" x14ac:dyDescent="0.35">
      <c r="A37" s="107">
        <f>'Stats Global'!B38</f>
        <v>0</v>
      </c>
      <c r="B37" s="108">
        <f>'Stats Global'!I38</f>
        <v>0</v>
      </c>
      <c r="C37" s="108">
        <f>'Stats Global'!J38+'Stats Global'!K38</f>
        <v>0</v>
      </c>
      <c r="D37" s="108">
        <f>'Stats Global'!P38</f>
        <v>0</v>
      </c>
      <c r="N37" s="36">
        <f>IFERROR(ROUND(F3/'Stats Global'!AA6,1),0)</f>
        <v>2</v>
      </c>
    </row>
    <row r="38" spans="1:14" ht="14.25" customHeight="1" x14ac:dyDescent="0.35">
      <c r="A38" s="107">
        <f>'Stats Global'!B39</f>
        <v>0</v>
      </c>
      <c r="B38" s="108">
        <f>'Stats Global'!I39</f>
        <v>0</v>
      </c>
      <c r="C38" s="108">
        <f>'Stats Global'!J39+'Stats Global'!K39</f>
        <v>0</v>
      </c>
      <c r="D38" s="108">
        <f>'Stats Global'!P39</f>
        <v>0</v>
      </c>
    </row>
    <row r="39" spans="1:14" ht="14.25" customHeight="1" x14ac:dyDescent="0.35">
      <c r="A39" s="107">
        <f>'Stats Global'!B40</f>
        <v>0</v>
      </c>
      <c r="B39" s="108">
        <f>'Stats Global'!I40</f>
        <v>0</v>
      </c>
      <c r="C39" s="108">
        <f>'Stats Global'!J40+'Stats Global'!K40</f>
        <v>0</v>
      </c>
      <c r="D39" s="108">
        <f>'Stats Global'!P40</f>
        <v>0</v>
      </c>
      <c r="L39" s="36">
        <v>0</v>
      </c>
      <c r="M39" s="36" t="str">
        <f>_xlfn.XLOOKUP(L39,J5:J10,I5:I10, "N/A")</f>
        <v>Conor Farrington</v>
      </c>
    </row>
    <row r="40" spans="1:14" ht="14.25" customHeight="1" x14ac:dyDescent="0.35">
      <c r="A40" s="107">
        <f>'Stats Global'!B41</f>
        <v>0</v>
      </c>
      <c r="B40" s="108">
        <f>'Stats Global'!I41</f>
        <v>0</v>
      </c>
      <c r="C40" s="108">
        <f>'Stats Global'!J41+'Stats Global'!K41</f>
        <v>0</v>
      </c>
      <c r="D40" s="108">
        <f>'Stats Global'!P41</f>
        <v>0</v>
      </c>
    </row>
    <row r="41" spans="1:14" ht="14.25" customHeight="1" x14ac:dyDescent="0.35">
      <c r="C41" s="76">
        <f>SUM(B4:B40)/SUM(B4:C40)</f>
        <v>0.5</v>
      </c>
    </row>
    <row r="42" spans="1:14" ht="14.25" customHeight="1" x14ac:dyDescent="0.35"/>
    <row r="43" spans="1:14" ht="14.25" customHeight="1" x14ac:dyDescent="0.35"/>
    <row r="44" spans="1:14" ht="14.25" customHeight="1" x14ac:dyDescent="0.35"/>
    <row r="45" spans="1:14" ht="14.25" customHeight="1" x14ac:dyDescent="0.35"/>
    <row r="46" spans="1:14" ht="14.25" customHeight="1" x14ac:dyDescent="0.35"/>
    <row r="47" spans="1:14" ht="14.25" customHeight="1" x14ac:dyDescent="0.35"/>
    <row r="48" spans="1:1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50" workbookViewId="0">
      <selection activeCell="L26" sqref="L26"/>
    </sheetView>
  </sheetViews>
  <sheetFormatPr defaultColWidth="14.36328125" defaultRowHeight="15" customHeight="1" x14ac:dyDescent="0.35"/>
  <cols>
    <col min="1" max="1" width="8.7265625" customWidth="1"/>
    <col min="2" max="2" width="13.08984375" customWidth="1"/>
    <col min="3" max="3" width="11.7265625" customWidth="1"/>
    <col min="4" max="4" width="14" customWidth="1"/>
    <col min="5" max="17" width="8.7265625" customWidth="1"/>
    <col min="18" max="18" width="10.7265625" customWidth="1"/>
    <col min="19" max="26" width="8.7265625" customWidth="1"/>
  </cols>
  <sheetData>
    <row r="1" spans="2:31" ht="14.25" customHeight="1" x14ac:dyDescent="0.35"/>
    <row r="2" spans="2:31" ht="14.25" customHeight="1" x14ac:dyDescent="0.3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35">
      <c r="B3" s="10" t="s">
        <v>63</v>
      </c>
      <c r="C3" s="123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3" t="s">
        <v>208</v>
      </c>
      <c r="J3" s="123" t="s">
        <v>209</v>
      </c>
      <c r="K3" s="123" t="s">
        <v>210</v>
      </c>
      <c r="M3" s="1" t="s">
        <v>163</v>
      </c>
      <c r="N3" s="1">
        <f>COUNTIF(Z4:Z39,"*")-COUNTIF(Z4:Z39,"")</f>
        <v>0</v>
      </c>
      <c r="O3" s="1">
        <f>H45+I45</f>
        <v>0</v>
      </c>
      <c r="P3" s="8" t="e">
        <f>N3/(N3+O3)</f>
        <v>#DIV/0!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35</v>
      </c>
      <c r="AB3" s="105" t="s">
        <v>164</v>
      </c>
      <c r="AC3" s="1"/>
    </row>
    <row r="4" spans="2:31" ht="14.25" customHeight="1" x14ac:dyDescent="0.35">
      <c r="B4" s="125" t="s">
        <v>223</v>
      </c>
      <c r="C4" s="128"/>
      <c r="D4" s="128"/>
      <c r="E4" s="128"/>
      <c r="F4" s="128"/>
      <c r="G4" s="128"/>
      <c r="H4" s="128"/>
      <c r="I4" s="128"/>
      <c r="J4" s="128"/>
      <c r="K4" s="128"/>
      <c r="M4" s="1" t="s">
        <v>164</v>
      </c>
      <c r="N4" s="1">
        <f>COUNTIF(AB4:AB39,"*")-COUNTIF(AB4:AB39,"")</f>
        <v>0</v>
      </c>
      <c r="O4" s="1">
        <f>N45+O45</f>
        <v>0</v>
      </c>
      <c r="P4" s="8" t="e">
        <f t="shared" ref="P4:P5" si="0">N4/(N4+O4)</f>
        <v>#DIV/0!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35">
      <c r="C5" s="128"/>
      <c r="D5" s="128"/>
      <c r="E5" s="128"/>
      <c r="F5" s="128"/>
      <c r="G5" s="128"/>
      <c r="H5" s="128"/>
      <c r="I5" s="128"/>
      <c r="J5" s="128"/>
      <c r="K5" s="128"/>
      <c r="M5" s="1" t="s">
        <v>35</v>
      </c>
      <c r="N5" s="1">
        <f>COUNTIF(AA4:AA39,"*")-COUNTIF(AA4:AA39,"")</f>
        <v>0</v>
      </c>
      <c r="O5" s="1">
        <f>K45+L45</f>
        <v>0</v>
      </c>
      <c r="P5" s="8" t="e">
        <f t="shared" si="0"/>
        <v>#DIV/0!</v>
      </c>
      <c r="Q5" s="1">
        <v>1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35">
      <c r="C6" s="128"/>
      <c r="D6" s="128"/>
      <c r="E6" s="128"/>
      <c r="F6" s="128"/>
      <c r="G6" s="128"/>
      <c r="H6" s="128"/>
      <c r="I6" s="128"/>
      <c r="J6" s="128"/>
      <c r="K6" s="128"/>
      <c r="S6" s="1" t="s">
        <v>30</v>
      </c>
      <c r="T6" s="6">
        <f t="shared" si="1"/>
        <v>0</v>
      </c>
      <c r="U6" s="7">
        <f t="shared" si="2"/>
        <v>0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35">
      <c r="C7" s="128"/>
      <c r="D7" s="128"/>
      <c r="E7" s="128"/>
      <c r="F7" s="128"/>
      <c r="G7" s="128"/>
      <c r="H7" s="128"/>
      <c r="I7" s="128"/>
      <c r="J7" s="128"/>
      <c r="K7" s="128"/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35">
      <c r="C8" s="128"/>
      <c r="D8" s="128"/>
      <c r="E8" s="128"/>
      <c r="F8" s="128"/>
      <c r="G8" s="128"/>
      <c r="H8" s="128"/>
      <c r="I8" s="128"/>
      <c r="J8" s="128"/>
      <c r="K8" s="128"/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35">
      <c r="C9" s="128"/>
      <c r="D9" s="128"/>
      <c r="E9" s="128"/>
      <c r="F9" s="128"/>
      <c r="G9" s="128"/>
      <c r="H9" s="128"/>
      <c r="I9" s="128"/>
      <c r="J9" s="128"/>
      <c r="K9" s="128"/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35">
      <c r="C10" s="128"/>
      <c r="D10" s="128"/>
      <c r="E10" s="128"/>
      <c r="F10" s="128"/>
      <c r="G10" s="128"/>
      <c r="H10" s="128"/>
      <c r="I10" s="128"/>
      <c r="J10" s="128"/>
      <c r="K10" s="128"/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35">
      <c r="C11" s="128"/>
      <c r="D11" s="128"/>
      <c r="E11" s="128"/>
      <c r="F11" s="128"/>
      <c r="G11" s="128"/>
      <c r="H11" s="128"/>
      <c r="I11" s="128"/>
      <c r="J11" s="128"/>
      <c r="K11" s="128"/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35">
      <c r="C12" s="128"/>
      <c r="D12" s="128"/>
      <c r="E12" s="128"/>
      <c r="F12" s="128"/>
      <c r="G12" s="128"/>
      <c r="H12" s="128"/>
      <c r="I12" s="128"/>
      <c r="J12" s="128"/>
      <c r="K12" s="128"/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35">
      <c r="C13" s="128"/>
      <c r="D13" s="128"/>
      <c r="E13" s="128"/>
      <c r="F13" s="128"/>
      <c r="G13" s="128"/>
      <c r="H13" s="128"/>
      <c r="I13" s="128"/>
      <c r="J13" s="128"/>
      <c r="K13" s="128"/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35">
      <c r="C14" s="128"/>
      <c r="D14" s="128"/>
      <c r="E14" s="128"/>
      <c r="F14" s="128"/>
      <c r="G14" s="128"/>
      <c r="H14" s="128"/>
      <c r="I14" s="128"/>
      <c r="J14" s="128"/>
      <c r="K14" s="128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35">
      <c r="C15" s="128"/>
      <c r="D15" s="128"/>
      <c r="E15" s="128"/>
      <c r="F15" s="128"/>
      <c r="G15" s="128"/>
      <c r="H15" s="128"/>
      <c r="I15" s="128"/>
      <c r="J15" s="128"/>
      <c r="K15" s="128"/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35">
      <c r="C16" s="128"/>
      <c r="D16" s="128"/>
      <c r="E16" s="128"/>
      <c r="F16" s="128"/>
      <c r="G16" s="128"/>
      <c r="H16" s="128"/>
      <c r="I16" s="128"/>
      <c r="J16" s="128"/>
      <c r="K16" s="128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35">
      <c r="C17" s="128"/>
      <c r="D17" s="128"/>
      <c r="E17" s="128"/>
      <c r="F17" s="128"/>
      <c r="G17" s="128"/>
      <c r="H17" s="128"/>
      <c r="I17" s="128"/>
      <c r="J17" s="128"/>
      <c r="K17" s="128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35">
      <c r="C18" s="128"/>
      <c r="D18" s="128"/>
      <c r="E18" s="128"/>
      <c r="F18" s="128"/>
      <c r="G18" s="128"/>
      <c r="H18" s="128"/>
      <c r="I18" s="128"/>
      <c r="J18" s="128"/>
      <c r="K18" s="128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35">
      <c r="C19" s="128"/>
      <c r="D19" s="128"/>
      <c r="E19" s="128"/>
      <c r="F19" s="128"/>
      <c r="G19" s="128"/>
      <c r="H19" s="128"/>
      <c r="I19" s="128"/>
      <c r="J19" s="128"/>
      <c r="K19" s="128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35">
      <c r="C20" s="128"/>
      <c r="D20" s="128"/>
      <c r="E20" s="128"/>
      <c r="F20" s="128"/>
      <c r="G20" s="128"/>
      <c r="H20" s="128"/>
      <c r="I20" s="128"/>
      <c r="J20" s="128"/>
      <c r="K20" s="128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35">
      <c r="C21" s="128"/>
      <c r="D21" s="128"/>
      <c r="E21" s="128"/>
      <c r="F21" s="128"/>
      <c r="G21" s="128"/>
      <c r="H21" s="128"/>
      <c r="I21" s="128"/>
      <c r="J21" s="128"/>
      <c r="K21" s="128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3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3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4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3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4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3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4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35">
      <c r="S26" s="9"/>
      <c r="T26" t="str">
        <f t="shared" si="9"/>
        <v>0,</v>
      </c>
      <c r="U26" t="str">
        <f t="shared" si="9"/>
        <v>0,</v>
      </c>
      <c r="V26" t="str">
        <f t="shared" si="9"/>
        <v>0,</v>
      </c>
      <c r="W26" t="str">
        <f t="shared" si="9"/>
        <v>0,</v>
      </c>
      <c r="X26" s="124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3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4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3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4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3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4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3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4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3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4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3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4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3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4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3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4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3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4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3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4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3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4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3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4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3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35">
      <c r="C40" s="50"/>
      <c r="T40" s="6"/>
      <c r="U40" s="6"/>
      <c r="V40" s="6"/>
    </row>
    <row r="41" spans="3:28" ht="14.25" customHeight="1" x14ac:dyDescent="0.7">
      <c r="S41" s="64"/>
      <c r="T41" s="64"/>
      <c r="U41" s="64"/>
      <c r="V41" s="64"/>
      <c r="W41" s="64"/>
    </row>
    <row r="42" spans="3:28" ht="14.25" customHeight="1" x14ac:dyDescent="0.7">
      <c r="S42" s="64"/>
      <c r="T42" s="64"/>
      <c r="U42" s="64"/>
      <c r="V42" s="64"/>
      <c r="W42" s="64"/>
    </row>
    <row r="43" spans="3:28" ht="14.25" customHeight="1" x14ac:dyDescent="0.35">
      <c r="C43" t="s">
        <v>135</v>
      </c>
      <c r="T43" s="10" t="s">
        <v>211</v>
      </c>
      <c r="U43" s="10"/>
    </row>
    <row r="44" spans="3:28" ht="14.25" customHeight="1" x14ac:dyDescent="0.3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35">
      <c r="C45" s="50" t="str">
        <f>B4</f>
        <v>25 January</v>
      </c>
      <c r="D45">
        <f>MAX(N3:N5)</f>
        <v>0</v>
      </c>
      <c r="E45">
        <f>COUNT(C4:C42)-D45-F45</f>
        <v>0</v>
      </c>
      <c r="F45">
        <f>MIN(N3:N5)</f>
        <v>0</v>
      </c>
      <c r="G45">
        <f>N3</f>
        <v>0</v>
      </c>
      <c r="H45">
        <f>COUNTIF(AA4:AA39, "GM/CT")</f>
        <v>0</v>
      </c>
      <c r="I45">
        <f>COUNTIF(AB4:AB39, "TC/CT")</f>
        <v>0</v>
      </c>
      <c r="J45">
        <f>N5</f>
        <v>0</v>
      </c>
      <c r="K45">
        <f>COUNTIF(Z4:Z39, "CT/GM")</f>
        <v>0</v>
      </c>
      <c r="L45">
        <f>COUNTIF(AB4:AB39, "TC/GM")</f>
        <v>0</v>
      </c>
      <c r="M45">
        <f>N4</f>
        <v>0</v>
      </c>
      <c r="N45">
        <f>COUNTIF(Z4:Z39, "CT/TC")</f>
        <v>0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3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35">
      <c r="T47" s="10" t="s">
        <v>222</v>
      </c>
      <c r="U47" s="10"/>
    </row>
    <row r="48" spans="3:28" ht="14.25" customHeight="1" x14ac:dyDescent="0.35">
      <c r="T48" s="10"/>
    </row>
    <row r="49" spans="20:20" ht="14.25" customHeight="1" x14ac:dyDescent="0.35">
      <c r="T49" s="10"/>
    </row>
    <row r="50" spans="20:20" ht="14.25" customHeight="1" x14ac:dyDescent="0.35">
      <c r="T50" s="10"/>
    </row>
    <row r="51" spans="20:20" ht="14.25" customHeight="1" x14ac:dyDescent="0.35"/>
    <row r="52" spans="20:20" ht="14.25" customHeight="1" x14ac:dyDescent="0.35"/>
    <row r="53" spans="20:20" ht="14.25" customHeight="1" x14ac:dyDescent="0.35"/>
    <row r="54" spans="20:20" ht="14.25" customHeight="1" x14ac:dyDescent="0.35"/>
    <row r="55" spans="20:20" ht="14.25" customHeight="1" x14ac:dyDescent="0.35"/>
    <row r="56" spans="20:20" ht="14.25" customHeight="1" x14ac:dyDescent="0.35"/>
    <row r="57" spans="20:20" ht="14.25" customHeight="1" x14ac:dyDescent="0.35"/>
    <row r="58" spans="20:20" ht="14.25" customHeight="1" x14ac:dyDescent="0.35"/>
    <row r="59" spans="20:20" ht="14.25" customHeight="1" x14ac:dyDescent="0.35"/>
    <row r="60" spans="20:20" ht="14.25" customHeight="1" x14ac:dyDescent="0.35"/>
    <row r="61" spans="20:20" ht="14.25" customHeight="1" x14ac:dyDescent="0.35"/>
    <row r="62" spans="20:20" ht="14.25" customHeight="1" x14ac:dyDescent="0.35"/>
    <row r="63" spans="20:20" ht="14.25" customHeight="1" x14ac:dyDescent="0.35"/>
    <row r="64" spans="20:20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F062-8002-4511-9A40-01EE9EA044CB}">
  <dimension ref="B1:AF1000"/>
  <sheetViews>
    <sheetView topLeftCell="A17" zoomScale="85" zoomScaleNormal="85" workbookViewId="0">
      <selection activeCell="T43" sqref="T43:T47"/>
    </sheetView>
  </sheetViews>
  <sheetFormatPr defaultColWidth="14.36328125" defaultRowHeight="15" customHeight="1" x14ac:dyDescent="0.35"/>
  <cols>
    <col min="1" max="1" width="8.7265625" customWidth="1"/>
    <col min="2" max="2" width="13.08984375" customWidth="1"/>
    <col min="3" max="3" width="11.7265625" customWidth="1"/>
    <col min="4" max="4" width="14" customWidth="1"/>
    <col min="5" max="17" width="8.7265625" customWidth="1"/>
    <col min="18" max="18" width="10.7265625" customWidth="1"/>
    <col min="19" max="26" width="8.7265625" customWidth="1"/>
  </cols>
  <sheetData>
    <row r="1" spans="2:31" ht="14.25" customHeight="1" x14ac:dyDescent="0.35"/>
    <row r="2" spans="2:31" ht="14.25" customHeight="1" x14ac:dyDescent="0.3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35">
      <c r="B3" s="10" t="s">
        <v>63</v>
      </c>
      <c r="C3" s="123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3" t="s">
        <v>208</v>
      </c>
      <c r="J3" s="123" t="s">
        <v>209</v>
      </c>
      <c r="K3" s="123" t="s">
        <v>210</v>
      </c>
      <c r="M3" s="1" t="s">
        <v>163</v>
      </c>
      <c r="N3" s="1">
        <f>COUNTIF(Z4:Z39,"*")-COUNTIF(Z4:Z39,"")</f>
        <v>1</v>
      </c>
      <c r="O3" s="1">
        <f>H45+I45</f>
        <v>2</v>
      </c>
      <c r="P3" s="8">
        <f>N3/(N3+O3)</f>
        <v>0.33333333333333331</v>
      </c>
      <c r="Q3" s="1">
        <v>2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35</v>
      </c>
      <c r="AB3" s="105" t="s">
        <v>164</v>
      </c>
      <c r="AC3" s="1"/>
    </row>
    <row r="4" spans="2:31" ht="14.25" customHeight="1" x14ac:dyDescent="0.35">
      <c r="B4" s="125" t="s">
        <v>224</v>
      </c>
      <c r="C4" s="130">
        <v>1</v>
      </c>
      <c r="D4" s="130" t="s">
        <v>173</v>
      </c>
      <c r="E4" s="130" t="s">
        <v>171</v>
      </c>
      <c r="F4" s="130" t="s">
        <v>217</v>
      </c>
      <c r="G4" s="130" t="s">
        <v>30</v>
      </c>
      <c r="H4" s="130" t="s">
        <v>218</v>
      </c>
      <c r="I4" s="130" t="s">
        <v>219</v>
      </c>
      <c r="J4" s="130" t="s">
        <v>219</v>
      </c>
      <c r="K4" s="130">
        <v>1</v>
      </c>
      <c r="M4" s="1" t="s">
        <v>164</v>
      </c>
      <c r="N4" s="1">
        <f>COUNTIF(AB4:AB39,"*")-COUNTIF(AB4:AB39,"")</f>
        <v>1</v>
      </c>
      <c r="O4" s="1">
        <f>N45+O45</f>
        <v>2</v>
      </c>
      <c r="P4" s="8">
        <f t="shared" ref="P4:P5" si="0">N4/(N4+O4)</f>
        <v>0.33333333333333331</v>
      </c>
      <c r="Q4" s="1">
        <v>1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35">
      <c r="C5" s="130">
        <v>1</v>
      </c>
      <c r="D5" s="130" t="s">
        <v>171</v>
      </c>
      <c r="E5" s="130" t="s">
        <v>173</v>
      </c>
      <c r="F5" s="130" t="s">
        <v>221</v>
      </c>
      <c r="G5" s="130" t="s">
        <v>32</v>
      </c>
      <c r="H5" s="130" t="s">
        <v>218</v>
      </c>
      <c r="I5" s="130" t="s">
        <v>219</v>
      </c>
      <c r="J5" s="130" t="s">
        <v>219</v>
      </c>
      <c r="K5" s="130">
        <v>1</v>
      </c>
      <c r="M5" s="1" t="s">
        <v>35</v>
      </c>
      <c r="N5" s="1">
        <f>COUNTIF(AA4:AA39,"*")-COUNTIF(AA4:AA39,"")</f>
        <v>3</v>
      </c>
      <c r="O5" s="1">
        <f>K45+L45</f>
        <v>1</v>
      </c>
      <c r="P5" s="8">
        <f t="shared" si="0"/>
        <v>0.75</v>
      </c>
      <c r="Q5" s="1">
        <v>3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1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35">
      <c r="C6" s="130">
        <v>1</v>
      </c>
      <c r="D6" s="130" t="s">
        <v>171</v>
      </c>
      <c r="E6" s="130" t="s">
        <v>173</v>
      </c>
      <c r="F6" s="130" t="s">
        <v>220</v>
      </c>
      <c r="G6" s="130" t="s">
        <v>37</v>
      </c>
      <c r="H6" s="130" t="s">
        <v>218</v>
      </c>
      <c r="I6" s="130">
        <v>1</v>
      </c>
      <c r="J6" s="130">
        <v>1</v>
      </c>
      <c r="K6" s="130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>GM/CT</v>
      </c>
      <c r="AB6" s="34" t="str">
        <f t="shared" si="7"/>
        <v/>
      </c>
      <c r="AC6" s="1"/>
    </row>
    <row r="7" spans="2:31" ht="14.25" customHeight="1" x14ac:dyDescent="0.35">
      <c r="C7" s="130">
        <v>2</v>
      </c>
      <c r="D7" s="130" t="s">
        <v>171</v>
      </c>
      <c r="E7" s="130" t="s">
        <v>172</v>
      </c>
      <c r="F7" s="130" t="s">
        <v>217</v>
      </c>
      <c r="G7" s="130" t="s">
        <v>37</v>
      </c>
      <c r="H7" s="130" t="s">
        <v>218</v>
      </c>
      <c r="I7" s="130" t="s">
        <v>219</v>
      </c>
      <c r="J7" s="130" t="s">
        <v>219</v>
      </c>
      <c r="K7" s="130">
        <v>2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35">
      <c r="C8" s="130">
        <v>2</v>
      </c>
      <c r="D8" s="130" t="s">
        <v>172</v>
      </c>
      <c r="E8" s="130" t="s">
        <v>171</v>
      </c>
      <c r="F8" s="130" t="s">
        <v>221</v>
      </c>
      <c r="G8" s="130" t="s">
        <v>91</v>
      </c>
      <c r="H8" s="130" t="s">
        <v>83</v>
      </c>
      <c r="I8" s="130" t="s">
        <v>219</v>
      </c>
      <c r="J8" s="130" t="s">
        <v>219</v>
      </c>
      <c r="K8" s="130">
        <v>1</v>
      </c>
      <c r="S8" s="1" t="s">
        <v>37</v>
      </c>
      <c r="T8" s="6">
        <f t="shared" si="1"/>
        <v>3</v>
      </c>
      <c r="U8" s="7">
        <f t="shared" si="2"/>
        <v>3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35">
      <c r="C9" s="130">
        <v>2</v>
      </c>
      <c r="D9" s="130" t="s">
        <v>171</v>
      </c>
      <c r="E9" s="130" t="s">
        <v>172</v>
      </c>
      <c r="F9" s="130" t="s">
        <v>220</v>
      </c>
      <c r="G9" s="130" t="s">
        <v>32</v>
      </c>
      <c r="H9" s="130" t="s">
        <v>218</v>
      </c>
      <c r="I9" s="130">
        <v>2</v>
      </c>
      <c r="J9" s="130">
        <v>1</v>
      </c>
      <c r="K9" s="130">
        <v>1</v>
      </c>
      <c r="S9" t="s">
        <v>91</v>
      </c>
      <c r="T9" s="6">
        <f t="shared" si="1"/>
        <v>1</v>
      </c>
      <c r="U9" s="7">
        <f t="shared" si="2"/>
        <v>0</v>
      </c>
      <c r="V9" s="7">
        <f t="shared" si="3"/>
        <v>1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>GM/TC</v>
      </c>
      <c r="AB9" s="34" t="str">
        <f t="shared" si="7"/>
        <v/>
      </c>
    </row>
    <row r="10" spans="2:31" ht="14.25" customHeight="1" x14ac:dyDescent="0.35">
      <c r="C10" s="130">
        <v>3</v>
      </c>
      <c r="D10" s="130" t="s">
        <v>171</v>
      </c>
      <c r="E10" s="130" t="s">
        <v>173</v>
      </c>
      <c r="F10" s="130" t="s">
        <v>217</v>
      </c>
      <c r="G10" s="130" t="s">
        <v>37</v>
      </c>
      <c r="H10" s="130" t="s">
        <v>218</v>
      </c>
      <c r="I10" s="130" t="s">
        <v>219</v>
      </c>
      <c r="J10" s="130" t="s">
        <v>219</v>
      </c>
      <c r="K10" s="130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35">
      <c r="C11" s="130">
        <v>3</v>
      </c>
      <c r="D11" s="130" t="s">
        <v>171</v>
      </c>
      <c r="E11" s="130" t="s">
        <v>173</v>
      </c>
      <c r="F11" s="130" t="s">
        <v>215</v>
      </c>
      <c r="G11" s="130" t="s">
        <v>32</v>
      </c>
      <c r="H11" s="130" t="s">
        <v>83</v>
      </c>
      <c r="I11" s="130">
        <v>3</v>
      </c>
      <c r="J11" s="130">
        <v>2</v>
      </c>
      <c r="K11" s="130">
        <v>1</v>
      </c>
      <c r="S11" s="1" t="s">
        <v>41</v>
      </c>
      <c r="T11" s="6">
        <f t="shared" si="1"/>
        <v>2</v>
      </c>
      <c r="U11" s="7">
        <f t="shared" si="2"/>
        <v>0</v>
      </c>
      <c r="V11" s="7">
        <f t="shared" si="3"/>
        <v>2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35">
      <c r="C12" s="130">
        <v>4</v>
      </c>
      <c r="D12" s="130" t="s">
        <v>172</v>
      </c>
      <c r="E12" s="130" t="s">
        <v>171</v>
      </c>
      <c r="F12" s="130" t="s">
        <v>217</v>
      </c>
      <c r="G12" s="130" t="s">
        <v>41</v>
      </c>
      <c r="H12" s="130" t="s">
        <v>83</v>
      </c>
      <c r="I12" s="130" t="s">
        <v>219</v>
      </c>
      <c r="J12" s="130" t="s">
        <v>219</v>
      </c>
      <c r="K12" s="130">
        <v>1</v>
      </c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35">
      <c r="C13" s="130">
        <v>4</v>
      </c>
      <c r="D13" s="130" t="s">
        <v>172</v>
      </c>
      <c r="E13" s="130" t="s">
        <v>171</v>
      </c>
      <c r="F13" s="130" t="s">
        <v>215</v>
      </c>
      <c r="G13" s="130" t="s">
        <v>41</v>
      </c>
      <c r="H13" s="130" t="s">
        <v>83</v>
      </c>
      <c r="I13" s="130">
        <v>1</v>
      </c>
      <c r="J13" s="130">
        <v>1</v>
      </c>
      <c r="K13" s="130">
        <v>2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1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35">
      <c r="C14" s="130">
        <v>5</v>
      </c>
      <c r="D14" s="130" t="s">
        <v>173</v>
      </c>
      <c r="E14" s="130" t="s">
        <v>172</v>
      </c>
      <c r="F14" s="130" t="s">
        <v>217</v>
      </c>
      <c r="G14" s="130" t="s">
        <v>52</v>
      </c>
      <c r="H14" s="130" t="s">
        <v>83</v>
      </c>
      <c r="I14" s="130" t="s">
        <v>219</v>
      </c>
      <c r="J14" s="130" t="s">
        <v>219</v>
      </c>
      <c r="K14" s="130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35">
      <c r="C15" s="130">
        <v>5</v>
      </c>
      <c r="D15" s="130" t="s">
        <v>173</v>
      </c>
      <c r="E15" s="130" t="s">
        <v>172</v>
      </c>
      <c r="F15" s="130" t="s">
        <v>215</v>
      </c>
      <c r="G15" s="130" t="s">
        <v>30</v>
      </c>
      <c r="H15" s="130" t="s">
        <v>218</v>
      </c>
      <c r="I15" s="130">
        <v>1</v>
      </c>
      <c r="J15" s="130">
        <v>1</v>
      </c>
      <c r="K15" s="130">
        <v>1</v>
      </c>
      <c r="S15" s="1" t="s">
        <v>52</v>
      </c>
      <c r="T15" s="6">
        <f t="shared" si="1"/>
        <v>1</v>
      </c>
      <c r="U15" s="7">
        <f t="shared" si="2"/>
        <v>0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>CT/TC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35">
      <c r="C16" s="128"/>
      <c r="D16" s="128"/>
      <c r="E16" s="128"/>
      <c r="F16" s="128"/>
      <c r="G16" s="128"/>
      <c r="H16" s="128"/>
      <c r="I16" s="128"/>
      <c r="J16" s="128"/>
      <c r="K16" s="128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35">
      <c r="C17" s="128"/>
      <c r="D17" s="128"/>
      <c r="E17" s="128"/>
      <c r="F17" s="128"/>
      <c r="G17" s="128"/>
      <c r="H17" s="128"/>
      <c r="I17" s="128"/>
      <c r="J17" s="128"/>
      <c r="K17" s="128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35">
      <c r="C18" s="128"/>
      <c r="D18" s="128"/>
      <c r="E18" s="128"/>
      <c r="F18" s="128"/>
      <c r="G18" s="128"/>
      <c r="H18" s="128"/>
      <c r="I18" s="128"/>
      <c r="J18" s="128"/>
      <c r="K18" s="128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35">
      <c r="C19" s="128"/>
      <c r="D19" s="128"/>
      <c r="E19" s="128"/>
      <c r="F19" s="128"/>
      <c r="G19" s="128"/>
      <c r="H19" s="128"/>
      <c r="I19" s="128"/>
      <c r="J19" s="128"/>
      <c r="K19" s="128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35">
      <c r="C20" s="128"/>
      <c r="D20" s="128"/>
      <c r="E20" s="128"/>
      <c r="F20" s="128"/>
      <c r="G20" s="128"/>
      <c r="H20" s="128"/>
      <c r="I20" s="128"/>
      <c r="J20" s="128"/>
      <c r="K20" s="128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35">
      <c r="C21" s="128"/>
      <c r="D21" s="128"/>
      <c r="E21" s="128"/>
      <c r="F21" s="128"/>
      <c r="G21" s="128"/>
      <c r="H21" s="128"/>
      <c r="I21" s="128"/>
      <c r="J21" s="128"/>
      <c r="K21" s="128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3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3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4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3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4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3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4" t="str">
        <f t="shared" si="10"/>
        <v>1,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3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4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3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4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35">
      <c r="T28" t="str">
        <f t="shared" si="9"/>
        <v>3,</v>
      </c>
      <c r="U28" t="str">
        <f t="shared" si="9"/>
        <v>3,</v>
      </c>
      <c r="V28" t="str">
        <f t="shared" si="9"/>
        <v>0,</v>
      </c>
      <c r="W28" t="str">
        <f t="shared" si="9"/>
        <v>0,</v>
      </c>
      <c r="X28" s="124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35">
      <c r="T29" t="str">
        <f t="shared" si="9"/>
        <v>1,</v>
      </c>
      <c r="U29" t="str">
        <f t="shared" si="9"/>
        <v>0,</v>
      </c>
      <c r="V29" t="str">
        <f t="shared" si="9"/>
        <v>1,</v>
      </c>
      <c r="W29" t="str">
        <f t="shared" si="9"/>
        <v>0,</v>
      </c>
      <c r="X29" s="124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3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4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35">
      <c r="T31" t="str">
        <f t="shared" si="9"/>
        <v>2,</v>
      </c>
      <c r="U31" t="str">
        <f t="shared" si="9"/>
        <v>0,</v>
      </c>
      <c r="V31" t="str">
        <f t="shared" si="9"/>
        <v>2,</v>
      </c>
      <c r="W31" t="str">
        <f t="shared" si="9"/>
        <v>0,</v>
      </c>
      <c r="X31" s="124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3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4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3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4" t="str">
        <f t="shared" si="10"/>
        <v>1,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3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4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35">
      <c r="T35" t="str">
        <f t="shared" si="9"/>
        <v>1,</v>
      </c>
      <c r="U35" t="str">
        <f t="shared" si="9"/>
        <v>0,</v>
      </c>
      <c r="V35" t="str">
        <f t="shared" si="9"/>
        <v>1,</v>
      </c>
      <c r="W35" t="str">
        <f t="shared" si="9"/>
        <v>0,</v>
      </c>
      <c r="X35" s="124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3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4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3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4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3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4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3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35">
      <c r="C40" s="50"/>
      <c r="T40" s="6"/>
      <c r="U40" s="6"/>
      <c r="V40" s="6"/>
    </row>
    <row r="41" spans="3:28" ht="14.25" customHeight="1" x14ac:dyDescent="0.7">
      <c r="S41" s="64"/>
      <c r="T41" s="64"/>
      <c r="U41" s="64"/>
      <c r="V41" s="64"/>
      <c r="W41" s="64"/>
    </row>
    <row r="42" spans="3:28" ht="14.25" customHeight="1" x14ac:dyDescent="0.7">
      <c r="S42" s="64"/>
      <c r="T42" s="64"/>
      <c r="U42" s="64"/>
      <c r="V42" s="64"/>
      <c r="W42" s="64"/>
    </row>
    <row r="43" spans="3:28" ht="14.25" customHeight="1" x14ac:dyDescent="0.35">
      <c r="C43" t="s">
        <v>135</v>
      </c>
      <c r="T43" s="10" t="s">
        <v>211</v>
      </c>
      <c r="U43" s="10"/>
    </row>
    <row r="44" spans="3:28" ht="14.25" customHeight="1" x14ac:dyDescent="0.3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"Date":["29 January"],</v>
      </c>
      <c r="U44" s="10"/>
    </row>
    <row r="45" spans="3:28" ht="14.25" customHeight="1" x14ac:dyDescent="0.35">
      <c r="C45" s="50" t="str">
        <f>B4</f>
        <v>29 January</v>
      </c>
      <c r="D45">
        <f>MAX(N3:N5)</f>
        <v>3</v>
      </c>
      <c r="E45">
        <f>COUNT(C4:C42)-D45-F45</f>
        <v>8</v>
      </c>
      <c r="F45">
        <f>MIN(N3:N5)</f>
        <v>1</v>
      </c>
      <c r="G45">
        <f>N3</f>
        <v>1</v>
      </c>
      <c r="H45">
        <f>COUNTIF(AA4:AA39, "GM/CT")</f>
        <v>2</v>
      </c>
      <c r="I45">
        <f>COUNTIF(AB4:AB39, "TC/CT")</f>
        <v>0</v>
      </c>
      <c r="J45">
        <f>N5</f>
        <v>3</v>
      </c>
      <c r="K45">
        <f>COUNTIF(Z4:Z39, "CT/GM")</f>
        <v>0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1</v>
      </c>
      <c r="P45">
        <f>Q3</f>
        <v>2</v>
      </c>
      <c r="Q45">
        <f>Q5</f>
        <v>3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"Missed":[0,0,1,0,0,0,0,0,0,0,1,1,0,0,0,1],</v>
      </c>
      <c r="U45" s="10"/>
    </row>
    <row r="46" spans="3:28" ht="14.25" customHeight="1" x14ac:dyDescent="0.35">
      <c r="T46" s="10" t="str">
        <f>CHAR(34)&amp;"Points"&amp;CHAR(34)&amp;":["&amp;Q3&amp;","&amp;Q4&amp;","&amp;Q5&amp;"]"</f>
        <v>"Points":[2,1,3]</v>
      </c>
      <c r="U46" s="10"/>
    </row>
    <row r="47" spans="3:28" ht="14.25" customHeight="1" x14ac:dyDescent="0.35">
      <c r="T47" s="10" t="s">
        <v>222</v>
      </c>
      <c r="U47" s="10"/>
    </row>
    <row r="48" spans="3:28" ht="14.25" customHeight="1" x14ac:dyDescent="0.35">
      <c r="T48" s="10"/>
    </row>
    <row r="49" spans="20:20" ht="14.25" customHeight="1" x14ac:dyDescent="0.35">
      <c r="T49" s="10"/>
    </row>
    <row r="50" spans="20:20" ht="14.25" customHeight="1" x14ac:dyDescent="0.35">
      <c r="T50" s="10"/>
    </row>
    <row r="51" spans="20:20" ht="14.25" customHeight="1" x14ac:dyDescent="0.35"/>
    <row r="52" spans="20:20" ht="14.25" customHeight="1" x14ac:dyDescent="0.35"/>
    <row r="53" spans="20:20" ht="14.25" customHeight="1" x14ac:dyDescent="0.35"/>
    <row r="54" spans="20:20" ht="14.25" customHeight="1" x14ac:dyDescent="0.35"/>
    <row r="55" spans="20:20" ht="14.25" customHeight="1" x14ac:dyDescent="0.35"/>
    <row r="56" spans="20:20" ht="14.25" customHeight="1" x14ac:dyDescent="0.35"/>
    <row r="57" spans="20:20" ht="14.25" customHeight="1" x14ac:dyDescent="0.35"/>
    <row r="58" spans="20:20" ht="14.25" customHeight="1" x14ac:dyDescent="0.35"/>
    <row r="59" spans="20:20" ht="14.25" customHeight="1" x14ac:dyDescent="0.35"/>
    <row r="60" spans="20:20" ht="14.25" customHeight="1" x14ac:dyDescent="0.35"/>
    <row r="61" spans="20:20" ht="14.25" customHeight="1" x14ac:dyDescent="0.35"/>
    <row r="62" spans="20:20" ht="14.25" customHeight="1" x14ac:dyDescent="0.35"/>
    <row r="63" spans="20:20" ht="14.25" customHeight="1" x14ac:dyDescent="0.35"/>
    <row r="64" spans="20:20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344B-6CBC-413B-A1BF-AB6BC841C5AA}">
  <dimension ref="B1:AF1000"/>
  <sheetViews>
    <sheetView topLeftCell="B1" zoomScale="74" workbookViewId="0">
      <selection activeCell="L43" sqref="A1:XFD1048576"/>
    </sheetView>
  </sheetViews>
  <sheetFormatPr defaultColWidth="14.36328125" defaultRowHeight="15" customHeight="1" x14ac:dyDescent="0.35"/>
  <cols>
    <col min="1" max="1" width="8.7265625" customWidth="1"/>
    <col min="2" max="2" width="13.08984375" customWidth="1"/>
    <col min="3" max="3" width="11.7265625" customWidth="1"/>
    <col min="4" max="4" width="14" customWidth="1"/>
    <col min="5" max="17" width="8.7265625" customWidth="1"/>
    <col min="18" max="18" width="10.7265625" customWidth="1"/>
    <col min="19" max="26" width="8.7265625" customWidth="1"/>
  </cols>
  <sheetData>
    <row r="1" spans="2:31" ht="14.25" customHeight="1" x14ac:dyDescent="0.35"/>
    <row r="2" spans="2:31" ht="14.25" customHeight="1" x14ac:dyDescent="0.3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35">
      <c r="B3" s="10" t="s">
        <v>63</v>
      </c>
      <c r="C3" s="123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3" t="s">
        <v>208</v>
      </c>
      <c r="J3" s="123" t="s">
        <v>209</v>
      </c>
      <c r="K3" s="123" t="s">
        <v>210</v>
      </c>
      <c r="M3" s="1" t="s">
        <v>163</v>
      </c>
      <c r="N3" s="1">
        <f>COUNTIF(Z4:Z39,"*")-COUNTIF(Z4:Z39,"")</f>
        <v>2</v>
      </c>
      <c r="O3" s="1">
        <f>H45+I45</f>
        <v>1</v>
      </c>
      <c r="P3" s="8">
        <f>N3/(N3+O3)</f>
        <v>0.66666666666666663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35</v>
      </c>
      <c r="AB3" s="105" t="s">
        <v>164</v>
      </c>
      <c r="AC3" s="1"/>
    </row>
    <row r="4" spans="2:31" ht="14.25" customHeight="1" x14ac:dyDescent="0.35">
      <c r="B4" s="125" t="s">
        <v>223</v>
      </c>
      <c r="C4" s="128">
        <v>1</v>
      </c>
      <c r="D4" s="128" t="s">
        <v>173</v>
      </c>
      <c r="E4" s="128" t="s">
        <v>171</v>
      </c>
      <c r="F4" s="128" t="s">
        <v>217</v>
      </c>
      <c r="G4" s="128" t="s">
        <v>52</v>
      </c>
      <c r="H4" s="128" t="s">
        <v>218</v>
      </c>
      <c r="I4" s="128" t="s">
        <v>219</v>
      </c>
      <c r="J4" s="128" t="s">
        <v>219</v>
      </c>
      <c r="K4" s="128">
        <v>1</v>
      </c>
      <c r="M4" s="1" t="s">
        <v>164</v>
      </c>
      <c r="N4" s="1">
        <f>COUNTIF(AB4:AB39,"*")-COUNTIF(AB4:AB39,"")</f>
        <v>1</v>
      </c>
      <c r="O4" s="1">
        <f>N45+O45</f>
        <v>1</v>
      </c>
      <c r="P4" s="8">
        <f t="shared" ref="P4:P5" si="0">N4/(N4+O4)</f>
        <v>0.5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35">
      <c r="C5" s="128">
        <v>1</v>
      </c>
      <c r="D5" s="128" t="s">
        <v>171</v>
      </c>
      <c r="E5" s="128" t="s">
        <v>173</v>
      </c>
      <c r="F5" s="128" t="s">
        <v>221</v>
      </c>
      <c r="G5" s="128" t="s">
        <v>44</v>
      </c>
      <c r="H5" s="128" t="s">
        <v>83</v>
      </c>
      <c r="I5" s="128" t="s">
        <v>219</v>
      </c>
      <c r="J5" s="128" t="s">
        <v>219</v>
      </c>
      <c r="K5" s="128">
        <v>1</v>
      </c>
      <c r="M5" s="1" t="s">
        <v>35</v>
      </c>
      <c r="N5" s="1">
        <f>COUNTIF(AA4:AA39,"*")-COUNTIF(AA4:AA39,"")</f>
        <v>1</v>
      </c>
      <c r="O5" s="1">
        <f>K45+L45</f>
        <v>2</v>
      </c>
      <c r="P5" s="8">
        <f t="shared" si="0"/>
        <v>0.33333333333333331</v>
      </c>
      <c r="Q5" s="1">
        <v>1</v>
      </c>
      <c r="S5" s="1" t="s">
        <v>27</v>
      </c>
      <c r="T5" s="6">
        <f t="shared" si="1"/>
        <v>1</v>
      </c>
      <c r="U5" s="7">
        <f t="shared" si="2"/>
        <v>1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35">
      <c r="C6" s="128">
        <v>1</v>
      </c>
      <c r="D6" s="128" t="s">
        <v>173</v>
      </c>
      <c r="E6" s="128" t="s">
        <v>171</v>
      </c>
      <c r="F6" s="128" t="s">
        <v>220</v>
      </c>
      <c r="G6" s="128" t="s">
        <v>30</v>
      </c>
      <c r="H6" s="128" t="s">
        <v>218</v>
      </c>
      <c r="I6" s="128">
        <v>1</v>
      </c>
      <c r="J6" s="128">
        <v>1</v>
      </c>
      <c r="K6" s="128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>CT/GM</v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35">
      <c r="C7" s="128">
        <v>2</v>
      </c>
      <c r="D7" s="128" t="s">
        <v>173</v>
      </c>
      <c r="E7" s="128" t="s">
        <v>172</v>
      </c>
      <c r="F7" s="128" t="s">
        <v>217</v>
      </c>
      <c r="G7" s="128" t="s">
        <v>52</v>
      </c>
      <c r="H7" s="128" t="s">
        <v>83</v>
      </c>
      <c r="I7" s="128" t="s">
        <v>219</v>
      </c>
      <c r="J7" s="128" t="s">
        <v>219</v>
      </c>
      <c r="K7" s="128">
        <v>1</v>
      </c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35">
      <c r="C8" s="128">
        <v>2</v>
      </c>
      <c r="D8" s="128" t="s">
        <v>173</v>
      </c>
      <c r="E8" s="128" t="s">
        <v>172</v>
      </c>
      <c r="F8" s="128" t="s">
        <v>215</v>
      </c>
      <c r="G8" s="128" t="s">
        <v>30</v>
      </c>
      <c r="H8" s="128" t="s">
        <v>218</v>
      </c>
      <c r="I8" s="128">
        <v>2</v>
      </c>
      <c r="J8" s="128">
        <v>1</v>
      </c>
      <c r="K8" s="128">
        <v>1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35">
      <c r="C9" s="128">
        <v>3</v>
      </c>
      <c r="D9" s="128" t="s">
        <v>171</v>
      </c>
      <c r="E9" s="128" t="s">
        <v>173</v>
      </c>
      <c r="F9" s="128" t="s">
        <v>217</v>
      </c>
      <c r="G9" s="128" t="s">
        <v>44</v>
      </c>
      <c r="H9" s="128" t="s">
        <v>83</v>
      </c>
      <c r="I9" s="128" t="s">
        <v>219</v>
      </c>
      <c r="J9" s="128" t="s">
        <v>219</v>
      </c>
      <c r="K9" s="128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35">
      <c r="C10" s="128">
        <v>3</v>
      </c>
      <c r="D10" s="128" t="s">
        <v>173</v>
      </c>
      <c r="E10" s="128" t="s">
        <v>171</v>
      </c>
      <c r="F10" s="128" t="s">
        <v>221</v>
      </c>
      <c r="G10" s="128" t="s">
        <v>27</v>
      </c>
      <c r="H10" s="128" t="s">
        <v>218</v>
      </c>
      <c r="I10" s="128" t="s">
        <v>219</v>
      </c>
      <c r="J10" s="128" t="s">
        <v>219</v>
      </c>
      <c r="K10" s="128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35">
      <c r="C11" s="128">
        <v>3</v>
      </c>
      <c r="D11" s="128" t="s">
        <v>171</v>
      </c>
      <c r="E11" s="128" t="s">
        <v>173</v>
      </c>
      <c r="F11" s="128" t="s">
        <v>220</v>
      </c>
      <c r="G11" s="128" t="s">
        <v>37</v>
      </c>
      <c r="H11" s="128" t="s">
        <v>218</v>
      </c>
      <c r="I11" s="128">
        <v>1</v>
      </c>
      <c r="J11" s="128">
        <v>1</v>
      </c>
      <c r="K11" s="128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35">
      <c r="C12" s="128">
        <v>4</v>
      </c>
      <c r="D12" s="128" t="s">
        <v>171</v>
      </c>
      <c r="E12" s="128" t="s">
        <v>172</v>
      </c>
      <c r="F12" s="128" t="s">
        <v>217</v>
      </c>
      <c r="G12" s="128" t="s">
        <v>44</v>
      </c>
      <c r="H12" s="128" t="s">
        <v>83</v>
      </c>
      <c r="I12" s="128" t="s">
        <v>219</v>
      </c>
      <c r="J12" s="128" t="s">
        <v>219</v>
      </c>
      <c r="K12" s="128">
        <v>1</v>
      </c>
      <c r="S12" s="1" t="s">
        <v>44</v>
      </c>
      <c r="T12" s="6">
        <f t="shared" si="1"/>
        <v>3</v>
      </c>
      <c r="U12" s="7">
        <f t="shared" si="2"/>
        <v>0</v>
      </c>
      <c r="V12" s="7">
        <f t="shared" si="3"/>
        <v>3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35">
      <c r="C13" s="128">
        <v>4</v>
      </c>
      <c r="D13" s="128" t="s">
        <v>172</v>
      </c>
      <c r="E13" s="128" t="s">
        <v>171</v>
      </c>
      <c r="F13" s="128" t="s">
        <v>220</v>
      </c>
      <c r="G13" s="128" t="s">
        <v>55</v>
      </c>
      <c r="H13" s="128" t="s">
        <v>216</v>
      </c>
      <c r="I13" s="128">
        <v>1</v>
      </c>
      <c r="J13" s="128">
        <v>1</v>
      </c>
      <c r="K13" s="128">
        <v>1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35">
      <c r="C14" s="128"/>
      <c r="D14" s="128"/>
      <c r="E14" s="128"/>
      <c r="F14" s="128"/>
      <c r="G14" s="128"/>
      <c r="H14" s="128"/>
      <c r="I14" s="128"/>
      <c r="J14" s="128"/>
      <c r="K14" s="128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35">
      <c r="C15" s="128"/>
      <c r="D15" s="128"/>
      <c r="E15" s="128"/>
      <c r="F15" s="128"/>
      <c r="G15" s="128"/>
      <c r="H15" s="128"/>
      <c r="I15" s="128"/>
      <c r="J15" s="128"/>
      <c r="K15" s="128"/>
      <c r="S15" s="1" t="s">
        <v>52</v>
      </c>
      <c r="T15" s="6">
        <f t="shared" si="1"/>
        <v>2</v>
      </c>
      <c r="U15" s="7">
        <f t="shared" si="2"/>
        <v>1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35">
      <c r="C16" s="128"/>
      <c r="D16" s="128"/>
      <c r="E16" s="128"/>
      <c r="F16" s="128"/>
      <c r="G16" s="128"/>
      <c r="H16" s="128"/>
      <c r="I16" s="128"/>
      <c r="J16" s="128"/>
      <c r="K16" s="128"/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35">
      <c r="C17" s="128"/>
      <c r="D17" s="128"/>
      <c r="E17" s="128"/>
      <c r="F17" s="128"/>
      <c r="G17" s="128"/>
      <c r="H17" s="128"/>
      <c r="I17" s="128"/>
      <c r="J17" s="128"/>
      <c r="K17" s="128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35">
      <c r="C18" s="128"/>
      <c r="D18" s="128"/>
      <c r="E18" s="128"/>
      <c r="F18" s="128"/>
      <c r="G18" s="128"/>
      <c r="H18" s="128"/>
      <c r="I18" s="128"/>
      <c r="J18" s="128"/>
      <c r="K18" s="128"/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35">
      <c r="C19" s="128"/>
      <c r="D19" s="128"/>
      <c r="E19" s="128"/>
      <c r="F19" s="128"/>
      <c r="G19" s="128"/>
      <c r="H19" s="128"/>
      <c r="I19" s="128"/>
      <c r="J19" s="128"/>
      <c r="K19" s="128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35">
      <c r="C20" s="128"/>
      <c r="D20" s="128"/>
      <c r="E20" s="128"/>
      <c r="F20" s="128"/>
      <c r="G20" s="128"/>
      <c r="H20" s="128"/>
      <c r="I20" s="128"/>
      <c r="J20" s="128"/>
      <c r="K20" s="128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35">
      <c r="C21" s="128"/>
      <c r="D21" s="128"/>
      <c r="E21" s="128"/>
      <c r="F21" s="128"/>
      <c r="G21" s="128"/>
      <c r="H21" s="128"/>
      <c r="I21" s="128"/>
      <c r="J21" s="128"/>
      <c r="K21" s="128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3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3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4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3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4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35">
      <c r="S25" s="2"/>
      <c r="T25" t="str">
        <f t="shared" si="9"/>
        <v>1,</v>
      </c>
      <c r="U25" t="str">
        <f t="shared" si="9"/>
        <v>1,</v>
      </c>
      <c r="V25" t="str">
        <f t="shared" si="9"/>
        <v>0,</v>
      </c>
      <c r="W25" t="str">
        <f t="shared" si="9"/>
        <v>0,</v>
      </c>
      <c r="X25" s="124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3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4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3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4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3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4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3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4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3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4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3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4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35">
      <c r="T32" t="str">
        <f t="shared" si="9"/>
        <v>3,</v>
      </c>
      <c r="U32" t="str">
        <f t="shared" si="9"/>
        <v>0,</v>
      </c>
      <c r="V32" t="str">
        <f t="shared" si="9"/>
        <v>3,</v>
      </c>
      <c r="W32" t="str">
        <f t="shared" si="9"/>
        <v>0,</v>
      </c>
      <c r="X32" s="124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3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4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3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4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35">
      <c r="T35" t="str">
        <f t="shared" si="9"/>
        <v>2,</v>
      </c>
      <c r="U35" t="str">
        <f t="shared" si="9"/>
        <v>1,</v>
      </c>
      <c r="V35" t="str">
        <f t="shared" si="9"/>
        <v>1,</v>
      </c>
      <c r="W35" t="str">
        <f t="shared" si="9"/>
        <v>0,</v>
      </c>
      <c r="X35" s="124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3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4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3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4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3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4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3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35">
      <c r="C40" s="50"/>
      <c r="T40" s="6"/>
      <c r="U40" s="6"/>
      <c r="V40" s="6"/>
    </row>
    <row r="41" spans="3:28" ht="14.25" customHeight="1" x14ac:dyDescent="0.7">
      <c r="S41" s="64"/>
      <c r="T41" s="64"/>
      <c r="U41" s="64"/>
      <c r="V41" s="64"/>
      <c r="W41" s="64"/>
    </row>
    <row r="42" spans="3:28" ht="14.25" customHeight="1" x14ac:dyDescent="0.7">
      <c r="S42" s="64"/>
      <c r="T42" s="64"/>
      <c r="U42" s="64"/>
      <c r="V42" s="64"/>
      <c r="W42" s="64"/>
    </row>
    <row r="43" spans="3:28" ht="14.25" customHeight="1" x14ac:dyDescent="0.35">
      <c r="C43" t="s">
        <v>135</v>
      </c>
      <c r="T43" s="10" t="s">
        <v>211</v>
      </c>
      <c r="U43" s="10"/>
    </row>
    <row r="44" spans="3:28" ht="14.25" customHeight="1" x14ac:dyDescent="0.3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35">
      <c r="C45" s="50" t="str">
        <f>B4</f>
        <v>25 January</v>
      </c>
      <c r="D45">
        <f>MAX(N3:N5)</f>
        <v>2</v>
      </c>
      <c r="E45">
        <f>COUNT(C4:C42)-D45-F45</f>
        <v>7</v>
      </c>
      <c r="F45">
        <f>MIN(N3:N5)</f>
        <v>1</v>
      </c>
      <c r="G45">
        <f>N3</f>
        <v>2</v>
      </c>
      <c r="H45">
        <f>COUNTIF(AA4:AA39, "GM/CT")</f>
        <v>1</v>
      </c>
      <c r="I45">
        <f>COUNTIF(AB4:AB39, "TC/CT")</f>
        <v>0</v>
      </c>
      <c r="J45">
        <f>N5</f>
        <v>1</v>
      </c>
      <c r="K45">
        <f>COUNTIF(Z4:Z39, "CT/GM")</f>
        <v>1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3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35">
      <c r="T47" s="10" t="s">
        <v>222</v>
      </c>
      <c r="U47" s="10"/>
    </row>
    <row r="48" spans="3:28" ht="14.25" customHeight="1" x14ac:dyDescent="0.35">
      <c r="T48" s="10"/>
    </row>
    <row r="49" spans="20:20" ht="14.25" customHeight="1" x14ac:dyDescent="0.35">
      <c r="T49" s="10"/>
    </row>
    <row r="50" spans="20:20" ht="14.25" customHeight="1" x14ac:dyDescent="0.35">
      <c r="T50" s="10"/>
    </row>
    <row r="51" spans="20:20" ht="14.25" customHeight="1" x14ac:dyDescent="0.35"/>
    <row r="52" spans="20:20" ht="14.25" customHeight="1" x14ac:dyDescent="0.35"/>
    <row r="53" spans="20:20" ht="14.25" customHeight="1" x14ac:dyDescent="0.35"/>
    <row r="54" spans="20:20" ht="14.25" customHeight="1" x14ac:dyDescent="0.35"/>
    <row r="55" spans="20:20" ht="14.25" customHeight="1" x14ac:dyDescent="0.35"/>
    <row r="56" spans="20:20" ht="14.25" customHeight="1" x14ac:dyDescent="0.35"/>
    <row r="57" spans="20:20" ht="14.25" customHeight="1" x14ac:dyDescent="0.35"/>
    <row r="58" spans="20:20" ht="14.25" customHeight="1" x14ac:dyDescent="0.35"/>
    <row r="59" spans="20:20" ht="14.25" customHeight="1" x14ac:dyDescent="0.35"/>
    <row r="60" spans="20:20" ht="14.25" customHeight="1" x14ac:dyDescent="0.35"/>
    <row r="61" spans="20:20" ht="14.25" customHeight="1" x14ac:dyDescent="0.35"/>
    <row r="62" spans="20:20" ht="14.25" customHeight="1" x14ac:dyDescent="0.35"/>
    <row r="63" spans="20:20" ht="14.25" customHeight="1" x14ac:dyDescent="0.35"/>
    <row r="64" spans="20:20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99DF-4C9E-4BF0-9621-4006726449D0}">
  <dimension ref="B1:AF1000"/>
  <sheetViews>
    <sheetView zoomScale="73" workbookViewId="0">
      <selection activeCell="P28" sqref="A1:XFD1048576"/>
    </sheetView>
  </sheetViews>
  <sheetFormatPr defaultColWidth="14.36328125" defaultRowHeight="15" customHeight="1" x14ac:dyDescent="0.35"/>
  <cols>
    <col min="1" max="1" width="8.7265625" customWidth="1"/>
    <col min="2" max="2" width="13.08984375" customWidth="1"/>
    <col min="3" max="3" width="11.7265625" customWidth="1"/>
    <col min="4" max="4" width="14" customWidth="1"/>
    <col min="5" max="17" width="8.7265625" customWidth="1"/>
    <col min="18" max="18" width="10.7265625" customWidth="1"/>
    <col min="19" max="26" width="8.7265625" customWidth="1"/>
  </cols>
  <sheetData>
    <row r="1" spans="2:31" ht="14.25" customHeight="1" x14ac:dyDescent="0.35"/>
    <row r="2" spans="2:31" ht="14.25" customHeight="1" x14ac:dyDescent="0.3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35">
      <c r="B3" s="10" t="s">
        <v>63</v>
      </c>
      <c r="C3" s="123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3" t="s">
        <v>208</v>
      </c>
      <c r="J3" s="123" t="s">
        <v>209</v>
      </c>
      <c r="K3" s="123" t="s">
        <v>210</v>
      </c>
      <c r="M3" s="1" t="s">
        <v>163</v>
      </c>
      <c r="N3" s="1">
        <f>COUNTIF(Z4:Z39,"*")-COUNTIF(Z4:Z39,"")</f>
        <v>4</v>
      </c>
      <c r="O3" s="1">
        <f>H45+I45</f>
        <v>2</v>
      </c>
      <c r="P3" s="8">
        <f>N3/(N3+O3)</f>
        <v>0.66666666666666663</v>
      </c>
      <c r="Q3" s="1">
        <f>IF(O3&lt;&gt;0,IF(AND(P3&gt;P4,P3&gt;P5),3,IF(OR(P3&gt;P4,P3&gt;P5),2,1)),0)</f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164</v>
      </c>
      <c r="AB3" s="105" t="s">
        <v>35</v>
      </c>
      <c r="AC3" s="1"/>
    </row>
    <row r="4" spans="2:31" ht="14.25" customHeight="1" x14ac:dyDescent="0.35">
      <c r="B4" s="125" t="s">
        <v>212</v>
      </c>
      <c r="C4" s="128">
        <v>1</v>
      </c>
      <c r="D4" s="128" t="s">
        <v>172</v>
      </c>
      <c r="E4" s="128" t="s">
        <v>173</v>
      </c>
      <c r="F4" s="128" t="s">
        <v>215</v>
      </c>
      <c r="G4" s="128" t="s">
        <v>39</v>
      </c>
      <c r="H4" s="128" t="s">
        <v>216</v>
      </c>
      <c r="I4" s="128">
        <v>1</v>
      </c>
      <c r="J4" s="128">
        <v>1</v>
      </c>
      <c r="K4" s="128">
        <v>1</v>
      </c>
      <c r="M4" s="1" t="s">
        <v>164</v>
      </c>
      <c r="N4" s="1">
        <f>COUNTIF(AA4:AA39,"*")-COUNTIF(AA4:AA39,"")</f>
        <v>2</v>
      </c>
      <c r="O4" s="1">
        <f>K45+L45</f>
        <v>3</v>
      </c>
      <c r="P4" s="8">
        <f t="shared" ref="P4:P5" si="0">N4/(N4+O4)</f>
        <v>0.4</v>
      </c>
      <c r="Q4" s="1">
        <v>1.5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>TC/CT</v>
      </c>
      <c r="AC4" s="1"/>
    </row>
    <row r="5" spans="2:31" ht="14.25" customHeight="1" x14ac:dyDescent="0.35">
      <c r="C5" s="128">
        <v>2</v>
      </c>
      <c r="D5" s="128" t="s">
        <v>171</v>
      </c>
      <c r="E5" s="128" t="s">
        <v>172</v>
      </c>
      <c r="F5" s="128" t="s">
        <v>217</v>
      </c>
      <c r="G5" s="128" t="s">
        <v>32</v>
      </c>
      <c r="H5" s="128" t="s">
        <v>218</v>
      </c>
      <c r="I5" s="128" t="s">
        <v>219</v>
      </c>
      <c r="J5" s="128" t="s">
        <v>219</v>
      </c>
      <c r="K5" s="128">
        <v>1</v>
      </c>
      <c r="M5" s="1" t="s">
        <v>35</v>
      </c>
      <c r="N5" s="1">
        <f>COUNTIF(AB4:AB39,"*")-COUNTIF(AB4:AB39,"")</f>
        <v>2</v>
      </c>
      <c r="O5" s="1">
        <f>N45+O45</f>
        <v>3</v>
      </c>
      <c r="P5" s="8">
        <f t="shared" si="0"/>
        <v>0.4</v>
      </c>
      <c r="Q5" s="1">
        <v>1.5</v>
      </c>
      <c r="S5" s="1" t="s">
        <v>27</v>
      </c>
      <c r="T5" s="6">
        <f t="shared" si="1"/>
        <v>5</v>
      </c>
      <c r="U5" s="7">
        <f t="shared" si="2"/>
        <v>5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35">
      <c r="C6" s="128">
        <v>2</v>
      </c>
      <c r="D6" s="128" t="s">
        <v>172</v>
      </c>
      <c r="E6" s="128" t="s">
        <v>171</v>
      </c>
      <c r="F6" s="128" t="s">
        <v>220</v>
      </c>
      <c r="G6" s="128" t="s">
        <v>55</v>
      </c>
      <c r="H6" s="128" t="s">
        <v>216</v>
      </c>
      <c r="I6" s="128">
        <v>2</v>
      </c>
      <c r="J6" s="128">
        <v>1</v>
      </c>
      <c r="K6" s="128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>TC/GM</v>
      </c>
      <c r="AC6" s="1"/>
    </row>
    <row r="7" spans="2:31" ht="14.25" customHeight="1" x14ac:dyDescent="0.35">
      <c r="C7" s="128">
        <v>3</v>
      </c>
      <c r="D7" s="128" t="s">
        <v>173</v>
      </c>
      <c r="E7" s="128" t="s">
        <v>172</v>
      </c>
      <c r="F7" s="128" t="s">
        <v>217</v>
      </c>
      <c r="G7" s="128" t="s">
        <v>27</v>
      </c>
      <c r="H7" s="128" t="s">
        <v>218</v>
      </c>
      <c r="I7" s="128" t="s">
        <v>219</v>
      </c>
      <c r="J7" s="128" t="s">
        <v>219</v>
      </c>
      <c r="K7" s="128">
        <v>1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35">
      <c r="C8" s="128">
        <v>3</v>
      </c>
      <c r="D8" s="128" t="s">
        <v>173</v>
      </c>
      <c r="E8" s="128" t="s">
        <v>172</v>
      </c>
      <c r="F8" s="128" t="s">
        <v>215</v>
      </c>
      <c r="G8" s="128" t="s">
        <v>52</v>
      </c>
      <c r="H8" s="128" t="s">
        <v>218</v>
      </c>
      <c r="I8" s="128">
        <v>1</v>
      </c>
      <c r="J8" s="128">
        <v>1</v>
      </c>
      <c r="K8" s="128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35">
      <c r="C9" s="128">
        <v>4</v>
      </c>
      <c r="D9" s="128" t="s">
        <v>173</v>
      </c>
      <c r="E9" s="128" t="s">
        <v>171</v>
      </c>
      <c r="F9" s="128" t="s">
        <v>217</v>
      </c>
      <c r="G9" s="128" t="s">
        <v>27</v>
      </c>
      <c r="H9" s="128" t="s">
        <v>218</v>
      </c>
      <c r="I9" s="128" t="s">
        <v>219</v>
      </c>
      <c r="J9" s="128" t="s">
        <v>219</v>
      </c>
      <c r="K9" s="128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35">
      <c r="C10" s="128">
        <v>4</v>
      </c>
      <c r="D10" s="128" t="s">
        <v>171</v>
      </c>
      <c r="E10" s="128" t="s">
        <v>173</v>
      </c>
      <c r="F10" s="128" t="s">
        <v>221</v>
      </c>
      <c r="G10" s="128" t="s">
        <v>32</v>
      </c>
      <c r="H10" s="128" t="s">
        <v>83</v>
      </c>
      <c r="I10" s="128" t="s">
        <v>219</v>
      </c>
      <c r="J10" s="128" t="s">
        <v>219</v>
      </c>
      <c r="K10" s="128">
        <v>1</v>
      </c>
      <c r="S10" s="1" t="s">
        <v>39</v>
      </c>
      <c r="T10" s="6">
        <f t="shared" si="1"/>
        <v>2</v>
      </c>
      <c r="U10" s="7">
        <f t="shared" si="2"/>
        <v>0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35">
      <c r="C11" s="128">
        <v>4</v>
      </c>
      <c r="D11" s="128" t="s">
        <v>171</v>
      </c>
      <c r="E11" s="128" t="s">
        <v>173</v>
      </c>
      <c r="F11" s="128" t="s">
        <v>220</v>
      </c>
      <c r="G11" s="128" t="s">
        <v>192</v>
      </c>
      <c r="H11" s="128" t="s">
        <v>218</v>
      </c>
      <c r="I11" s="128">
        <v>1</v>
      </c>
      <c r="J11" s="128">
        <v>1</v>
      </c>
      <c r="K11" s="128">
        <v>1</v>
      </c>
      <c r="S11" s="1" t="s">
        <v>41</v>
      </c>
      <c r="T11" s="6">
        <f t="shared" si="1"/>
        <v>1</v>
      </c>
      <c r="U11" s="7">
        <f t="shared" si="2"/>
        <v>1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35">
      <c r="C12" s="128">
        <v>5</v>
      </c>
      <c r="D12" s="128" t="s">
        <v>171</v>
      </c>
      <c r="E12" s="128" t="s">
        <v>172</v>
      </c>
      <c r="F12" s="128" t="s">
        <v>217</v>
      </c>
      <c r="G12" s="128" t="s">
        <v>44</v>
      </c>
      <c r="H12" s="128" t="s">
        <v>218</v>
      </c>
      <c r="I12" s="128" t="s">
        <v>219</v>
      </c>
      <c r="J12" s="128" t="s">
        <v>219</v>
      </c>
      <c r="K12" s="128">
        <v>1</v>
      </c>
      <c r="S12" s="1" t="s">
        <v>44</v>
      </c>
      <c r="T12" s="6">
        <f t="shared" si="1"/>
        <v>2</v>
      </c>
      <c r="U12" s="7">
        <f t="shared" si="2"/>
        <v>2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35">
      <c r="C13" s="128">
        <v>5</v>
      </c>
      <c r="D13" s="128" t="s">
        <v>171</v>
      </c>
      <c r="E13" s="128" t="s">
        <v>172</v>
      </c>
      <c r="F13" s="128" t="s">
        <v>215</v>
      </c>
      <c r="G13" s="128" t="s">
        <v>32</v>
      </c>
      <c r="H13" s="128" t="s">
        <v>218</v>
      </c>
      <c r="I13" s="128">
        <v>2</v>
      </c>
      <c r="J13" s="128">
        <v>2</v>
      </c>
      <c r="K13" s="128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>GM/TC</v>
      </c>
      <c r="AB13" s="34" t="str">
        <f t="shared" si="7"/>
        <v/>
      </c>
      <c r="AC13" s="1"/>
    </row>
    <row r="14" spans="2:31" ht="14.25" customHeight="1" x14ac:dyDescent="0.35">
      <c r="C14" s="128">
        <v>6</v>
      </c>
      <c r="D14" s="128" t="s">
        <v>173</v>
      </c>
      <c r="E14" s="128" t="s">
        <v>171</v>
      </c>
      <c r="F14" s="128" t="s">
        <v>217</v>
      </c>
      <c r="G14" s="128" t="s">
        <v>27</v>
      </c>
      <c r="H14" s="128" t="s">
        <v>218</v>
      </c>
      <c r="I14" s="128" t="s">
        <v>219</v>
      </c>
      <c r="J14" s="128" t="s">
        <v>219</v>
      </c>
      <c r="K14" s="128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35">
      <c r="C15" s="128">
        <v>6</v>
      </c>
      <c r="D15" s="128" t="s">
        <v>173</v>
      </c>
      <c r="E15" s="128" t="s">
        <v>171</v>
      </c>
      <c r="F15" s="128" t="s">
        <v>215</v>
      </c>
      <c r="G15" s="128" t="s">
        <v>27</v>
      </c>
      <c r="H15" s="128" t="s">
        <v>218</v>
      </c>
      <c r="I15" s="128">
        <v>1</v>
      </c>
      <c r="J15" s="128">
        <v>1</v>
      </c>
      <c r="K15" s="128">
        <v>2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>CT/GM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35">
      <c r="C16" s="128">
        <v>7</v>
      </c>
      <c r="D16" s="128" t="s">
        <v>173</v>
      </c>
      <c r="E16" s="128" t="s">
        <v>172</v>
      </c>
      <c r="F16" s="128" t="s">
        <v>217</v>
      </c>
      <c r="G16" s="128" t="s">
        <v>46</v>
      </c>
      <c r="H16" s="128" t="s">
        <v>83</v>
      </c>
      <c r="I16" s="128" t="s">
        <v>219</v>
      </c>
      <c r="J16" s="128" t="s">
        <v>219</v>
      </c>
      <c r="K16" s="128">
        <v>1</v>
      </c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35">
      <c r="C17" s="128">
        <v>7</v>
      </c>
      <c r="D17" s="128" t="s">
        <v>172</v>
      </c>
      <c r="E17" s="128" t="s">
        <v>173</v>
      </c>
      <c r="F17" s="128" t="s">
        <v>221</v>
      </c>
      <c r="G17" s="128" t="s">
        <v>41</v>
      </c>
      <c r="H17" s="128" t="s">
        <v>218</v>
      </c>
      <c r="I17" s="128" t="s">
        <v>219</v>
      </c>
      <c r="J17" s="128" t="s">
        <v>219</v>
      </c>
      <c r="K17" s="128">
        <v>1</v>
      </c>
      <c r="S17" s="1" t="s">
        <v>192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35">
      <c r="C18" s="128">
        <v>7</v>
      </c>
      <c r="D18" s="128" t="s">
        <v>173</v>
      </c>
      <c r="E18" s="128" t="s">
        <v>172</v>
      </c>
      <c r="F18" s="128" t="s">
        <v>220</v>
      </c>
      <c r="G18" s="128" t="s">
        <v>27</v>
      </c>
      <c r="H18" s="128" t="s">
        <v>218</v>
      </c>
      <c r="I18" s="128">
        <v>2</v>
      </c>
      <c r="J18" s="128">
        <v>3</v>
      </c>
      <c r="K18" s="128">
        <v>1</v>
      </c>
      <c r="S18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CT/TC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35">
      <c r="C19" s="128">
        <v>8</v>
      </c>
      <c r="D19" s="128" t="s">
        <v>173</v>
      </c>
      <c r="E19" s="128" t="s">
        <v>171</v>
      </c>
      <c r="F19" s="128" t="s">
        <v>217</v>
      </c>
      <c r="G19" s="128" t="s">
        <v>30</v>
      </c>
      <c r="H19" s="128" t="s">
        <v>218</v>
      </c>
      <c r="I19" s="128" t="s">
        <v>219</v>
      </c>
      <c r="J19" s="128" t="s">
        <v>219</v>
      </c>
      <c r="K19" s="128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35">
      <c r="C20" s="128">
        <v>8</v>
      </c>
      <c r="D20" s="128" t="s">
        <v>171</v>
      </c>
      <c r="E20" s="128" t="s">
        <v>173</v>
      </c>
      <c r="F20" s="128" t="s">
        <v>221</v>
      </c>
      <c r="G20" s="128" t="s">
        <v>44</v>
      </c>
      <c r="H20" s="128" t="s">
        <v>218</v>
      </c>
      <c r="I20" s="128" t="s">
        <v>219</v>
      </c>
      <c r="J20" s="128" t="s">
        <v>219</v>
      </c>
      <c r="K20" s="128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35">
      <c r="C21" s="128">
        <v>8</v>
      </c>
      <c r="D21" s="128" t="s">
        <v>173</v>
      </c>
      <c r="E21" s="128" t="s">
        <v>171</v>
      </c>
      <c r="F21" s="128" t="s">
        <v>220</v>
      </c>
      <c r="G21" s="128" t="s">
        <v>30</v>
      </c>
      <c r="H21" s="128" t="s">
        <v>218</v>
      </c>
      <c r="I21" s="128">
        <v>3</v>
      </c>
      <c r="J21" s="128">
        <v>2</v>
      </c>
      <c r="K21" s="128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3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3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4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3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4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35">
      <c r="S25" s="2"/>
      <c r="T25" t="str">
        <f t="shared" si="9"/>
        <v>5,</v>
      </c>
      <c r="U25" t="str">
        <f t="shared" si="9"/>
        <v>5,</v>
      </c>
      <c r="V25" t="str">
        <f t="shared" si="9"/>
        <v>0,</v>
      </c>
      <c r="W25" t="str">
        <f t="shared" si="9"/>
        <v>0,</v>
      </c>
      <c r="X25" s="124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3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4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3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4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3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4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3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4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35">
      <c r="T30" t="str">
        <f t="shared" si="9"/>
        <v>2,</v>
      </c>
      <c r="U30" t="str">
        <f t="shared" si="9"/>
        <v>0,</v>
      </c>
      <c r="V30" t="str">
        <f t="shared" si="9"/>
        <v>0,</v>
      </c>
      <c r="W30" t="str">
        <f t="shared" si="9"/>
        <v>1,</v>
      </c>
      <c r="X30" s="124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35">
      <c r="T31" t="str">
        <f t="shared" si="9"/>
        <v>1,</v>
      </c>
      <c r="U31" t="str">
        <f t="shared" si="9"/>
        <v>1,</v>
      </c>
      <c r="V31" t="str">
        <f t="shared" si="9"/>
        <v>0,</v>
      </c>
      <c r="W31" t="str">
        <f t="shared" si="9"/>
        <v>0,</v>
      </c>
      <c r="X31" s="124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35">
      <c r="T32" t="str">
        <f t="shared" si="9"/>
        <v>2,</v>
      </c>
      <c r="U32" t="str">
        <f t="shared" si="9"/>
        <v>2,</v>
      </c>
      <c r="V32" t="str">
        <f t="shared" si="9"/>
        <v>0,</v>
      </c>
      <c r="W32" t="str">
        <f t="shared" si="9"/>
        <v>0,</v>
      </c>
      <c r="X32" s="124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3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4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3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4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3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4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3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4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3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4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3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4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3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35">
      <c r="C40" s="50"/>
      <c r="T40" s="6"/>
      <c r="U40" s="6"/>
      <c r="V40" s="6"/>
    </row>
    <row r="41" spans="3:28" ht="14.25" customHeight="1" x14ac:dyDescent="0.7">
      <c r="S41" s="64"/>
      <c r="T41" s="64"/>
      <c r="U41" s="64"/>
      <c r="V41" s="64"/>
      <c r="W41" s="64"/>
    </row>
    <row r="42" spans="3:28" ht="14.25" customHeight="1" x14ac:dyDescent="0.7">
      <c r="S42" s="64"/>
      <c r="T42" s="64"/>
      <c r="U42" s="64"/>
      <c r="V42" s="64"/>
      <c r="W42" s="64"/>
    </row>
    <row r="43" spans="3:28" ht="14.25" customHeight="1" x14ac:dyDescent="0.35">
      <c r="C43" t="s">
        <v>135</v>
      </c>
      <c r="T43" s="10" t="s">
        <v>211</v>
      </c>
      <c r="U43" s="10"/>
    </row>
    <row r="44" spans="3:28" ht="14.25" customHeight="1" x14ac:dyDescent="0.3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35">
      <c r="C45" s="50" t="str">
        <f>B4</f>
        <v>24 January</v>
      </c>
      <c r="D45">
        <f>MAX(N3:N5)</f>
        <v>4</v>
      </c>
      <c r="E45">
        <f>COUNT(C4:C42)-D45-F45</f>
        <v>12</v>
      </c>
      <c r="F45">
        <f>MIN(N3:N5)</f>
        <v>2</v>
      </c>
      <c r="G45">
        <f>N3</f>
        <v>4</v>
      </c>
      <c r="H45">
        <f>COUNTIF(AA4:AA39, "GM/CT")</f>
        <v>1</v>
      </c>
      <c r="I45">
        <f>COUNTIF(AB4:AB39, "TC/CT")</f>
        <v>1</v>
      </c>
      <c r="J45">
        <f>N5</f>
        <v>2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1</v>
      </c>
      <c r="P45">
        <f>Q3</f>
        <v>3</v>
      </c>
      <c r="Q45">
        <f>Q5</f>
        <v>1.5</v>
      </c>
      <c r="R45">
        <f>Q4</f>
        <v>1.5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35">
      <c r="T46" s="10" t="str">
        <f>CHAR(34)&amp;"Points"&amp;CHAR(34)&amp;":["&amp;Q3&amp;","&amp;Q4&amp;","&amp;Q5&amp;"]"</f>
        <v>"Points":[3,1.5,1.5]</v>
      </c>
      <c r="U46" s="10"/>
    </row>
    <row r="47" spans="3:28" ht="14.25" customHeight="1" x14ac:dyDescent="0.35">
      <c r="T47" s="10" t="s">
        <v>222</v>
      </c>
      <c r="U47" s="10"/>
    </row>
    <row r="48" spans="3:28" ht="14.25" customHeight="1" x14ac:dyDescent="0.35">
      <c r="T48" s="10"/>
    </row>
    <row r="49" spans="20:20" ht="14.25" customHeight="1" x14ac:dyDescent="0.35">
      <c r="T49" s="10"/>
    </row>
    <row r="50" spans="20:20" ht="14.25" customHeight="1" x14ac:dyDescent="0.35">
      <c r="T50" s="10"/>
    </row>
    <row r="51" spans="20:20" ht="14.25" customHeight="1" x14ac:dyDescent="0.35"/>
    <row r="52" spans="20:20" ht="14.25" customHeight="1" x14ac:dyDescent="0.35"/>
    <row r="53" spans="20:20" ht="14.25" customHeight="1" x14ac:dyDescent="0.35"/>
    <row r="54" spans="20:20" ht="14.25" customHeight="1" x14ac:dyDescent="0.35"/>
    <row r="55" spans="20:20" ht="14.25" customHeight="1" x14ac:dyDescent="0.35"/>
    <row r="56" spans="20:20" ht="14.25" customHeight="1" x14ac:dyDescent="0.35"/>
    <row r="57" spans="20:20" ht="14.25" customHeight="1" x14ac:dyDescent="0.35"/>
    <row r="58" spans="20:20" ht="14.25" customHeight="1" x14ac:dyDescent="0.35"/>
    <row r="59" spans="20:20" ht="14.25" customHeight="1" x14ac:dyDescent="0.35"/>
    <row r="60" spans="20:20" ht="14.25" customHeight="1" x14ac:dyDescent="0.35"/>
    <row r="61" spans="20:20" ht="14.25" customHeight="1" x14ac:dyDescent="0.35"/>
    <row r="62" spans="20:20" ht="14.25" customHeight="1" x14ac:dyDescent="0.35"/>
    <row r="63" spans="20:20" ht="14.25" customHeight="1" x14ac:dyDescent="0.35"/>
    <row r="64" spans="20:20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SfW</vt:lpstr>
      <vt:lpstr>Stats Global</vt:lpstr>
      <vt:lpstr>Statistics CT</vt:lpstr>
      <vt:lpstr>Statistics TC</vt:lpstr>
      <vt:lpstr>Statistics GM</vt:lpstr>
      <vt:lpstr>Template</vt:lpstr>
      <vt:lpstr>2901</vt:lpstr>
      <vt:lpstr>2501</vt:lpstr>
      <vt:lpstr>2401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2024-01-29T07:18:12Z</dcterms:modified>
</cp:coreProperties>
</file>