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us\Documents\GitHub\LTBO\Other Files\"/>
    </mc:Choice>
  </mc:AlternateContent>
  <xr:revisionPtr revIDLastSave="0" documentId="13_ncr:1_{832BD046-C016-4F64-98C5-0D85CAC7AED0}" xr6:coauthVersionLast="47" xr6:coauthVersionMax="47" xr10:uidLastSave="{00000000-0000-0000-0000-000000000000}"/>
  <bookViews>
    <workbookView xWindow="-110" yWindow="-110" windowWidth="25820" windowHeight="15500" activeTab="6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901" sheetId="10" r:id="rId7"/>
    <sheet name="2501" sheetId="9" r:id="rId8"/>
    <sheet name="2401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M33" i="3"/>
  <c r="AQ33" i="3" s="1"/>
  <c r="Q7" i="3"/>
  <c r="D6" i="5" s="1"/>
  <c r="P7" i="3"/>
  <c r="D6" i="6" s="1"/>
  <c r="B7" i="3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AN44" i="3" s="1"/>
  <c r="AR44" i="3" s="1"/>
  <c r="U18" i="10"/>
  <c r="AM44" i="3" s="1"/>
  <c r="AQ44" i="3" s="1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AN37" i="3" s="1"/>
  <c r="AR37" i="3" s="1"/>
  <c r="U11" i="10"/>
  <c r="AM37" i="3" s="1"/>
  <c r="AQ37" i="3" s="1"/>
  <c r="AB10" i="10"/>
  <c r="AA10" i="10"/>
  <c r="Z10" i="10"/>
  <c r="W10" i="10"/>
  <c r="T10" i="10" s="1"/>
  <c r="T30" i="10" s="1"/>
  <c r="V10" i="10"/>
  <c r="V30" i="10" s="1"/>
  <c r="U10" i="10"/>
  <c r="AM36" i="3" s="1"/>
  <c r="AQ36" i="3" s="1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W31" i="7" s="1"/>
  <c r="V11" i="7"/>
  <c r="V31" i="7" s="1"/>
  <c r="U11" i="7"/>
  <c r="U31" i="7" s="1"/>
  <c r="T11" i="7"/>
  <c r="T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L45" i="7" s="1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N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C6" i="4" l="1"/>
  <c r="N6" i="4"/>
  <c r="AM42" i="3"/>
  <c r="AQ42" i="3" s="1"/>
  <c r="AM34" i="3"/>
  <c r="AQ34" i="3" s="1"/>
  <c r="L45" i="10"/>
  <c r="K7" i="3" s="1"/>
  <c r="AO41" i="3"/>
  <c r="AS41" i="3" s="1"/>
  <c r="AO33" i="3"/>
  <c r="AS33" i="3" s="1"/>
  <c r="T5" i="10"/>
  <c r="AN41" i="3"/>
  <c r="AR41" i="3" s="1"/>
  <c r="AN33" i="3"/>
  <c r="AR33" i="3" s="1"/>
  <c r="T15" i="10"/>
  <c r="AO40" i="3"/>
  <c r="AS40" i="3" s="1"/>
  <c r="AO32" i="3"/>
  <c r="AS32" i="3" s="1"/>
  <c r="AN40" i="3"/>
  <c r="AR40" i="3" s="1"/>
  <c r="AN32" i="3"/>
  <c r="AR32" i="3" s="1"/>
  <c r="AM40" i="3"/>
  <c r="AQ40" i="3" s="1"/>
  <c r="AM32" i="3"/>
  <c r="AQ32" i="3" s="1"/>
  <c r="T6" i="10"/>
  <c r="T11" i="10"/>
  <c r="U30" i="10"/>
  <c r="AO39" i="3"/>
  <c r="AS39" i="3" s="1"/>
  <c r="AO31" i="3"/>
  <c r="AS31" i="3" s="1"/>
  <c r="AN39" i="3"/>
  <c r="AR39" i="3" s="1"/>
  <c r="AN31" i="3"/>
  <c r="AR31" i="3" s="1"/>
  <c r="AM39" i="3"/>
  <c r="AQ39" i="3" s="1"/>
  <c r="AM31" i="3"/>
  <c r="AQ31" i="3" s="1"/>
  <c r="AO38" i="3"/>
  <c r="AS38" i="3" s="1"/>
  <c r="AO30" i="3"/>
  <c r="AS30" i="3" s="1"/>
  <c r="AN38" i="3"/>
  <c r="AR38" i="3" s="1"/>
  <c r="AN30" i="3"/>
  <c r="AR30" i="3" s="1"/>
  <c r="U31" i="10"/>
  <c r="AM38" i="3"/>
  <c r="AQ38" i="3" s="1"/>
  <c r="AM30" i="3"/>
  <c r="AQ30" i="3" s="1"/>
  <c r="T7" i="10"/>
  <c r="T12" i="10"/>
  <c r="V31" i="10"/>
  <c r="AO37" i="3"/>
  <c r="AS37" i="3" s="1"/>
  <c r="AM41" i="3"/>
  <c r="AQ41" i="3" s="1"/>
  <c r="V38" i="10"/>
  <c r="AN29" i="3"/>
  <c r="AR29" i="3" s="1"/>
  <c r="AM29" i="3"/>
  <c r="AQ29" i="3" s="1"/>
  <c r="U38" i="10"/>
  <c r="AO29" i="3"/>
  <c r="AS29" i="3" s="1"/>
  <c r="O45" i="10"/>
  <c r="N7" i="3" s="1"/>
  <c r="AO44" i="3"/>
  <c r="AS44" i="3" s="1"/>
  <c r="AO36" i="3"/>
  <c r="AS36" i="3" s="1"/>
  <c r="AN36" i="3"/>
  <c r="AR36" i="3" s="1"/>
  <c r="T3" i="10"/>
  <c r="T13" i="10"/>
  <c r="AL44" i="3"/>
  <c r="AP44" i="3" s="1"/>
  <c r="AL36" i="3"/>
  <c r="AP36" i="3" s="1"/>
  <c r="AO43" i="3"/>
  <c r="AS43" i="3" s="1"/>
  <c r="AO35" i="3"/>
  <c r="AS35" i="3" s="1"/>
  <c r="AN43" i="3"/>
  <c r="AR43" i="3" s="1"/>
  <c r="AN35" i="3"/>
  <c r="AR35" i="3" s="1"/>
  <c r="AM43" i="3"/>
  <c r="AQ43" i="3" s="1"/>
  <c r="AM35" i="3"/>
  <c r="AQ35" i="3" s="1"/>
  <c r="T4" i="10"/>
  <c r="AO42" i="3"/>
  <c r="AS42" i="3" s="1"/>
  <c r="AO34" i="3"/>
  <c r="AS34" i="3" s="1"/>
  <c r="AN42" i="3"/>
  <c r="AR42" i="3" s="1"/>
  <c r="AN34" i="3"/>
  <c r="AR34" i="3" s="1"/>
  <c r="K45" i="10"/>
  <c r="J7" i="3" s="1"/>
  <c r="M6" i="4" s="1"/>
  <c r="J45" i="10"/>
  <c r="I7" i="3" s="1"/>
  <c r="B6" i="6" s="1"/>
  <c r="E3" i="6" s="1"/>
  <c r="N36" i="6" s="1"/>
  <c r="M45" i="10"/>
  <c r="L7" i="3" s="1"/>
  <c r="B6" i="5" s="1"/>
  <c r="F3" i="5" s="1"/>
  <c r="N47" i="5" s="1"/>
  <c r="N3" i="10"/>
  <c r="T9" i="10"/>
  <c r="T17" i="10"/>
  <c r="T8" i="10"/>
  <c r="T16" i="10"/>
  <c r="N45" i="10"/>
  <c r="T14" i="10"/>
  <c r="I45" i="10"/>
  <c r="W30" i="10"/>
  <c r="W38" i="10"/>
  <c r="K45" i="7"/>
  <c r="O5" i="7" s="1"/>
  <c r="H45" i="7"/>
  <c r="T12" i="7"/>
  <c r="T32" i="7" s="1"/>
  <c r="T17" i="7"/>
  <c r="T37" i="7" s="1"/>
  <c r="O3" i="7"/>
  <c r="P3" i="7" s="1"/>
  <c r="N5" i="7"/>
  <c r="N45" i="7"/>
  <c r="T4" i="7"/>
  <c r="T24" i="7" s="1"/>
  <c r="T7" i="7"/>
  <c r="T27" i="7" s="1"/>
  <c r="T15" i="7"/>
  <c r="T35" i="7" s="1"/>
  <c r="G45" i="7"/>
  <c r="O45" i="7"/>
  <c r="T3" i="7"/>
  <c r="T23" i="7" s="1"/>
  <c r="T6" i="7"/>
  <c r="T26" i="7" s="1"/>
  <c r="T14" i="7"/>
  <c r="T34" i="7" s="1"/>
  <c r="T5" i="7"/>
  <c r="T25" i="7" s="1"/>
  <c r="T13" i="7"/>
  <c r="T33" i="7" s="1"/>
  <c r="I45" i="7"/>
  <c r="W38" i="7"/>
  <c r="N4" i="7"/>
  <c r="F45" i="7" s="1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C5" i="4"/>
  <c r="D5" i="5"/>
  <c r="B5" i="4"/>
  <c r="C5" i="5"/>
  <c r="AJ9" i="3"/>
  <c r="R5" i="6" s="1"/>
  <c r="AJ8" i="3"/>
  <c r="Y5" i="4" s="1"/>
  <c r="AA4" i="3"/>
  <c r="X42" i="3"/>
  <c r="T29" i="10" l="1"/>
  <c r="AL35" i="3"/>
  <c r="AP35" i="3" s="1"/>
  <c r="T32" i="10"/>
  <c r="AL38" i="3"/>
  <c r="AP38" i="3" s="1"/>
  <c r="T24" i="10"/>
  <c r="AL30" i="3"/>
  <c r="AP30" i="3" s="1"/>
  <c r="T37" i="10"/>
  <c r="AL43" i="3"/>
  <c r="AP43" i="3" s="1"/>
  <c r="C6" i="6"/>
  <c r="T27" i="10"/>
  <c r="AL33" i="3"/>
  <c r="AP33" i="3" s="1"/>
  <c r="O5" i="10"/>
  <c r="P5" i="10" s="1"/>
  <c r="AL37" i="3"/>
  <c r="AP37" i="3" s="1"/>
  <c r="T31" i="10"/>
  <c r="T26" i="10"/>
  <c r="AL32" i="3"/>
  <c r="AP32" i="3" s="1"/>
  <c r="T33" i="10"/>
  <c r="AL39" i="3"/>
  <c r="AP39" i="3" s="1"/>
  <c r="AL29" i="3"/>
  <c r="AP29" i="3" s="1"/>
  <c r="T23" i="10"/>
  <c r="O3" i="10"/>
  <c r="H7" i="3"/>
  <c r="K6" i="4" s="1"/>
  <c r="T35" i="10"/>
  <c r="AL41" i="3"/>
  <c r="AP41" i="3" s="1"/>
  <c r="T34" i="10"/>
  <c r="AL40" i="3"/>
  <c r="AP40" i="3" s="1"/>
  <c r="O4" i="10"/>
  <c r="P4" i="10" s="1"/>
  <c r="M7" i="3"/>
  <c r="T36" i="10"/>
  <c r="AL42" i="3"/>
  <c r="AP42" i="3" s="1"/>
  <c r="T25" i="10"/>
  <c r="AL31" i="3"/>
  <c r="AP31" i="3" s="1"/>
  <c r="T28" i="10"/>
  <c r="AL34" i="3"/>
  <c r="AP34" i="3" s="1"/>
  <c r="D45" i="10"/>
  <c r="C7" i="3" s="1"/>
  <c r="P3" i="10"/>
  <c r="F45" i="10"/>
  <c r="E7" i="3" s="1"/>
  <c r="G45" i="10"/>
  <c r="F7" i="3" s="1"/>
  <c r="B6" i="4" s="1"/>
  <c r="D45" i="7"/>
  <c r="E45" i="7" s="1"/>
  <c r="O4" i="7"/>
  <c r="P4" i="7" s="1"/>
  <c r="M45" i="7"/>
  <c r="J45" i="7"/>
  <c r="P5" i="7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4" i="5"/>
  <c r="C5" i="6"/>
  <c r="F3" i="4"/>
  <c r="M47" i="4" s="1"/>
  <c r="D5" i="6"/>
  <c r="L3" i="2"/>
  <c r="L50" i="2" s="1"/>
  <c r="AP9" i="3"/>
  <c r="L4" i="2"/>
  <c r="L51" i="2" s="1"/>
  <c r="AP8" i="3"/>
  <c r="J6" i="4" l="1"/>
  <c r="J41" i="4" s="1"/>
  <c r="C6" i="5"/>
  <c r="G3" i="5" s="1"/>
  <c r="N48" i="5" s="1"/>
  <c r="V6" i="3"/>
  <c r="E45" i="10"/>
  <c r="D7" i="3" s="1"/>
  <c r="T46" i="9"/>
  <c r="P45" i="9"/>
  <c r="O6" i="3" s="1"/>
  <c r="D5" i="4" s="1"/>
  <c r="C4" i="6"/>
  <c r="F3" i="6" s="1"/>
  <c r="N37" i="6" s="1"/>
  <c r="E45" i="8"/>
  <c r="D5" i="3" s="1"/>
  <c r="U6" i="3" s="1"/>
  <c r="R45" i="8"/>
  <c r="Q5" i="3" s="1"/>
  <c r="D4" i="5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C41" i="6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C41" i="5" l="1"/>
  <c r="H43" i="5"/>
  <c r="AE7" i="2" s="1"/>
  <c r="AD21" i="2" s="1"/>
  <c r="H3" i="4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<sst xmlns="http://schemas.openxmlformats.org/spreadsheetml/2006/main" count="1020" uniqueCount="226">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</sst>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1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2" fillId="0" borderId="1" xfId="0" applyFont="1" applyBorder="1" applyAlignment="1">
      <alignment horizontal="center"/>
    </xf>
    <xf numFmtId="0" fontId="31" fillId="0" borderId="1" xfId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0.22499999999999998</c:v>
                </c:pt>
                <c:pt idx="1">
                  <c:v>0.67499999999999993</c:v>
                </c:pt>
                <c:pt idx="2">
                  <c:v>9.9999999999999992E-2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2" dataDxfId="140" headerRowBorderDxfId="141" tableBorderDxfId="139" totalsRowBorderDxfId="138">
  <autoFilter ref="Z7:AJ23" xr:uid="{598ECA3B-99B4-4CAB-8F81-5D711AA5A7FC}"/>
  <tableColumns count="11">
    <tableColumn id="1" xr3:uid="{9B036617-5450-4894-9268-827D2E0914FF}" name="Scoring" dataDxfId="137">
      <calculatedColumnFormula>SfW!B3</calculatedColumnFormula>
    </tableColumn>
    <tableColumn id="2" xr3:uid="{6662CE93-E9C4-47DE-9476-E46126825B0A}" name="Points" dataDxfId="136">
      <calculatedColumnFormula>SUM(AA29,AA49,AL49,AA69,AL69,AA89,AL29)</calculatedColumnFormula>
    </tableColumn>
    <tableColumn id="3" xr3:uid="{8FDDFCB0-2692-4EB0-948C-7B877263B55B}" name="Average" dataDxfId="13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4">
      <calculatedColumnFormula>SUM(AB29,AB49,AM49,AB69,AM69,AB89,AM29)</calculatedColumnFormula>
    </tableColumn>
    <tableColumn id="5" xr3:uid="{5F324C66-956D-4EDC-870F-8EDE96C328C8}" name="Averages" dataDxfId="13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2">
      <calculatedColumnFormula>SUM(AC29,AC49,AN49,AC69,AN69,AC89,AN29)</calculatedColumnFormula>
    </tableColumn>
    <tableColumn id="7" xr3:uid="{8E7E6B37-23A0-4556-8839-B9D7834E3E68}" name="Averages2" dataDxfId="13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0">
      <calculatedColumnFormula>SUM(AD29,AD49,AO49,AD69,AO69,AD89,AO29)</calculatedColumnFormula>
    </tableColumn>
    <tableColumn id="9" xr3:uid="{E0C0BF1C-40E8-4137-8E0F-BB238D651DAE}" name="Averages3" dataDxfId="12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8">
      <calculatedColumnFormula>SfW!C3</calculatedColumnFormula>
    </tableColumn>
    <tableColumn id="11" xr3:uid="{E167D7FA-56F9-4571-B292-FF3869585F59}" name="Missed Games" dataDxfId="127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0" dataDxfId="29">
  <autoFilter ref="M3:V8" xr:uid="{54759C84-3153-4DC9-9240-E2749AA0D92B}"/>
  <tableColumns count="10">
    <tableColumn id="1" xr3:uid="{7790729E-C8E5-45C1-8784-25212A2654AA}" name="Name" dataDxfId="28"/>
    <tableColumn id="2" xr3:uid="{52A67B2B-967C-4970-8D83-8F8E9CC61522}" name="Points" dataDxfId="27"/>
    <tableColumn id="3" xr3:uid="{BA1FA2C8-AEC0-4644-83DB-5097750D7188}" name="Average" dataDxfId="26"/>
    <tableColumn id="4" xr3:uid="{4CF66F5D-BF10-4CBD-88FF-CCD38730E1CD}" name="Finishes" dataDxfId="25"/>
    <tableColumn id="5" xr3:uid="{BC246D5B-7E78-41A6-B796-C93ED8E53DF9}" name="Averages" dataDxfId="24"/>
    <tableColumn id="6" xr3:uid="{AB819419-CC06-4A40-8DED-E231125129C0}" name="Midranges" dataDxfId="23"/>
    <tableColumn id="7" xr3:uid="{064AA562-C451-4362-805E-D12DC76C3530}" name="Averages2" dataDxfId="22"/>
    <tableColumn id="8" xr3:uid="{BD0D8BAE-15E4-4B38-87FE-B682D7BAEE75}" name="Threes" dataDxfId="21"/>
    <tableColumn id="9" xr3:uid="{541E391B-4B08-4E98-A63F-753C11193269}" name="Averages3" dataDxfId="20"/>
    <tableColumn id="10" xr3:uid="{999BB5D2-D6FB-4EB9-A268-D62EA72F939D}" name="Missed Games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8" dataDxfId="17">
  <autoFilter ref="I4:R10" xr:uid="{C12CFC3F-7D59-4C0F-8D43-3F8ACD58C2BD}"/>
  <tableColumns count="10">
    <tableColumn id="1" xr3:uid="{CE15C23D-9493-4B21-9D40-1A25D210C18E}" name="Name" dataDxfId="16"/>
    <tableColumn id="2" xr3:uid="{6BB170B1-AA38-4699-9B96-400D2947EE9C}" name="Points" dataDxfId="15"/>
    <tableColumn id="3" xr3:uid="{EC8B6CBB-FCC9-416C-AEA6-738419DFE531}" name="Average" dataDxfId="14"/>
    <tableColumn id="4" xr3:uid="{315DA055-9A43-468A-A501-1092626F523F}" name="Finishes" dataDxfId="13"/>
    <tableColumn id="5" xr3:uid="{56B6FF4D-95D4-4550-88E4-C781ABDA83A6}" name="Averages" dataDxfId="12"/>
    <tableColumn id="6" xr3:uid="{F7B5C0B8-FBE2-44B0-A372-112C7776FCCF}" name="Midranges" dataDxfId="11"/>
    <tableColumn id="7" xr3:uid="{1A1C2126-FEB1-408F-8523-049E53028B4E}" name="Averages2" dataDxfId="10"/>
    <tableColumn id="8" xr3:uid="{AE94036B-3777-4C1B-97D5-7BFA1037C0BF}" name="Threes" dataDxfId="9"/>
    <tableColumn id="9" xr3:uid="{448B0903-7F66-40BA-809F-74ADBF397B45}" name="Averages3" dataDxfId="8"/>
    <tableColumn id="10" xr3:uid="{E0CAC55D-8398-4928-A219-C01706996D48}" name="Missed Ga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26" dataDxfId="125">
  <autoFilter ref="Z28:AI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>
      <calculatedColumnFormula>'2401'!T3+'2501'!T3</calculatedColumnFormula>
    </tableColumn>
    <tableColumn id="3" xr3:uid="{2D436F37-54B6-4820-9145-F48B4EF9B294}" name="Finishes" dataDxfId="122">
      <calculatedColumnFormula>'2401'!U3+'2501'!U3</calculatedColumnFormula>
    </tableColumn>
    <tableColumn id="4" xr3:uid="{1D9B6A22-B682-47F3-B738-7C138F317A41}" name="Midranges" dataDxfId="121">
      <calculatedColumnFormula>'2401'!V3+'2501'!V3</calculatedColumnFormula>
    </tableColumn>
    <tableColumn id="5" xr3:uid="{9966C9A0-3872-44E9-BB39-05DE197EAA68}" name="Threes" dataDxfId="120">
      <calculatedColumnFormula>'2401'!W3+'2501'!W3</calculatedColumnFormula>
    </tableColumn>
    <tableColumn id="6" xr3:uid="{CC4AB646-735F-425F-8528-C5EFE7FE11DC}" name="Avg P" dataDxfId="119">
      <calculatedColumnFormula>Table211[[#This Row],[Points]]/($AA$27-$AI29)</calculatedColumnFormula>
    </tableColumn>
    <tableColumn id="7" xr3:uid="{F8D0247E-C6F7-467A-9F38-46084D44F8AB}" name="Avg F" dataDxfId="118">
      <calculatedColumnFormula>Table211[[#This Row],[Finishes]]/($AA$27-$AI29)</calculatedColumnFormula>
    </tableColumn>
    <tableColumn id="8" xr3:uid="{7CCF1C77-9DB0-4EB2-B7D0-FD0BDBEBFA0E}" name="Avg M" dataDxfId="117">
      <calculatedColumnFormula>Table211[[#This Row],[Midranges]]/($AA$27-$AI29)</calculatedColumnFormula>
    </tableColumn>
    <tableColumn id="9" xr3:uid="{582A1A4E-5383-4383-A480-735408867046}" name="Avg T" dataDxfId="116">
      <calculatedColumnFormula>Table211[[#This Row],[Threes]]/($AA$27-$AI29)</calculatedColumnFormula>
    </tableColumn>
    <tableColumn id="10" xr3:uid="{E547AEB5-F9BA-4C5F-8DCE-34B6A8FF303A}" name="Missed Games" dataDxfId="115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54" dataDxfId="53">
  <autoFilter ref="AK28:AT4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'2901'!T3</calculatedColumnFormula>
    </tableColumn>
    <tableColumn id="3" xr3:uid="{460771D3-3BD8-4DA3-AF1B-1A0F98EF1499}" name="Finishes" dataDxfId="50">
      <calculatedColumnFormula>'2901'!U3</calculatedColumnFormula>
    </tableColumn>
    <tableColumn id="4" xr3:uid="{3C08B2D7-823D-49C3-A627-A5848E664B2F}" name="Midranges" dataDxfId="49">
      <calculatedColumnFormula>'2901'!V3</calculatedColumnFormula>
    </tableColumn>
    <tableColumn id="5" xr3:uid="{E88F45FB-4C46-4674-86D5-74808E7E5368}" name="Threes" dataDxfId="48">
      <calculatedColumnFormula>'2901'!W3</calculatedColumnFormula>
    </tableColumn>
    <tableColumn id="6" xr3:uid="{0C0E8016-1E6E-4F25-9675-4EE061FFD0F7}" name="Avg P" dataDxfId="47">
      <calculatedColumnFormula>Table21128[[#This Row],[Points]]/($AL$27-$AT29)</calculatedColumnFormula>
    </tableColumn>
    <tableColumn id="7" xr3:uid="{F7AC350B-AE4B-4912-B21D-16D99E2AE8BF}" name="Avg F" dataDxfId="46">
      <calculatedColumnFormula>Table21128[[#This Row],[Finishes]]/($AL$27-$AT29)</calculatedColumnFormula>
    </tableColumn>
    <tableColumn id="8" xr3:uid="{F451E5CA-B9C4-4EFA-A647-CEDB2FB39550}" name="Avg M" dataDxfId="45">
      <calculatedColumnFormula>Table21128[[#This Row],[Midranges]]/($AL$27-$AT29)</calculatedColumnFormula>
    </tableColumn>
    <tableColumn id="9" xr3:uid="{ED1D92B5-05F1-40CE-A89F-E6627FAB4A59}" name="Avg T" dataDxfId="44">
      <calculatedColumnFormula>Table21128[[#This Row],[Threes]]/($AL$27-$AT29)</calculatedColumnFormula>
    </tableColumn>
    <tableColumn id="10" xr3:uid="{48A4808A-3DE6-4644-83F5-C2AEDDFC3E5E}" name="Missed Games" dataDxfId="43">
      <calculatedColumnFormula>COUNTIF('2901'!X3,TRUE)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2" dataDxfId="41">
  <autoFilter ref="P3:Y8" xr:uid="{744FF78C-74B5-4798-AD3D-741E3ACB43CF}"/>
  <tableColumns count="10">
    <tableColumn id="1" xr3:uid="{B3B5C08C-655A-460A-A171-B3B0C826FF04}" name="Name" dataDxfId="40"/>
    <tableColumn id="2" xr3:uid="{427944B0-44CA-4325-A406-29F83026BA5E}" name="Points" dataDxfId="39"/>
    <tableColumn id="3" xr3:uid="{5E06D173-4DBE-4045-9072-0A0A77D19C84}" name="Average" dataDxfId="38"/>
    <tableColumn id="4" xr3:uid="{E74131A4-1DCA-4A89-8989-A4CF80175582}" name="Finishes" dataDxfId="37"/>
    <tableColumn id="5" xr3:uid="{FC3336D4-2CB5-4673-A345-7C9CCED7ADEE}" name="Averages" dataDxfId="36"/>
    <tableColumn id="6" xr3:uid="{BD6313A7-5D92-4B66-9B85-7ABC12DE9691}" name="Midranges" dataDxfId="35"/>
    <tableColumn id="7" xr3:uid="{6D0293BC-7E06-45CE-9D4B-FE4769DF9D9F}" name="Averages2" dataDxfId="34"/>
    <tableColumn id="8" xr3:uid="{89C1C64B-DD66-482C-BCDE-8B912D2676EF}" name="Threes" dataDxfId="33"/>
    <tableColumn id="9" xr3:uid="{7748B87C-1833-4BD6-9162-76373407E655}" name="Averages3" dataDxfId="32"/>
    <tableColumn id="10" xr3:uid="{D870E191-A52F-442E-AA52-A42CFAD05573}" name="Missed Game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6328125" defaultRowHeight="15" customHeight="1" x14ac:dyDescent="0.35"/>
  <cols>
    <col min="1" max="1" width="12.54296875" customWidth="1"/>
    <col min="2" max="2" width="21.36328125" customWidth="1"/>
    <col min="3" max="11" width="12.54296875" customWidth="1"/>
    <col min="12" max="19" width="20.6328125" customWidth="1"/>
    <col min="20" max="20" width="30.54296875" customWidth="1"/>
    <col min="21" max="22" width="25.54296875" customWidth="1"/>
    <col min="23" max="26" width="8.7265625" customWidth="1"/>
  </cols>
  <sheetData>
    <row r="1" spans="2:31" ht="14.25" customHeight="1" x14ac:dyDescent="0.3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3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7,8,8],</v>
      </c>
    </row>
    <row r="4" spans="2:31" ht="14.25" customHeight="1" x14ac:dyDescent="0.3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6,"Alexander Galt",6,"Alexander Galt",2,"Christopher Tomkinson",0,"N/A"],</v>
      </c>
    </row>
    <row r="5" spans="2:31" ht="14.25" customHeight="1" x14ac:dyDescent="0.35">
      <c r="B5" s="1" t="s">
        <v>27</v>
      </c>
      <c r="C5" s="114" t="s">
        <v>173</v>
      </c>
      <c r="D5" s="5">
        <f>'Stats Global'!AB10</f>
        <v>3</v>
      </c>
      <c r="E5" s="1">
        <f>'Stats Global'!AA10</f>
        <v>6</v>
      </c>
      <c r="F5" s="5">
        <f>'Stats Global'!AD10</f>
        <v>3</v>
      </c>
      <c r="G5" s="1">
        <f>'Stats Global'!AC10</f>
        <v>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1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5.7,4.7,1,0,2.3,2.7],</v>
      </c>
    </row>
    <row r="6" spans="2:31" ht="14.25" customHeight="1" x14ac:dyDescent="0.35">
      <c r="B6" s="1" t="s">
        <v>30</v>
      </c>
      <c r="C6" s="114" t="s">
        <v>173</v>
      </c>
      <c r="D6" s="5">
        <f>'Stats Global'!AB11</f>
        <v>2</v>
      </c>
      <c r="E6" s="1">
        <f>'Stats Global'!AA11</f>
        <v>6</v>
      </c>
      <c r="F6" s="5">
        <f>'Stats Global'!AD11</f>
        <v>2</v>
      </c>
      <c r="G6" s="1">
        <f>'Stats Global'!AC11</f>
        <v>6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4,1,80,3,4,42.9],</v>
      </c>
    </row>
    <row r="7" spans="2:31" ht="14.25" customHeight="1" x14ac:dyDescent="0.35">
      <c r="B7" s="1" t="s">
        <v>32</v>
      </c>
      <c r="C7" s="114" t="s">
        <v>171</v>
      </c>
      <c r="D7" s="5">
        <f>'Stats Global'!AB12</f>
        <v>2</v>
      </c>
      <c r="E7" s="1">
        <f>'Stats Global'!AA12</f>
        <v>6</v>
      </c>
      <c r="F7" s="5">
        <f>'Stats Global'!AD12</f>
        <v>1.3333333333333333</v>
      </c>
      <c r="G7" s="1">
        <f>'Stats Global'!AC12</f>
        <v>4</v>
      </c>
      <c r="H7" s="5">
        <f>'Stats Global'!AF12</f>
        <v>0.66666666666666663</v>
      </c>
      <c r="I7" s="1">
        <f>'Stats Global'!AE12</f>
        <v>2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4,6,4.5],</v>
      </c>
    </row>
    <row r="8" spans="2:31" ht="14.25" customHeight="1" x14ac:dyDescent="0.35">
      <c r="B8" s="1" t="s">
        <v>37</v>
      </c>
      <c r="C8" s="114" t="s">
        <v>171</v>
      </c>
      <c r="D8" s="5">
        <f>'Stats Global'!AB13</f>
        <v>1.3333333333333333</v>
      </c>
      <c r="E8" s="1">
        <f>'Stats Global'!AA13</f>
        <v>4</v>
      </c>
      <c r="F8" s="5">
        <f>'Stats Global'!AD13</f>
        <v>1.3333333333333333</v>
      </c>
      <c r="G8" s="1">
        <f>'Stats Global'!AC13</f>
        <v>4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4,"Angus Walker",1,"William Kim",2,"William Kim",2,"Angus Walker"],</v>
      </c>
    </row>
    <row r="9" spans="2:31" ht="14.25" customHeight="1" x14ac:dyDescent="0.35">
      <c r="B9" t="s">
        <v>91</v>
      </c>
      <c r="C9" s="114" t="s">
        <v>172</v>
      </c>
      <c r="D9" s="5">
        <f>'Stats Global'!AB14</f>
        <v>0.33333333333333331</v>
      </c>
      <c r="E9" s="1">
        <f>'Stats Global'!AA14</f>
        <v>1</v>
      </c>
      <c r="F9" s="5">
        <f>'Stats Global'!AD14</f>
        <v>0</v>
      </c>
      <c r="G9" s="1">
        <f>'Stats Global'!AC14</f>
        <v>0</v>
      </c>
      <c r="H9" s="5">
        <f>'Stats Global'!AF14</f>
        <v>0.33333333333333331</v>
      </c>
      <c r="I9" s="1">
        <f>'Stats Global'!AE14</f>
        <v>1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5.7,0.3,1,1,1.3,2],</v>
      </c>
    </row>
    <row r="10" spans="2:31" ht="14.25" customHeight="1" x14ac:dyDescent="0.35">
      <c r="B10" s="1" t="s">
        <v>39</v>
      </c>
      <c r="C10" s="104" t="s">
        <v>172</v>
      </c>
      <c r="D10" s="5">
        <f>'Stats Global'!AB15</f>
        <v>0.66666666666666663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0.33333333333333331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1,4,20,2,3,40],</v>
      </c>
    </row>
    <row r="11" spans="2:31" ht="14.25" customHeight="1" x14ac:dyDescent="0.35">
      <c r="B11" s="1" t="s">
        <v>41</v>
      </c>
      <c r="C11" s="112" t="s">
        <v>172</v>
      </c>
      <c r="D11" s="5">
        <f>'Stats Global'!AB16</f>
        <v>1</v>
      </c>
      <c r="E11" s="1">
        <f>'Stats Global'!AA16</f>
        <v>3</v>
      </c>
      <c r="F11" s="5">
        <f>'Stats Global'!AD16</f>
        <v>0.33333333333333331</v>
      </c>
      <c r="G11" s="1">
        <f>'Stats Global'!AC16</f>
        <v>1</v>
      </c>
      <c r="H11" s="5">
        <f>'Stats Global'!AF16</f>
        <v>0.66666666666666663</v>
      </c>
      <c r="I11" s="1">
        <f>'Stats Global'!AE16</f>
        <v>2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6,6,5.5],</v>
      </c>
    </row>
    <row r="12" spans="2:31" ht="14.25" customHeight="1" x14ac:dyDescent="0.35">
      <c r="B12" s="1" t="s">
        <v>44</v>
      </c>
      <c r="C12" s="114" t="s">
        <v>171</v>
      </c>
      <c r="D12" s="5">
        <f>'Stats Global'!AB17</f>
        <v>1.6666666666666667</v>
      </c>
      <c r="E12" s="1">
        <f>'Stats Global'!AA17</f>
        <v>5</v>
      </c>
      <c r="F12" s="5">
        <f>'Stats Global'!AD17</f>
        <v>0.66666666666666663</v>
      </c>
      <c r="G12" s="1">
        <f>'Stats Global'!AC17</f>
        <v>2</v>
      </c>
      <c r="H12" s="5">
        <f>'Stats Global'!AF17</f>
        <v>1</v>
      </c>
      <c r="I12" s="1">
        <f>'Stats Global'!AE17</f>
        <v>3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6,"Michael Iffland",4,"N/A",3,"N/A",0,"N/A"],</v>
      </c>
    </row>
    <row r="13" spans="2:31" ht="14.25" customHeight="1" x14ac:dyDescent="0.35">
      <c r="B13" s="1" t="s">
        <v>46</v>
      </c>
      <c r="C13" s="104" t="s">
        <v>173</v>
      </c>
      <c r="D13" s="5">
        <f>'Stats Global'!AB18</f>
        <v>0.5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0.5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1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5.3,3.7,1.7,0,2,2],</v>
      </c>
    </row>
    <row r="14" spans="2:31" ht="14.25" customHeight="1" x14ac:dyDescent="0.3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4,3,57.1,3,2,60],</v>
      </c>
    </row>
    <row r="15" spans="2:31" ht="14.25" customHeight="1" x14ac:dyDescent="0.35">
      <c r="B15" s="1" t="s">
        <v>52</v>
      </c>
      <c r="C15" s="114" t="s">
        <v>173</v>
      </c>
      <c r="D15" s="5">
        <f>'Stats Global'!AB20</f>
        <v>1.3333333333333333</v>
      </c>
      <c r="E15" s="1">
        <f>'Stats Global'!AA20</f>
        <v>4</v>
      </c>
      <c r="F15" s="5">
        <f>'Stats Global'!AD20</f>
        <v>0.66666666666666663</v>
      </c>
      <c r="G15" s="1">
        <f>'Stats Global'!AC20</f>
        <v>2</v>
      </c>
      <c r="H15" s="5">
        <f>'Stats Global'!AF20</f>
        <v>0.66666666666666663</v>
      </c>
      <c r="I15" s="1">
        <f>'Stats Global'!AE20</f>
        <v>2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35">
      <c r="B16" s="1" t="s">
        <v>55</v>
      </c>
      <c r="C16" s="114" t="s">
        <v>172</v>
      </c>
      <c r="D16" s="5">
        <f>'Stats Global'!AB21</f>
        <v>1.3333333333333333</v>
      </c>
      <c r="E16" s="1">
        <f>'Stats Global'!AA21</f>
        <v>4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0.66666666666666663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35">
      <c r="B17" s="1" t="s">
        <v>192</v>
      </c>
      <c r="C17" s="114" t="s">
        <v>171</v>
      </c>
      <c r="D17" s="5">
        <f>'Stats Global'!AB22</f>
        <v>0.33333333333333331</v>
      </c>
      <c r="E17" s="1">
        <f>'Stats Global'!AA22</f>
        <v>1</v>
      </c>
      <c r="F17" s="5">
        <f>'Stats Global'!AD22</f>
        <v>0.33333333333333331</v>
      </c>
      <c r="G17" s="1">
        <f>'Stats Global'!AC22</f>
        <v>1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3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"PartACT":[7,8,8],</v>
      </c>
    </row>
    <row r="18" spans="2:30" ht="14.25" customHeight="1" x14ac:dyDescent="0.35">
      <c r="B18" t="s">
        <v>206</v>
      </c>
      <c r="C18" s="122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"PartBCT":[6,"Alexander Galt",6,"Alexander Galt",2,"Christopher Tomkinson",0,"N/A"],</v>
      </c>
    </row>
    <row r="19" spans="2:30" ht="14.25" customHeight="1" x14ac:dyDescent="0.3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"PartCCT":[5.7,4.7,1,0,2.3,2.7],</v>
      </c>
    </row>
    <row r="20" spans="2:30" ht="14.25" customHeight="1" x14ac:dyDescent="0.35">
      <c r="B20" s="1"/>
      <c r="D20" s="12"/>
      <c r="F20" s="12"/>
      <c r="H20" s="12"/>
      <c r="J20" s="12"/>
      <c r="Y20" s="1" t="s">
        <v>61</v>
      </c>
      <c r="AD20" s="35" t="str">
        <f t="shared" si="3"/>
        <v>"PartDCT":[4,1,80,3,4,42.9],</v>
      </c>
    </row>
    <row r="21" spans="2:30" ht="14.25" customHeight="1" x14ac:dyDescent="0.35">
      <c r="Y21" t="s">
        <v>144</v>
      </c>
      <c r="AD21" s="35" t="str">
        <f t="shared" si="3"/>
        <v>"PartATC":[4,6,4.5],</v>
      </c>
    </row>
    <row r="22" spans="2:30" ht="14.25" customHeight="1" x14ac:dyDescent="0.7">
      <c r="B22" s="129" t="s">
        <v>95</v>
      </c>
      <c r="C22" s="129"/>
      <c r="D22" s="64"/>
      <c r="Y22" s="1" t="s">
        <v>103</v>
      </c>
      <c r="AD22" s="35" t="str">
        <f t="shared" si="3"/>
        <v>"PartBTC":[4,"Angus Walker",1,"William Kim",2,"William Kim",2,"Angus Walker"],</v>
      </c>
    </row>
    <row r="23" spans="2:30" ht="14.25" customHeight="1" x14ac:dyDescent="0.7">
      <c r="B23" s="129"/>
      <c r="C23" s="129"/>
      <c r="D23" s="64"/>
      <c r="Y23" s="1" t="s">
        <v>62</v>
      </c>
      <c r="AD23" s="35" t="str">
        <f t="shared" si="3"/>
        <v>"PartCTC":[5.7,0.3,1,1,1.3,2],</v>
      </c>
    </row>
    <row r="24" spans="2:30" ht="14.25" customHeight="1" x14ac:dyDescent="0.7">
      <c r="C24" s="33"/>
      <c r="D24" s="33"/>
      <c r="Y24" s="1" t="s">
        <v>64</v>
      </c>
      <c r="AD24" s="35" t="str">
        <f t="shared" si="3"/>
        <v>"PartDTC":[1,4,20,2,3,40],</v>
      </c>
    </row>
    <row r="25" spans="2:30" ht="14.25" customHeight="1" x14ac:dyDescent="0.7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"PartAGM":[6,6,5.5],</v>
      </c>
    </row>
    <row r="26" spans="2:30" ht="14.25" customHeight="1" x14ac:dyDescent="0.7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"PartBGM":[6,"Michael Iffland",4,"N/A",3,"N/A",0,"N/A"],</v>
      </c>
    </row>
    <row r="27" spans="2:30" ht="14.25" customHeight="1" x14ac:dyDescent="0.35">
      <c r="B27" s="115" t="str">
        <f>D49&amp;":["&amp;D50&amp;D51&amp;D52&amp;D53&amp;D54&amp;D55&amp;D56&amp;D57&amp;D58&amp;D59&amp;D60&amp;D61&amp;D62&amp;D63&amp;D64&amp;D65&amp;"],"</f>
        <v>"PPG":[0,0,3,2,2,1.33,0.33,0.67,1,1.67,0.5,0,1.33,1.33,0.33,"0"],</v>
      </c>
      <c r="AD27" s="35" t="str">
        <f t="shared" si="3"/>
        <v>"PartCGM":[5.3,3.7,1.7,0,2,2],</v>
      </c>
    </row>
    <row r="28" spans="2:30" ht="14.25" customHeight="1" x14ac:dyDescent="0.35">
      <c r="B28" s="10" t="str">
        <f>E49&amp;":["&amp;E50&amp;E51&amp;E52&amp;E53&amp;E54&amp;E55&amp;E56&amp;E57&amp;E58&amp;E59&amp;E60&amp;E61&amp;E62&amp;E63&amp;E64&amp;E65&amp;"],"</f>
        <v>"TP":[0,0,6,6,6,4,1,2,3,5,1,0,4,4,1,"0"],</v>
      </c>
      <c r="AD28" s="35" t="str">
        <f t="shared" si="3"/>
        <v>"PartDGM":[4,3,57.1,3,2,60],</v>
      </c>
    </row>
    <row r="29" spans="2:30" ht="14.25" customHeight="1" x14ac:dyDescent="0.35">
      <c r="B29" s="10" t="str">
        <f>F49&amp;":["&amp;F50&amp;F51&amp;F52&amp;F53&amp;F54&amp;F55&amp;F56&amp;F57&amp;F58&amp;F59&amp;F60&amp;F61&amp;F62&amp;F63&amp;F64&amp;F65&amp;"],"</f>
        <v>"FPG":[0,0,3,2,1.33,1.33,0,0,0.33,0.67,0,0,0.67,0,0.33,"0"],</v>
      </c>
    </row>
    <row r="30" spans="2:30" ht="14.25" customHeight="1" x14ac:dyDescent="0.35">
      <c r="B30" s="10" t="str">
        <f>G49&amp;":["&amp;G50&amp;G51&amp;G52&amp;G53&amp;G54&amp;G55&amp;G56&amp;G57&amp;G58&amp;G59&amp;G60&amp;G61&amp;G62&amp;G63&amp;G64&amp;G65&amp;"],"</f>
        <v>"TF":[0,0,6,6,4,4,0,0,1,2,0,0,2,0,1,"0"],</v>
      </c>
    </row>
    <row r="31" spans="2:30" ht="14.25" customHeight="1" x14ac:dyDescent="0.35">
      <c r="B31" s="10" t="str">
        <f>H49&amp;":["&amp;H50&amp;H51&amp;H52&amp;H53&amp;H54&amp;H55&amp;H56&amp;H57&amp;H58&amp;H59&amp;H60&amp;H61&amp;H62&amp;H63&amp;H64&amp;H65&amp;"],"</f>
        <v>"MPG":[0,0,0,0,0.67,0,0.33,0,0.67,1,0.5,0,0.67,0,0,"0"],</v>
      </c>
    </row>
    <row r="32" spans="2:30" ht="14.25" customHeight="1" x14ac:dyDescent="0.35">
      <c r="B32" s="10" t="str">
        <f>I49&amp;":["&amp;I50&amp;I51&amp;I52&amp;I53&amp;I54&amp;I55&amp;I56&amp;I57&amp;I58&amp;I59&amp;I60&amp;I61&amp;I62&amp;I63&amp;I64&amp;I65&amp;"],"</f>
        <v>"TM":[0,0,0,0,2,0,1,0,2,3,1,0,2,0,0,"0"],</v>
      </c>
    </row>
    <row r="33" spans="2:2" ht="14.25" customHeight="1" x14ac:dyDescent="0.35">
      <c r="B33" s="10" t="str">
        <f>J49&amp;":["&amp;J50&amp;J51&amp;J52&amp;J53&amp;J54&amp;J55&amp;J56&amp;J57&amp;J58&amp;J59&amp;J60&amp;J61&amp;J62&amp;J63&amp;J64&amp;J65&amp;"],"</f>
        <v>"TPG":[0,0,0,0,0,0,0,0.33,0,0,0,0,0,0.67,0,"0"],</v>
      </c>
    </row>
    <row r="34" spans="2:2" ht="14.25" customHeight="1" x14ac:dyDescent="0.35">
      <c r="B34" s="10" t="str">
        <f>K49&amp;":["&amp;K50&amp;K51&amp;K52&amp;K53&amp;K54&amp;K55&amp;K56&amp;K57&amp;K58&amp;K59&amp;K60&amp;K61&amp;K62&amp;K63&amp;K64&amp;K65&amp;"],"</f>
        <v>"TT":[0,0,0,0,0,0,0,1,0,0,0,0,0,2,0,"0"],</v>
      </c>
    </row>
    <row r="35" spans="2:2" ht="14.25" customHeight="1" x14ac:dyDescent="0.35">
      <c r="B35" s="10" t="str">
        <f>L49&amp;":["&amp;L50&amp;L51&amp;L52&amp;L53&amp;L54&amp;L55&amp;L56&amp;L57&amp;L58&amp;L59&amp;L60&amp;L61&amp;L62&amp;L63&amp;L64&amp;L65&amp;"],"</f>
        <v>"Missed":[0,0,1,0,0,0,0,0,0,0,1,0,0,0,3,"0"],</v>
      </c>
    </row>
    <row r="36" spans="2:2" ht="14.25" customHeight="1" x14ac:dyDescent="0.3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3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3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3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3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3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3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3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3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3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3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35">
      <c r="B47" s="10"/>
    </row>
    <row r="48" spans="2:2" ht="14.25" customHeight="1" x14ac:dyDescent="0.35"/>
    <row r="49" spans="2:23" ht="14.25" customHeight="1" x14ac:dyDescent="0.3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3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3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3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3,</v>
      </c>
      <c r="E52" s="12" t="str">
        <f t="shared" si="7"/>
        <v>6,</v>
      </c>
      <c r="F52" s="12" t="str">
        <f t="shared" si="8"/>
        <v>3,</v>
      </c>
      <c r="G52" s="12" t="str">
        <f t="shared" si="9"/>
        <v>6,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1,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3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2,</v>
      </c>
      <c r="E53" s="12" t="str">
        <f t="shared" si="7"/>
        <v>6,</v>
      </c>
      <c r="F53" s="12" t="str">
        <f t="shared" si="8"/>
        <v>2,</v>
      </c>
      <c r="G53" s="12" t="str">
        <f t="shared" si="9"/>
        <v>6,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3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2,</v>
      </c>
      <c r="E54" s="12" t="str">
        <f t="shared" si="7"/>
        <v>6,</v>
      </c>
      <c r="F54" s="12" t="str">
        <f t="shared" si="8"/>
        <v>1.33,</v>
      </c>
      <c r="G54" s="12" t="str">
        <f t="shared" si="9"/>
        <v>4,</v>
      </c>
      <c r="H54" s="12" t="str">
        <f t="shared" si="10"/>
        <v>0.67,</v>
      </c>
      <c r="I54" s="12" t="str">
        <f t="shared" si="11"/>
        <v>2,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3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1.33,</v>
      </c>
      <c r="E55" s="12" t="str">
        <f t="shared" si="7"/>
        <v>4,</v>
      </c>
      <c r="F55" s="12" t="str">
        <f t="shared" si="8"/>
        <v>1.33,</v>
      </c>
      <c r="G55" s="12" t="str">
        <f t="shared" si="9"/>
        <v>4,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3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0.33,</v>
      </c>
      <c r="E56" s="12" t="str">
        <f t="shared" si="7"/>
        <v>1,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0.33,</v>
      </c>
      <c r="I56" s="12" t="str">
        <f t="shared" si="11"/>
        <v>1,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3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0.67,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0.33,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3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1,</v>
      </c>
      <c r="E58" s="12" t="str">
        <f t="shared" si="7"/>
        <v>3,</v>
      </c>
      <c r="F58" s="12" t="str">
        <f t="shared" si="8"/>
        <v>0.33,</v>
      </c>
      <c r="G58" s="12" t="str">
        <f t="shared" si="9"/>
        <v>1,</v>
      </c>
      <c r="H58" s="12" t="str">
        <f t="shared" si="10"/>
        <v>0.67,</v>
      </c>
      <c r="I58" s="12" t="str">
        <f t="shared" si="11"/>
        <v>2,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3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1.67,</v>
      </c>
      <c r="E59" s="12" t="str">
        <f t="shared" si="7"/>
        <v>5,</v>
      </c>
      <c r="F59" s="12" t="str">
        <f t="shared" si="8"/>
        <v>0.67,</v>
      </c>
      <c r="G59" s="12" t="str">
        <f t="shared" si="9"/>
        <v>2,</v>
      </c>
      <c r="H59" s="12" t="str">
        <f t="shared" si="10"/>
        <v>1,</v>
      </c>
      <c r="I59" s="12" t="str">
        <f t="shared" si="11"/>
        <v>3,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3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0.5,</v>
      </c>
      <c r="E60" s="12" t="str">
        <f t="shared" si="7"/>
        <v>1,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0.5,</v>
      </c>
      <c r="I60" s="12" t="str">
        <f t="shared" si="11"/>
        <v>1,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1,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3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3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1.33,</v>
      </c>
      <c r="E62" s="12" t="str">
        <f t="shared" si="7"/>
        <v>4,</v>
      </c>
      <c r="F62" s="12" t="str">
        <f t="shared" si="8"/>
        <v>0.67,</v>
      </c>
      <c r="G62" s="12" t="str">
        <f t="shared" si="9"/>
        <v>2,</v>
      </c>
      <c r="H62" s="12" t="str">
        <f t="shared" si="10"/>
        <v>0.67,</v>
      </c>
      <c r="I62" s="12" t="str">
        <f t="shared" si="11"/>
        <v>2,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3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1.33,</v>
      </c>
      <c r="E63" s="12" t="str">
        <f t="shared" si="7"/>
        <v>4,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0.67,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3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0.33,</v>
      </c>
      <c r="E64" s="12" t="str">
        <f t="shared" si="7"/>
        <v>1,</v>
      </c>
      <c r="F64" s="12" t="str">
        <f t="shared" si="8"/>
        <v>0.33,</v>
      </c>
      <c r="G64" s="12" t="str">
        <f t="shared" si="9"/>
        <v>1,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3,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3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3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35"/>
    <row r="68" spans="2:23" ht="14.25" customHeight="1" x14ac:dyDescent="0.35"/>
    <row r="69" spans="2:23" ht="14.25" customHeight="1" x14ac:dyDescent="0.35"/>
    <row r="70" spans="2:23" ht="14.25" customHeight="1" x14ac:dyDescent="0.35"/>
    <row r="71" spans="2:23" ht="14.25" customHeight="1" x14ac:dyDescent="0.35"/>
    <row r="72" spans="2:23" ht="14.25" customHeight="1" x14ac:dyDescent="0.35"/>
    <row r="73" spans="2:23" ht="14.25" customHeight="1" x14ac:dyDescent="0.35"/>
    <row r="74" spans="2:23" ht="14.25" customHeight="1" x14ac:dyDescent="0.35"/>
    <row r="75" spans="2:23" ht="14.25" customHeight="1" x14ac:dyDescent="0.35">
      <c r="B75" s="14"/>
    </row>
    <row r="76" spans="2:23" ht="14.25" customHeight="1" x14ac:dyDescent="0.35"/>
    <row r="77" spans="2:23" ht="14.25" customHeight="1" x14ac:dyDescent="0.35"/>
    <row r="78" spans="2:23" ht="14.25" customHeight="1" x14ac:dyDescent="0.35"/>
    <row r="79" spans="2:23" ht="14.25" customHeight="1" x14ac:dyDescent="0.35"/>
    <row r="80" spans="2:23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W1" zoomScale="61" workbookViewId="0">
      <selection activeCell="AB8" sqref="AB8:AB23"/>
    </sheetView>
  </sheetViews>
  <sheetFormatPr defaultColWidth="14.36328125" defaultRowHeight="15" customHeight="1" x14ac:dyDescent="0.35"/>
  <cols>
    <col min="1" max="2" width="8.7265625" customWidth="1"/>
    <col min="3" max="3" width="12.08984375" customWidth="1"/>
    <col min="4" max="15" width="8.7265625" customWidth="1"/>
    <col min="16" max="16" width="8.81640625" customWidth="1"/>
    <col min="17" max="17" width="8.7265625" customWidth="1"/>
    <col min="18" max="18" width="9.6328125" customWidth="1"/>
    <col min="19" max="19" width="11.6328125" customWidth="1"/>
    <col min="20" max="20" width="10.26953125" customWidth="1"/>
    <col min="21" max="22" width="11.36328125" customWidth="1"/>
    <col min="23" max="23" width="8.7265625" customWidth="1"/>
    <col min="24" max="24" width="11.36328125" customWidth="1"/>
    <col min="25" max="25" width="14.90625" customWidth="1"/>
    <col min="26" max="26" width="8.7265625" customWidth="1"/>
    <col min="27" max="27" width="13.08984375" customWidth="1"/>
    <col min="28" max="28" width="13.6328125" customWidth="1"/>
    <col min="29" max="29" width="12.36328125" customWidth="1"/>
    <col min="30" max="30" width="11.6328125" customWidth="1"/>
    <col min="31" max="31" width="8.7265625" customWidth="1"/>
    <col min="32" max="32" width="11.36328125" customWidth="1"/>
    <col min="33" max="34" width="8.7265625" customWidth="1"/>
    <col min="35" max="35" width="12.7265625" customWidth="1"/>
    <col min="36" max="36" width="14.90625" customWidth="1"/>
    <col min="37" max="38" width="8.7265625" customWidth="1"/>
  </cols>
  <sheetData>
    <row r="1" spans="1:55" ht="14.25" customHeight="1" x14ac:dyDescent="0.35"/>
    <row r="2" spans="1:55" ht="14.25" customHeight="1" x14ac:dyDescent="0.35">
      <c r="B2" s="2" t="s">
        <v>65</v>
      </c>
    </row>
    <row r="3" spans="1:55" ht="14.25" customHeight="1" x14ac:dyDescent="0.35"/>
    <row r="4" spans="1:55" ht="14.25" customHeight="1" x14ac:dyDescent="0.3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0.15</v>
      </c>
    </row>
    <row r="5" spans="1:55" ht="14.25" customHeight="1" x14ac:dyDescent="0.35">
      <c r="B5" s="121" t="str">
        <f>'2401'!C45</f>
        <v>24 January</v>
      </c>
      <c r="C5" s="121">
        <f>'2401'!D45</f>
        <v>4</v>
      </c>
      <c r="D5" s="121">
        <f>'2401'!E45</f>
        <v>12</v>
      </c>
      <c r="E5" s="121">
        <f>'2401'!F45</f>
        <v>2</v>
      </c>
      <c r="F5" s="121">
        <f>'2401'!G45</f>
        <v>4</v>
      </c>
      <c r="G5" s="121">
        <f>'2401'!H45</f>
        <v>1</v>
      </c>
      <c r="H5" s="121">
        <f>'2401'!I45</f>
        <v>1</v>
      </c>
      <c r="I5" s="121">
        <f>'2401'!J45</f>
        <v>2</v>
      </c>
      <c r="J5" s="121">
        <f>'2401'!K45</f>
        <v>2</v>
      </c>
      <c r="K5" s="121">
        <f>'2401'!L45</f>
        <v>1</v>
      </c>
      <c r="L5" s="121">
        <f>'2401'!M45</f>
        <v>2</v>
      </c>
      <c r="M5" s="121">
        <f>'2401'!N45</f>
        <v>2</v>
      </c>
      <c r="N5" s="121">
        <f>'2401'!O45</f>
        <v>1</v>
      </c>
      <c r="O5" s="121">
        <f>'2401'!P45</f>
        <v>3</v>
      </c>
      <c r="P5" s="121">
        <f>'2401'!Q45</f>
        <v>1.5</v>
      </c>
      <c r="Q5" s="121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35">
      <c r="B6" s="74" t="str">
        <f>'2501'!C45</f>
        <v>25 January</v>
      </c>
      <c r="C6" s="74">
        <f>'2501'!D45</f>
        <v>2</v>
      </c>
      <c r="D6" s="74">
        <f>'2501'!E45</f>
        <v>7</v>
      </c>
      <c r="E6" s="74">
        <f>'2501'!F45</f>
        <v>1</v>
      </c>
      <c r="F6" s="74">
        <f>'2501'!G45</f>
        <v>2</v>
      </c>
      <c r="G6" s="74">
        <f>'2501'!H45</f>
        <v>1</v>
      </c>
      <c r="H6" s="74">
        <f>'2501'!I45</f>
        <v>0</v>
      </c>
      <c r="I6" s="74">
        <f>'2501'!J45</f>
        <v>1</v>
      </c>
      <c r="J6" s="74">
        <f>'2501'!K45</f>
        <v>1</v>
      </c>
      <c r="K6" s="74">
        <f>'2501'!L45</f>
        <v>1</v>
      </c>
      <c r="L6" s="74">
        <f>'2501'!M45</f>
        <v>1</v>
      </c>
      <c r="M6" s="74">
        <f>'2501'!N45</f>
        <v>1</v>
      </c>
      <c r="N6" s="74">
        <f>'2501'!O45</f>
        <v>0</v>
      </c>
      <c r="O6" s="74">
        <f>'2501'!P45</f>
        <v>3</v>
      </c>
      <c r="P6" s="74">
        <f>'2501'!Q45</f>
        <v>1</v>
      </c>
      <c r="Q6" s="74">
        <f>'2501'!R45</f>
        <v>2</v>
      </c>
      <c r="S6" s="3">
        <f>SUM(C5:E40)/COUNT(C5:C40)</f>
        <v>13.333333333333334</v>
      </c>
      <c r="T6" s="113">
        <f>AVERAGE(C5:C40)</f>
        <v>3</v>
      </c>
      <c r="U6" s="113">
        <f>AVERAGE(D5:D40)</f>
        <v>9</v>
      </c>
      <c r="V6" s="113">
        <f>AVERAGE(E5:E40)</f>
        <v>1.3333333333333333</v>
      </c>
      <c r="Z6" s="48" t="s">
        <v>134</v>
      </c>
      <c r="AA6" s="6">
        <f>AA47+AA67+AA27+AL47+AL67+AA87+AL27</f>
        <v>3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35">
      <c r="B7" s="74" t="str">
        <f>'2901'!C45</f>
        <v>29 January</v>
      </c>
      <c r="C7" s="74">
        <f>'2901'!D45</f>
        <v>3</v>
      </c>
      <c r="D7" s="74">
        <f>'2901'!E45</f>
        <v>8</v>
      </c>
      <c r="E7" s="74">
        <f>'2901'!F45</f>
        <v>1</v>
      </c>
      <c r="F7" s="74">
        <f>'2901'!G45</f>
        <v>1</v>
      </c>
      <c r="G7" s="74">
        <f>'2901'!H45</f>
        <v>2</v>
      </c>
      <c r="H7" s="74">
        <f>'2901'!I45</f>
        <v>0</v>
      </c>
      <c r="I7" s="74">
        <f>'2901'!J45</f>
        <v>3</v>
      </c>
      <c r="J7" s="74">
        <f>'2901'!K45</f>
        <v>0</v>
      </c>
      <c r="K7" s="74">
        <f>'2901'!L45</f>
        <v>1</v>
      </c>
      <c r="L7" s="74">
        <f>'2901'!M45</f>
        <v>1</v>
      </c>
      <c r="M7" s="74">
        <f>'2901'!N45</f>
        <v>1</v>
      </c>
      <c r="N7" s="74">
        <f>'2901'!O45</f>
        <v>1</v>
      </c>
      <c r="O7" s="74">
        <f>'2901'!P45</f>
        <v>2</v>
      </c>
      <c r="P7" s="74">
        <f>'2901'!Q45</f>
        <v>3</v>
      </c>
      <c r="Q7" s="74">
        <f>'2901'!R45</f>
        <v>1</v>
      </c>
      <c r="S7" s="2" t="s">
        <v>72</v>
      </c>
      <c r="T7" s="4">
        <f>T6/$S$6</f>
        <v>0.22499999999999998</v>
      </c>
      <c r="U7" s="4">
        <f>U6/$S$6</f>
        <v>0.67499999999999993</v>
      </c>
      <c r="V7" s="4">
        <f>V6/$S$6</f>
        <v>9.9999999999999992E-2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3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7" t="str">
        <f>SfW!B3</f>
        <v>Jasper Collier</v>
      </c>
      <c r="AA8" s="98">
        <f t="shared" ref="AA8:AA23" si="0"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 t="shared" ref="AC8:AC23" si="1"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 t="shared" ref="AE8:AE23" si="2"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 t="shared" ref="AG8:AG23" si="3"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0.96875000000000011</v>
      </c>
      <c r="AN8" s="77">
        <f>MEDIAN(Table1[Average])</f>
        <v>0.83333333333333326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3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 t="shared" si="0"/>
        <v>0</v>
      </c>
      <c r="AB9" s="99">
        <f>IF($AA$6-Table1[[#This Row],[Missed Games]]=0, 0,Table1[[#This Row],[Points]]/($AA$6-Table1[[#This Row],[Missed Games]]))</f>
        <v>0</v>
      </c>
      <c r="AC9" s="100">
        <f t="shared" si="1"/>
        <v>0</v>
      </c>
      <c r="AD9" s="97">
        <f>IF($AA$6-Table1[[#This Row],[Missed Games]]=0, 0,Table1[[#This Row],[Finishes]]/($AA$6-Table1[[#This Row],[Missed Games]]))</f>
        <v>0</v>
      </c>
      <c r="AE9" s="100">
        <f t="shared" si="2"/>
        <v>0</v>
      </c>
      <c r="AF9" s="97">
        <f>IF($AA$6-Table1[[#This Row],[Missed Games]]=0, 0,Table1[[#This Row],[Midranges]]/($AA$6-Table1[[#This Row],[Missed Games]]))</f>
        <v>0</v>
      </c>
      <c r="AG9" s="100">
        <f t="shared" si="3"/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 t="shared" si="4"/>
        <v>0</v>
      </c>
      <c r="AK9" s="42"/>
      <c r="AL9" s="78" t="s">
        <v>1</v>
      </c>
      <c r="AM9" s="77">
        <f>AVERAGE(Table1[Finishes])</f>
        <v>1.625</v>
      </c>
      <c r="AN9" s="77">
        <f>MEDIAN(Table1[Finishes])</f>
        <v>0.5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3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 t="shared" si="0"/>
        <v>6</v>
      </c>
      <c r="AB10" s="45">
        <f>IF($AA$6-Table1[[#This Row],[Missed Games]]=0, 0,Table1[[#This Row],[Points]]/($AA$6-Table1[[#This Row],[Missed Games]]))</f>
        <v>3</v>
      </c>
      <c r="AC10" s="46">
        <f t="shared" si="1"/>
        <v>6</v>
      </c>
      <c r="AD10" s="43">
        <f>IF($AA$6-Table1[[#This Row],[Missed Games]]=0, 0,Table1[[#This Row],[Finishes]]/($AA$6-Table1[[#This Row],[Missed Games]]))</f>
        <v>3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1</v>
      </c>
      <c r="AK10" s="42"/>
      <c r="AL10" s="78" t="s">
        <v>146</v>
      </c>
      <c r="AM10" s="77">
        <f>AVERAGE(Table1[Midranges])</f>
        <v>0.6875</v>
      </c>
      <c r="AN10" s="77">
        <f>MEDIAN(Table1[Midranges])</f>
        <v>0</v>
      </c>
      <c r="AO10" s="23"/>
      <c r="AP10" s="13">
        <f>_xlfn.CEILING.MATH('[1]Stats Global'!R10*(20-$AA$5-$AJ10))</f>
        <v>60</v>
      </c>
      <c r="AQ10" s="20">
        <f>Table1[[#This Row],[Points]]/AP10</f>
        <v>0.1</v>
      </c>
      <c r="AR10" s="81">
        <f>AP10-Table1[[#This Row],[Points]]</f>
        <v>54</v>
      </c>
      <c r="AS10" s="87">
        <f>Table1[[#This Row],[Points]]/(20-AA$5-Table1[[#This Row],[Missed Games]])</f>
        <v>0.31578947368421051</v>
      </c>
      <c r="AT10" s="92">
        <f>Table1[[#This Row],[Average]]-'[1]Stats Global'!R10</f>
        <v>-0.14285714285714279</v>
      </c>
      <c r="AU10" s="20">
        <f>(Table1[[#This Row],[Average]]-'[1]Stats Global'!R10)/'[1]Stats Global'!R10</f>
        <v>-4.5454545454545435E-2</v>
      </c>
      <c r="AW10" s="1"/>
    </row>
    <row r="11" spans="1:55" ht="14.25" customHeight="1" x14ac:dyDescent="0.3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 t="shared" si="0"/>
        <v>6</v>
      </c>
      <c r="AB11" s="45">
        <f>IF($AA$6-Table1[[#This Row],[Missed Games]]=0, 0,Table1[[#This Row],[Points]]/($AA$6-Table1[[#This Row],[Missed Games]]))</f>
        <v>2</v>
      </c>
      <c r="AC11" s="46">
        <f t="shared" si="1"/>
        <v>6</v>
      </c>
      <c r="AD11" s="43">
        <f>IF($AA$6-Table1[[#This Row],[Missed Games]]=0, 0,Table1[[#This Row],[Finishes]]/($AA$6-Table1[[#This Row],[Missed Games]]))</f>
        <v>2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0.1875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0.10526315789473684</v>
      </c>
      <c r="AR11" s="81">
        <f>AP11-Table1[[#This Row],[Points]]</f>
        <v>51</v>
      </c>
      <c r="AS11" s="87">
        <f>Table1[[#This Row],[Points]]/(20-AA$5-Table1[[#This Row],[Missed Games]])</f>
        <v>0.3</v>
      </c>
      <c r="AT11" s="92">
        <f>Table1[[#This Row],[Average]]-'[1]Stats Global'!R11</f>
        <v>-0.8125</v>
      </c>
      <c r="AU11" s="20">
        <f>(Table1[[#This Row],[Average]]-'[1]Stats Global'!R11)/'[1]Stats Global'!R11</f>
        <v>-0.28888888888888886</v>
      </c>
      <c r="AW11" s="1"/>
    </row>
    <row r="12" spans="1:55" ht="14.25" customHeight="1" x14ac:dyDescent="0.3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 t="shared" si="0"/>
        <v>6</v>
      </c>
      <c r="AB12" s="45">
        <f>IF($AA$6-Table1[[#This Row],[Missed Games]]=0, 0,Table1[[#This Row],[Points]]/($AA$6-Table1[[#This Row],[Missed Games]]))</f>
        <v>2</v>
      </c>
      <c r="AC12" s="46">
        <f t="shared" si="1"/>
        <v>4</v>
      </c>
      <c r="AD12" s="43">
        <f>IF($AA$6-Table1[[#This Row],[Missed Games]]=0, 0,Table1[[#This Row],[Finishes]]/($AA$6-Table1[[#This Row],[Missed Games]]))</f>
        <v>1.3333333333333333</v>
      </c>
      <c r="AE12" s="46">
        <f t="shared" si="2"/>
        <v>2</v>
      </c>
      <c r="AF12" s="43">
        <f>IF($AA$6-Table1[[#This Row],[Missed Games]]=0, 0,Table1[[#This Row],[Midranges]]/($AA$6-Table1[[#This Row],[Missed Games]]))</f>
        <v>0.66666666666666663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0.14285714285714285</v>
      </c>
      <c r="AR12" s="81">
        <f>AP12-Table1[[#This Row],[Points]]</f>
        <v>36</v>
      </c>
      <c r="AS12" s="87">
        <f>Table1[[#This Row],[Points]]/(20-AA$5-Table1[[#This Row],[Missed Games]])</f>
        <v>0.3</v>
      </c>
      <c r="AT12" s="92">
        <f>Table1[[#This Row],[Average]]-'[1]Stats Global'!R12</f>
        <v>-5.8823529411764497E-2</v>
      </c>
      <c r="AU12" s="20">
        <f>(Table1[[#This Row],[Average]]-'[1]Stats Global'!R12)/'[1]Stats Global'!R12</f>
        <v>-2.8571428571428473E-2</v>
      </c>
      <c r="AW12" s="1"/>
    </row>
    <row r="13" spans="1:55" ht="14.25" customHeight="1" x14ac:dyDescent="0.3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 t="shared" si="0"/>
        <v>4</v>
      </c>
      <c r="AB13" s="99">
        <f>IF($AA$6-Table1[[#This Row],[Missed Games]]=0, 0,Table1[[#This Row],[Points]]/($AA$6-Table1[[#This Row],[Missed Games]]))</f>
        <v>1.3333333333333333</v>
      </c>
      <c r="AC13" s="100">
        <f t="shared" si="1"/>
        <v>4</v>
      </c>
      <c r="AD13" s="97">
        <f>IF($AA$6-Table1[[#This Row],[Missed Games]]=0, 0,Table1[[#This Row],[Finishes]]/($AA$6-Table1[[#This Row],[Missed Games]]))</f>
        <v>1.3333333333333333</v>
      </c>
      <c r="AE13" s="100">
        <f t="shared" si="2"/>
        <v>0</v>
      </c>
      <c r="AF13" s="97">
        <f>IF($AA$6-Table1[[#This Row],[Missed Games]]=0, 0,Table1[[#This Row],[Midranges]]/($AA$6-Table1[[#This Row],[Missed Games]]))</f>
        <v>0</v>
      </c>
      <c r="AG13" s="100">
        <f t="shared" si="3"/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0.17391304347826086</v>
      </c>
      <c r="AR13" s="81">
        <f>AP13-Table1[[#This Row],[Points]]</f>
        <v>19</v>
      </c>
      <c r="AS13" s="87">
        <f>Table1[[#This Row],[Points]]/(20-AA$5-Table1[[#This Row],[Missed Games]])</f>
        <v>0.2</v>
      </c>
      <c r="AT13" s="92">
        <f>Table1[[#This Row],[Average]]-'[1]Stats Global'!R13</f>
        <v>0.19047619047619047</v>
      </c>
      <c r="AU13" s="20">
        <f>(Table1[[#This Row],[Average]]-'[1]Stats Global'!R13)/'[1]Stats Global'!R13</f>
        <v>0.16666666666666666</v>
      </c>
      <c r="AW13" s="1"/>
    </row>
    <row r="14" spans="1:55" ht="14.25" customHeight="1" x14ac:dyDescent="0.3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 t="shared" si="0"/>
        <v>1</v>
      </c>
      <c r="AB14" s="99">
        <f>IF($AA$6-Table1[[#This Row],[Missed Games]]=0, 0,Table1[[#This Row],[Points]]/($AA$6-Table1[[#This Row],[Missed Games]]))</f>
        <v>0.33333333333333331</v>
      </c>
      <c r="AC14" s="100">
        <f t="shared" si="1"/>
        <v>0</v>
      </c>
      <c r="AD14" s="97">
        <f>IF($AA$6-Table1[[#This Row],[Missed Games]]=0, 0,Table1[[#This Row],[Finishes]]/($AA$6-Table1[[#This Row],[Missed Games]]))</f>
        <v>0</v>
      </c>
      <c r="AE14" s="100">
        <f t="shared" si="2"/>
        <v>1</v>
      </c>
      <c r="AF14" s="97">
        <f>IF($AA$6-Table1[[#This Row],[Missed Games]]=0, 0,Table1[[#This Row],[Midranges]]/($AA$6-Table1[[#This Row],[Missed Games]]))</f>
        <v>0.33333333333333331</v>
      </c>
      <c r="AG14" s="100">
        <f t="shared" si="3"/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0.14285714285714285</v>
      </c>
      <c r="AR14" s="81">
        <f>AP14-Table1[[#This Row],[Points]]</f>
        <v>6</v>
      </c>
      <c r="AS14" s="87">
        <f>Table1[[#This Row],[Points]]/(20-AA$5-Table1[[#This Row],[Missed Games]])</f>
        <v>0.05</v>
      </c>
      <c r="AT14" s="92">
        <f>Table1[[#This Row],[Average]]-'[1]Stats Global'!R23</f>
        <v>2.0833333333333315E-2</v>
      </c>
      <c r="AU14" s="20">
        <f>(Table1[[#This Row],[Average]]-'[1]Stats Global'!R23)/'[1]Stats Global'!R23</f>
        <v>6.666666666666661E-2</v>
      </c>
    </row>
    <row r="15" spans="1:55" ht="14.25" customHeight="1" x14ac:dyDescent="0.3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 t="shared" si="0"/>
        <v>2</v>
      </c>
      <c r="AB15" s="99">
        <f>IF($AA$6-Table1[[#This Row],[Missed Games]]=0, 0,Table1[[#This Row],[Points]]/($AA$6-Table1[[#This Row],[Missed Games]]))</f>
        <v>0.66666666666666663</v>
      </c>
      <c r="AC15" s="100">
        <f t="shared" si="1"/>
        <v>0</v>
      </c>
      <c r="AD15" s="97">
        <f>IF($AA$6-Table1[[#This Row],[Missed Games]]=0, 0,Table1[[#This Row],[Finishes]]/($AA$6-Table1[[#This Row],[Missed Games]]))</f>
        <v>0</v>
      </c>
      <c r="AE15" s="100">
        <f t="shared" si="2"/>
        <v>0</v>
      </c>
      <c r="AF15" s="97">
        <f>IF($AA$6-Table1[[#This Row],[Missed Games]]=0, 0,Table1[[#This Row],[Midranges]]/($AA$6-Table1[[#This Row],[Missed Games]]))</f>
        <v>0</v>
      </c>
      <c r="AG15" s="100">
        <f t="shared" si="3"/>
        <v>1</v>
      </c>
      <c r="AH15" s="97">
        <f>IF($AA$6-Table1[[#This Row],[Missed Games]]=0, 0,Table1[[#This Row],[Threes]]/($AA$6-Table1[[#This Row],[Missed Games]]))</f>
        <v>0.33333333333333331</v>
      </c>
      <c r="AI15" s="97" t="str">
        <f>SfW!C10</f>
        <v>Traffic Controllers</v>
      </c>
      <c r="AJ15" s="101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1">
        <f>AP15-Table1[[#This Row],[Points]]</f>
        <v>30</v>
      </c>
      <c r="AS15" s="87">
        <f>Table1[[#This Row],[Points]]/(20-AA$5-Table1[[#This Row],[Missed Games]])</f>
        <v>0.1</v>
      </c>
      <c r="AT15" s="92">
        <f>Table1[[#This Row],[Average]]-'[1]Stats Global'!R14</f>
        <v>-0.92156862745098034</v>
      </c>
      <c r="AU15" s="20">
        <f>(Table1[[#This Row],[Average]]-'[1]Stats Global'!R14)/'[1]Stats Global'!R14</f>
        <v>-0.58024691358024694</v>
      </c>
      <c r="AW15" s="1"/>
    </row>
    <row r="16" spans="1:55" ht="14.25" customHeight="1" x14ac:dyDescent="0.3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 t="shared" si="0"/>
        <v>3</v>
      </c>
      <c r="AB16" s="45">
        <f>IF($AA$6-Table1[[#This Row],[Missed Games]]=0, 0,Table1[[#This Row],[Points]]/($AA$6-Table1[[#This Row],[Missed Games]]))</f>
        <v>1</v>
      </c>
      <c r="AC16" s="46">
        <f t="shared" si="1"/>
        <v>1</v>
      </c>
      <c r="AD16" s="43">
        <f>IF($AA$6-Table1[[#This Row],[Missed Games]]=0, 0,Table1[[#This Row],[Finishes]]/($AA$6-Table1[[#This Row],[Missed Games]]))</f>
        <v>0.33333333333333331</v>
      </c>
      <c r="AE16" s="46">
        <f t="shared" si="2"/>
        <v>2</v>
      </c>
      <c r="AF16" s="43">
        <f>IF($AA$6-Table1[[#This Row],[Missed Games]]=0, 0,Table1[[#This Row],[Midranges]]/($AA$6-Table1[[#This Row],[Missed Games]]))</f>
        <v>0.66666666666666663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0.10344827586206896</v>
      </c>
      <c r="AR16" s="81">
        <f>AP16-Table1[[#This Row],[Points]]</f>
        <v>26</v>
      </c>
      <c r="AS16" s="87">
        <f>Table1[[#This Row],[Points]]/(20-AA$5-Table1[[#This Row],[Missed Games]])</f>
        <v>0.15</v>
      </c>
      <c r="AT16" s="92">
        <f>Table1[[#This Row],[Average]]-'[1]Stats Global'!R15</f>
        <v>-0.41176470588235303</v>
      </c>
      <c r="AU16" s="20">
        <f>(Table1[[#This Row],[Average]]-'[1]Stats Global'!R15)/'[1]Stats Global'!R15</f>
        <v>-0.29166666666666669</v>
      </c>
      <c r="AW16" s="1"/>
    </row>
    <row r="17" spans="2:49" ht="14.25" customHeight="1" x14ac:dyDescent="0.3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 t="shared" si="0"/>
        <v>5</v>
      </c>
      <c r="AB17" s="45">
        <f>IF($AA$6-Table1[[#This Row],[Missed Games]]=0, 0,Table1[[#This Row],[Points]]/($AA$6-Table1[[#This Row],[Missed Games]]))</f>
        <v>1.6666666666666667</v>
      </c>
      <c r="AC17" s="46">
        <f t="shared" si="1"/>
        <v>2</v>
      </c>
      <c r="AD17" s="43">
        <f>IF($AA$6-Table1[[#This Row],[Missed Games]]=0, 0,Table1[[#This Row],[Finishes]]/($AA$6-Table1[[#This Row],[Missed Games]]))</f>
        <v>0.66666666666666663</v>
      </c>
      <c r="AE17" s="46">
        <f t="shared" si="2"/>
        <v>3</v>
      </c>
      <c r="AF17" s="43">
        <f>IF($AA$6-Table1[[#This Row],[Missed Games]]=0, 0,Table1[[#This Row],[Midranges]]/($AA$6-Table1[[#This Row],[Missed Games]]))</f>
        <v>1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9.8039215686274508E-2</v>
      </c>
      <c r="AR17" s="81">
        <f>AP17-Table1[[#This Row],[Points]]</f>
        <v>46</v>
      </c>
      <c r="AS17" s="87">
        <f>Table1[[#This Row],[Points]]/(20-AA$5-Table1[[#This Row],[Missed Games]])</f>
        <v>0.25</v>
      </c>
      <c r="AT17" s="92">
        <f>Table1[[#This Row],[Average]]-'[1]Stats Global'!R16</f>
        <v>-0.86666666666666647</v>
      </c>
      <c r="AU17" s="20">
        <f>(Table1[[#This Row],[Average]]-'[1]Stats Global'!R16)/'[1]Stats Global'!R16</f>
        <v>-0.34210526315789469</v>
      </c>
      <c r="AW17" s="1"/>
    </row>
    <row r="18" spans="2:49" ht="14.25" customHeight="1" x14ac:dyDescent="0.3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 t="shared" si="0"/>
        <v>1</v>
      </c>
      <c r="AB18" s="99">
        <f>IF($AA$6-Table1[[#This Row],[Missed Games]]=0, 0,Table1[[#This Row],[Points]]/($AA$6-Table1[[#This Row],[Missed Games]]))</f>
        <v>0.5</v>
      </c>
      <c r="AC18" s="100">
        <f t="shared" si="1"/>
        <v>0</v>
      </c>
      <c r="AD18" s="97">
        <f>IF($AA$6-Table1[[#This Row],[Missed Games]]=0, 0,Table1[[#This Row],[Finishes]]/($AA$6-Table1[[#This Row],[Missed Games]]))</f>
        <v>0</v>
      </c>
      <c r="AE18" s="100">
        <f t="shared" si="2"/>
        <v>1</v>
      </c>
      <c r="AF18" s="97">
        <f>IF($AA$6-Table1[[#This Row],[Missed Games]]=0, 0,Table1[[#This Row],[Midranges]]/($AA$6-Table1[[#This Row],[Missed Games]]))</f>
        <v>0.5</v>
      </c>
      <c r="AG18" s="100">
        <f t="shared" si="3"/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 t="shared" si="4"/>
        <v>1</v>
      </c>
      <c r="AK18" s="42"/>
      <c r="AL18" s="42"/>
      <c r="AM18" s="42"/>
      <c r="AO18" s="23"/>
      <c r="AP18" s="13">
        <f>_xlfn.CEILING.MATH('[1]Stats Global'!R17*(20-$AA$5-$AJ18))</f>
        <v>17</v>
      </c>
      <c r="AQ18" s="20">
        <f>Table1[[#This Row],[Points]]/AP18</f>
        <v>5.8823529411764705E-2</v>
      </c>
      <c r="AR18" s="81">
        <f>AP18-Table1[[#This Row],[Points]]</f>
        <v>16</v>
      </c>
      <c r="AS18" s="87">
        <f>Table1[[#This Row],[Points]]/(20-AA$5-Table1[[#This Row],[Missed Games]])</f>
        <v>5.2631578947368418E-2</v>
      </c>
      <c r="AT18" s="92">
        <f>Table1[[#This Row],[Average]]-'[1]Stats Global'!R17</f>
        <v>-0.375</v>
      </c>
      <c r="AU18" s="20">
        <f>(Table1[[#This Row],[Average]]-'[1]Stats Global'!R17)/'[1]Stats Global'!R17</f>
        <v>-0.42857142857142855</v>
      </c>
      <c r="AW18" s="1"/>
    </row>
    <row r="19" spans="2:49" ht="14.25" customHeight="1" x14ac:dyDescent="0.3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 t="shared" si="0"/>
        <v>0</v>
      </c>
      <c r="AB19" s="99">
        <f>IF($AA$6-Table1[[#This Row],[Missed Games]]=0, 0,Table1[[#This Row],[Points]]/($AA$6-Table1[[#This Row],[Missed Games]]))</f>
        <v>0</v>
      </c>
      <c r="AC19" s="100">
        <f t="shared" si="1"/>
        <v>0</v>
      </c>
      <c r="AD19" s="97">
        <f>IF($AA$6-Table1[[#This Row],[Missed Games]]=0, 0,Table1[[#This Row],[Finishes]]/($AA$6-Table1[[#This Row],[Missed Games]]))</f>
        <v>0</v>
      </c>
      <c r="AE19" s="100">
        <f t="shared" si="2"/>
        <v>0</v>
      </c>
      <c r="AF19" s="97">
        <f>IF($AA$6-Table1[[#This Row],[Missed Games]]=0, 0,Table1[[#This Row],[Midranges]]/($AA$6-Table1[[#This Row],[Missed Games]]))</f>
        <v>0</v>
      </c>
      <c r="AG19" s="100">
        <f t="shared" si="3"/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 t="shared" si="4"/>
        <v>3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3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 t="shared" si="0"/>
        <v>4</v>
      </c>
      <c r="AB20" s="99">
        <f>IF($AA$6-Table1[[#This Row],[Missed Games]]=0, 0,Table1[[#This Row],[Points]]/($AA$6-Table1[[#This Row],[Missed Games]]))</f>
        <v>1.3333333333333333</v>
      </c>
      <c r="AC20" s="100">
        <f t="shared" si="1"/>
        <v>2</v>
      </c>
      <c r="AD20" s="97">
        <f>IF($AA$6-Table1[[#This Row],[Missed Games]]=0, 0,Table1[[#This Row],[Finishes]]/($AA$6-Table1[[#This Row],[Missed Games]]))</f>
        <v>0.66666666666666663</v>
      </c>
      <c r="AE20" s="100">
        <f t="shared" si="2"/>
        <v>2</v>
      </c>
      <c r="AF20" s="97">
        <f>IF($AA$6-Table1[[#This Row],[Missed Games]]=0, 0,Table1[[#This Row],[Midranges]]/($AA$6-Table1[[#This Row],[Missed Games]]))</f>
        <v>0.66666666666666663</v>
      </c>
      <c r="AG20" s="100">
        <f t="shared" si="3"/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0.18181818181818182</v>
      </c>
      <c r="AR20" s="81">
        <f>AP20-Table1[[#This Row],[Points]]</f>
        <v>18</v>
      </c>
      <c r="AS20" s="87">
        <f>Table1[[#This Row],[Points]]/(20-AA$5-Table1[[#This Row],[Missed Games]])</f>
        <v>0.2</v>
      </c>
      <c r="AT20" s="92">
        <f>Table1[[#This Row],[Average]]-'[1]Stats Global'!R18</f>
        <v>0.26666666666666661</v>
      </c>
      <c r="AU20" s="20">
        <f>(Table1[[#This Row],[Average]]-'[1]Stats Global'!R18)/'[1]Stats Global'!R18</f>
        <v>0.24999999999999994</v>
      </c>
      <c r="AW20" s="1"/>
    </row>
    <row r="21" spans="2:49" ht="14.25" customHeight="1" x14ac:dyDescent="0.3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 t="shared" si="0"/>
        <v>4</v>
      </c>
      <c r="AB21" s="99">
        <f>IF($AA$6-Table1[[#This Row],[Missed Games]]=0, 0,Table1[[#This Row],[Points]]/($AA$6-Table1[[#This Row],[Missed Games]]))</f>
        <v>1.3333333333333333</v>
      </c>
      <c r="AC21" s="100">
        <f t="shared" si="1"/>
        <v>0</v>
      </c>
      <c r="AD21" s="97">
        <f>IF($AA$6-Table1[[#This Row],[Missed Games]]=0, 0,Table1[[#This Row],[Finishes]]/($AA$6-Table1[[#This Row],[Missed Games]]))</f>
        <v>0</v>
      </c>
      <c r="AE21" s="100">
        <f t="shared" si="2"/>
        <v>0</v>
      </c>
      <c r="AF21" s="97">
        <f>IF($AA$6-Table1[[#This Row],[Missed Games]]=0, 0,Table1[[#This Row],[Midranges]]/($AA$6-Table1[[#This Row],[Missed Games]]))</f>
        <v>0</v>
      </c>
      <c r="AG21" s="100">
        <f t="shared" si="3"/>
        <v>2</v>
      </c>
      <c r="AH21" s="97">
        <f>IF($AA$6-Table1[[#This Row],[Missed Games]]=0, 0,Table1[[#This Row],[Threes]]/($AA$6-Table1[[#This Row],[Missed Games]]))</f>
        <v>0.66666666666666663</v>
      </c>
      <c r="AI21" s="43" t="str">
        <f>SfW!C16</f>
        <v>Traffic Controllers</v>
      </c>
      <c r="AJ21" s="101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0.18181818181818182</v>
      </c>
      <c r="AR21" s="81">
        <f>AP21-Table1[[#This Row],[Points]]</f>
        <v>18</v>
      </c>
      <c r="AS21" s="87">
        <f>Table1[[#This Row],[Points]]/(20-AA$5-Table1[[#This Row],[Missed Games]])</f>
        <v>0.2</v>
      </c>
      <c r="AT21" s="92">
        <f>Table1[[#This Row],[Average]]-'[1]Stats Global'!R19</f>
        <v>0.27450980392156854</v>
      </c>
      <c r="AU21" s="20">
        <f>(Table1[[#This Row],[Average]]-'[1]Stats Global'!R19)/'[1]Stats Global'!R19</f>
        <v>0.25925925925925919</v>
      </c>
      <c r="AW21" s="1"/>
    </row>
    <row r="22" spans="2:49" ht="14.25" customHeight="1" x14ac:dyDescent="0.3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 t="shared" si="0"/>
        <v>1</v>
      </c>
      <c r="AB22" s="45">
        <f>IF($AA$6-Table1[[#This Row],[Missed Games]]=0, 0,Table1[[#This Row],[Points]]/($AA$6-Table1[[#This Row],[Missed Games]]))</f>
        <v>0.33333333333333331</v>
      </c>
      <c r="AC22" s="46">
        <f t="shared" si="1"/>
        <v>1</v>
      </c>
      <c r="AD22" s="72">
        <f>IF($AA$6-Table1[[#This Row],[Missed Games]]=0, 0,Table1[[#This Row],[Finishes]]/($AA$6-Table1[[#This Row],[Missed Games]]))</f>
        <v>0.33333333333333331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2.0408163265306121E-2</v>
      </c>
      <c r="AR22" s="81">
        <f>AP22-Table1[[#This Row],[Points]]</f>
        <v>48</v>
      </c>
      <c r="AS22" s="87">
        <f>Table1[[#This Row],[Points]]/(20-AA$5-Table1[[#This Row],[Missed Games]])</f>
        <v>0.05</v>
      </c>
      <c r="AT22" s="92">
        <f>Table1[[#This Row],[Average]]-'[1]Stats Global'!R20</f>
        <v>-2.0952380952380949</v>
      </c>
      <c r="AU22" s="20">
        <f>(Table1[[#This Row],[Average]]-'[1]Stats Global'!R20)/'[1]Stats Global'!R20</f>
        <v>-0.86274509803921562</v>
      </c>
      <c r="AW22" s="1"/>
    </row>
    <row r="23" spans="2:49" ht="14.25" customHeight="1" x14ac:dyDescent="0.3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 t="shared" si="0"/>
        <v>0</v>
      </c>
      <c r="AB23" s="103">
        <f>IF($AA$6-Table1[[#This Row],[Missed Games]]=0, 0,Table1[[#This Row],[Points]]/($AA$6-Table1[[#This Row],[Missed Games]]))</f>
        <v>0</v>
      </c>
      <c r="AC23" s="100">
        <f t="shared" si="1"/>
        <v>0</v>
      </c>
      <c r="AD23" s="102">
        <f>IF($AA$6-Table1[[#This Row],[Missed Games]]=0, 0,Table1[[#This Row],[Finishes]]/($AA$6-Table1[[#This Row],[Missed Games]]))</f>
        <v>0</v>
      </c>
      <c r="AE23" s="100">
        <f t="shared" si="2"/>
        <v>0</v>
      </c>
      <c r="AF23" s="102">
        <f>IF($AA$6-Table1[[#This Row],[Missed Games]]=0, 0,Table1[[#This Row],[Midranges]]/($AA$6-Table1[[#This Row],[Missed Games]]))</f>
        <v>0</v>
      </c>
      <c r="AG23" s="100">
        <f t="shared" si="3"/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 t="shared" si="4"/>
        <v>3</v>
      </c>
      <c r="AK23" s="42"/>
      <c r="AL23" s="42"/>
      <c r="AM23" s="42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81">
        <f>AP23-Table1[[#This Row],[Points]]</f>
        <v>2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3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3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3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3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2</v>
      </c>
      <c r="AI27" s="2"/>
      <c r="AK27" s="1" t="s">
        <v>102</v>
      </c>
      <c r="AL27" s="1">
        <v>1</v>
      </c>
      <c r="AT27" s="2"/>
    </row>
    <row r="28" spans="2:49" ht="14.25" customHeight="1" x14ac:dyDescent="0.3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3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</f>
        <v>0</v>
      </c>
      <c r="AM29" s="22">
        <f>'2901'!U3</f>
        <v>0</v>
      </c>
      <c r="AN29" s="22">
        <f>'2901'!V3</f>
        <v>0</v>
      </c>
      <c r="AO29" s="22">
        <f>'2901'!W3</f>
        <v>0</v>
      </c>
      <c r="AP29" s="22">
        <f>Table21128[[#This Row],[Points]]/($AL$27-$AT29)</f>
        <v>0</v>
      </c>
      <c r="AQ29" s="22">
        <f>Table21128[[#This Row],[Finishes]]/($AL$27-$AT29)</f>
        <v>0</v>
      </c>
      <c r="AR29" s="22">
        <f>Table21128[[#This Row],[Midranges]]/($AL$27-$AT29)</f>
        <v>0</v>
      </c>
      <c r="AS29" s="22">
        <f>Table21128[[#This Row],[Threes]]/($AL$27-$AT29)</f>
        <v>0</v>
      </c>
      <c r="AT29" s="22">
        <f>COUNTIF('2901'!X3,TRUE)</f>
        <v>0</v>
      </c>
    </row>
    <row r="30" spans="2:49" ht="14.25" customHeight="1" x14ac:dyDescent="0.3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</f>
        <v>0</v>
      </c>
      <c r="AM30" s="22">
        <f>'2901'!U4</f>
        <v>0</v>
      </c>
      <c r="AN30" s="22">
        <f>'2901'!V4</f>
        <v>0</v>
      </c>
      <c r="AO30" s="22">
        <f>'2901'!W4</f>
        <v>0</v>
      </c>
      <c r="AP30" s="22">
        <f>Table21128[[#This Row],[Points]]/($AL$27-$AT30)</f>
        <v>0</v>
      </c>
      <c r="AQ30" s="22">
        <f>Table21128[[#This Row],[Finishes]]/($AL$27-$AT30)</f>
        <v>0</v>
      </c>
      <c r="AR30" s="22">
        <f>Table21128[[#This Row],[Midranges]]/($AL$27-$AT30)</f>
        <v>0</v>
      </c>
      <c r="AS30" s="22">
        <f>Table21128[[#This Row],[Threes]]/($AL$27-$AT30)</f>
        <v>0</v>
      </c>
      <c r="AT30" s="22">
        <f>COUNTIF('2901'!X4,TRUE)</f>
        <v>0</v>
      </c>
    </row>
    <row r="31" spans="2:49" ht="14.25" customHeight="1" x14ac:dyDescent="0.3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</f>
        <v>0</v>
      </c>
      <c r="AM31" s="22">
        <f>'2901'!U5</f>
        <v>0</v>
      </c>
      <c r="AN31" s="22">
        <f>'2901'!V5</f>
        <v>0</v>
      </c>
      <c r="AO31" s="22">
        <f>'2901'!W5</f>
        <v>0</v>
      </c>
      <c r="AP31" s="22" t="e">
        <f>Table21128[[#This Row],[Points]]/($AL$27-$AT31)</f>
        <v>#DIV/0!</v>
      </c>
      <c r="AQ31" s="22" t="e">
        <f>Table21128[[#This Row],[Finishes]]/($AL$27-$AT31)</f>
        <v>#DIV/0!</v>
      </c>
      <c r="AR31" s="22" t="e">
        <f>Table21128[[#This Row],[Midranges]]/($AL$27-$AT31)</f>
        <v>#DIV/0!</v>
      </c>
      <c r="AS31" s="22" t="e">
        <f>Table21128[[#This Row],[Threes]]/($AL$27-$AT31)</f>
        <v>#DIV/0!</v>
      </c>
      <c r="AT31" s="22">
        <f>COUNTIF('2901'!X5,TRUE)</f>
        <v>1</v>
      </c>
    </row>
    <row r="32" spans="2:49" ht="14.25" customHeight="1" x14ac:dyDescent="0.3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</f>
        <v>2</v>
      </c>
      <c r="AM32" s="22">
        <f>'2901'!U6</f>
        <v>2</v>
      </c>
      <c r="AN32" s="22">
        <f>'2901'!V6</f>
        <v>0</v>
      </c>
      <c r="AO32" s="22">
        <f>'2901'!W6</f>
        <v>0</v>
      </c>
      <c r="AP32" s="22">
        <f>Table21128[[#This Row],[Points]]/($AL$27-$AT32)</f>
        <v>2</v>
      </c>
      <c r="AQ32" s="22">
        <f>Table21128[[#This Row],[Finishes]]/($AL$27-$AT32)</f>
        <v>2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</f>
        <v>0</v>
      </c>
    </row>
    <row r="33" spans="2:46" ht="14.25" customHeight="1" x14ac:dyDescent="0.3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</f>
        <v>3</v>
      </c>
      <c r="AM33" s="22">
        <f>'2901'!U7</f>
        <v>2</v>
      </c>
      <c r="AN33" s="22">
        <f>'2901'!V7</f>
        <v>1</v>
      </c>
      <c r="AO33" s="22">
        <f>'2901'!W7</f>
        <v>0</v>
      </c>
      <c r="AP33" s="22">
        <f>Table21128[[#This Row],[Points]]/($AL$27-$AT33)</f>
        <v>3</v>
      </c>
      <c r="AQ33" s="22">
        <f>Table21128[[#This Row],[Finishes]]/($AL$27-$AT33)</f>
        <v>2</v>
      </c>
      <c r="AR33" s="22">
        <f>Table21128[[#This Row],[Midranges]]/($AL$27-$AT33)</f>
        <v>1</v>
      </c>
      <c r="AS33" s="22">
        <f>Table21128[[#This Row],[Threes]]/($AL$27-$AT33)</f>
        <v>0</v>
      </c>
      <c r="AT33" s="22">
        <f>COUNTIF('2901'!X7,TRUE)</f>
        <v>0</v>
      </c>
    </row>
    <row r="34" spans="2:46" ht="14.25" customHeight="1" x14ac:dyDescent="0.3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</f>
        <v>3</v>
      </c>
      <c r="AM34" s="22">
        <f>'2901'!U8</f>
        <v>3</v>
      </c>
      <c r="AN34" s="22">
        <f>'2901'!V8</f>
        <v>0</v>
      </c>
      <c r="AO34" s="22">
        <f>'2901'!W8</f>
        <v>0</v>
      </c>
      <c r="AP34" s="22">
        <f>Table21128[[#This Row],[Points]]/($AL$27-$AT34)</f>
        <v>3</v>
      </c>
      <c r="AQ34" s="22">
        <f>Table21128[[#This Row],[Finishes]]/($AL$27-$AT34)</f>
        <v>3</v>
      </c>
      <c r="AR34" s="22">
        <f>Table21128[[#This Row],[Midranges]]/($AL$27-$AT34)</f>
        <v>0</v>
      </c>
      <c r="AS34" s="22">
        <f>Table21128[[#This Row],[Threes]]/($AL$27-$AT34)</f>
        <v>0</v>
      </c>
      <c r="AT34" s="22">
        <f>COUNTIF('2901'!X8,TRUE)</f>
        <v>0</v>
      </c>
    </row>
    <row r="35" spans="2:46" ht="14.25" customHeight="1" x14ac:dyDescent="0.3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</f>
        <v>1</v>
      </c>
      <c r="AM35" s="22">
        <f>'2901'!U9</f>
        <v>0</v>
      </c>
      <c r="AN35" s="22">
        <f>'2901'!V9</f>
        <v>1</v>
      </c>
      <c r="AO35" s="22">
        <f>'2901'!W9</f>
        <v>0</v>
      </c>
      <c r="AP35" s="22">
        <f>Table21128[[#This Row],[Points]]/($AL$27-$AT35)</f>
        <v>1</v>
      </c>
      <c r="AQ35" s="22">
        <f>Table21128[[#This Row],[Finishes]]/($AL$27-$AT35)</f>
        <v>0</v>
      </c>
      <c r="AR35" s="22">
        <f>Table21128[[#This Row],[Midranges]]/($AL$27-$AT35)</f>
        <v>1</v>
      </c>
      <c r="AS35" s="22">
        <f>Table21128[[#This Row],[Threes]]/($AL$27-$AT35)</f>
        <v>0</v>
      </c>
      <c r="AT35" s="22">
        <f>COUNTIF('2901'!X9,TRUE)</f>
        <v>0</v>
      </c>
    </row>
    <row r="36" spans="2:46" ht="14.25" customHeight="1" x14ac:dyDescent="0.3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</f>
        <v>0</v>
      </c>
      <c r="AM36" s="22">
        <f>'2901'!U10</f>
        <v>0</v>
      </c>
      <c r="AN36" s="22">
        <f>'2901'!V10</f>
        <v>0</v>
      </c>
      <c r="AO36" s="22">
        <f>'2901'!W10</f>
        <v>0</v>
      </c>
      <c r="AP36" s="22">
        <f>Table21128[[#This Row],[Points]]/($AL$27-$AT36)</f>
        <v>0</v>
      </c>
      <c r="AQ36" s="22">
        <f>Table21128[[#This Row],[Finishes]]/($AL$27-$AT36)</f>
        <v>0</v>
      </c>
      <c r="AR36" s="22">
        <f>Table21128[[#This Row],[Midranges]]/($AL$27-$AT36)</f>
        <v>0</v>
      </c>
      <c r="AS36" s="22">
        <f>Table21128[[#This Row],[Threes]]/($AL$27-$AT36)</f>
        <v>0</v>
      </c>
      <c r="AT36" s="22">
        <f>COUNTIF('2901'!X10,TRUE)</f>
        <v>0</v>
      </c>
    </row>
    <row r="37" spans="2:46" ht="14.25" customHeight="1" x14ac:dyDescent="0.3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</f>
        <v>2</v>
      </c>
      <c r="AM37" s="22">
        <f>'2901'!U11</f>
        <v>0</v>
      </c>
      <c r="AN37" s="22">
        <f>'2901'!V11</f>
        <v>2</v>
      </c>
      <c r="AO37" s="22">
        <f>'2901'!W11</f>
        <v>0</v>
      </c>
      <c r="AP37" s="22">
        <f>Table21128[[#This Row],[Points]]/($AL$27-$AT37)</f>
        <v>2</v>
      </c>
      <c r="AQ37" s="22">
        <f>Table21128[[#This Row],[Finishes]]/($AL$27-$AT37)</f>
        <v>0</v>
      </c>
      <c r="AR37" s="22">
        <f>Table21128[[#This Row],[Midranges]]/($AL$27-$AT37)</f>
        <v>2</v>
      </c>
      <c r="AS37" s="22">
        <f>Table21128[[#This Row],[Threes]]/($AL$27-$AT37)</f>
        <v>0</v>
      </c>
      <c r="AT37" s="22">
        <f>COUNTIF('2901'!X11,TRUE)</f>
        <v>0</v>
      </c>
    </row>
    <row r="38" spans="2:46" ht="14.25" customHeight="1" x14ac:dyDescent="0.3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</f>
        <v>0</v>
      </c>
      <c r="AM38" s="22">
        <f>'2901'!U12</f>
        <v>0</v>
      </c>
      <c r="AN38" s="22">
        <f>'2901'!V12</f>
        <v>0</v>
      </c>
      <c r="AO38" s="22">
        <f>'2901'!W12</f>
        <v>0</v>
      </c>
      <c r="AP38" s="22">
        <f>Table21128[[#This Row],[Points]]/($AL$27-$AT38)</f>
        <v>0</v>
      </c>
      <c r="AQ38" s="22">
        <f>Table21128[[#This Row],[Finishes]]/($AL$27-$AT38)</f>
        <v>0</v>
      </c>
      <c r="AR38" s="22">
        <f>Table21128[[#This Row],[Midranges]]/($AL$27-$AT38)</f>
        <v>0</v>
      </c>
      <c r="AS38" s="22">
        <f>Table21128[[#This Row],[Threes]]/($AL$27-$AT38)</f>
        <v>0</v>
      </c>
      <c r="AT38" s="22">
        <f>COUNTIF('2901'!X12,TRUE)</f>
        <v>0</v>
      </c>
    </row>
    <row r="39" spans="2:46" ht="14.25" customHeight="1" x14ac:dyDescent="0.3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</f>
        <v>0</v>
      </c>
      <c r="AM39" s="22">
        <f>'2901'!U13</f>
        <v>0</v>
      </c>
      <c r="AN39" s="22">
        <f>'2901'!V13</f>
        <v>0</v>
      </c>
      <c r="AO39" s="22">
        <f>'2901'!W13</f>
        <v>0</v>
      </c>
      <c r="AP39" s="22" t="e">
        <f>Table21128[[#This Row],[Points]]/($AL$27-$AT39)</f>
        <v>#DIV/0!</v>
      </c>
      <c r="AQ39" s="22" t="e">
        <f>Table21128[[#This Row],[Finishes]]/($AL$27-$AT39)</f>
        <v>#DIV/0!</v>
      </c>
      <c r="AR39" s="22" t="e">
        <f>Table21128[[#This Row],[Midranges]]/($AL$27-$AT39)</f>
        <v>#DIV/0!</v>
      </c>
      <c r="AS39" s="22" t="e">
        <f>Table21128[[#This Row],[Threes]]/($AL$27-$AT39)</f>
        <v>#DIV/0!</v>
      </c>
      <c r="AT39" s="22">
        <f>COUNTIF('2901'!X13,TRUE)</f>
        <v>1</v>
      </c>
    </row>
    <row r="40" spans="2:46" ht="14.25" customHeight="1" x14ac:dyDescent="0.3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</f>
        <v>0</v>
      </c>
      <c r="AM40" s="22">
        <f>'2901'!U14</f>
        <v>0</v>
      </c>
      <c r="AN40" s="22">
        <f>'2901'!V14</f>
        <v>0</v>
      </c>
      <c r="AO40" s="22">
        <f>'2901'!W14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</f>
        <v>1</v>
      </c>
    </row>
    <row r="41" spans="2:46" ht="14.25" customHeight="1" x14ac:dyDescent="0.35">
      <c r="R41" s="10" t="s">
        <v>163</v>
      </c>
      <c r="S41">
        <f>'Statistics CT'!H3</f>
        <v>8</v>
      </c>
      <c r="T41" s="79">
        <f>S41/SUM(S41:S43)</f>
        <v>0.44444444444444442</v>
      </c>
      <c r="U41" s="83">
        <v>0.32188841201716739</v>
      </c>
      <c r="V41" s="30">
        <v>0.36899999999999999</v>
      </c>
      <c r="W41">
        <f>T41*(6*(20-AA$5))</f>
        <v>53.333333333333329</v>
      </c>
      <c r="X41" s="13">
        <f>((MAX(U41:U43)+MAX(V41:V43))/2)*6*(20-AA5)</f>
        <v>43.255879828326172</v>
      </c>
      <c r="Y41" s="84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</f>
        <v>1</v>
      </c>
      <c r="AM41" s="22">
        <f>'2901'!U15</f>
        <v>0</v>
      </c>
      <c r="AN41" s="22">
        <f>'2901'!V15</f>
        <v>1</v>
      </c>
      <c r="AO41" s="22">
        <f>'2901'!W15</f>
        <v>0</v>
      </c>
      <c r="AP41" s="22">
        <f>Table21128[[#This Row],[Points]]/($AL$27-$AT41)</f>
        <v>1</v>
      </c>
      <c r="AQ41" s="22">
        <f>Table21128[[#This Row],[Finishes]]/($AL$27-$AT41)</f>
        <v>0</v>
      </c>
      <c r="AR41" s="22">
        <f>Table21128[[#This Row],[Midranges]]/($AL$27-$AT41)</f>
        <v>1</v>
      </c>
      <c r="AS41" s="22">
        <f>Table21128[[#This Row],[Threes]]/($AL$27-$AT41)</f>
        <v>0</v>
      </c>
      <c r="AT41" s="22">
        <f>COUNTIF('2901'!X15,TRUE)</f>
        <v>0</v>
      </c>
    </row>
    <row r="42" spans="2:46" ht="14.25" customHeight="1" x14ac:dyDescent="0.35">
      <c r="R42" s="10" t="s">
        <v>164</v>
      </c>
      <c r="S42">
        <f>'Statistics TC'!H3</f>
        <v>4.5</v>
      </c>
      <c r="T42" s="83">
        <f>S42/SUM(S41:S43)</f>
        <v>0.25</v>
      </c>
      <c r="U42" s="83">
        <v>0.35193133047210301</v>
      </c>
      <c r="V42" s="30">
        <v>0.26200000000000001</v>
      </c>
      <c r="W42">
        <f t="shared" ref="W42:W43" si="5">T42*(6*(20-AA$5))</f>
        <v>30</v>
      </c>
      <c r="X42" s="13">
        <f>6*(20-AA5)-X41-X43</f>
        <v>41.710815450643778</v>
      </c>
      <c r="Y42" s="84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</f>
        <v>0</v>
      </c>
      <c r="AM42" s="22">
        <f>'2901'!U16</f>
        <v>0</v>
      </c>
      <c r="AN42" s="22">
        <f>'2901'!V16</f>
        <v>0</v>
      </c>
      <c r="AO42" s="22">
        <f>'2901'!W16</f>
        <v>0</v>
      </c>
      <c r="AP42" s="22">
        <f>Table21128[[#This Row],[Points]]/($AL$27-$AT42)</f>
        <v>0</v>
      </c>
      <c r="AQ42" s="22">
        <f>Table21128[[#This Row],[Finishes]]/($AL$27-$AT42)</f>
        <v>0</v>
      </c>
      <c r="AR42" s="22">
        <f>Table21128[[#This Row],[Midranges]]/($AL$27-$AT42)</f>
        <v>0</v>
      </c>
      <c r="AS42" s="22">
        <f>Table21128[[#This Row],[Threes]]/($AL$27-$AT42)</f>
        <v>0</v>
      </c>
      <c r="AT42" s="22">
        <f>COUNTIF('2901'!X16,TRUE)</f>
        <v>0</v>
      </c>
    </row>
    <row r="43" spans="2:46" ht="14.25" customHeight="1" x14ac:dyDescent="0.35">
      <c r="R43" s="10" t="s">
        <v>35</v>
      </c>
      <c r="S43">
        <f>'Statistics GM'!G3</f>
        <v>5.5</v>
      </c>
      <c r="T43" s="83">
        <f>S43/SUM(S41:S43)</f>
        <v>0.30555555555555558</v>
      </c>
      <c r="U43" s="83">
        <v>0.3261802575107296</v>
      </c>
      <c r="V43" s="30">
        <v>0.36899999999999999</v>
      </c>
      <c r="W43">
        <f t="shared" si="5"/>
        <v>36.666666666666671</v>
      </c>
      <c r="X43" s="13">
        <f>((MIN(U41:U43)+MIN(V41:V43))/2)*6*(20-AA5)</f>
        <v>35.033304721030049</v>
      </c>
      <c r="Y43" s="84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>
        <f>'2901'!T17</f>
        <v>0</v>
      </c>
      <c r="AM43" s="22">
        <f>'2901'!U17</f>
        <v>0</v>
      </c>
      <c r="AN43" s="22">
        <f>'2901'!V17</f>
        <v>0</v>
      </c>
      <c r="AO43" s="22">
        <f>'2901'!W17</f>
        <v>0</v>
      </c>
      <c r="AP43" s="22">
        <f>Table21128[[#This Row],[Points]]/($AL$27-$AT43)</f>
        <v>0</v>
      </c>
      <c r="AQ43" s="22">
        <f>Table21128[[#This Row],[Finishes]]/($AL$27-$AT43)</f>
        <v>0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</f>
        <v>0</v>
      </c>
    </row>
    <row r="44" spans="2:46" ht="14.25" customHeight="1" x14ac:dyDescent="0.3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>
        <f>'2901'!T18</f>
        <v>0</v>
      </c>
      <c r="AM44" s="22">
        <f>'2901'!U18</f>
        <v>0</v>
      </c>
      <c r="AN44" s="22">
        <f>'2901'!V18</f>
        <v>0</v>
      </c>
      <c r="AO44" s="22">
        <f>'2901'!W18</f>
        <v>0</v>
      </c>
      <c r="AP44" s="22" t="e">
        <f>Table21128[[#This Row],[Points]]/($AL$27-$AT44)</f>
        <v>#DIV/0!</v>
      </c>
      <c r="AQ44" s="22" t="e">
        <f>Table21128[[#This Row],[Finishes]]/($AL$27-$AT44)</f>
        <v>#DIV/0!</v>
      </c>
      <c r="AR44" s="22" t="e">
        <f>Table21128[[#This Row],[Midranges]]/($AL$27-$AT44)</f>
        <v>#DIV/0!</v>
      </c>
      <c r="AS44" s="22" t="e">
        <f>Table21128[[#This Row],[Threes]]/($AL$27-$AT44)</f>
        <v>#DIV/0!</v>
      </c>
      <c r="AT44" s="22">
        <f>COUNTIF('2901'!X18,TRUE)</f>
        <v>1</v>
      </c>
    </row>
    <row r="45" spans="2:46" ht="14.25" customHeight="1" x14ac:dyDescent="0.35">
      <c r="T45" t="s">
        <v>155</v>
      </c>
      <c r="W45">
        <f>(20-AA6-AA5)*2</f>
        <v>34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35">
      <c r="T46" t="s">
        <v>159</v>
      </c>
      <c r="W46">
        <f>(W45-(MAX(S41:S43)-MIN(S41:S43)))/2</f>
        <v>15.25</v>
      </c>
      <c r="AA46" s="1"/>
      <c r="AB46" s="1"/>
      <c r="AC46" s="1"/>
      <c r="AK46" s="1"/>
      <c r="AL46" s="1"/>
    </row>
    <row r="47" spans="2:46" ht="14.25" customHeight="1" x14ac:dyDescent="0.35">
      <c r="Z47" s="1" t="s">
        <v>225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3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35">
      <c r="T49" s="10" t="s">
        <v>1</v>
      </c>
      <c r="U49" s="13">
        <f>SUM(Table1[Finishes])</f>
        <v>26</v>
      </c>
      <c r="V49" s="12">
        <f>U49/AA6</f>
        <v>8.6666666666666661</v>
      </c>
      <c r="W49" s="20">
        <f>U49/SUM($U$49:$U$51)</f>
        <v>0.65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35">
      <c r="T50" s="10" t="s">
        <v>2</v>
      </c>
      <c r="U50" s="13">
        <f>SUM(Table1[Midranges])</f>
        <v>11</v>
      </c>
      <c r="V50" s="12">
        <f>U50/AA6</f>
        <v>3.6666666666666665</v>
      </c>
      <c r="W50" s="20">
        <f>U50/SUM($U$49:$U$51)</f>
        <v>0.27500000000000002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35">
      <c r="T51" s="10" t="s">
        <v>3</v>
      </c>
      <c r="U51" s="13">
        <f>SUM(Table1[Threes])</f>
        <v>3</v>
      </c>
      <c r="V51" s="12">
        <f>U51/AA6</f>
        <v>1</v>
      </c>
      <c r="W51" s="20">
        <f>U51/SUM($U$49:$U$51)</f>
        <v>7.4999999999999997E-2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3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3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3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35">
      <c r="S55" s="10" t="s">
        <v>165</v>
      </c>
      <c r="T55" s="27" t="s">
        <v>105</v>
      </c>
      <c r="U55" s="25">
        <f>'Statistics CT'!J42</f>
        <v>0.8</v>
      </c>
      <c r="V55" s="25">
        <f>'Statistics CT'!M42</f>
        <v>0.42857142857142855</v>
      </c>
      <c r="W55" s="25">
        <f>AVERAGE(U55:V55)</f>
        <v>0.61428571428571432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35">
      <c r="S56" s="10" t="s">
        <v>166</v>
      </c>
      <c r="T56" s="25">
        <f>1-'Statistics CT'!J42</f>
        <v>0.19999999999999996</v>
      </c>
      <c r="U56" s="27" t="s">
        <v>105</v>
      </c>
      <c r="V56" s="25">
        <f>'Statistics TC'!J42</f>
        <v>0.4</v>
      </c>
      <c r="W56" s="25">
        <f>AVERAGE(T56:V56)</f>
        <v>0.3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35">
      <c r="S57" s="10" t="s">
        <v>167</v>
      </c>
      <c r="T57" s="25">
        <f>1-V55</f>
        <v>0.5714285714285714</v>
      </c>
      <c r="U57" s="25">
        <f>1-V56</f>
        <v>0.6</v>
      </c>
      <c r="V57" s="27" t="s">
        <v>105</v>
      </c>
      <c r="W57" s="25">
        <f>AVERAGE(T57:V57)</f>
        <v>0.58571428571428563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3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3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3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3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3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3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3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3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3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35">
      <c r="Z67" s="1" t="s">
        <v>115</v>
      </c>
      <c r="AA67" s="1">
        <v>0</v>
      </c>
      <c r="AI67" s="2"/>
      <c r="AK67" s="1" t="s">
        <v>214</v>
      </c>
      <c r="AL67" s="1">
        <v>0</v>
      </c>
      <c r="AT67" s="2"/>
    </row>
    <row r="68" spans="18:46" ht="14.25" customHeight="1" x14ac:dyDescent="0.3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3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3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3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3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3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3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3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3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3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3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3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3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3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3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3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3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3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3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3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160</v>
      </c>
      <c r="AA87" s="1">
        <v>0</v>
      </c>
      <c r="AI87" s="2"/>
    </row>
    <row r="88" spans="18:46" ht="14.25" customHeight="1" x14ac:dyDescent="0.3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3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3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3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3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3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3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3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3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3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3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3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3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3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3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3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3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3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3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3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3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3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3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3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3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3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3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3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3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3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3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35"/>
    <row r="120" spans="7:21" ht="14.25" customHeight="1" x14ac:dyDescent="0.35"/>
    <row r="121" spans="7:21" ht="14.25" customHeight="1" x14ac:dyDescent="0.35"/>
    <row r="122" spans="7:21" ht="14.25" customHeight="1" x14ac:dyDescent="0.35"/>
    <row r="123" spans="7:21" ht="14.25" customHeight="1" x14ac:dyDescent="0.35"/>
    <row r="124" spans="7:21" ht="14.25" customHeight="1" x14ac:dyDescent="0.35"/>
    <row r="125" spans="7:21" ht="14.25" customHeight="1" x14ac:dyDescent="0.35"/>
    <row r="126" spans="7:21" ht="14.25" customHeight="1" x14ac:dyDescent="0.35"/>
    <row r="127" spans="7:21" ht="14.25" customHeight="1" x14ac:dyDescent="0.35"/>
    <row r="128" spans="7:21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30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6328125" defaultRowHeight="15" customHeight="1" x14ac:dyDescent="0.35"/>
  <cols>
    <col min="1" max="24" width="8.7265625" style="36" customWidth="1"/>
    <col min="25" max="25" width="9.6328125" style="36" customWidth="1"/>
    <col min="26" max="28" width="8.7265625" style="36" customWidth="1"/>
    <col min="29" max="29" width="17.7265625" style="36" customWidth="1"/>
    <col min="30" max="30" width="9.26953125" style="36" customWidth="1"/>
    <col min="31" max="31" width="10.26953125" style="36" customWidth="1"/>
    <col min="32" max="32" width="11.36328125" style="36" customWidth="1"/>
    <col min="33" max="33" width="12.453125" style="36" customWidth="1"/>
    <col min="34" max="34" width="11.08984375" style="36" customWidth="1"/>
    <col min="35" max="35" width="11.36328125" style="36" customWidth="1"/>
    <col min="36" max="37" width="10.6328125" style="36" customWidth="1"/>
    <col min="38" max="39" width="14.36328125" style="36" customWidth="1"/>
    <col min="40" max="16384" width="14.36328125" style="36"/>
  </cols>
  <sheetData>
    <row r="1" spans="1:25" ht="14.5" customHeight="1" x14ac:dyDescent="0.35">
      <c r="N1" s="52"/>
    </row>
    <row r="2" spans="1:25" ht="14.5" customHeight="1" x14ac:dyDescent="0.3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" customHeight="1" x14ac:dyDescent="0.3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7</v>
      </c>
      <c r="G3" s="106">
        <f>SUM(C4:C40)</f>
        <v>8</v>
      </c>
      <c r="H3" s="106">
        <f>SUM(D4:D40)</f>
        <v>8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" customHeight="1" x14ac:dyDescent="0.35">
      <c r="A4" s="107" t="str">
        <f>'Stats Global'!B5</f>
        <v>24 January</v>
      </c>
      <c r="B4" s="107">
        <f>'Stats Global'!F5</f>
        <v>4</v>
      </c>
      <c r="C4" s="107">
        <f>'Stats Global'!G5+'Stats Global'!G5</f>
        <v>2</v>
      </c>
      <c r="D4" s="107">
        <f>'Stats Global'!O5</f>
        <v>3</v>
      </c>
      <c r="H4" s="54"/>
      <c r="J4" s="126">
        <f>'Stats Global'!M5</f>
        <v>2</v>
      </c>
      <c r="K4" s="126">
        <f>'Stats Global'!H5</f>
        <v>1</v>
      </c>
      <c r="L4" s="56"/>
      <c r="M4" s="126">
        <f>'Stats Global'!J5</f>
        <v>2</v>
      </c>
      <c r="N4" s="126">
        <f>'Stats Global'!G5</f>
        <v>1</v>
      </c>
      <c r="P4" s="70" t="str">
        <f>'Stats Global'!Z18</f>
        <v>Ryan Pattemore</v>
      </c>
      <c r="Q4" s="70">
        <f>'Stats Global'!AA18</f>
        <v>1</v>
      </c>
      <c r="R4" s="70">
        <f>'Stats Global'!AB18</f>
        <v>0.5</v>
      </c>
      <c r="S4" s="70">
        <f>'Stats Global'!AC18</f>
        <v>0</v>
      </c>
      <c r="T4" s="70">
        <f>'Stats Global'!AD18</f>
        <v>0</v>
      </c>
      <c r="U4" s="70">
        <f>'Stats Global'!AE18</f>
        <v>1</v>
      </c>
      <c r="V4" s="70">
        <f>'Stats Global'!AF18</f>
        <v>0.5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" customHeight="1" x14ac:dyDescent="0.35">
      <c r="A5" s="107" t="str">
        <f>'Stats Global'!B6</f>
        <v>25 January</v>
      </c>
      <c r="B5" s="107">
        <f>'Stats Global'!F6</f>
        <v>2</v>
      </c>
      <c r="C5" s="107">
        <f>'Stats Global'!G6+'Stats Global'!G6</f>
        <v>2</v>
      </c>
      <c r="D5" s="107">
        <f>'Stats Global'!O6</f>
        <v>3</v>
      </c>
      <c r="G5" s="52"/>
      <c r="H5" s="54"/>
      <c r="J5" s="126">
        <f>'Stats Global'!M6</f>
        <v>1</v>
      </c>
      <c r="K5" s="126">
        <f>'Stats Global'!H6</f>
        <v>0</v>
      </c>
      <c r="L5" s="56"/>
      <c r="M5" s="126">
        <f>'Stats Global'!J6</f>
        <v>1</v>
      </c>
      <c r="N5" s="126">
        <f>'Stats Global'!G6</f>
        <v>1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" customHeight="1" x14ac:dyDescent="0.35">
      <c r="A6" s="107" t="str">
        <f>'Stats Global'!B7</f>
        <v>29 January</v>
      </c>
      <c r="B6" s="107">
        <f>'Stats Global'!F7</f>
        <v>1</v>
      </c>
      <c r="C6" s="107">
        <f>'Stats Global'!G7+'Stats Global'!G7</f>
        <v>4</v>
      </c>
      <c r="D6" s="107">
        <f>'Stats Global'!O7</f>
        <v>2</v>
      </c>
      <c r="G6" s="52"/>
      <c r="H6" s="54"/>
      <c r="J6" s="126">
        <f>'Stats Global'!M7</f>
        <v>1</v>
      </c>
      <c r="K6" s="126">
        <f>'Stats Global'!H7</f>
        <v>0</v>
      </c>
      <c r="L6" s="56"/>
      <c r="M6" s="126">
        <f>'Stats Global'!J7</f>
        <v>0</v>
      </c>
      <c r="N6" s="126">
        <f>'Stats Global'!G7</f>
        <v>2</v>
      </c>
      <c r="P6" s="63" t="str">
        <f>'Stats Global'!Z10</f>
        <v>Alexander Galt</v>
      </c>
      <c r="Q6" s="63">
        <f>'Stats Global'!AA10</f>
        <v>6</v>
      </c>
      <c r="R6" s="63">
        <f>'Stats Global'!AB10</f>
        <v>3</v>
      </c>
      <c r="S6" s="63">
        <f>'Stats Global'!AC10</f>
        <v>6</v>
      </c>
      <c r="T6" s="63">
        <f>'Stats Global'!AD10</f>
        <v>3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1</v>
      </c>
    </row>
    <row r="7" spans="1:25" ht="14.5" customHeight="1" x14ac:dyDescent="0.35">
      <c r="A7" s="107">
        <f>'Stats Global'!B8</f>
        <v>0</v>
      </c>
      <c r="B7" s="107">
        <f>'Stats Global'!F8</f>
        <v>0</v>
      </c>
      <c r="C7" s="107">
        <f>'Stats Global'!G8+'Stats Global'!G8</f>
        <v>0</v>
      </c>
      <c r="D7" s="107">
        <f>'Stats Global'!O8</f>
        <v>0</v>
      </c>
      <c r="G7" s="52"/>
      <c r="H7" s="54"/>
      <c r="J7" s="126">
        <f>'Stats Global'!M8</f>
        <v>0</v>
      </c>
      <c r="K7" s="126">
        <f>'Stats Global'!H8</f>
        <v>0</v>
      </c>
      <c r="L7" s="56"/>
      <c r="M7" s="126">
        <f>'Stats Global'!J8</f>
        <v>0</v>
      </c>
      <c r="N7" s="126">
        <f>'Stats Global'!G8</f>
        <v>0</v>
      </c>
      <c r="P7" s="54" t="str">
        <f>'Stats Global'!Z11</f>
        <v>Rudy Hoschke</v>
      </c>
      <c r="Q7" s="54">
        <f>'Stats Global'!AA11</f>
        <v>6</v>
      </c>
      <c r="R7" s="54">
        <f>'Stats Global'!AB11</f>
        <v>2</v>
      </c>
      <c r="S7" s="54">
        <f>'Stats Global'!AC11</f>
        <v>6</v>
      </c>
      <c r="T7" s="54">
        <f>'Stats Global'!AD11</f>
        <v>2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" customHeight="1" x14ac:dyDescent="0.3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G8" s="52"/>
      <c r="H8" s="54"/>
      <c r="J8" s="126">
        <f>'Stats Global'!M9</f>
        <v>0</v>
      </c>
      <c r="K8" s="126">
        <f>'Stats Global'!H9</f>
        <v>0</v>
      </c>
      <c r="L8" s="56"/>
      <c r="M8" s="126">
        <f>'Stats Global'!J9</f>
        <v>0</v>
      </c>
      <c r="N8" s="126">
        <f>'Stats Global'!G9</f>
        <v>0</v>
      </c>
      <c r="P8" s="54" t="str">
        <f>'Stats Global'!Z20</f>
        <v>Christopher Tomkinson</v>
      </c>
      <c r="Q8" s="54">
        <f>'Stats Global'!AA20</f>
        <v>4</v>
      </c>
      <c r="R8" s="54">
        <f>'Stats Global'!AB20</f>
        <v>1.3333333333333333</v>
      </c>
      <c r="S8" s="54">
        <f>'Stats Global'!AC20</f>
        <v>2</v>
      </c>
      <c r="T8" s="54">
        <f>'Stats Global'!AD20</f>
        <v>0.66666666666666663</v>
      </c>
      <c r="U8" s="54">
        <f>'Stats Global'!AE20</f>
        <v>2</v>
      </c>
      <c r="V8" s="54">
        <f>'Stats Global'!AF20</f>
        <v>0.66666666666666663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" customHeight="1" x14ac:dyDescent="0.3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G9" s="52"/>
      <c r="H9" s="54"/>
      <c r="J9" s="126">
        <f>'Stats Global'!M10</f>
        <v>0</v>
      </c>
      <c r="K9" s="126">
        <f>'Stats Global'!H10</f>
        <v>0</v>
      </c>
      <c r="L9" s="56"/>
      <c r="M9" s="126">
        <f>'Stats Global'!J10</f>
        <v>0</v>
      </c>
      <c r="N9" s="126">
        <f>'Stats Global'!G10</f>
        <v>0</v>
      </c>
      <c r="Q9" s="26"/>
      <c r="R9" s="26"/>
      <c r="S9" s="26"/>
      <c r="T9" s="26"/>
      <c r="U9" s="26"/>
    </row>
    <row r="10" spans="1:25" ht="14.5" customHeight="1" x14ac:dyDescent="0.3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G10" s="52"/>
      <c r="H10" s="54"/>
      <c r="J10" s="126">
        <f>'Stats Global'!M11</f>
        <v>0</v>
      </c>
      <c r="K10" s="126">
        <f>'Stats Global'!H11</f>
        <v>0</v>
      </c>
      <c r="L10" s="56"/>
      <c r="M10" s="126">
        <f>'Stats Global'!J11</f>
        <v>0</v>
      </c>
      <c r="N10" s="126">
        <f>'Stats Global'!G11</f>
        <v>0</v>
      </c>
      <c r="R10" s="26"/>
      <c r="S10" s="26"/>
      <c r="T10" s="26"/>
      <c r="U10" s="26"/>
    </row>
    <row r="11" spans="1:25" ht="14.5" customHeight="1" x14ac:dyDescent="0.3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G11" s="52"/>
      <c r="H11" s="54"/>
      <c r="J11" s="126">
        <f>'Stats Global'!M12</f>
        <v>0</v>
      </c>
      <c r="K11" s="126">
        <f>'Stats Global'!H12</f>
        <v>0</v>
      </c>
      <c r="L11" s="56"/>
      <c r="M11" s="126">
        <f>'Stats Global'!J12</f>
        <v>0</v>
      </c>
      <c r="N11" s="126">
        <f>'Stats Global'!G12</f>
        <v>0</v>
      </c>
      <c r="P11" s="35"/>
      <c r="Q11" s="35"/>
    </row>
    <row r="12" spans="1:25" ht="14.5" customHeight="1" x14ac:dyDescent="0.3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G12" s="52"/>
      <c r="H12" s="54"/>
      <c r="J12" s="126">
        <f>'Stats Global'!M13</f>
        <v>0</v>
      </c>
      <c r="K12" s="126">
        <f>'Stats Global'!H13</f>
        <v>0</v>
      </c>
      <c r="L12" s="56"/>
      <c r="M12" s="126">
        <f>'Stats Global'!J13</f>
        <v>0</v>
      </c>
      <c r="N12" s="126">
        <f>'Stats Global'!G13</f>
        <v>0</v>
      </c>
      <c r="R12" s="35"/>
      <c r="S12" s="35"/>
      <c r="T12" s="35"/>
      <c r="U12" s="35"/>
    </row>
    <row r="13" spans="1:25" ht="14.5" customHeight="1" x14ac:dyDescent="0.3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H13" s="54"/>
      <c r="J13" s="126">
        <f>'Stats Global'!M14</f>
        <v>0</v>
      </c>
      <c r="K13" s="126">
        <f>'Stats Global'!H14</f>
        <v>0</v>
      </c>
      <c r="L13" s="56"/>
      <c r="M13" s="126">
        <f>'Stats Global'!J14</f>
        <v>0</v>
      </c>
      <c r="N13" s="126">
        <f>'Stats Global'!G14</f>
        <v>0</v>
      </c>
    </row>
    <row r="14" spans="1:25" ht="14.5" customHeight="1" x14ac:dyDescent="0.3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H14" s="54"/>
      <c r="J14" s="126">
        <f>'Stats Global'!M15</f>
        <v>0</v>
      </c>
      <c r="K14" s="126">
        <f>'Stats Global'!H15</f>
        <v>0</v>
      </c>
      <c r="L14" s="56"/>
      <c r="M14" s="126">
        <f>'Stats Global'!J15</f>
        <v>0</v>
      </c>
      <c r="N14" s="126">
        <f>'Stats Global'!G15</f>
        <v>0</v>
      </c>
    </row>
    <row r="15" spans="1:25" ht="14.5" customHeight="1" x14ac:dyDescent="0.3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H15" s="54"/>
      <c r="J15" s="126">
        <f>'Stats Global'!M16</f>
        <v>0</v>
      </c>
      <c r="K15" s="126">
        <f>'Stats Global'!H16</f>
        <v>0</v>
      </c>
      <c r="L15" s="56"/>
      <c r="M15" s="126">
        <f>'Stats Global'!J16</f>
        <v>0</v>
      </c>
      <c r="N15" s="126">
        <f>'Stats Global'!G16</f>
        <v>0</v>
      </c>
    </row>
    <row r="16" spans="1:25" ht="14.5" customHeight="1" x14ac:dyDescent="0.3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H16" s="54"/>
      <c r="J16" s="126">
        <f>'Stats Global'!M17</f>
        <v>0</v>
      </c>
      <c r="K16" s="126">
        <f>'Stats Global'!H17</f>
        <v>0</v>
      </c>
      <c r="L16" s="56"/>
      <c r="M16" s="126">
        <f>'Stats Global'!J17</f>
        <v>0</v>
      </c>
      <c r="N16" s="126">
        <f>'Stats Global'!G17</f>
        <v>0</v>
      </c>
    </row>
    <row r="17" spans="1:14" ht="14.5" customHeight="1" x14ac:dyDescent="0.3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6"/>
      <c r="H17" s="54"/>
      <c r="J17" s="126">
        <f>'Stats Global'!M18</f>
        <v>0</v>
      </c>
      <c r="K17" s="126">
        <f>'Stats Global'!H18</f>
        <v>0</v>
      </c>
      <c r="L17" s="56"/>
      <c r="M17" s="126">
        <f>'Stats Global'!J18</f>
        <v>0</v>
      </c>
      <c r="N17" s="126">
        <f>'Stats Global'!G18</f>
        <v>0</v>
      </c>
    </row>
    <row r="18" spans="1:14" ht="14.5" customHeight="1" x14ac:dyDescent="0.3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7"/>
      <c r="H18" s="54"/>
      <c r="J18" s="126">
        <f>'Stats Global'!M19</f>
        <v>0</v>
      </c>
      <c r="K18" s="126">
        <f>'Stats Global'!H19</f>
        <v>0</v>
      </c>
      <c r="L18" s="56"/>
      <c r="M18" s="126">
        <f>'Stats Global'!J19</f>
        <v>0</v>
      </c>
      <c r="N18" s="126">
        <f>'Stats Global'!G19</f>
        <v>0</v>
      </c>
    </row>
    <row r="19" spans="1:14" ht="14.5" customHeight="1" x14ac:dyDescent="0.3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8"/>
      <c r="H19" s="54"/>
      <c r="J19" s="126">
        <f>'Stats Global'!M20</f>
        <v>0</v>
      </c>
      <c r="K19" s="126">
        <f>'Stats Global'!H20</f>
        <v>0</v>
      </c>
      <c r="L19" s="56"/>
      <c r="M19" s="126">
        <f>'Stats Global'!J20</f>
        <v>0</v>
      </c>
      <c r="N19" s="126">
        <f>'Stats Global'!G20</f>
        <v>0</v>
      </c>
    </row>
    <row r="20" spans="1:14" ht="14.5" customHeight="1" x14ac:dyDescent="0.3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19"/>
      <c r="H20" s="54"/>
      <c r="J20" s="126">
        <f>'Stats Global'!M21</f>
        <v>0</v>
      </c>
      <c r="K20" s="126">
        <f>'Stats Global'!H21</f>
        <v>0</v>
      </c>
      <c r="L20" s="56"/>
      <c r="M20" s="126">
        <f>'Stats Global'!J21</f>
        <v>0</v>
      </c>
      <c r="N20" s="126">
        <f>'Stats Global'!G21</f>
        <v>0</v>
      </c>
    </row>
    <row r="21" spans="1:14" ht="14.5" customHeight="1" x14ac:dyDescent="0.3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H21" s="54"/>
      <c r="J21" s="126">
        <f>'Stats Global'!M22</f>
        <v>0</v>
      </c>
      <c r="K21" s="126">
        <f>'Stats Global'!H22</f>
        <v>0</v>
      </c>
      <c r="L21" s="56"/>
      <c r="M21" s="126">
        <f>'Stats Global'!J22</f>
        <v>0</v>
      </c>
      <c r="N21" s="126">
        <f>'Stats Global'!G22</f>
        <v>0</v>
      </c>
    </row>
    <row r="22" spans="1:14" ht="14.5" customHeight="1" x14ac:dyDescent="0.3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F22" s="57"/>
      <c r="H22" s="54"/>
      <c r="J22" s="126">
        <f>'Stats Global'!M23</f>
        <v>0</v>
      </c>
      <c r="K22" s="126">
        <f>'Stats Global'!H23</f>
        <v>0</v>
      </c>
      <c r="L22" s="56"/>
      <c r="M22" s="126">
        <f>'Stats Global'!J23</f>
        <v>0</v>
      </c>
      <c r="N22" s="126">
        <f>'Stats Global'!G23</f>
        <v>0</v>
      </c>
    </row>
    <row r="23" spans="1:14" ht="14.5" customHeight="1" x14ac:dyDescent="0.3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0"/>
      <c r="F23" s="57"/>
      <c r="H23" s="54"/>
      <c r="J23" s="126">
        <f>'Stats Global'!M24</f>
        <v>0</v>
      </c>
      <c r="K23" s="126">
        <f>'Stats Global'!H24</f>
        <v>0</v>
      </c>
      <c r="L23" s="56"/>
      <c r="M23" s="126">
        <f>'Stats Global'!J24</f>
        <v>0</v>
      </c>
      <c r="N23" s="126">
        <f>'Stats Global'!G24</f>
        <v>0</v>
      </c>
    </row>
    <row r="24" spans="1:14" ht="14.5" customHeight="1" x14ac:dyDescent="0.3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57"/>
      <c r="F24" s="57"/>
      <c r="H24" s="54"/>
      <c r="J24" s="126">
        <f>'Stats Global'!M25</f>
        <v>0</v>
      </c>
      <c r="K24" s="126">
        <f>'Stats Global'!H25</f>
        <v>0</v>
      </c>
      <c r="L24" s="56"/>
      <c r="M24" s="126">
        <f>'Stats Global'!J25</f>
        <v>0</v>
      </c>
      <c r="N24" s="126">
        <f>'Stats Global'!G25</f>
        <v>0</v>
      </c>
    </row>
    <row r="25" spans="1:14" ht="14.5" customHeight="1" x14ac:dyDescent="0.3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57"/>
      <c r="H25" s="54"/>
      <c r="J25" s="126">
        <f>'Stats Global'!M26</f>
        <v>0</v>
      </c>
      <c r="K25" s="126">
        <f>'Stats Global'!H26</f>
        <v>0</v>
      </c>
      <c r="L25" s="56"/>
      <c r="M25" s="126">
        <f>'Stats Global'!J26</f>
        <v>0</v>
      </c>
      <c r="N25" s="126">
        <f>'Stats Global'!G26</f>
        <v>0</v>
      </c>
    </row>
    <row r="26" spans="1:14" ht="14.5" customHeight="1" x14ac:dyDescent="0.3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H26" s="54"/>
      <c r="J26" s="126">
        <f>'Stats Global'!M27</f>
        <v>0</v>
      </c>
      <c r="K26" s="126">
        <f>'Stats Global'!H27</f>
        <v>0</v>
      </c>
      <c r="L26" s="56"/>
      <c r="M26" s="126">
        <f>'Stats Global'!J27</f>
        <v>0</v>
      </c>
      <c r="N26" s="126">
        <f>'Stats Global'!G27</f>
        <v>0</v>
      </c>
    </row>
    <row r="27" spans="1:14" ht="14.5" customHeight="1" x14ac:dyDescent="0.3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H27" s="54"/>
      <c r="J27" s="126">
        <f>'Stats Global'!M28</f>
        <v>0</v>
      </c>
      <c r="K27" s="126">
        <f>'Stats Global'!H28</f>
        <v>0</v>
      </c>
      <c r="L27" s="56"/>
      <c r="M27" s="126">
        <f>'Stats Global'!J28</f>
        <v>0</v>
      </c>
      <c r="N27" s="126">
        <f>'Stats Global'!G28</f>
        <v>0</v>
      </c>
    </row>
    <row r="28" spans="1:14" ht="14.5" customHeight="1" x14ac:dyDescent="0.3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H28" s="54"/>
      <c r="J28" s="126">
        <f>'Stats Global'!M29</f>
        <v>0</v>
      </c>
      <c r="K28" s="126">
        <f>'Stats Global'!H29</f>
        <v>0</v>
      </c>
      <c r="L28" s="56"/>
      <c r="M28" s="126">
        <f>'Stats Global'!J29</f>
        <v>0</v>
      </c>
      <c r="N28" s="126">
        <f>'Stats Global'!G29</f>
        <v>0</v>
      </c>
    </row>
    <row r="29" spans="1:14" ht="14.5" customHeight="1" x14ac:dyDescent="0.3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H29" s="54"/>
      <c r="J29" s="126">
        <f>'Stats Global'!M30</f>
        <v>0</v>
      </c>
      <c r="K29" s="126">
        <f>'Stats Global'!H30</f>
        <v>0</v>
      </c>
      <c r="L29" s="56"/>
      <c r="M29" s="126">
        <f>'Stats Global'!J30</f>
        <v>0</v>
      </c>
      <c r="N29" s="126">
        <f>'Stats Global'!G30</f>
        <v>0</v>
      </c>
    </row>
    <row r="30" spans="1:14" ht="14.5" customHeight="1" x14ac:dyDescent="0.3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J30" s="126">
        <f>'Stats Global'!M31</f>
        <v>0</v>
      </c>
      <c r="K30" s="126">
        <f>'Stats Global'!H31</f>
        <v>0</v>
      </c>
      <c r="L30" s="56"/>
      <c r="M30" s="126">
        <f>'Stats Global'!J31</f>
        <v>0</v>
      </c>
      <c r="N30" s="126">
        <f>'Stats Global'!G31</f>
        <v>0</v>
      </c>
    </row>
    <row r="31" spans="1:14" ht="14.5" customHeight="1" x14ac:dyDescent="0.3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J31" s="126">
        <f>'Stats Global'!M32</f>
        <v>0</v>
      </c>
      <c r="K31" s="126">
        <f>'Stats Global'!H32</f>
        <v>0</v>
      </c>
      <c r="L31" s="56"/>
      <c r="M31" s="126">
        <f>'Stats Global'!J32</f>
        <v>0</v>
      </c>
      <c r="N31" s="126">
        <f>'Stats Global'!G32</f>
        <v>0</v>
      </c>
    </row>
    <row r="32" spans="1:14" ht="14.5" customHeight="1" x14ac:dyDescent="0.3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J32" s="126">
        <f>'Stats Global'!M33</f>
        <v>0</v>
      </c>
      <c r="K32" s="126">
        <f>'Stats Global'!H33</f>
        <v>0</v>
      </c>
      <c r="L32" s="56"/>
      <c r="M32" s="126">
        <f>'Stats Global'!J33</f>
        <v>0</v>
      </c>
      <c r="N32" s="126">
        <f>'Stats Global'!G33</f>
        <v>0</v>
      </c>
    </row>
    <row r="33" spans="1:14" ht="14.5" customHeight="1" x14ac:dyDescent="0.3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J33" s="126">
        <f>'Stats Global'!M34</f>
        <v>0</v>
      </c>
      <c r="K33" s="126">
        <f>'Stats Global'!H34</f>
        <v>0</v>
      </c>
      <c r="L33" s="56"/>
      <c r="M33" s="126">
        <f>'Stats Global'!J34</f>
        <v>0</v>
      </c>
      <c r="N33" s="126">
        <f>'Stats Global'!G34</f>
        <v>0</v>
      </c>
    </row>
    <row r="34" spans="1:14" ht="14.25" customHeight="1" x14ac:dyDescent="0.3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J34" s="126">
        <f>'Stats Global'!M35</f>
        <v>0</v>
      </c>
      <c r="K34" s="126">
        <f>'Stats Global'!H35</f>
        <v>0</v>
      </c>
      <c r="L34" s="56"/>
      <c r="M34" s="126">
        <f>'Stats Global'!J35</f>
        <v>0</v>
      </c>
      <c r="N34" s="126">
        <f>'Stats Global'!G35</f>
        <v>0</v>
      </c>
    </row>
    <row r="35" spans="1:14" ht="14.25" customHeight="1" x14ac:dyDescent="0.3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J35" s="126">
        <f>'Stats Global'!M36</f>
        <v>0</v>
      </c>
      <c r="K35" s="126">
        <f>'Stats Global'!H36</f>
        <v>0</v>
      </c>
      <c r="L35" s="56"/>
      <c r="M35" s="126">
        <f>'Stats Global'!J36</f>
        <v>0</v>
      </c>
      <c r="N35" s="126">
        <f>'Stats Global'!G36</f>
        <v>0</v>
      </c>
    </row>
    <row r="36" spans="1:14" ht="14.25" customHeight="1" x14ac:dyDescent="0.3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J36" s="126">
        <f>'Stats Global'!M37</f>
        <v>0</v>
      </c>
      <c r="K36" s="126">
        <f>'Stats Global'!H37</f>
        <v>0</v>
      </c>
      <c r="L36" s="56"/>
      <c r="M36" s="126">
        <f>'Stats Global'!J37</f>
        <v>0</v>
      </c>
      <c r="N36" s="126">
        <f>'Stats Global'!G37</f>
        <v>0</v>
      </c>
    </row>
    <row r="37" spans="1:14" ht="14.25" customHeight="1" x14ac:dyDescent="0.3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J37" s="126">
        <f>'Stats Global'!M38</f>
        <v>0</v>
      </c>
      <c r="K37" s="126">
        <f>'Stats Global'!H38</f>
        <v>0</v>
      </c>
      <c r="L37" s="56"/>
      <c r="M37" s="126">
        <f>'Stats Global'!J38</f>
        <v>0</v>
      </c>
      <c r="N37" s="126">
        <f>'Stats Global'!G38</f>
        <v>0</v>
      </c>
    </row>
    <row r="38" spans="1:14" ht="14.25" customHeight="1" x14ac:dyDescent="0.3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J38" s="126">
        <f>'Stats Global'!M39</f>
        <v>0</v>
      </c>
      <c r="K38" s="126">
        <f>'Stats Global'!H39</f>
        <v>0</v>
      </c>
      <c r="L38" s="56"/>
      <c r="M38" s="126">
        <f>'Stats Global'!J39</f>
        <v>0</v>
      </c>
      <c r="N38" s="126">
        <f>'Stats Global'!G39</f>
        <v>0</v>
      </c>
    </row>
    <row r="39" spans="1:14" ht="14.25" customHeight="1" x14ac:dyDescent="0.3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J39" s="126">
        <f>'Stats Global'!M40</f>
        <v>0</v>
      </c>
      <c r="K39" s="126">
        <f>'Stats Global'!H40</f>
        <v>0</v>
      </c>
      <c r="L39" s="56"/>
      <c r="M39" s="126">
        <f>'Stats Global'!J40</f>
        <v>0</v>
      </c>
      <c r="N39" s="126">
        <f>'Stats Global'!G40</f>
        <v>0</v>
      </c>
    </row>
    <row r="40" spans="1:14" ht="14.25" customHeight="1" x14ac:dyDescent="0.3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J40" s="126">
        <f>'Stats Global'!M41</f>
        <v>0</v>
      </c>
      <c r="K40" s="126">
        <f>'Stats Global'!H41</f>
        <v>0</v>
      </c>
      <c r="L40" s="56"/>
      <c r="M40" s="126">
        <f>'Stats Global'!J41</f>
        <v>0</v>
      </c>
      <c r="N40" s="126">
        <f>'Stats Global'!G41</f>
        <v>0</v>
      </c>
    </row>
    <row r="41" spans="1:14" ht="14.25" customHeight="1" x14ac:dyDescent="0.35">
      <c r="C41" s="76">
        <f>SUM(B4:B40)/SUM(B4:C40)</f>
        <v>0.46666666666666667</v>
      </c>
      <c r="H41" s="54"/>
      <c r="I41" s="52" t="s">
        <v>81</v>
      </c>
      <c r="J41" s="110">
        <f>SUM(J4:J40)</f>
        <v>4</v>
      </c>
      <c r="K41" s="110">
        <f>SUM(K4:K40)</f>
        <v>1</v>
      </c>
      <c r="L41" s="54"/>
      <c r="M41" s="110">
        <f>SUM(M4:M40)</f>
        <v>3</v>
      </c>
      <c r="N41" s="110">
        <f>SUM(N4:N40)</f>
        <v>4</v>
      </c>
    </row>
    <row r="42" spans="1:14" ht="14.25" customHeight="1" x14ac:dyDescent="0.35">
      <c r="J42" s="58">
        <f>IFERROR(J41/(K41+J41),0)</f>
        <v>0.8</v>
      </c>
      <c r="M42" s="58">
        <f>IFERROR(M41/(N41+M41),0)</f>
        <v>0.42857142857142855</v>
      </c>
    </row>
    <row r="43" spans="1:14" ht="14.25" customHeight="1" x14ac:dyDescent="0.35">
      <c r="G43" s="59" t="str">
        <f>F3&amp;","&amp;G3&amp;","&amp;H3&amp;"],"</f>
        <v>7,8,8],</v>
      </c>
      <c r="I43" s="36" t="s">
        <v>106</v>
      </c>
      <c r="K43" s="36" t="s">
        <v>110</v>
      </c>
      <c r="M43" s="60">
        <f>IFERROR(ROUND((SUM(Table1114[Points]))/'Stats Global'!AA6,1),0)</f>
        <v>5.7</v>
      </c>
    </row>
    <row r="44" spans="1:14" ht="14.25" customHeight="1" x14ac:dyDescent="0.3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6,"Alexander Galt",6,"Alexander Galt",2,"Christopher Tomkinson",0,"N/A"],</v>
      </c>
      <c r="I44" s="36" t="s">
        <v>107</v>
      </c>
      <c r="K44" s="61">
        <f>MAX(Table1114[Points])</f>
        <v>6</v>
      </c>
      <c r="L44" s="36" t="str">
        <f>IF(K44&lt;&gt;0, _xlfn.XLOOKUP(K44,Table1114[Points],Table1114[Name], "N/A"), "N/A")</f>
        <v>Alexander Galt</v>
      </c>
      <c r="M44" s="60">
        <f>IFERROR(ROUND((SUM(Table1114[Finishes]))/'Stats Global'!AA6,1),0)</f>
        <v>4.7</v>
      </c>
    </row>
    <row r="45" spans="1:14" ht="14.25" customHeight="1" x14ac:dyDescent="0.35">
      <c r="G45" s="36" t="str">
        <f>M43&amp;","&amp;M44&amp;","&amp;M45&amp;","&amp;M46&amp;","&amp;M47&amp;","&amp;M48&amp;"],"</f>
        <v>5.7,4.7,1,0,2.3,2.7],</v>
      </c>
      <c r="I45" s="36" t="s">
        <v>108</v>
      </c>
      <c r="K45" s="61">
        <f>MAX(Table1114[Finishes])</f>
        <v>6</v>
      </c>
      <c r="L45" s="36" t="str">
        <f>IF(K45&lt;&gt;0, _xlfn.XLOOKUP(K45,Table1114[Finishes],Table1114[Name], "N/A"), "N/A")</f>
        <v>Alexander Galt</v>
      </c>
      <c r="M45" s="60">
        <f>IFERROR(ROUND((SUM(Table1114[Midranges]))/'Stats Global'!AA6,1),0)</f>
        <v>1</v>
      </c>
    </row>
    <row r="46" spans="1:14" ht="14.25" customHeight="1" x14ac:dyDescent="0.35">
      <c r="G46" s="36" t="str">
        <f>J41&amp;","&amp;K41&amp;","&amp;ROUND(J42*100,1)&amp;","&amp;M41&amp;","&amp;N41&amp;","&amp;ROUND(M42*100,1)&amp;"],"</f>
        <v>4,1,80,3,4,42.9],</v>
      </c>
      <c r="I46" s="36" t="s">
        <v>109</v>
      </c>
      <c r="K46" s="61">
        <f>MAX(Table1114[Midranges])</f>
        <v>2</v>
      </c>
      <c r="L46" s="36" t="str">
        <f>IF(K46&lt;&gt;0, _xlfn.XLOOKUP(K46,Table1114[Midranges],Table1114[Name], "N/A"), "N/A")</f>
        <v>Christopher Tomkinson</v>
      </c>
      <c r="M46" s="60">
        <f>IFERROR(ROUND((SUM(Table1114[Threes]))/'Stats Global'!AA6,1),0)</f>
        <v>0</v>
      </c>
    </row>
    <row r="47" spans="1:14" ht="14.25" customHeight="1" x14ac:dyDescent="0.3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2.2999999999999998</v>
      </c>
    </row>
    <row r="48" spans="1:14" ht="14.25" customHeight="1" x14ac:dyDescent="0.35">
      <c r="M48" s="36">
        <f>IFERROR(ROUND(G3/'Stats Global'!AA6,1),0)</f>
        <v>2.7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6328125" defaultRowHeight="15" customHeight="1" x14ac:dyDescent="0.35"/>
  <cols>
    <col min="1" max="32" width="8.7265625" style="36" customWidth="1"/>
    <col min="33" max="16384" width="14.36328125" style="36"/>
  </cols>
  <sheetData>
    <row r="1" spans="1:22" ht="14.25" customHeight="1" x14ac:dyDescent="0.35"/>
    <row r="2" spans="1:22" ht="14.25" customHeight="1" x14ac:dyDescent="0.3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3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4</v>
      </c>
      <c r="G3" s="109">
        <f>SUM(C4:C40)</f>
        <v>6</v>
      </c>
      <c r="H3" s="109">
        <f>SUM(D4:D40)</f>
        <v>4.5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35">
      <c r="A4" s="107" t="str">
        <f>'Stats Global'!B5</f>
        <v>24 January</v>
      </c>
      <c r="B4" s="108">
        <f>'Stats Global'!L5</f>
        <v>2</v>
      </c>
      <c r="C4" s="108">
        <f>'Stats Global'!M5+'Stats Global'!N5</f>
        <v>3</v>
      </c>
      <c r="D4" s="108">
        <f>'Stats Global'!Q5</f>
        <v>1.5</v>
      </c>
      <c r="J4" s="127">
        <f>'Stats Global'!K5</f>
        <v>1</v>
      </c>
      <c r="K4" s="127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0.66666666666666663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0.33333333333333331</v>
      </c>
      <c r="V4" s="63">
        <f>'Stats Global'!AJ15</f>
        <v>0</v>
      </c>
    </row>
    <row r="5" spans="1:22" ht="14.25" customHeight="1" x14ac:dyDescent="0.35">
      <c r="A5" s="107" t="str">
        <f>'Stats Global'!B6</f>
        <v>25 January</v>
      </c>
      <c r="B5" s="108">
        <f>'Stats Global'!L6</f>
        <v>1</v>
      </c>
      <c r="C5" s="108">
        <f>'Stats Global'!M6+'Stats Global'!N6</f>
        <v>1</v>
      </c>
      <c r="D5" s="108">
        <f>'Stats Global'!Q6</f>
        <v>2</v>
      </c>
      <c r="H5" s="54"/>
      <c r="J5" s="55">
        <f>'Stats Global'!N6</f>
        <v>0</v>
      </c>
      <c r="K5" s="55">
        <f>'Stats Global'!K6</f>
        <v>1</v>
      </c>
      <c r="L5" s="56"/>
      <c r="M5" s="54" t="str">
        <f>'Stats Global'!Z14</f>
        <v>Sam James</v>
      </c>
      <c r="N5" s="54">
        <f>'Stats Global'!AA14</f>
        <v>1</v>
      </c>
      <c r="O5" s="54">
        <f>'Stats Global'!AB14</f>
        <v>0.33333333333333331</v>
      </c>
      <c r="P5" s="54">
        <f>'Stats Global'!AC14</f>
        <v>0</v>
      </c>
      <c r="Q5" s="54">
        <f>'Stats Global'!AD14</f>
        <v>0</v>
      </c>
      <c r="R5" s="54">
        <f>'Stats Global'!AE14</f>
        <v>1</v>
      </c>
      <c r="S5" s="54">
        <f>'Stats Global'!AF14</f>
        <v>0.33333333333333331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35">
      <c r="A6" s="107" t="str">
        <f>'Stats Global'!B7</f>
        <v>29 January</v>
      </c>
      <c r="B6" s="108">
        <f>'Stats Global'!L7</f>
        <v>1</v>
      </c>
      <c r="C6" s="108">
        <f>'Stats Global'!M7+'Stats Global'!N7</f>
        <v>2</v>
      </c>
      <c r="D6" s="108">
        <f>'Stats Global'!Q7</f>
        <v>1</v>
      </c>
      <c r="G6" s="52"/>
      <c r="H6" s="54"/>
      <c r="J6" s="55">
        <f>'Stats Global'!N7</f>
        <v>1</v>
      </c>
      <c r="K6" s="55">
        <f>'Stats Global'!K7</f>
        <v>1</v>
      </c>
      <c r="L6" s="56"/>
      <c r="M6" s="54" t="str">
        <f>'Stats Global'!Z16</f>
        <v>William Kim</v>
      </c>
      <c r="N6" s="54">
        <f>'Stats Global'!AA16</f>
        <v>3</v>
      </c>
      <c r="O6" s="54">
        <f>'Stats Global'!AB16</f>
        <v>1</v>
      </c>
      <c r="P6" s="54">
        <f>'Stats Global'!AC16</f>
        <v>1</v>
      </c>
      <c r="Q6" s="54">
        <f>'Stats Global'!AD16</f>
        <v>0.33333333333333331</v>
      </c>
      <c r="R6" s="54">
        <f>'Stats Global'!AE16</f>
        <v>2</v>
      </c>
      <c r="S6" s="54">
        <f>'Stats Global'!AF16</f>
        <v>0.66666666666666663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35">
      <c r="A7" s="107">
        <f>'Stats Global'!B8</f>
        <v>0</v>
      </c>
      <c r="B7" s="108">
        <f>'Stats Global'!L8</f>
        <v>0</v>
      </c>
      <c r="C7" s="108">
        <f>'Stats Global'!M8+'Stats Global'!N8</f>
        <v>0</v>
      </c>
      <c r="D7" s="108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3</v>
      </c>
    </row>
    <row r="8" spans="1:22" ht="14.25" customHeight="1" x14ac:dyDescent="0.3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4</v>
      </c>
      <c r="O8" s="54">
        <f>'Stats Global'!AB21</f>
        <v>1.3333333333333333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2</v>
      </c>
      <c r="U8" s="54">
        <f>'Stats Global'!AH21</f>
        <v>0.66666666666666663</v>
      </c>
      <c r="V8" s="63">
        <f>'Stats Global'!AJ21</f>
        <v>0</v>
      </c>
    </row>
    <row r="9" spans="1:22" ht="14.25" customHeight="1" x14ac:dyDescent="0.3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3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3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3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3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3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3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3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3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3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3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3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3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3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3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3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3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3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3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3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3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3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3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3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3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3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3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3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3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3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3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3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35">
      <c r="C41" s="76">
        <f>SUM(B4:B40)/SUM(B4:C40)</f>
        <v>0.4</v>
      </c>
      <c r="H41" s="54"/>
      <c r="I41" s="36" t="s">
        <v>81</v>
      </c>
      <c r="J41" s="111">
        <f>SUM(J4:J40)</f>
        <v>2</v>
      </c>
      <c r="K41" s="111">
        <f>SUM(K4:K40)</f>
        <v>3</v>
      </c>
      <c r="L41" s="54"/>
      <c r="M41" s="54"/>
    </row>
    <row r="42" spans="1:14" ht="14.25" customHeight="1" x14ac:dyDescent="0.35">
      <c r="J42" s="58">
        <f>IFERROR(J41/(K41+J41),0)</f>
        <v>0.4</v>
      </c>
    </row>
    <row r="43" spans="1:14" ht="14.25" customHeight="1" x14ac:dyDescent="0.35">
      <c r="H43" s="59" t="str">
        <f>F3&amp;","&amp;G3&amp;","&amp;H3&amp;"],"</f>
        <v>4,6,4.5],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5.7</v>
      </c>
    </row>
    <row r="44" spans="1:14" ht="14.25" customHeight="1" x14ac:dyDescent="0.3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4,"Angus Walker",1,"William Kim",2,"William Kim",2,"Angus Walker"],</v>
      </c>
      <c r="J44" s="36" t="s">
        <v>107</v>
      </c>
      <c r="L44" s="61">
        <f>MAX(Table1113[Points])</f>
        <v>4</v>
      </c>
      <c r="M44" s="36" t="str">
        <f>IF(L44&lt;&gt;0, _xlfn.XLOOKUP(L44,Table1113[Points],Table1113[Name], "N/A"), "N/A")</f>
        <v>Angus Walker</v>
      </c>
      <c r="N44" s="60">
        <f>IFERROR(ROUND((SUM(Table1113[Finishes]))/'Stats Global'!AA6,1),0)</f>
        <v>0.3</v>
      </c>
    </row>
    <row r="45" spans="1:14" ht="14.25" customHeight="1" x14ac:dyDescent="0.35">
      <c r="H45" s="36" t="str">
        <f>N43&amp;","&amp;N44&amp;","&amp;N45&amp;","&amp;N46&amp;","&amp;N47&amp;","&amp;N48&amp;"],"</f>
        <v>5.7,0.3,1,1,1.3,2],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1</v>
      </c>
    </row>
    <row r="46" spans="1:14" ht="14.25" customHeight="1" x14ac:dyDescent="0.35">
      <c r="H46" s="36" t="str">
        <f>'Statistics CT'!K41&amp;","&amp;'Statistics CT'!J41&amp;","&amp;ROUND((1-'Statistics CT'!J42)*100,1)&amp;","&amp;J41&amp;","&amp;K41&amp;","&amp;ROUND(J42*100,1)&amp;"],"</f>
        <v>1,4,20,2,3,40],</v>
      </c>
      <c r="J46" s="36" t="s">
        <v>109</v>
      </c>
      <c r="L46" s="61">
        <f>MAX(Table1113[Midranges])</f>
        <v>2</v>
      </c>
      <c r="M46" s="36" t="str">
        <f>IF(L46&lt;&gt;0, _xlfn.XLOOKUP(L46,Table1113[Midranges],Table1113[Name], "N/A"), "N/A")</f>
        <v>William Kim</v>
      </c>
      <c r="N46" s="60">
        <f>IFERROR(ROUND((SUM(Table1113[Threes]))/'Stats Global'!AA6,1),0)</f>
        <v>1</v>
      </c>
    </row>
    <row r="47" spans="1:14" ht="14.25" customHeight="1" x14ac:dyDescent="0.35">
      <c r="L47" s="61">
        <f>MAX(Table1113[Threes])</f>
        <v>2</v>
      </c>
      <c r="M47" s="36" t="str">
        <f>IF(L47&lt;&gt;0, _xlfn.XLOOKUP(L47,Table1113[Threes],Table1113[Name], "N/A"), "N/A")</f>
        <v>Angus Walker</v>
      </c>
      <c r="N47" s="36">
        <f>IFERROR(ROUND(F3/'Stats Global'!AA6,1),0)</f>
        <v>1.3</v>
      </c>
    </row>
    <row r="48" spans="1:14" ht="14.25" customHeight="1" x14ac:dyDescent="0.35">
      <c r="N48" s="36">
        <f>IFERROR(ROUND(G3/'Stats Global'!AA6,1),0)</f>
        <v>2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6328125" defaultRowHeight="15" customHeight="1" x14ac:dyDescent="0.35"/>
  <cols>
    <col min="1" max="11" width="8.7265625" style="36" customWidth="1"/>
    <col min="12" max="20" width="10" style="36" customWidth="1"/>
    <col min="21" max="22" width="11.08984375" style="36" customWidth="1"/>
    <col min="23" max="32" width="8.7265625" style="36" customWidth="1"/>
    <col min="33" max="16384" width="14.36328125" style="36"/>
  </cols>
  <sheetData>
    <row r="1" spans="1:24" ht="14.25" customHeight="1" x14ac:dyDescent="0.35"/>
    <row r="2" spans="1:24" ht="14.25" customHeight="1" x14ac:dyDescent="0.3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3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6</v>
      </c>
      <c r="F3" s="109">
        <f>SUM(C4:C40)</f>
        <v>6</v>
      </c>
      <c r="G3" s="109">
        <f>SUM(D4:D40)</f>
        <v>5.5</v>
      </c>
      <c r="H3" s="52"/>
      <c r="I3" s="66" t="s">
        <v>143</v>
      </c>
      <c r="V3" s="52"/>
      <c r="W3" s="52"/>
      <c r="X3" s="52"/>
    </row>
    <row r="4" spans="1:24" ht="14.25" customHeight="1" x14ac:dyDescent="0.35">
      <c r="A4" s="107" t="str">
        <f>'Stats Global'!B5</f>
        <v>24 January</v>
      </c>
      <c r="B4" s="108">
        <f>'Stats Global'!I5</f>
        <v>2</v>
      </c>
      <c r="C4" s="108">
        <f>'Stats Global'!J5+'Stats Global'!K5</f>
        <v>3</v>
      </c>
      <c r="D4" s="108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35">
      <c r="A5" s="107" t="str">
        <f>'Stats Global'!B6</f>
        <v>25 January</v>
      </c>
      <c r="B5" s="108">
        <f>'Stats Global'!I6</f>
        <v>1</v>
      </c>
      <c r="C5" s="108">
        <f>'Stats Global'!J6+'Stats Global'!K6</f>
        <v>2</v>
      </c>
      <c r="D5" s="108">
        <f>'Stats Global'!P6</f>
        <v>1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35">
      <c r="A6" s="107" t="str">
        <f>'Stats Global'!B7</f>
        <v>29 January</v>
      </c>
      <c r="B6" s="108">
        <f>'Stats Global'!I7</f>
        <v>3</v>
      </c>
      <c r="C6" s="108">
        <f>'Stats Global'!J7+'Stats Global'!K7</f>
        <v>1</v>
      </c>
      <c r="D6" s="108">
        <f>'Stats Global'!P7</f>
        <v>3</v>
      </c>
      <c r="E6" s="52"/>
      <c r="F6" s="62"/>
      <c r="H6" s="54"/>
      <c r="I6" s="54" t="str">
        <f>'Stats Global'!Z12</f>
        <v>Michael Iffland</v>
      </c>
      <c r="J6" s="54">
        <f>'Stats Global'!AA12</f>
        <v>6</v>
      </c>
      <c r="K6" s="54">
        <f>'Stats Global'!AB12</f>
        <v>2</v>
      </c>
      <c r="L6" s="54">
        <f>'Stats Global'!AC12</f>
        <v>4</v>
      </c>
      <c r="M6" s="54">
        <f>'Stats Global'!AD12</f>
        <v>1.3333333333333333</v>
      </c>
      <c r="N6" s="54">
        <f>'Stats Global'!AE12</f>
        <v>2</v>
      </c>
      <c r="O6" s="54">
        <f>'Stats Global'!AF12</f>
        <v>0.66666666666666663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35">
      <c r="A7" s="107">
        <f>'Stats Global'!B8</f>
        <v>0</v>
      </c>
      <c r="B7" s="108">
        <f>'Stats Global'!I8</f>
        <v>0</v>
      </c>
      <c r="C7" s="108">
        <f>'Stats Global'!J8+'Stats Global'!K8</f>
        <v>0</v>
      </c>
      <c r="D7" s="108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4</v>
      </c>
      <c r="K7" s="54">
        <f>'Stats Global'!AB13</f>
        <v>1.3333333333333333</v>
      </c>
      <c r="L7" s="54">
        <f>'Stats Global'!AC13</f>
        <v>4</v>
      </c>
      <c r="M7" s="54">
        <f>'Stats Global'!AD13</f>
        <v>1.3333333333333333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3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5</v>
      </c>
      <c r="K8" s="54">
        <f>'Stats Global'!AB17</f>
        <v>1.6666666666666667</v>
      </c>
      <c r="L8" s="54">
        <f>'Stats Global'!AC17</f>
        <v>2</v>
      </c>
      <c r="M8" s="54">
        <f>'Stats Global'!AD17</f>
        <v>0.66666666666666663</v>
      </c>
      <c r="N8" s="54">
        <f>'Stats Global'!AE17</f>
        <v>3</v>
      </c>
      <c r="O8" s="54">
        <f>'Stats Global'!AF17</f>
        <v>1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3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1</v>
      </c>
      <c r="K9" s="54">
        <f>'Stats Global'!AB22</f>
        <v>0.33333333333333331</v>
      </c>
      <c r="L9" s="54">
        <f>'Stats Global'!AC22</f>
        <v>1</v>
      </c>
      <c r="M9" s="54">
        <f>'Stats Global'!AD22</f>
        <v>0.33333333333333331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3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3</v>
      </c>
      <c r="V10" s="54"/>
      <c r="W10" s="54"/>
      <c r="X10" s="54"/>
    </row>
    <row r="11" spans="1:24" ht="14.25" customHeight="1" x14ac:dyDescent="0.3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3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3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3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3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3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3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3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3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3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3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3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3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3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3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3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3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3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3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3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3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3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6,6,5.5],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5.3</v>
      </c>
    </row>
    <row r="33" spans="1:14" ht="14.25" customHeight="1" x14ac:dyDescent="0.3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6,"Michael Iffland",4,"N/A",3,"N/A",0,"N/A"],</v>
      </c>
      <c r="J33" s="36" t="s">
        <v>107</v>
      </c>
      <c r="L33" s="61">
        <f>MAX(Table11[Points])</f>
        <v>6</v>
      </c>
      <c r="M33" s="36" t="str">
        <f>IF(L33&lt;&gt;0, _xlfn.XLOOKUP(L33,J5:J10,I5:I10, "N/A"), "N/A")</f>
        <v>Michael Iffland</v>
      </c>
      <c r="N33" s="60">
        <f>IFERROR(ROUND((SUM(Table11[Finishes]))/'Stats Global'!AA6,1),0)</f>
        <v>3.7</v>
      </c>
    </row>
    <row r="34" spans="1:14" ht="14.25" customHeight="1" x14ac:dyDescent="0.3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5.3,3.7,1.7,0,2,2],</v>
      </c>
      <c r="J34" s="36" t="s">
        <v>108</v>
      </c>
      <c r="L34" s="61">
        <f>MAX(Table11[Finishes])</f>
        <v>4</v>
      </c>
      <c r="M34" s="36" t="str">
        <f>IF(L33&lt;&gt;0, _xlfn.XLOOKUP(L33,K5:K10,I5:I10, "N/A"), "N/A")</f>
        <v>N/A</v>
      </c>
      <c r="N34" s="60">
        <f>IFERROR(ROUND((SUM(Table11[Midranges]))/'Stats Global'!AA6,1),0)</f>
        <v>1.7</v>
      </c>
    </row>
    <row r="35" spans="1:14" ht="14.25" customHeight="1" x14ac:dyDescent="0.3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4,3,57.1,3,2,60],</v>
      </c>
      <c r="J35" s="36" t="s">
        <v>109</v>
      </c>
      <c r="L35" s="61">
        <f>MAX(Table11[Midranges])</f>
        <v>3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3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2</v>
      </c>
    </row>
    <row r="37" spans="1:14" ht="14.25" customHeight="1" x14ac:dyDescent="0.3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2</v>
      </c>
    </row>
    <row r="38" spans="1:14" ht="14.25" customHeight="1" x14ac:dyDescent="0.3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3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3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</row>
    <row r="41" spans="1:14" ht="14.25" customHeight="1" x14ac:dyDescent="0.35">
      <c r="C41" s="76">
        <f>SUM(B4:B40)/SUM(B4:C40)</f>
        <v>0.5</v>
      </c>
    </row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L26" sqref="L26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3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35">
      <c r="B4" s="125" t="s">
        <v>223</v>
      </c>
      <c r="C4" s="128"/>
      <c r="D4" s="128"/>
      <c r="E4" s="128"/>
      <c r="F4" s="128"/>
      <c r="G4" s="128"/>
      <c r="H4" s="128"/>
      <c r="I4" s="128"/>
      <c r="J4" s="128"/>
      <c r="K4" s="128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35">
      <c r="C5" s="128"/>
      <c r="D5" s="128"/>
      <c r="E5" s="128"/>
      <c r="F5" s="128"/>
      <c r="G5" s="128"/>
      <c r="H5" s="128"/>
      <c r="I5" s="128"/>
      <c r="J5" s="128"/>
      <c r="K5" s="128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35">
      <c r="C6" s="128"/>
      <c r="D6" s="128"/>
      <c r="E6" s="128"/>
      <c r="F6" s="128"/>
      <c r="G6" s="128"/>
      <c r="H6" s="128"/>
      <c r="I6" s="128"/>
      <c r="J6" s="128"/>
      <c r="K6" s="128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35">
      <c r="C7" s="128"/>
      <c r="D7" s="128"/>
      <c r="E7" s="128"/>
      <c r="F7" s="128"/>
      <c r="G7" s="128"/>
      <c r="H7" s="128"/>
      <c r="I7" s="128"/>
      <c r="J7" s="128"/>
      <c r="K7" s="128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35">
      <c r="C8" s="128"/>
      <c r="D8" s="128"/>
      <c r="E8" s="128"/>
      <c r="F8" s="128"/>
      <c r="G8" s="128"/>
      <c r="H8" s="128"/>
      <c r="I8" s="128"/>
      <c r="J8" s="128"/>
      <c r="K8" s="128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35">
      <c r="C9" s="128"/>
      <c r="D9" s="128"/>
      <c r="E9" s="128"/>
      <c r="F9" s="128"/>
      <c r="G9" s="128"/>
      <c r="H9" s="128"/>
      <c r="I9" s="128"/>
      <c r="J9" s="128"/>
      <c r="K9" s="128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35">
      <c r="C10" s="128"/>
      <c r="D10" s="128"/>
      <c r="E10" s="128"/>
      <c r="F10" s="128"/>
      <c r="G10" s="128"/>
      <c r="H10" s="128"/>
      <c r="I10" s="128"/>
      <c r="J10" s="128"/>
      <c r="K10" s="128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35">
      <c r="C11" s="128"/>
      <c r="D11" s="128"/>
      <c r="E11" s="128"/>
      <c r="F11" s="128"/>
      <c r="G11" s="128"/>
      <c r="H11" s="128"/>
      <c r="I11" s="128"/>
      <c r="J11" s="128"/>
      <c r="K11" s="128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35">
      <c r="C12" s="128"/>
      <c r="D12" s="128"/>
      <c r="E12" s="128"/>
      <c r="F12" s="128"/>
      <c r="G12" s="128"/>
      <c r="H12" s="128"/>
      <c r="I12" s="128"/>
      <c r="J12" s="128"/>
      <c r="K12" s="128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35">
      <c r="C13" s="128"/>
      <c r="D13" s="128"/>
      <c r="E13" s="128"/>
      <c r="F13" s="128"/>
      <c r="G13" s="128"/>
      <c r="H13" s="128"/>
      <c r="I13" s="128"/>
      <c r="J13" s="128"/>
      <c r="K13" s="128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35">
      <c r="C14" s="128"/>
      <c r="D14" s="128"/>
      <c r="E14" s="128"/>
      <c r="F14" s="128"/>
      <c r="G14" s="128"/>
      <c r="H14" s="128"/>
      <c r="I14" s="128"/>
      <c r="J14" s="128"/>
      <c r="K14" s="128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35">
      <c r="C15" s="128"/>
      <c r="D15" s="128"/>
      <c r="E15" s="128"/>
      <c r="F15" s="128"/>
      <c r="G15" s="128"/>
      <c r="H15" s="128"/>
      <c r="I15" s="128"/>
      <c r="J15" s="128"/>
      <c r="K15" s="128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35">
      <c r="C16" s="128"/>
      <c r="D16" s="128"/>
      <c r="E16" s="128"/>
      <c r="F16" s="128"/>
      <c r="G16" s="128"/>
      <c r="H16" s="128"/>
      <c r="I16" s="128"/>
      <c r="J16" s="128"/>
      <c r="K16" s="128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35">
      <c r="C17" s="128"/>
      <c r="D17" s="128"/>
      <c r="E17" s="128"/>
      <c r="F17" s="128"/>
      <c r="G17" s="128"/>
      <c r="H17" s="128"/>
      <c r="I17" s="128"/>
      <c r="J17" s="128"/>
      <c r="K17" s="128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35">
      <c r="C18" s="128"/>
      <c r="D18" s="128"/>
      <c r="E18" s="128"/>
      <c r="F18" s="128"/>
      <c r="G18" s="128"/>
      <c r="H18" s="128"/>
      <c r="I18" s="128"/>
      <c r="J18" s="128"/>
      <c r="K18" s="128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35">
      <c r="C19" s="128"/>
      <c r="D19" s="128"/>
      <c r="E19" s="128"/>
      <c r="F19" s="128"/>
      <c r="G19" s="128"/>
      <c r="H19" s="128"/>
      <c r="I19" s="128"/>
      <c r="J19" s="128"/>
      <c r="K19" s="128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35">
      <c r="C20" s="128"/>
      <c r="D20" s="128"/>
      <c r="E20" s="128"/>
      <c r="F20" s="128"/>
      <c r="G20" s="128"/>
      <c r="H20" s="128"/>
      <c r="I20" s="128"/>
      <c r="J20" s="128"/>
      <c r="K20" s="128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35">
      <c r="C21" s="128"/>
      <c r="D21" s="128"/>
      <c r="E21" s="128"/>
      <c r="F21" s="128"/>
      <c r="G21" s="128"/>
      <c r="H21" s="128"/>
      <c r="I21" s="128"/>
      <c r="J21" s="128"/>
      <c r="K21" s="128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3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3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3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3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4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3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3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3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3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3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3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3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3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4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3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3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3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3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3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3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35">
      <c r="C40" s="50"/>
      <c r="T40" s="6"/>
      <c r="U40" s="6"/>
      <c r="V40" s="6"/>
    </row>
    <row r="41" spans="3:28" ht="14.25" customHeight="1" x14ac:dyDescent="0.7">
      <c r="S41" s="64"/>
      <c r="T41" s="64"/>
      <c r="U41" s="64"/>
      <c r="V41" s="64"/>
      <c r="W41" s="64"/>
    </row>
    <row r="42" spans="3:28" ht="14.25" customHeight="1" x14ac:dyDescent="0.7">
      <c r="S42" s="64"/>
      <c r="T42" s="64"/>
      <c r="U42" s="64"/>
      <c r="V42" s="64"/>
      <c r="W42" s="64"/>
    </row>
    <row r="43" spans="3:28" ht="14.25" customHeight="1" x14ac:dyDescent="0.35">
      <c r="C43" t="s">
        <v>135</v>
      </c>
      <c r="T43" s="10" t="s">
        <v>211</v>
      </c>
      <c r="U43" s="10"/>
    </row>
    <row r="44" spans="3:28" ht="14.25" customHeight="1" x14ac:dyDescent="0.3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3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3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35">
      <c r="T47" s="10" t="s">
        <v>222</v>
      </c>
      <c r="U47" s="10"/>
    </row>
    <row r="48" spans="3:28" ht="14.25" customHeight="1" x14ac:dyDescent="0.35">
      <c r="T48" s="10"/>
    </row>
    <row r="49" spans="20:20" ht="14.25" customHeight="1" x14ac:dyDescent="0.35">
      <c r="T49" s="10"/>
    </row>
    <row r="50" spans="20:20" ht="14.25" customHeight="1" x14ac:dyDescent="0.35">
      <c r="T50" s="10"/>
    </row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customFormat="1" ht="14.25" customHeight="1" x14ac:dyDescent="0.35"/>
    <row r="66" customFormat="1" ht="14.25" customHeight="1" x14ac:dyDescent="0.35"/>
    <row r="67" customFormat="1" ht="14.25" customHeight="1" x14ac:dyDescent="0.35"/>
    <row r="68" customFormat="1" ht="14.25" customHeight="1" x14ac:dyDescent="0.35"/>
    <row r="69" customFormat="1" ht="14.25" customHeight="1" x14ac:dyDescent="0.35"/>
    <row r="70" customFormat="1" ht="14.25" customHeight="1" x14ac:dyDescent="0.35"/>
    <row r="71" customFormat="1" ht="14.25" customHeight="1" x14ac:dyDescent="0.35"/>
    <row r="72" customFormat="1" ht="14.25" customHeight="1" x14ac:dyDescent="0.35"/>
    <row r="73" customFormat="1" ht="14.25" customHeight="1" x14ac:dyDescent="0.35"/>
    <row r="74" customFormat="1" ht="14.25" customHeight="1" x14ac:dyDescent="0.35"/>
    <row r="75" customFormat="1" ht="14.25" customHeight="1" x14ac:dyDescent="0.35"/>
    <row r="76" customFormat="1" ht="14.25" customHeight="1" x14ac:dyDescent="0.35"/>
    <row r="77" customFormat="1" ht="14.25" customHeight="1" x14ac:dyDescent="0.35"/>
    <row r="78" customFormat="1" ht="14.25" customHeight="1" x14ac:dyDescent="0.35"/>
    <row r="79" customFormat="1" ht="14.25" customHeight="1" x14ac:dyDescent="0.35"/>
    <row r="80" customFormat="1" ht="14.25" customHeight="1" x14ac:dyDescent="0.35"/>
    <row r="81" customFormat="1" ht="14.25" customHeight="1" x14ac:dyDescent="0.35"/>
    <row r="82" customFormat="1" ht="14.25" customHeight="1" x14ac:dyDescent="0.35"/>
    <row r="83" customFormat="1" ht="14.25" customHeight="1" x14ac:dyDescent="0.35"/>
    <row r="84" customFormat="1" ht="14.25" customHeight="1" x14ac:dyDescent="0.35"/>
    <row r="85" customFormat="1" ht="14.25" customHeight="1" x14ac:dyDescent="0.35"/>
    <row r="86" customFormat="1" ht="14.25" customHeight="1" x14ac:dyDescent="0.35"/>
    <row r="87" customFormat="1" ht="14.25" customHeight="1" x14ac:dyDescent="0.35"/>
    <row r="88" customFormat="1" ht="14.25" customHeight="1" x14ac:dyDescent="0.35"/>
    <row r="89" customFormat="1" ht="14.25" customHeight="1" x14ac:dyDescent="0.35"/>
    <row r="90" customFormat="1" ht="14.25" customHeight="1" x14ac:dyDescent="0.35"/>
    <row r="91" customFormat="1" ht="14.25" customHeight="1" x14ac:dyDescent="0.35"/>
    <row r="92" customFormat="1" ht="14.25" customHeight="1" x14ac:dyDescent="0.35"/>
    <row r="93" customFormat="1" ht="14.25" customHeight="1" x14ac:dyDescent="0.35"/>
    <row r="94" customFormat="1" ht="14.25" customHeight="1" x14ac:dyDescent="0.35"/>
    <row r="95" customFormat="1" ht="14.25" customHeight="1" x14ac:dyDescent="0.35"/>
    <row r="96" customFormat="1" ht="14.25" customHeight="1" x14ac:dyDescent="0.35"/>
    <row r="97" customFormat="1" ht="14.25" customHeight="1" x14ac:dyDescent="0.35"/>
    <row r="98" customFormat="1" ht="14.25" customHeight="1" x14ac:dyDescent="0.35"/>
    <row r="99" customFormat="1" ht="14.25" customHeight="1" x14ac:dyDescent="0.35"/>
    <row r="100" customFormat="1" ht="14.25" customHeight="1" x14ac:dyDescent="0.35"/>
    <row r="101" customFormat="1" ht="14.25" customHeight="1" x14ac:dyDescent="0.35"/>
    <row r="102" customFormat="1" ht="14.25" customHeight="1" x14ac:dyDescent="0.35"/>
    <row r="103" customFormat="1" ht="14.25" customHeight="1" x14ac:dyDescent="0.35"/>
    <row r="104" customFormat="1" ht="14.25" customHeight="1" x14ac:dyDescent="0.35"/>
    <row r="105" customFormat="1" ht="14.25" customHeight="1" x14ac:dyDescent="0.35"/>
    <row r="106" customFormat="1" ht="14.25" customHeight="1" x14ac:dyDescent="0.35"/>
    <row r="107" customFormat="1" ht="14.25" customHeight="1" x14ac:dyDescent="0.35"/>
    <row r="108" customFormat="1" ht="14.25" customHeight="1" x14ac:dyDescent="0.35"/>
    <row r="109" customFormat="1" ht="14.25" customHeight="1" x14ac:dyDescent="0.35"/>
    <row r="110" customFormat="1" ht="14.25" customHeight="1" x14ac:dyDescent="0.35"/>
    <row r="111" customFormat="1" ht="14.25" customHeight="1" x14ac:dyDescent="0.35"/>
    <row r="112" customFormat="1" ht="14.25" customHeight="1" x14ac:dyDescent="0.35"/>
    <row r="113" customFormat="1" ht="14.25" customHeight="1" x14ac:dyDescent="0.35"/>
    <row r="114" customFormat="1" ht="14.25" customHeight="1" x14ac:dyDescent="0.35"/>
    <row r="115" customFormat="1" ht="14.25" customHeight="1" x14ac:dyDescent="0.35"/>
    <row r="116" customFormat="1" ht="14.25" customHeight="1" x14ac:dyDescent="0.35"/>
    <row r="117" customFormat="1" ht="14.25" customHeight="1" x14ac:dyDescent="0.35"/>
    <row r="118" customFormat="1" ht="14.25" customHeight="1" x14ac:dyDescent="0.35"/>
    <row r="119" customFormat="1" ht="14.25" customHeight="1" x14ac:dyDescent="0.35"/>
    <row r="120" customFormat="1" ht="14.25" customHeight="1" x14ac:dyDescent="0.35"/>
    <row r="121" customFormat="1" ht="14.25" customHeight="1" x14ac:dyDescent="0.35"/>
    <row r="122" customFormat="1" ht="14.25" customHeight="1" x14ac:dyDescent="0.35"/>
    <row r="123" customFormat="1" ht="14.25" customHeight="1" x14ac:dyDescent="0.35"/>
    <row r="124" customFormat="1" ht="14.25" customHeight="1" x14ac:dyDescent="0.35"/>
    <row r="125" customFormat="1" ht="14.25" customHeight="1" x14ac:dyDescent="0.35"/>
    <row r="126" customFormat="1" ht="14.25" customHeight="1" x14ac:dyDescent="0.35"/>
    <row r="127" customFormat="1" ht="14.25" customHeight="1" x14ac:dyDescent="0.35"/>
    <row r="128" customFormat="1" ht="14.25" customHeight="1" x14ac:dyDescent="0.35"/>
    <row r="129" customFormat="1" ht="14.25" customHeight="1" x14ac:dyDescent="0.35"/>
    <row r="130" customFormat="1" ht="14.25" customHeight="1" x14ac:dyDescent="0.35"/>
    <row r="131" customFormat="1" ht="14.25" customHeight="1" x14ac:dyDescent="0.35"/>
    <row r="132" customFormat="1" ht="14.25" customHeight="1" x14ac:dyDescent="0.35"/>
    <row r="133" customFormat="1" ht="14.25" customHeight="1" x14ac:dyDescent="0.35"/>
    <row r="134" customFormat="1" ht="14.25" customHeight="1" x14ac:dyDescent="0.35"/>
    <row r="135" customFormat="1" ht="14.25" customHeight="1" x14ac:dyDescent="0.35"/>
    <row r="136" customFormat="1" ht="14.25" customHeight="1" x14ac:dyDescent="0.35"/>
    <row r="137" customFormat="1" ht="14.25" customHeight="1" x14ac:dyDescent="0.35"/>
    <row r="138" customFormat="1" ht="14.25" customHeight="1" x14ac:dyDescent="0.35"/>
    <row r="139" customFormat="1" ht="14.25" customHeight="1" x14ac:dyDescent="0.35"/>
    <row r="140" customFormat="1" ht="14.25" customHeight="1" x14ac:dyDescent="0.35"/>
    <row r="141" customFormat="1" ht="14.25" customHeight="1" x14ac:dyDescent="0.35"/>
    <row r="142" customFormat="1" ht="14.25" customHeight="1" x14ac:dyDescent="0.35"/>
    <row r="143" customFormat="1" ht="14.25" customHeight="1" x14ac:dyDescent="0.35"/>
    <row r="144" customFormat="1" ht="14.25" customHeight="1" x14ac:dyDescent="0.35"/>
    <row r="145" customFormat="1" ht="14.25" customHeight="1" x14ac:dyDescent="0.35"/>
    <row r="146" customFormat="1" ht="14.25" customHeight="1" x14ac:dyDescent="0.35"/>
    <row r="147" customFormat="1" ht="14.25" customHeight="1" x14ac:dyDescent="0.35"/>
    <row r="148" customFormat="1" ht="14.25" customHeight="1" x14ac:dyDescent="0.35"/>
    <row r="149" customFormat="1" ht="14.25" customHeight="1" x14ac:dyDescent="0.35"/>
    <row r="150" customFormat="1" ht="14.25" customHeight="1" x14ac:dyDescent="0.35"/>
    <row r="151" customFormat="1" ht="14.25" customHeight="1" x14ac:dyDescent="0.35"/>
    <row r="152" customFormat="1" ht="14.25" customHeight="1" x14ac:dyDescent="0.35"/>
    <row r="153" customFormat="1" ht="14.25" customHeight="1" x14ac:dyDescent="0.35"/>
    <row r="154" customFormat="1" ht="14.25" customHeight="1" x14ac:dyDescent="0.35"/>
    <row r="155" customFormat="1" ht="14.25" customHeight="1" x14ac:dyDescent="0.35"/>
    <row r="156" customFormat="1" ht="14.25" customHeight="1" x14ac:dyDescent="0.35"/>
    <row r="157" customFormat="1" ht="14.25" customHeight="1" x14ac:dyDescent="0.35"/>
    <row r="158" customFormat="1" ht="14.25" customHeight="1" x14ac:dyDescent="0.35"/>
    <row r="159" customFormat="1" ht="14.25" customHeight="1" x14ac:dyDescent="0.35"/>
    <row r="160" customFormat="1" ht="14.25" customHeight="1" x14ac:dyDescent="0.35"/>
    <row r="161" customFormat="1" ht="14.25" customHeight="1" x14ac:dyDescent="0.35"/>
    <row r="162" customFormat="1" ht="14.25" customHeight="1" x14ac:dyDescent="0.35"/>
    <row r="163" customFormat="1" ht="14.25" customHeight="1" x14ac:dyDescent="0.35"/>
    <row r="164" customFormat="1" ht="14.25" customHeight="1" x14ac:dyDescent="0.35"/>
    <row r="165" customFormat="1" ht="14.25" customHeight="1" x14ac:dyDescent="0.35"/>
    <row r="166" customFormat="1" ht="14.25" customHeight="1" x14ac:dyDescent="0.35"/>
    <row r="167" customFormat="1" ht="14.25" customHeight="1" x14ac:dyDescent="0.35"/>
    <row r="168" customFormat="1" ht="14.25" customHeight="1" x14ac:dyDescent="0.35"/>
    <row r="169" customFormat="1" ht="14.25" customHeight="1" x14ac:dyDescent="0.35"/>
    <row r="170" customFormat="1" ht="14.25" customHeight="1" x14ac:dyDescent="0.35"/>
    <row r="171" customFormat="1" ht="14.25" customHeight="1" x14ac:dyDescent="0.35"/>
    <row r="172" customFormat="1" ht="14.25" customHeight="1" x14ac:dyDescent="0.35"/>
    <row r="173" customFormat="1" ht="14.25" customHeight="1" x14ac:dyDescent="0.35"/>
    <row r="174" customFormat="1" ht="14.25" customHeight="1" x14ac:dyDescent="0.35"/>
    <row r="175" customFormat="1" ht="14.25" customHeight="1" x14ac:dyDescent="0.35"/>
    <row r="176" customFormat="1" ht="14.25" customHeight="1" x14ac:dyDescent="0.35"/>
    <row r="177" customFormat="1" ht="14.25" customHeight="1" x14ac:dyDescent="0.35"/>
    <row r="178" customFormat="1" ht="14.25" customHeight="1" x14ac:dyDescent="0.35"/>
    <row r="179" customFormat="1" ht="14.25" customHeight="1" x14ac:dyDescent="0.35"/>
    <row r="180" customFormat="1" ht="14.25" customHeight="1" x14ac:dyDescent="0.35"/>
    <row r="181" customFormat="1" ht="14.25" customHeight="1" x14ac:dyDescent="0.35"/>
    <row r="182" customFormat="1" ht="14.25" customHeight="1" x14ac:dyDescent="0.35"/>
    <row r="183" customFormat="1" ht="14.25" customHeight="1" x14ac:dyDescent="0.35"/>
    <row r="184" customFormat="1" ht="14.25" customHeight="1" x14ac:dyDescent="0.35"/>
    <row r="185" customFormat="1" ht="14.25" customHeight="1" x14ac:dyDescent="0.35"/>
    <row r="186" customFormat="1" ht="14.25" customHeight="1" x14ac:dyDescent="0.35"/>
    <row r="187" customFormat="1" ht="14.25" customHeight="1" x14ac:dyDescent="0.35"/>
    <row r="188" customFormat="1" ht="14.25" customHeight="1" x14ac:dyDescent="0.35"/>
    <row r="189" customFormat="1" ht="14.25" customHeight="1" x14ac:dyDescent="0.35"/>
    <row r="190" customFormat="1" ht="14.25" customHeight="1" x14ac:dyDescent="0.35"/>
    <row r="191" customFormat="1" ht="14.25" customHeight="1" x14ac:dyDescent="0.35"/>
    <row r="192" customFormat="1" ht="14.25" customHeight="1" x14ac:dyDescent="0.35"/>
    <row r="193" customFormat="1" ht="14.25" customHeight="1" x14ac:dyDescent="0.35"/>
    <row r="194" customFormat="1" ht="14.25" customHeight="1" x14ac:dyDescent="0.35"/>
    <row r="195" customFormat="1" ht="14.25" customHeight="1" x14ac:dyDescent="0.35"/>
    <row r="196" customFormat="1" ht="14.25" customHeight="1" x14ac:dyDescent="0.35"/>
    <row r="197" customFormat="1" ht="14.25" customHeight="1" x14ac:dyDescent="0.35"/>
    <row r="198" customFormat="1" ht="14.25" customHeight="1" x14ac:dyDescent="0.35"/>
    <row r="199" customFormat="1" ht="14.25" customHeight="1" x14ac:dyDescent="0.35"/>
    <row r="200" customFormat="1" ht="14.25" customHeight="1" x14ac:dyDescent="0.35"/>
    <row r="201" customFormat="1" ht="14.25" customHeight="1" x14ac:dyDescent="0.35"/>
    <row r="202" customFormat="1" ht="14.25" customHeight="1" x14ac:dyDescent="0.35"/>
    <row r="203" customFormat="1" ht="14.25" customHeight="1" x14ac:dyDescent="0.35"/>
    <row r="204" customFormat="1" ht="14.25" customHeight="1" x14ac:dyDescent="0.35"/>
    <row r="205" customFormat="1" ht="14.25" customHeight="1" x14ac:dyDescent="0.35"/>
    <row r="206" customFormat="1" ht="14.25" customHeight="1" x14ac:dyDescent="0.35"/>
    <row r="207" customFormat="1" ht="14.25" customHeight="1" x14ac:dyDescent="0.35"/>
    <row r="208" customFormat="1" ht="14.25" customHeight="1" x14ac:dyDescent="0.35"/>
    <row r="209" customFormat="1" ht="14.25" customHeight="1" x14ac:dyDescent="0.35"/>
    <row r="210" customFormat="1" ht="14.25" customHeight="1" x14ac:dyDescent="0.35"/>
    <row r="211" customFormat="1" ht="14.25" customHeight="1" x14ac:dyDescent="0.35"/>
    <row r="212" customFormat="1" ht="14.25" customHeight="1" x14ac:dyDescent="0.35"/>
    <row r="213" customFormat="1" ht="14.25" customHeight="1" x14ac:dyDescent="0.35"/>
    <row r="214" customFormat="1" ht="14.25" customHeight="1" x14ac:dyDescent="0.35"/>
    <row r="215" customFormat="1" ht="14.25" customHeight="1" x14ac:dyDescent="0.35"/>
    <row r="216" customFormat="1" ht="14.25" customHeight="1" x14ac:dyDescent="0.35"/>
    <row r="217" customFormat="1" ht="14.25" customHeight="1" x14ac:dyDescent="0.35"/>
    <row r="218" customFormat="1" ht="14.25" customHeight="1" x14ac:dyDescent="0.35"/>
    <row r="219" customFormat="1" ht="14.25" customHeight="1" x14ac:dyDescent="0.35"/>
    <row r="220" customFormat="1" ht="14.25" customHeight="1" x14ac:dyDescent="0.35"/>
    <row r="221" customFormat="1" ht="14.25" customHeight="1" x14ac:dyDescent="0.35"/>
    <row r="222" customFormat="1" ht="14.25" customHeight="1" x14ac:dyDescent="0.35"/>
    <row r="223" customFormat="1" ht="14.25" customHeight="1" x14ac:dyDescent="0.35"/>
    <row r="224" customFormat="1" ht="14.25" customHeight="1" x14ac:dyDescent="0.35"/>
    <row r="225" customFormat="1" ht="14.25" customHeight="1" x14ac:dyDescent="0.35"/>
    <row r="226" customFormat="1" ht="14.25" customHeight="1" x14ac:dyDescent="0.35"/>
    <row r="227" customFormat="1" ht="14.25" customHeight="1" x14ac:dyDescent="0.35"/>
    <row r="228" customFormat="1" ht="14.25" customHeight="1" x14ac:dyDescent="0.35"/>
    <row r="229" customFormat="1" ht="14.25" customHeight="1" x14ac:dyDescent="0.35"/>
    <row r="230" customFormat="1" ht="14.25" customHeight="1" x14ac:dyDescent="0.35"/>
    <row r="231" customFormat="1" ht="14.25" customHeight="1" x14ac:dyDescent="0.35"/>
    <row r="232" customFormat="1" ht="14.25" customHeight="1" x14ac:dyDescent="0.35"/>
    <row r="233" customFormat="1" ht="14.25" customHeight="1" x14ac:dyDescent="0.35"/>
    <row r="234" customFormat="1" ht="14.25" customHeight="1" x14ac:dyDescent="0.35"/>
    <row r="235" customFormat="1" ht="14.25" customHeight="1" x14ac:dyDescent="0.35"/>
    <row r="236" customFormat="1" ht="14.25" customHeight="1" x14ac:dyDescent="0.35"/>
    <row r="237" customFormat="1" ht="14.25" customHeight="1" x14ac:dyDescent="0.35"/>
    <row r="238" customFormat="1" ht="14.25" customHeight="1" x14ac:dyDescent="0.35"/>
    <row r="239" customFormat="1" ht="14.25" customHeight="1" x14ac:dyDescent="0.35"/>
    <row r="240" customFormat="1" ht="14.25" customHeight="1" x14ac:dyDescent="0.35"/>
    <row r="241" customFormat="1" ht="14.25" customHeight="1" x14ac:dyDescent="0.35"/>
    <row r="242" customFormat="1" ht="14.25" customHeight="1" x14ac:dyDescent="0.35"/>
    <row r="243" customFormat="1" ht="14.25" customHeight="1" x14ac:dyDescent="0.35"/>
    <row r="244" customFormat="1" ht="14.25" customHeight="1" x14ac:dyDescent="0.35"/>
    <row r="245" customFormat="1" ht="14.25" customHeight="1" x14ac:dyDescent="0.35"/>
    <row r="246" customFormat="1" ht="14.25" customHeight="1" x14ac:dyDescent="0.35"/>
    <row r="247" customFormat="1" ht="14.25" customHeight="1" x14ac:dyDescent="0.35"/>
    <row r="248" customFormat="1" ht="14.25" customHeight="1" x14ac:dyDescent="0.35"/>
    <row r="249" customFormat="1" ht="14.25" customHeight="1" x14ac:dyDescent="0.35"/>
    <row r="250" customFormat="1" ht="14.25" customHeight="1" x14ac:dyDescent="0.35"/>
    <row r="251" customFormat="1" ht="14.25" customHeight="1" x14ac:dyDescent="0.35"/>
    <row r="252" customFormat="1" ht="14.25" customHeight="1" x14ac:dyDescent="0.35"/>
    <row r="253" customFormat="1" ht="14.25" customHeight="1" x14ac:dyDescent="0.35"/>
    <row r="254" customFormat="1" ht="14.25" customHeight="1" x14ac:dyDescent="0.35"/>
    <row r="255" customFormat="1" ht="14.25" customHeight="1" x14ac:dyDescent="0.35"/>
    <row r="256" customFormat="1" ht="14.25" customHeight="1" x14ac:dyDescent="0.35"/>
    <row r="257" customFormat="1" ht="14.25" customHeight="1" x14ac:dyDescent="0.35"/>
    <row r="258" customFormat="1" ht="14.25" customHeight="1" x14ac:dyDescent="0.35"/>
    <row r="259" customFormat="1" ht="14.25" customHeight="1" x14ac:dyDescent="0.35"/>
    <row r="260" customFormat="1" ht="14.25" customHeight="1" x14ac:dyDescent="0.35"/>
    <row r="261" customFormat="1" ht="14.25" customHeight="1" x14ac:dyDescent="0.35"/>
    <row r="262" customFormat="1" ht="14.25" customHeight="1" x14ac:dyDescent="0.35"/>
    <row r="263" customFormat="1" ht="14.25" customHeight="1" x14ac:dyDescent="0.35"/>
    <row r="264" customFormat="1" ht="14.25" customHeight="1" x14ac:dyDescent="0.35"/>
    <row r="265" customFormat="1" ht="14.25" customHeight="1" x14ac:dyDescent="0.35"/>
    <row r="266" customFormat="1" ht="14.25" customHeight="1" x14ac:dyDescent="0.35"/>
    <row r="267" customFormat="1" ht="14.25" customHeight="1" x14ac:dyDescent="0.35"/>
    <row r="268" customFormat="1" ht="14.25" customHeight="1" x14ac:dyDescent="0.35"/>
    <row r="269" customFormat="1" ht="14.25" customHeight="1" x14ac:dyDescent="0.35"/>
    <row r="270" customFormat="1" ht="14.25" customHeight="1" x14ac:dyDescent="0.35"/>
    <row r="271" customFormat="1" ht="14.25" customHeight="1" x14ac:dyDescent="0.35"/>
    <row r="272" customFormat="1" ht="14.25" customHeight="1" x14ac:dyDescent="0.35"/>
    <row r="273" customFormat="1" ht="14.25" customHeight="1" x14ac:dyDescent="0.35"/>
    <row r="274" customFormat="1" ht="14.25" customHeight="1" x14ac:dyDescent="0.35"/>
    <row r="275" customFormat="1" ht="14.25" customHeight="1" x14ac:dyDescent="0.35"/>
    <row r="276" customFormat="1" ht="14.25" customHeight="1" x14ac:dyDescent="0.35"/>
    <row r="277" customFormat="1" ht="14.25" customHeight="1" x14ac:dyDescent="0.35"/>
    <row r="278" customFormat="1" ht="14.25" customHeight="1" x14ac:dyDescent="0.35"/>
    <row r="279" customFormat="1" ht="14.25" customHeight="1" x14ac:dyDescent="0.35"/>
    <row r="280" customFormat="1" ht="14.25" customHeight="1" x14ac:dyDescent="0.35"/>
    <row r="281" customFormat="1" ht="14.25" customHeight="1" x14ac:dyDescent="0.35"/>
    <row r="282" customFormat="1" ht="14.25" customHeight="1" x14ac:dyDescent="0.35"/>
    <row r="283" customFormat="1" ht="14.25" customHeight="1" x14ac:dyDescent="0.35"/>
    <row r="284" customFormat="1" ht="14.25" customHeight="1" x14ac:dyDescent="0.35"/>
    <row r="285" customFormat="1" ht="14.25" customHeight="1" x14ac:dyDescent="0.35"/>
    <row r="286" customFormat="1" ht="14.25" customHeight="1" x14ac:dyDescent="0.35"/>
    <row r="287" customFormat="1" ht="14.25" customHeight="1" x14ac:dyDescent="0.35"/>
    <row r="288" customFormat="1" ht="14.25" customHeight="1" x14ac:dyDescent="0.35"/>
    <row r="289" customFormat="1" ht="14.25" customHeight="1" x14ac:dyDescent="0.35"/>
    <row r="290" customFormat="1" ht="14.25" customHeight="1" x14ac:dyDescent="0.35"/>
    <row r="291" customFormat="1" ht="14.25" customHeight="1" x14ac:dyDescent="0.35"/>
    <row r="292" customFormat="1" ht="14.25" customHeight="1" x14ac:dyDescent="0.35"/>
    <row r="293" customFormat="1" ht="14.25" customHeight="1" x14ac:dyDescent="0.35"/>
    <row r="294" customFormat="1" ht="14.25" customHeight="1" x14ac:dyDescent="0.35"/>
    <row r="295" customFormat="1" ht="14.25" customHeight="1" x14ac:dyDescent="0.35"/>
    <row r="296" customFormat="1" ht="14.25" customHeight="1" x14ac:dyDescent="0.35"/>
    <row r="297" customFormat="1" ht="14.25" customHeight="1" x14ac:dyDescent="0.35"/>
    <row r="298" customFormat="1" ht="14.25" customHeight="1" x14ac:dyDescent="0.35"/>
    <row r="299" customFormat="1" ht="14.25" customHeight="1" x14ac:dyDescent="0.35"/>
    <row r="300" customFormat="1" ht="14.25" customHeight="1" x14ac:dyDescent="0.35"/>
    <row r="301" customFormat="1" ht="14.25" customHeight="1" x14ac:dyDescent="0.35"/>
    <row r="302" customFormat="1" ht="14.25" customHeight="1" x14ac:dyDescent="0.35"/>
    <row r="303" customFormat="1" ht="14.25" customHeight="1" x14ac:dyDescent="0.35"/>
    <row r="304" customFormat="1" ht="14.25" customHeight="1" x14ac:dyDescent="0.35"/>
    <row r="305" customFormat="1" ht="14.25" customHeight="1" x14ac:dyDescent="0.35"/>
    <row r="306" customFormat="1" ht="14.25" customHeight="1" x14ac:dyDescent="0.35"/>
    <row r="307" customFormat="1" ht="14.25" customHeight="1" x14ac:dyDescent="0.35"/>
    <row r="308" customFormat="1" ht="14.25" customHeight="1" x14ac:dyDescent="0.35"/>
    <row r="309" customFormat="1" ht="14.25" customHeight="1" x14ac:dyDescent="0.35"/>
    <row r="310" customFormat="1" ht="14.25" customHeight="1" x14ac:dyDescent="0.35"/>
    <row r="311" customFormat="1" ht="14.25" customHeight="1" x14ac:dyDescent="0.35"/>
    <row r="312" customFormat="1" ht="14.25" customHeight="1" x14ac:dyDescent="0.35"/>
    <row r="313" customFormat="1" ht="14.25" customHeight="1" x14ac:dyDescent="0.35"/>
    <row r="314" customFormat="1" ht="14.25" customHeight="1" x14ac:dyDescent="0.35"/>
    <row r="315" customFormat="1" ht="14.25" customHeight="1" x14ac:dyDescent="0.35"/>
    <row r="316" customFormat="1" ht="14.25" customHeight="1" x14ac:dyDescent="0.35"/>
    <row r="317" customFormat="1" ht="14.25" customHeight="1" x14ac:dyDescent="0.35"/>
    <row r="318" customFormat="1" ht="14.25" customHeight="1" x14ac:dyDescent="0.35"/>
    <row r="319" customFormat="1" ht="14.25" customHeight="1" x14ac:dyDescent="0.35"/>
    <row r="320" customFormat="1" ht="14.25" customHeight="1" x14ac:dyDescent="0.35"/>
    <row r="321" customFormat="1" ht="14.25" customHeight="1" x14ac:dyDescent="0.35"/>
    <row r="322" customFormat="1" ht="14.25" customHeight="1" x14ac:dyDescent="0.35"/>
    <row r="323" customFormat="1" ht="14.25" customHeight="1" x14ac:dyDescent="0.35"/>
    <row r="324" customFormat="1" ht="14.25" customHeight="1" x14ac:dyDescent="0.35"/>
    <row r="325" customFormat="1" ht="14.25" customHeight="1" x14ac:dyDescent="0.35"/>
    <row r="326" customFormat="1" ht="14.25" customHeight="1" x14ac:dyDescent="0.35"/>
    <row r="327" customFormat="1" ht="14.25" customHeight="1" x14ac:dyDescent="0.35"/>
    <row r="328" customFormat="1" ht="14.25" customHeight="1" x14ac:dyDescent="0.35"/>
    <row r="329" customFormat="1" ht="14.25" customHeight="1" x14ac:dyDescent="0.35"/>
    <row r="330" customFormat="1" ht="14.25" customHeight="1" x14ac:dyDescent="0.35"/>
    <row r="331" customFormat="1" ht="14.25" customHeight="1" x14ac:dyDescent="0.35"/>
    <row r="332" customFormat="1" ht="14.25" customHeight="1" x14ac:dyDescent="0.35"/>
    <row r="333" customFormat="1" ht="14.25" customHeight="1" x14ac:dyDescent="0.35"/>
    <row r="334" customFormat="1" ht="14.25" customHeight="1" x14ac:dyDescent="0.35"/>
    <row r="335" customFormat="1" ht="14.25" customHeight="1" x14ac:dyDescent="0.35"/>
    <row r="336" customFormat="1" ht="14.25" customHeight="1" x14ac:dyDescent="0.35"/>
    <row r="337" customFormat="1" ht="14.25" customHeight="1" x14ac:dyDescent="0.35"/>
    <row r="338" customFormat="1" ht="14.25" customHeight="1" x14ac:dyDescent="0.35"/>
    <row r="339" customFormat="1" ht="14.25" customHeight="1" x14ac:dyDescent="0.35"/>
    <row r="340" customFormat="1" ht="14.25" customHeight="1" x14ac:dyDescent="0.35"/>
    <row r="341" customFormat="1" ht="14.25" customHeight="1" x14ac:dyDescent="0.35"/>
    <row r="342" customFormat="1" ht="14.25" customHeight="1" x14ac:dyDescent="0.35"/>
    <row r="343" customFormat="1" ht="14.25" customHeight="1" x14ac:dyDescent="0.35"/>
    <row r="344" customFormat="1" ht="14.25" customHeight="1" x14ac:dyDescent="0.35"/>
    <row r="345" customFormat="1" ht="14.25" customHeight="1" x14ac:dyDescent="0.35"/>
    <row r="346" customFormat="1" ht="14.25" customHeight="1" x14ac:dyDescent="0.35"/>
    <row r="347" customFormat="1" ht="14.25" customHeight="1" x14ac:dyDescent="0.35"/>
    <row r="348" customFormat="1" ht="14.25" customHeight="1" x14ac:dyDescent="0.35"/>
    <row r="349" customFormat="1" ht="14.25" customHeight="1" x14ac:dyDescent="0.35"/>
    <row r="350" customFormat="1" ht="14.25" customHeight="1" x14ac:dyDescent="0.35"/>
    <row r="351" customFormat="1" ht="14.25" customHeight="1" x14ac:dyDescent="0.35"/>
    <row r="352" customFormat="1" ht="14.25" customHeight="1" x14ac:dyDescent="0.35"/>
    <row r="353" customFormat="1" ht="14.25" customHeight="1" x14ac:dyDescent="0.35"/>
    <row r="354" customFormat="1" ht="14.25" customHeight="1" x14ac:dyDescent="0.35"/>
    <row r="355" customFormat="1" ht="14.25" customHeight="1" x14ac:dyDescent="0.35"/>
    <row r="356" customFormat="1" ht="14.25" customHeight="1" x14ac:dyDescent="0.35"/>
    <row r="357" customFormat="1" ht="14.25" customHeight="1" x14ac:dyDescent="0.35"/>
    <row r="358" customFormat="1" ht="14.25" customHeight="1" x14ac:dyDescent="0.35"/>
    <row r="359" customFormat="1" ht="14.25" customHeight="1" x14ac:dyDescent="0.35"/>
    <row r="360" customFormat="1" ht="14.25" customHeight="1" x14ac:dyDescent="0.35"/>
    <row r="361" customFormat="1" ht="14.25" customHeight="1" x14ac:dyDescent="0.35"/>
    <row r="362" customFormat="1" ht="14.25" customHeight="1" x14ac:dyDescent="0.35"/>
    <row r="363" customFormat="1" ht="14.25" customHeight="1" x14ac:dyDescent="0.35"/>
    <row r="364" customFormat="1" ht="14.25" customHeight="1" x14ac:dyDescent="0.35"/>
    <row r="365" customFormat="1" ht="14.25" customHeight="1" x14ac:dyDescent="0.35"/>
    <row r="366" customFormat="1" ht="14.25" customHeight="1" x14ac:dyDescent="0.35"/>
    <row r="367" customFormat="1" ht="14.25" customHeight="1" x14ac:dyDescent="0.35"/>
    <row r="368" customFormat="1" ht="14.25" customHeight="1" x14ac:dyDescent="0.35"/>
    <row r="369" customFormat="1" ht="14.25" customHeight="1" x14ac:dyDescent="0.35"/>
    <row r="370" customFormat="1" ht="14.25" customHeight="1" x14ac:dyDescent="0.35"/>
    <row r="371" customFormat="1" ht="14.25" customHeight="1" x14ac:dyDescent="0.35"/>
    <row r="372" customFormat="1" ht="14.25" customHeight="1" x14ac:dyDescent="0.35"/>
    <row r="373" customFormat="1" ht="14.25" customHeight="1" x14ac:dyDescent="0.35"/>
    <row r="374" customFormat="1" ht="14.25" customHeight="1" x14ac:dyDescent="0.35"/>
    <row r="375" customFormat="1" ht="14.25" customHeight="1" x14ac:dyDescent="0.35"/>
    <row r="376" customFormat="1" ht="14.25" customHeight="1" x14ac:dyDescent="0.35"/>
    <row r="377" customFormat="1" ht="14.25" customHeight="1" x14ac:dyDescent="0.35"/>
    <row r="378" customFormat="1" ht="14.25" customHeight="1" x14ac:dyDescent="0.35"/>
    <row r="379" customFormat="1" ht="14.25" customHeight="1" x14ac:dyDescent="0.35"/>
    <row r="380" customFormat="1" ht="14.25" customHeight="1" x14ac:dyDescent="0.35"/>
    <row r="381" customFormat="1" ht="14.25" customHeight="1" x14ac:dyDescent="0.35"/>
    <row r="382" customFormat="1" ht="14.25" customHeight="1" x14ac:dyDescent="0.35"/>
    <row r="383" customFormat="1" ht="14.25" customHeight="1" x14ac:dyDescent="0.35"/>
    <row r="384" customFormat="1" ht="14.25" customHeight="1" x14ac:dyDescent="0.35"/>
    <row r="385" customFormat="1" ht="14.25" customHeight="1" x14ac:dyDescent="0.35"/>
    <row r="386" customFormat="1" ht="14.25" customHeight="1" x14ac:dyDescent="0.35"/>
    <row r="387" customFormat="1" ht="14.25" customHeight="1" x14ac:dyDescent="0.35"/>
    <row r="388" customFormat="1" ht="14.25" customHeight="1" x14ac:dyDescent="0.35"/>
    <row r="389" customFormat="1" ht="14.25" customHeight="1" x14ac:dyDescent="0.35"/>
    <row r="390" customFormat="1" ht="14.25" customHeight="1" x14ac:dyDescent="0.35"/>
    <row r="391" customFormat="1" ht="14.25" customHeight="1" x14ac:dyDescent="0.35"/>
    <row r="392" customFormat="1" ht="14.25" customHeight="1" x14ac:dyDescent="0.35"/>
    <row r="393" customFormat="1" ht="14.25" customHeight="1" x14ac:dyDescent="0.35"/>
    <row r="394" customFormat="1" ht="14.25" customHeight="1" x14ac:dyDescent="0.35"/>
    <row r="395" customFormat="1" ht="14.25" customHeight="1" x14ac:dyDescent="0.35"/>
    <row r="396" customFormat="1" ht="14.25" customHeight="1" x14ac:dyDescent="0.35"/>
    <row r="397" customFormat="1" ht="14.25" customHeight="1" x14ac:dyDescent="0.35"/>
    <row r="398" customFormat="1" ht="14.25" customHeight="1" x14ac:dyDescent="0.35"/>
    <row r="399" customFormat="1" ht="14.25" customHeight="1" x14ac:dyDescent="0.35"/>
    <row r="400" customFormat="1" ht="14.25" customHeight="1" x14ac:dyDescent="0.35"/>
    <row r="401" customFormat="1" ht="14.25" customHeight="1" x14ac:dyDescent="0.35"/>
    <row r="402" customFormat="1" ht="14.25" customHeight="1" x14ac:dyDescent="0.35"/>
    <row r="403" customFormat="1" ht="14.25" customHeight="1" x14ac:dyDescent="0.35"/>
    <row r="404" customFormat="1" ht="14.25" customHeight="1" x14ac:dyDescent="0.35"/>
    <row r="405" customFormat="1" ht="14.25" customHeight="1" x14ac:dyDescent="0.35"/>
    <row r="406" customFormat="1" ht="14.25" customHeight="1" x14ac:dyDescent="0.35"/>
    <row r="407" customFormat="1" ht="14.25" customHeight="1" x14ac:dyDescent="0.35"/>
    <row r="408" customFormat="1" ht="14.25" customHeight="1" x14ac:dyDescent="0.35"/>
    <row r="409" customFormat="1" ht="14.25" customHeight="1" x14ac:dyDescent="0.35"/>
    <row r="410" customFormat="1" ht="14.25" customHeight="1" x14ac:dyDescent="0.35"/>
    <row r="411" customFormat="1" ht="14.25" customHeight="1" x14ac:dyDescent="0.35"/>
    <row r="412" customFormat="1" ht="14.25" customHeight="1" x14ac:dyDescent="0.35"/>
    <row r="413" customFormat="1" ht="14.25" customHeight="1" x14ac:dyDescent="0.35"/>
    <row r="414" customFormat="1" ht="14.25" customHeight="1" x14ac:dyDescent="0.35"/>
    <row r="415" customFormat="1" ht="14.25" customHeight="1" x14ac:dyDescent="0.35"/>
    <row r="416" customFormat="1" ht="14.25" customHeight="1" x14ac:dyDescent="0.35"/>
    <row r="417" customFormat="1" ht="14.25" customHeight="1" x14ac:dyDescent="0.35"/>
    <row r="418" customFormat="1" ht="14.25" customHeight="1" x14ac:dyDescent="0.35"/>
    <row r="419" customFormat="1" ht="14.25" customHeight="1" x14ac:dyDescent="0.35"/>
    <row r="420" customFormat="1" ht="14.25" customHeight="1" x14ac:dyDescent="0.35"/>
    <row r="421" customFormat="1" ht="14.25" customHeight="1" x14ac:dyDescent="0.35"/>
    <row r="422" customFormat="1" ht="14.25" customHeight="1" x14ac:dyDescent="0.35"/>
    <row r="423" customFormat="1" ht="14.25" customHeight="1" x14ac:dyDescent="0.35"/>
    <row r="424" customFormat="1" ht="14.25" customHeight="1" x14ac:dyDescent="0.35"/>
    <row r="425" customFormat="1" ht="14.25" customHeight="1" x14ac:dyDescent="0.35"/>
    <row r="426" customFormat="1" ht="14.25" customHeight="1" x14ac:dyDescent="0.35"/>
    <row r="427" customFormat="1" ht="14.25" customHeight="1" x14ac:dyDescent="0.35"/>
    <row r="428" customFormat="1" ht="14.25" customHeight="1" x14ac:dyDescent="0.35"/>
    <row r="429" customFormat="1" ht="14.25" customHeight="1" x14ac:dyDescent="0.35"/>
    <row r="430" customFormat="1" ht="14.25" customHeight="1" x14ac:dyDescent="0.35"/>
    <row r="431" customFormat="1" ht="14.25" customHeight="1" x14ac:dyDescent="0.35"/>
    <row r="432" customFormat="1" ht="14.25" customHeight="1" x14ac:dyDescent="0.35"/>
    <row r="433" customFormat="1" ht="14.25" customHeight="1" x14ac:dyDescent="0.35"/>
    <row r="434" customFormat="1" ht="14.25" customHeight="1" x14ac:dyDescent="0.35"/>
    <row r="435" customFormat="1" ht="14.25" customHeight="1" x14ac:dyDescent="0.35"/>
    <row r="436" customFormat="1" ht="14.25" customHeight="1" x14ac:dyDescent="0.35"/>
    <row r="437" customFormat="1" ht="14.25" customHeight="1" x14ac:dyDescent="0.35"/>
    <row r="438" customFormat="1" ht="14.25" customHeight="1" x14ac:dyDescent="0.35"/>
    <row r="439" customFormat="1" ht="14.25" customHeight="1" x14ac:dyDescent="0.35"/>
    <row r="440" customFormat="1" ht="14.25" customHeight="1" x14ac:dyDescent="0.35"/>
    <row r="441" customFormat="1" ht="14.25" customHeight="1" x14ac:dyDescent="0.35"/>
    <row r="442" customFormat="1" ht="14.25" customHeight="1" x14ac:dyDescent="0.35"/>
    <row r="443" customFormat="1" ht="14.25" customHeight="1" x14ac:dyDescent="0.35"/>
    <row r="444" customFormat="1" ht="14.25" customHeight="1" x14ac:dyDescent="0.35"/>
    <row r="445" customFormat="1" ht="14.25" customHeight="1" x14ac:dyDescent="0.35"/>
    <row r="446" customFormat="1" ht="14.25" customHeight="1" x14ac:dyDescent="0.35"/>
    <row r="447" customFormat="1" ht="14.25" customHeight="1" x14ac:dyDescent="0.35"/>
    <row r="448" customFormat="1" ht="14.25" customHeight="1" x14ac:dyDescent="0.35"/>
    <row r="449" customFormat="1" ht="14.25" customHeight="1" x14ac:dyDescent="0.35"/>
    <row r="450" customFormat="1" ht="14.25" customHeight="1" x14ac:dyDescent="0.35"/>
    <row r="451" customFormat="1" ht="14.25" customHeight="1" x14ac:dyDescent="0.35"/>
    <row r="452" customFormat="1" ht="14.25" customHeight="1" x14ac:dyDescent="0.35"/>
    <row r="453" customFormat="1" ht="14.25" customHeight="1" x14ac:dyDescent="0.35"/>
    <row r="454" customFormat="1" ht="14.25" customHeight="1" x14ac:dyDescent="0.35"/>
    <row r="455" customFormat="1" ht="14.25" customHeight="1" x14ac:dyDescent="0.35"/>
    <row r="456" customFormat="1" ht="14.25" customHeight="1" x14ac:dyDescent="0.35"/>
    <row r="457" customFormat="1" ht="14.25" customHeight="1" x14ac:dyDescent="0.35"/>
    <row r="458" customFormat="1" ht="14.25" customHeight="1" x14ac:dyDescent="0.35"/>
    <row r="459" customFormat="1" ht="14.25" customHeight="1" x14ac:dyDescent="0.35"/>
    <row r="460" customFormat="1" ht="14.25" customHeight="1" x14ac:dyDescent="0.35"/>
    <row r="461" customFormat="1" ht="14.25" customHeight="1" x14ac:dyDescent="0.35"/>
    <row r="462" customFormat="1" ht="14.25" customHeight="1" x14ac:dyDescent="0.35"/>
    <row r="463" customFormat="1" ht="14.25" customHeight="1" x14ac:dyDescent="0.35"/>
    <row r="464" customFormat="1" ht="14.25" customHeight="1" x14ac:dyDescent="0.35"/>
    <row r="465" customFormat="1" ht="14.25" customHeight="1" x14ac:dyDescent="0.35"/>
    <row r="466" customFormat="1" ht="14.25" customHeight="1" x14ac:dyDescent="0.35"/>
    <row r="467" customFormat="1" ht="14.25" customHeight="1" x14ac:dyDescent="0.35"/>
    <row r="468" customFormat="1" ht="14.25" customHeight="1" x14ac:dyDescent="0.35"/>
    <row r="469" customFormat="1" ht="14.25" customHeight="1" x14ac:dyDescent="0.35"/>
    <row r="470" customFormat="1" ht="14.25" customHeight="1" x14ac:dyDescent="0.35"/>
    <row r="471" customFormat="1" ht="14.25" customHeight="1" x14ac:dyDescent="0.35"/>
    <row r="472" customFormat="1" ht="14.25" customHeight="1" x14ac:dyDescent="0.35"/>
    <row r="473" customFormat="1" ht="14.25" customHeight="1" x14ac:dyDescent="0.35"/>
    <row r="474" customFormat="1" ht="14.25" customHeight="1" x14ac:dyDescent="0.35"/>
    <row r="475" customFormat="1" ht="14.25" customHeight="1" x14ac:dyDescent="0.35"/>
    <row r="476" customFormat="1" ht="14.25" customHeight="1" x14ac:dyDescent="0.35"/>
    <row r="477" customFormat="1" ht="14.25" customHeight="1" x14ac:dyDescent="0.35"/>
    <row r="478" customFormat="1" ht="14.25" customHeight="1" x14ac:dyDescent="0.35"/>
    <row r="479" customFormat="1" ht="14.25" customHeight="1" x14ac:dyDescent="0.35"/>
    <row r="480" customFormat="1" ht="14.25" customHeight="1" x14ac:dyDescent="0.35"/>
    <row r="481" customFormat="1" ht="14.25" customHeight="1" x14ac:dyDescent="0.35"/>
    <row r="482" customFormat="1" ht="14.25" customHeight="1" x14ac:dyDescent="0.35"/>
    <row r="483" customFormat="1" ht="14.25" customHeight="1" x14ac:dyDescent="0.35"/>
    <row r="484" customFormat="1" ht="14.25" customHeight="1" x14ac:dyDescent="0.35"/>
    <row r="485" customFormat="1" ht="14.25" customHeight="1" x14ac:dyDescent="0.35"/>
    <row r="486" customFormat="1" ht="14.25" customHeight="1" x14ac:dyDescent="0.35"/>
    <row r="487" customFormat="1" ht="14.25" customHeight="1" x14ac:dyDescent="0.35"/>
    <row r="488" customFormat="1" ht="14.25" customHeight="1" x14ac:dyDescent="0.35"/>
    <row r="489" customFormat="1" ht="14.25" customHeight="1" x14ac:dyDescent="0.35"/>
    <row r="490" customFormat="1" ht="14.25" customHeight="1" x14ac:dyDescent="0.35"/>
    <row r="491" customFormat="1" ht="14.25" customHeight="1" x14ac:dyDescent="0.35"/>
    <row r="492" customFormat="1" ht="14.25" customHeight="1" x14ac:dyDescent="0.35"/>
    <row r="493" customFormat="1" ht="14.25" customHeight="1" x14ac:dyDescent="0.35"/>
    <row r="494" customFormat="1" ht="14.25" customHeight="1" x14ac:dyDescent="0.35"/>
    <row r="495" customFormat="1" ht="14.25" customHeight="1" x14ac:dyDescent="0.35"/>
    <row r="496" customFormat="1" ht="14.25" customHeight="1" x14ac:dyDescent="0.35"/>
    <row r="497" customFormat="1" ht="14.25" customHeight="1" x14ac:dyDescent="0.35"/>
    <row r="498" customFormat="1" ht="14.25" customHeight="1" x14ac:dyDescent="0.35"/>
    <row r="499" customFormat="1" ht="14.25" customHeight="1" x14ac:dyDescent="0.35"/>
    <row r="500" customFormat="1" ht="14.25" customHeight="1" x14ac:dyDescent="0.35"/>
    <row r="501" customFormat="1" ht="14.25" customHeight="1" x14ac:dyDescent="0.35"/>
    <row r="502" customFormat="1" ht="14.25" customHeight="1" x14ac:dyDescent="0.35"/>
    <row r="503" customFormat="1" ht="14.25" customHeight="1" x14ac:dyDescent="0.35"/>
    <row r="504" customFormat="1" ht="14.25" customHeight="1" x14ac:dyDescent="0.35"/>
    <row r="505" customFormat="1" ht="14.25" customHeight="1" x14ac:dyDescent="0.35"/>
    <row r="506" customFormat="1" ht="14.25" customHeight="1" x14ac:dyDescent="0.35"/>
    <row r="507" customFormat="1" ht="14.25" customHeight="1" x14ac:dyDescent="0.35"/>
    <row r="508" customFormat="1" ht="14.25" customHeight="1" x14ac:dyDescent="0.35"/>
    <row r="509" customFormat="1" ht="14.25" customHeight="1" x14ac:dyDescent="0.35"/>
    <row r="510" customFormat="1" ht="14.25" customHeight="1" x14ac:dyDescent="0.35"/>
    <row r="511" customFormat="1" ht="14.25" customHeight="1" x14ac:dyDescent="0.35"/>
    <row r="512" customFormat="1" ht="14.25" customHeight="1" x14ac:dyDescent="0.35"/>
    <row r="513" customFormat="1" ht="14.25" customHeight="1" x14ac:dyDescent="0.35"/>
    <row r="514" customFormat="1" ht="14.25" customHeight="1" x14ac:dyDescent="0.35"/>
    <row r="515" customFormat="1" ht="14.25" customHeight="1" x14ac:dyDescent="0.35"/>
    <row r="516" customFormat="1" ht="14.25" customHeight="1" x14ac:dyDescent="0.35"/>
    <row r="517" customFormat="1" ht="14.25" customHeight="1" x14ac:dyDescent="0.35"/>
    <row r="518" customFormat="1" ht="14.25" customHeight="1" x14ac:dyDescent="0.35"/>
    <row r="519" customFormat="1" ht="14.25" customHeight="1" x14ac:dyDescent="0.35"/>
    <row r="520" customFormat="1" ht="14.25" customHeight="1" x14ac:dyDescent="0.35"/>
    <row r="521" customFormat="1" ht="14.25" customHeight="1" x14ac:dyDescent="0.35"/>
    <row r="522" customFormat="1" ht="14.25" customHeight="1" x14ac:dyDescent="0.35"/>
    <row r="523" customFormat="1" ht="14.25" customHeight="1" x14ac:dyDescent="0.35"/>
    <row r="524" customFormat="1" ht="14.25" customHeight="1" x14ac:dyDescent="0.35"/>
    <row r="525" customFormat="1" ht="14.25" customHeight="1" x14ac:dyDescent="0.35"/>
    <row r="526" customFormat="1" ht="14.25" customHeight="1" x14ac:dyDescent="0.35"/>
    <row r="527" customFormat="1" ht="14.25" customHeight="1" x14ac:dyDescent="0.35"/>
    <row r="528" customFormat="1" ht="14.25" customHeight="1" x14ac:dyDescent="0.35"/>
    <row r="529" customFormat="1" ht="14.25" customHeight="1" x14ac:dyDescent="0.35"/>
    <row r="530" customFormat="1" ht="14.25" customHeight="1" x14ac:dyDescent="0.35"/>
    <row r="531" customFormat="1" ht="14.25" customHeight="1" x14ac:dyDescent="0.35"/>
    <row r="532" customFormat="1" ht="14.25" customHeight="1" x14ac:dyDescent="0.35"/>
    <row r="533" customFormat="1" ht="14.25" customHeight="1" x14ac:dyDescent="0.35"/>
    <row r="534" customFormat="1" ht="14.25" customHeight="1" x14ac:dyDescent="0.35"/>
    <row r="535" customFormat="1" ht="14.25" customHeight="1" x14ac:dyDescent="0.35"/>
    <row r="536" customFormat="1" ht="14.25" customHeight="1" x14ac:dyDescent="0.35"/>
    <row r="537" customFormat="1" ht="14.25" customHeight="1" x14ac:dyDescent="0.35"/>
    <row r="538" customFormat="1" ht="14.25" customHeight="1" x14ac:dyDescent="0.35"/>
    <row r="539" customFormat="1" ht="14.25" customHeight="1" x14ac:dyDescent="0.35"/>
    <row r="540" customFormat="1" ht="14.25" customHeight="1" x14ac:dyDescent="0.35"/>
    <row r="541" customFormat="1" ht="14.25" customHeight="1" x14ac:dyDescent="0.35"/>
    <row r="542" customFormat="1" ht="14.25" customHeight="1" x14ac:dyDescent="0.35"/>
    <row r="543" customFormat="1" ht="14.25" customHeight="1" x14ac:dyDescent="0.35"/>
    <row r="544" customFormat="1" ht="14.25" customHeight="1" x14ac:dyDescent="0.35"/>
    <row r="545" customFormat="1" ht="14.25" customHeight="1" x14ac:dyDescent="0.35"/>
    <row r="546" customFormat="1" ht="14.25" customHeight="1" x14ac:dyDescent="0.35"/>
    <row r="547" customFormat="1" ht="14.25" customHeight="1" x14ac:dyDescent="0.35"/>
    <row r="548" customFormat="1" ht="14.25" customHeight="1" x14ac:dyDescent="0.35"/>
    <row r="549" customFormat="1" ht="14.25" customHeight="1" x14ac:dyDescent="0.35"/>
    <row r="550" customFormat="1" ht="14.25" customHeight="1" x14ac:dyDescent="0.35"/>
    <row r="551" customFormat="1" ht="14.25" customHeight="1" x14ac:dyDescent="0.35"/>
    <row r="552" customFormat="1" ht="14.25" customHeight="1" x14ac:dyDescent="0.35"/>
    <row r="553" customFormat="1" ht="14.25" customHeight="1" x14ac:dyDescent="0.35"/>
    <row r="554" customFormat="1" ht="14.25" customHeight="1" x14ac:dyDescent="0.35"/>
    <row r="555" customFormat="1" ht="14.25" customHeight="1" x14ac:dyDescent="0.35"/>
    <row r="556" customFormat="1" ht="14.25" customHeight="1" x14ac:dyDescent="0.35"/>
    <row r="557" customFormat="1" ht="14.25" customHeight="1" x14ac:dyDescent="0.35"/>
    <row r="558" customFormat="1" ht="14.25" customHeight="1" x14ac:dyDescent="0.35"/>
    <row r="559" customFormat="1" ht="14.25" customHeight="1" x14ac:dyDescent="0.35"/>
    <row r="560" customFormat="1" ht="14.25" customHeight="1" x14ac:dyDescent="0.35"/>
    <row r="561" customFormat="1" ht="14.25" customHeight="1" x14ac:dyDescent="0.35"/>
    <row r="562" customFormat="1" ht="14.25" customHeight="1" x14ac:dyDescent="0.35"/>
    <row r="563" customFormat="1" ht="14.25" customHeight="1" x14ac:dyDescent="0.35"/>
    <row r="564" customFormat="1" ht="14.25" customHeight="1" x14ac:dyDescent="0.35"/>
    <row r="565" customFormat="1" ht="14.25" customHeight="1" x14ac:dyDescent="0.35"/>
    <row r="566" customFormat="1" ht="14.25" customHeight="1" x14ac:dyDescent="0.35"/>
    <row r="567" customFormat="1" ht="14.25" customHeight="1" x14ac:dyDescent="0.35"/>
    <row r="568" customFormat="1" ht="14.25" customHeight="1" x14ac:dyDescent="0.35"/>
    <row r="569" customFormat="1" ht="14.25" customHeight="1" x14ac:dyDescent="0.35"/>
    <row r="570" customFormat="1" ht="14.25" customHeight="1" x14ac:dyDescent="0.35"/>
    <row r="571" customFormat="1" ht="14.25" customHeight="1" x14ac:dyDescent="0.35"/>
    <row r="572" customFormat="1" ht="14.25" customHeight="1" x14ac:dyDescent="0.35"/>
    <row r="573" customFormat="1" ht="14.25" customHeight="1" x14ac:dyDescent="0.35"/>
    <row r="574" customFormat="1" ht="14.25" customHeight="1" x14ac:dyDescent="0.35"/>
    <row r="575" customFormat="1" ht="14.25" customHeight="1" x14ac:dyDescent="0.35"/>
    <row r="576" customFormat="1" ht="14.25" customHeight="1" x14ac:dyDescent="0.35"/>
    <row r="577" customFormat="1" ht="14.25" customHeight="1" x14ac:dyDescent="0.35"/>
    <row r="578" customFormat="1" ht="14.25" customHeight="1" x14ac:dyDescent="0.35"/>
    <row r="579" customFormat="1" ht="14.25" customHeight="1" x14ac:dyDescent="0.35"/>
    <row r="580" customFormat="1" ht="14.25" customHeight="1" x14ac:dyDescent="0.35"/>
    <row r="581" customFormat="1" ht="14.25" customHeight="1" x14ac:dyDescent="0.35"/>
    <row r="582" customFormat="1" ht="14.25" customHeight="1" x14ac:dyDescent="0.35"/>
    <row r="583" customFormat="1" ht="14.25" customHeight="1" x14ac:dyDescent="0.35"/>
    <row r="584" customFormat="1" ht="14.25" customHeight="1" x14ac:dyDescent="0.35"/>
    <row r="585" customFormat="1" ht="14.25" customHeight="1" x14ac:dyDescent="0.35"/>
    <row r="586" customFormat="1" ht="14.25" customHeight="1" x14ac:dyDescent="0.35"/>
    <row r="587" customFormat="1" ht="14.25" customHeight="1" x14ac:dyDescent="0.35"/>
    <row r="588" customFormat="1" ht="14.25" customHeight="1" x14ac:dyDescent="0.35"/>
    <row r="589" customFormat="1" ht="14.25" customHeight="1" x14ac:dyDescent="0.35"/>
    <row r="590" customFormat="1" ht="14.25" customHeight="1" x14ac:dyDescent="0.35"/>
    <row r="591" customFormat="1" ht="14.25" customHeight="1" x14ac:dyDescent="0.35"/>
    <row r="592" customFormat="1" ht="14.25" customHeight="1" x14ac:dyDescent="0.35"/>
    <row r="593" customFormat="1" ht="14.25" customHeight="1" x14ac:dyDescent="0.35"/>
    <row r="594" customFormat="1" ht="14.25" customHeight="1" x14ac:dyDescent="0.35"/>
    <row r="595" customFormat="1" ht="14.25" customHeight="1" x14ac:dyDescent="0.35"/>
    <row r="596" customFormat="1" ht="14.25" customHeight="1" x14ac:dyDescent="0.35"/>
    <row r="597" customFormat="1" ht="14.25" customHeight="1" x14ac:dyDescent="0.35"/>
    <row r="598" customFormat="1" ht="14.25" customHeight="1" x14ac:dyDescent="0.35"/>
    <row r="599" customFormat="1" ht="14.25" customHeight="1" x14ac:dyDescent="0.35"/>
    <row r="600" customFormat="1" ht="14.25" customHeight="1" x14ac:dyDescent="0.35"/>
    <row r="601" customFormat="1" ht="14.25" customHeight="1" x14ac:dyDescent="0.35"/>
    <row r="602" customFormat="1" ht="14.25" customHeight="1" x14ac:dyDescent="0.35"/>
    <row r="603" customFormat="1" ht="14.25" customHeight="1" x14ac:dyDescent="0.35"/>
    <row r="604" customFormat="1" ht="14.25" customHeight="1" x14ac:dyDescent="0.35"/>
    <row r="605" customFormat="1" ht="14.25" customHeight="1" x14ac:dyDescent="0.35"/>
    <row r="606" customFormat="1" ht="14.25" customHeight="1" x14ac:dyDescent="0.35"/>
    <row r="607" customFormat="1" ht="14.25" customHeight="1" x14ac:dyDescent="0.35"/>
    <row r="608" customFormat="1" ht="14.25" customHeight="1" x14ac:dyDescent="0.35"/>
    <row r="609" customFormat="1" ht="14.25" customHeight="1" x14ac:dyDescent="0.35"/>
    <row r="610" customFormat="1" ht="14.25" customHeight="1" x14ac:dyDescent="0.35"/>
    <row r="611" customFormat="1" ht="14.25" customHeight="1" x14ac:dyDescent="0.35"/>
    <row r="612" customFormat="1" ht="14.25" customHeight="1" x14ac:dyDescent="0.35"/>
    <row r="613" customFormat="1" ht="14.25" customHeight="1" x14ac:dyDescent="0.35"/>
    <row r="614" customFormat="1" ht="14.25" customHeight="1" x14ac:dyDescent="0.35"/>
    <row r="615" customFormat="1" ht="14.25" customHeight="1" x14ac:dyDescent="0.35"/>
    <row r="616" customFormat="1" ht="14.25" customHeight="1" x14ac:dyDescent="0.35"/>
    <row r="617" customFormat="1" ht="14.25" customHeight="1" x14ac:dyDescent="0.35"/>
    <row r="618" customFormat="1" ht="14.25" customHeight="1" x14ac:dyDescent="0.35"/>
    <row r="619" customFormat="1" ht="14.25" customHeight="1" x14ac:dyDescent="0.35"/>
    <row r="620" customFormat="1" ht="14.25" customHeight="1" x14ac:dyDescent="0.35"/>
    <row r="621" customFormat="1" ht="14.25" customHeight="1" x14ac:dyDescent="0.35"/>
    <row r="622" customFormat="1" ht="14.25" customHeight="1" x14ac:dyDescent="0.35"/>
    <row r="623" customFormat="1" ht="14.25" customHeight="1" x14ac:dyDescent="0.35"/>
    <row r="624" customFormat="1" ht="14.25" customHeight="1" x14ac:dyDescent="0.35"/>
    <row r="625" customFormat="1" ht="14.25" customHeight="1" x14ac:dyDescent="0.35"/>
    <row r="626" customFormat="1" ht="14.25" customHeight="1" x14ac:dyDescent="0.35"/>
    <row r="627" customFormat="1" ht="14.25" customHeight="1" x14ac:dyDescent="0.35"/>
    <row r="628" customFormat="1" ht="14.25" customHeight="1" x14ac:dyDescent="0.35"/>
    <row r="629" customFormat="1" ht="14.25" customHeight="1" x14ac:dyDescent="0.35"/>
    <row r="630" customFormat="1" ht="14.25" customHeight="1" x14ac:dyDescent="0.35"/>
    <row r="631" customFormat="1" ht="14.25" customHeight="1" x14ac:dyDescent="0.35"/>
    <row r="632" customFormat="1" ht="14.25" customHeight="1" x14ac:dyDescent="0.35"/>
    <row r="633" customFormat="1" ht="14.25" customHeight="1" x14ac:dyDescent="0.35"/>
    <row r="634" customFormat="1" ht="14.25" customHeight="1" x14ac:dyDescent="0.35"/>
    <row r="635" customFormat="1" ht="14.25" customHeight="1" x14ac:dyDescent="0.35"/>
    <row r="636" customFormat="1" ht="14.25" customHeight="1" x14ac:dyDescent="0.35"/>
    <row r="637" customFormat="1" ht="14.25" customHeight="1" x14ac:dyDescent="0.35"/>
    <row r="638" customFormat="1" ht="14.25" customHeight="1" x14ac:dyDescent="0.35"/>
    <row r="639" customFormat="1" ht="14.25" customHeight="1" x14ac:dyDescent="0.35"/>
    <row r="640" customFormat="1" ht="14.25" customHeight="1" x14ac:dyDescent="0.35"/>
    <row r="641" customFormat="1" ht="14.25" customHeight="1" x14ac:dyDescent="0.35"/>
    <row r="642" customFormat="1" ht="14.25" customHeight="1" x14ac:dyDescent="0.35"/>
    <row r="643" customFormat="1" ht="14.25" customHeight="1" x14ac:dyDescent="0.35"/>
    <row r="644" customFormat="1" ht="14.25" customHeight="1" x14ac:dyDescent="0.35"/>
    <row r="645" customFormat="1" ht="14.25" customHeight="1" x14ac:dyDescent="0.35"/>
    <row r="646" customFormat="1" ht="14.25" customHeight="1" x14ac:dyDescent="0.35"/>
    <row r="647" customFormat="1" ht="14.25" customHeight="1" x14ac:dyDescent="0.35"/>
    <row r="648" customFormat="1" ht="14.25" customHeight="1" x14ac:dyDescent="0.35"/>
    <row r="649" customFormat="1" ht="14.25" customHeight="1" x14ac:dyDescent="0.35"/>
    <row r="650" customFormat="1" ht="14.25" customHeight="1" x14ac:dyDescent="0.35"/>
    <row r="651" customFormat="1" ht="14.25" customHeight="1" x14ac:dyDescent="0.35"/>
    <row r="652" customFormat="1" ht="14.25" customHeight="1" x14ac:dyDescent="0.35"/>
    <row r="653" customFormat="1" ht="14.25" customHeight="1" x14ac:dyDescent="0.35"/>
    <row r="654" customFormat="1" ht="14.25" customHeight="1" x14ac:dyDescent="0.35"/>
    <row r="655" customFormat="1" ht="14.25" customHeight="1" x14ac:dyDescent="0.35"/>
    <row r="656" customFormat="1" ht="14.25" customHeight="1" x14ac:dyDescent="0.35"/>
    <row r="657" customFormat="1" ht="14.25" customHeight="1" x14ac:dyDescent="0.35"/>
    <row r="658" customFormat="1" ht="14.25" customHeight="1" x14ac:dyDescent="0.35"/>
    <row r="659" customFormat="1" ht="14.25" customHeight="1" x14ac:dyDescent="0.35"/>
    <row r="660" customFormat="1" ht="14.25" customHeight="1" x14ac:dyDescent="0.35"/>
    <row r="661" customFormat="1" ht="14.25" customHeight="1" x14ac:dyDescent="0.35"/>
    <row r="662" customFormat="1" ht="14.25" customHeight="1" x14ac:dyDescent="0.35"/>
    <row r="663" customFormat="1" ht="14.25" customHeight="1" x14ac:dyDescent="0.35"/>
    <row r="664" customFormat="1" ht="14.25" customHeight="1" x14ac:dyDescent="0.35"/>
    <row r="665" customFormat="1" ht="14.25" customHeight="1" x14ac:dyDescent="0.35"/>
    <row r="666" customFormat="1" ht="14.25" customHeight="1" x14ac:dyDescent="0.35"/>
    <row r="667" customFormat="1" ht="14.25" customHeight="1" x14ac:dyDescent="0.35"/>
    <row r="668" customFormat="1" ht="14.25" customHeight="1" x14ac:dyDescent="0.35"/>
    <row r="669" customFormat="1" ht="14.25" customHeight="1" x14ac:dyDescent="0.35"/>
    <row r="670" customFormat="1" ht="14.25" customHeight="1" x14ac:dyDescent="0.35"/>
    <row r="671" customFormat="1" ht="14.25" customHeight="1" x14ac:dyDescent="0.35"/>
    <row r="672" customFormat="1" ht="14.25" customHeight="1" x14ac:dyDescent="0.35"/>
    <row r="673" customFormat="1" ht="14.25" customHeight="1" x14ac:dyDescent="0.35"/>
    <row r="674" customFormat="1" ht="14.25" customHeight="1" x14ac:dyDescent="0.35"/>
    <row r="675" customFormat="1" ht="14.25" customHeight="1" x14ac:dyDescent="0.35"/>
    <row r="676" customFormat="1" ht="14.25" customHeight="1" x14ac:dyDescent="0.35"/>
    <row r="677" customFormat="1" ht="14.25" customHeight="1" x14ac:dyDescent="0.35"/>
    <row r="678" customFormat="1" ht="14.25" customHeight="1" x14ac:dyDescent="0.35"/>
    <row r="679" customFormat="1" ht="14.25" customHeight="1" x14ac:dyDescent="0.35"/>
    <row r="680" customFormat="1" ht="14.25" customHeight="1" x14ac:dyDescent="0.35"/>
    <row r="681" customFormat="1" ht="14.25" customHeight="1" x14ac:dyDescent="0.35"/>
    <row r="682" customFormat="1" ht="14.25" customHeight="1" x14ac:dyDescent="0.35"/>
    <row r="683" customFormat="1" ht="14.25" customHeight="1" x14ac:dyDescent="0.35"/>
    <row r="684" customFormat="1" ht="14.25" customHeight="1" x14ac:dyDescent="0.35"/>
    <row r="685" customFormat="1" ht="14.25" customHeight="1" x14ac:dyDescent="0.35"/>
    <row r="686" customFormat="1" ht="14.25" customHeight="1" x14ac:dyDescent="0.35"/>
    <row r="687" customFormat="1" ht="14.25" customHeight="1" x14ac:dyDescent="0.35"/>
    <row r="688" customFormat="1" ht="14.25" customHeight="1" x14ac:dyDescent="0.35"/>
    <row r="689" customFormat="1" ht="14.25" customHeight="1" x14ac:dyDescent="0.35"/>
    <row r="690" customFormat="1" ht="14.25" customHeight="1" x14ac:dyDescent="0.35"/>
    <row r="691" customFormat="1" ht="14.25" customHeight="1" x14ac:dyDescent="0.35"/>
    <row r="692" customFormat="1" ht="14.25" customHeight="1" x14ac:dyDescent="0.35"/>
    <row r="693" customFormat="1" ht="14.25" customHeight="1" x14ac:dyDescent="0.35"/>
    <row r="694" customFormat="1" ht="14.25" customHeight="1" x14ac:dyDescent="0.35"/>
    <row r="695" customFormat="1" ht="14.25" customHeight="1" x14ac:dyDescent="0.35"/>
    <row r="696" customFormat="1" ht="14.25" customHeight="1" x14ac:dyDescent="0.35"/>
    <row r="697" customFormat="1" ht="14.25" customHeight="1" x14ac:dyDescent="0.35"/>
    <row r="698" customFormat="1" ht="14.25" customHeight="1" x14ac:dyDescent="0.35"/>
    <row r="699" customFormat="1" ht="14.25" customHeight="1" x14ac:dyDescent="0.35"/>
    <row r="700" customFormat="1" ht="14.25" customHeight="1" x14ac:dyDescent="0.35"/>
    <row r="701" customFormat="1" ht="14.25" customHeight="1" x14ac:dyDescent="0.35"/>
    <row r="702" customFormat="1" ht="14.25" customHeight="1" x14ac:dyDescent="0.35"/>
    <row r="703" customFormat="1" ht="14.25" customHeight="1" x14ac:dyDescent="0.35"/>
    <row r="704" customFormat="1" ht="14.25" customHeight="1" x14ac:dyDescent="0.35"/>
    <row r="705" customFormat="1" ht="14.25" customHeight="1" x14ac:dyDescent="0.35"/>
    <row r="706" customFormat="1" ht="14.25" customHeight="1" x14ac:dyDescent="0.35"/>
    <row r="707" customFormat="1" ht="14.25" customHeight="1" x14ac:dyDescent="0.35"/>
    <row r="708" customFormat="1" ht="14.25" customHeight="1" x14ac:dyDescent="0.35"/>
    <row r="709" customFormat="1" ht="14.25" customHeight="1" x14ac:dyDescent="0.35"/>
    <row r="710" customFormat="1" ht="14.25" customHeight="1" x14ac:dyDescent="0.35"/>
    <row r="711" customFormat="1" ht="14.25" customHeight="1" x14ac:dyDescent="0.35"/>
    <row r="712" customFormat="1" ht="14.25" customHeight="1" x14ac:dyDescent="0.35"/>
    <row r="713" customFormat="1" ht="14.25" customHeight="1" x14ac:dyDescent="0.35"/>
    <row r="714" customFormat="1" ht="14.25" customHeight="1" x14ac:dyDescent="0.35"/>
    <row r="715" customFormat="1" ht="14.25" customHeight="1" x14ac:dyDescent="0.35"/>
    <row r="716" customFormat="1" ht="14.25" customHeight="1" x14ac:dyDescent="0.35"/>
    <row r="717" customFormat="1" ht="14.25" customHeight="1" x14ac:dyDescent="0.35"/>
    <row r="718" customFormat="1" ht="14.25" customHeight="1" x14ac:dyDescent="0.35"/>
    <row r="719" customFormat="1" ht="14.25" customHeight="1" x14ac:dyDescent="0.35"/>
    <row r="720" customFormat="1" ht="14.25" customHeight="1" x14ac:dyDescent="0.35"/>
    <row r="721" customFormat="1" ht="14.25" customHeight="1" x14ac:dyDescent="0.35"/>
    <row r="722" customFormat="1" ht="14.25" customHeight="1" x14ac:dyDescent="0.35"/>
    <row r="723" customFormat="1" ht="14.25" customHeight="1" x14ac:dyDescent="0.35"/>
    <row r="724" customFormat="1" ht="14.25" customHeight="1" x14ac:dyDescent="0.35"/>
    <row r="725" customFormat="1" ht="14.25" customHeight="1" x14ac:dyDescent="0.35"/>
    <row r="726" customFormat="1" ht="14.25" customHeight="1" x14ac:dyDescent="0.35"/>
    <row r="727" customFormat="1" ht="14.25" customHeight="1" x14ac:dyDescent="0.35"/>
    <row r="728" customFormat="1" ht="14.25" customHeight="1" x14ac:dyDescent="0.35"/>
    <row r="729" customFormat="1" ht="14.25" customHeight="1" x14ac:dyDescent="0.35"/>
    <row r="730" customFormat="1" ht="14.25" customHeight="1" x14ac:dyDescent="0.35"/>
    <row r="731" customFormat="1" ht="14.25" customHeight="1" x14ac:dyDescent="0.35"/>
    <row r="732" customFormat="1" ht="14.25" customHeight="1" x14ac:dyDescent="0.35"/>
    <row r="733" customFormat="1" ht="14.25" customHeight="1" x14ac:dyDescent="0.35"/>
    <row r="734" customFormat="1" ht="14.25" customHeight="1" x14ac:dyDescent="0.35"/>
    <row r="735" customFormat="1" ht="14.25" customHeight="1" x14ac:dyDescent="0.35"/>
    <row r="736" customFormat="1" ht="14.25" customHeight="1" x14ac:dyDescent="0.35"/>
    <row r="737" customFormat="1" ht="14.25" customHeight="1" x14ac:dyDescent="0.35"/>
    <row r="738" customFormat="1" ht="14.25" customHeight="1" x14ac:dyDescent="0.35"/>
    <row r="739" customFormat="1" ht="14.25" customHeight="1" x14ac:dyDescent="0.35"/>
    <row r="740" customFormat="1" ht="14.25" customHeight="1" x14ac:dyDescent="0.35"/>
    <row r="741" customFormat="1" ht="14.25" customHeight="1" x14ac:dyDescent="0.35"/>
    <row r="742" customFormat="1" ht="14.25" customHeight="1" x14ac:dyDescent="0.35"/>
    <row r="743" customFormat="1" ht="14.25" customHeight="1" x14ac:dyDescent="0.35"/>
    <row r="744" customFormat="1" ht="14.25" customHeight="1" x14ac:dyDescent="0.35"/>
    <row r="745" customFormat="1" ht="14.25" customHeight="1" x14ac:dyDescent="0.35"/>
    <row r="746" customFormat="1" ht="14.25" customHeight="1" x14ac:dyDescent="0.35"/>
    <row r="747" customFormat="1" ht="14.25" customHeight="1" x14ac:dyDescent="0.35"/>
    <row r="748" customFormat="1" ht="14.25" customHeight="1" x14ac:dyDescent="0.35"/>
    <row r="749" customFormat="1" ht="14.25" customHeight="1" x14ac:dyDescent="0.35"/>
    <row r="750" customFormat="1" ht="14.25" customHeight="1" x14ac:dyDescent="0.35"/>
    <row r="751" customFormat="1" ht="14.25" customHeight="1" x14ac:dyDescent="0.35"/>
    <row r="752" customFormat="1" ht="14.25" customHeight="1" x14ac:dyDescent="0.35"/>
    <row r="753" customFormat="1" ht="14.25" customHeight="1" x14ac:dyDescent="0.35"/>
    <row r="754" customFormat="1" ht="14.25" customHeight="1" x14ac:dyDescent="0.35"/>
    <row r="755" customFormat="1" ht="14.25" customHeight="1" x14ac:dyDescent="0.35"/>
    <row r="756" customFormat="1" ht="14.25" customHeight="1" x14ac:dyDescent="0.35"/>
    <row r="757" customFormat="1" ht="14.25" customHeight="1" x14ac:dyDescent="0.35"/>
    <row r="758" customFormat="1" ht="14.25" customHeight="1" x14ac:dyDescent="0.35"/>
    <row r="759" customFormat="1" ht="14.25" customHeight="1" x14ac:dyDescent="0.35"/>
    <row r="760" customFormat="1" ht="14.25" customHeight="1" x14ac:dyDescent="0.35"/>
    <row r="761" customFormat="1" ht="14.25" customHeight="1" x14ac:dyDescent="0.35"/>
    <row r="762" customFormat="1" ht="14.25" customHeight="1" x14ac:dyDescent="0.35"/>
    <row r="763" customFormat="1" ht="14.25" customHeight="1" x14ac:dyDescent="0.35"/>
    <row r="764" customFormat="1" ht="14.25" customHeight="1" x14ac:dyDescent="0.35"/>
    <row r="765" customFormat="1" ht="14.25" customHeight="1" x14ac:dyDescent="0.35"/>
    <row r="766" customFormat="1" ht="14.25" customHeight="1" x14ac:dyDescent="0.35"/>
    <row r="767" customFormat="1" ht="14.25" customHeight="1" x14ac:dyDescent="0.35"/>
    <row r="768" customFormat="1" ht="14.25" customHeight="1" x14ac:dyDescent="0.35"/>
    <row r="769" customFormat="1" ht="14.25" customHeight="1" x14ac:dyDescent="0.35"/>
    <row r="770" customFormat="1" ht="14.25" customHeight="1" x14ac:dyDescent="0.35"/>
    <row r="771" customFormat="1" ht="14.25" customHeight="1" x14ac:dyDescent="0.35"/>
    <row r="772" customFormat="1" ht="14.25" customHeight="1" x14ac:dyDescent="0.35"/>
    <row r="773" customFormat="1" ht="14.25" customHeight="1" x14ac:dyDescent="0.35"/>
    <row r="774" customFormat="1" ht="14.25" customHeight="1" x14ac:dyDescent="0.35"/>
    <row r="775" customFormat="1" ht="14.25" customHeight="1" x14ac:dyDescent="0.35"/>
    <row r="776" customFormat="1" ht="14.25" customHeight="1" x14ac:dyDescent="0.35"/>
    <row r="777" customFormat="1" ht="14.25" customHeight="1" x14ac:dyDescent="0.35"/>
    <row r="778" customFormat="1" ht="14.25" customHeight="1" x14ac:dyDescent="0.35"/>
    <row r="779" customFormat="1" ht="14.25" customHeight="1" x14ac:dyDescent="0.35"/>
    <row r="780" customFormat="1" ht="14.25" customHeight="1" x14ac:dyDescent="0.35"/>
    <row r="781" customFormat="1" ht="14.25" customHeight="1" x14ac:dyDescent="0.35"/>
    <row r="782" customFormat="1" ht="14.25" customHeight="1" x14ac:dyDescent="0.35"/>
    <row r="783" customFormat="1" ht="14.25" customHeight="1" x14ac:dyDescent="0.35"/>
    <row r="784" customFormat="1" ht="14.25" customHeight="1" x14ac:dyDescent="0.35"/>
    <row r="785" customFormat="1" ht="14.25" customHeight="1" x14ac:dyDescent="0.35"/>
    <row r="786" customFormat="1" ht="14.25" customHeight="1" x14ac:dyDescent="0.35"/>
    <row r="787" customFormat="1" ht="14.25" customHeight="1" x14ac:dyDescent="0.35"/>
    <row r="788" customFormat="1" ht="14.25" customHeight="1" x14ac:dyDescent="0.35"/>
    <row r="789" customFormat="1" ht="14.25" customHeight="1" x14ac:dyDescent="0.35"/>
    <row r="790" customFormat="1" ht="14.25" customHeight="1" x14ac:dyDescent="0.35"/>
    <row r="791" customFormat="1" ht="14.25" customHeight="1" x14ac:dyDescent="0.35"/>
    <row r="792" customFormat="1" ht="14.25" customHeight="1" x14ac:dyDescent="0.35"/>
    <row r="793" customFormat="1" ht="14.25" customHeight="1" x14ac:dyDescent="0.35"/>
    <row r="794" customFormat="1" ht="14.25" customHeight="1" x14ac:dyDescent="0.35"/>
    <row r="795" customFormat="1" ht="14.25" customHeight="1" x14ac:dyDescent="0.35"/>
    <row r="796" customFormat="1" ht="14.25" customHeight="1" x14ac:dyDescent="0.35"/>
    <row r="797" customFormat="1" ht="14.25" customHeight="1" x14ac:dyDescent="0.35"/>
    <row r="798" customFormat="1" ht="14.25" customHeight="1" x14ac:dyDescent="0.35"/>
    <row r="799" customFormat="1" ht="14.25" customHeight="1" x14ac:dyDescent="0.35"/>
    <row r="800" customFormat="1" ht="14.25" customHeight="1" x14ac:dyDescent="0.35"/>
    <row r="801" customFormat="1" ht="14.25" customHeight="1" x14ac:dyDescent="0.35"/>
    <row r="802" customFormat="1" ht="14.25" customHeight="1" x14ac:dyDescent="0.35"/>
    <row r="803" customFormat="1" ht="14.25" customHeight="1" x14ac:dyDescent="0.35"/>
    <row r="804" customFormat="1" ht="14.25" customHeight="1" x14ac:dyDescent="0.35"/>
    <row r="805" customFormat="1" ht="14.25" customHeight="1" x14ac:dyDescent="0.35"/>
    <row r="806" customFormat="1" ht="14.25" customHeight="1" x14ac:dyDescent="0.35"/>
    <row r="807" customFormat="1" ht="14.25" customHeight="1" x14ac:dyDescent="0.35"/>
    <row r="808" customFormat="1" ht="14.25" customHeight="1" x14ac:dyDescent="0.35"/>
    <row r="809" customFormat="1" ht="14.25" customHeight="1" x14ac:dyDescent="0.35"/>
    <row r="810" customFormat="1" ht="14.25" customHeight="1" x14ac:dyDescent="0.35"/>
    <row r="811" customFormat="1" ht="14.25" customHeight="1" x14ac:dyDescent="0.35"/>
    <row r="812" customFormat="1" ht="14.25" customHeight="1" x14ac:dyDescent="0.35"/>
    <row r="813" customFormat="1" ht="14.25" customHeight="1" x14ac:dyDescent="0.35"/>
    <row r="814" customFormat="1" ht="14.25" customHeight="1" x14ac:dyDescent="0.35"/>
    <row r="815" customFormat="1" ht="14.25" customHeight="1" x14ac:dyDescent="0.35"/>
    <row r="816" customFormat="1" ht="14.25" customHeight="1" x14ac:dyDescent="0.35"/>
    <row r="817" customFormat="1" ht="14.25" customHeight="1" x14ac:dyDescent="0.35"/>
    <row r="818" customFormat="1" ht="14.25" customHeight="1" x14ac:dyDescent="0.35"/>
    <row r="819" customFormat="1" ht="14.25" customHeight="1" x14ac:dyDescent="0.35"/>
    <row r="820" customFormat="1" ht="14.25" customHeight="1" x14ac:dyDescent="0.35"/>
    <row r="821" customFormat="1" ht="14.25" customHeight="1" x14ac:dyDescent="0.35"/>
    <row r="822" customFormat="1" ht="14.25" customHeight="1" x14ac:dyDescent="0.35"/>
    <row r="823" customFormat="1" ht="14.25" customHeight="1" x14ac:dyDescent="0.35"/>
    <row r="824" customFormat="1" ht="14.25" customHeight="1" x14ac:dyDescent="0.35"/>
    <row r="825" customFormat="1" ht="14.25" customHeight="1" x14ac:dyDescent="0.35"/>
    <row r="826" customFormat="1" ht="14.25" customHeight="1" x14ac:dyDescent="0.35"/>
    <row r="827" customFormat="1" ht="14.25" customHeight="1" x14ac:dyDescent="0.35"/>
    <row r="828" customFormat="1" ht="14.25" customHeight="1" x14ac:dyDescent="0.35"/>
    <row r="829" customFormat="1" ht="14.25" customHeight="1" x14ac:dyDescent="0.35"/>
    <row r="830" customFormat="1" ht="14.25" customHeight="1" x14ac:dyDescent="0.35"/>
    <row r="831" customFormat="1" ht="14.25" customHeight="1" x14ac:dyDescent="0.35"/>
    <row r="832" customFormat="1" ht="14.25" customHeight="1" x14ac:dyDescent="0.35"/>
    <row r="833" customFormat="1" ht="14.25" customHeight="1" x14ac:dyDescent="0.35"/>
    <row r="834" customFormat="1" ht="14.25" customHeight="1" x14ac:dyDescent="0.35"/>
    <row r="835" customFormat="1" ht="14.25" customHeight="1" x14ac:dyDescent="0.35"/>
    <row r="836" customFormat="1" ht="14.25" customHeight="1" x14ac:dyDescent="0.35"/>
    <row r="837" customFormat="1" ht="14.25" customHeight="1" x14ac:dyDescent="0.35"/>
    <row r="838" customFormat="1" ht="14.25" customHeight="1" x14ac:dyDescent="0.35"/>
    <row r="839" customFormat="1" ht="14.25" customHeight="1" x14ac:dyDescent="0.35"/>
    <row r="840" customFormat="1" ht="14.25" customHeight="1" x14ac:dyDescent="0.35"/>
    <row r="841" customFormat="1" ht="14.25" customHeight="1" x14ac:dyDescent="0.35"/>
    <row r="842" customFormat="1" ht="14.25" customHeight="1" x14ac:dyDescent="0.35"/>
    <row r="843" customFormat="1" ht="14.25" customHeight="1" x14ac:dyDescent="0.35"/>
    <row r="844" customFormat="1" ht="14.25" customHeight="1" x14ac:dyDescent="0.35"/>
    <row r="845" customFormat="1" ht="14.25" customHeight="1" x14ac:dyDescent="0.35"/>
    <row r="846" customFormat="1" ht="14.25" customHeight="1" x14ac:dyDescent="0.35"/>
    <row r="847" customFormat="1" ht="14.25" customHeight="1" x14ac:dyDescent="0.35"/>
    <row r="848" customFormat="1" ht="14.25" customHeight="1" x14ac:dyDescent="0.35"/>
    <row r="849" customFormat="1" ht="14.25" customHeight="1" x14ac:dyDescent="0.35"/>
    <row r="850" customFormat="1" ht="14.25" customHeight="1" x14ac:dyDescent="0.35"/>
    <row r="851" customFormat="1" ht="14.25" customHeight="1" x14ac:dyDescent="0.35"/>
    <row r="852" customFormat="1" ht="14.25" customHeight="1" x14ac:dyDescent="0.35"/>
    <row r="853" customFormat="1" ht="14.25" customHeight="1" x14ac:dyDescent="0.35"/>
    <row r="854" customFormat="1" ht="14.25" customHeight="1" x14ac:dyDescent="0.35"/>
    <row r="855" customFormat="1" ht="14.25" customHeight="1" x14ac:dyDescent="0.35"/>
    <row r="856" customFormat="1" ht="14.25" customHeight="1" x14ac:dyDescent="0.35"/>
    <row r="857" customFormat="1" ht="14.25" customHeight="1" x14ac:dyDescent="0.35"/>
    <row r="858" customFormat="1" ht="14.25" customHeight="1" x14ac:dyDescent="0.35"/>
    <row r="859" customFormat="1" ht="14.25" customHeight="1" x14ac:dyDescent="0.35"/>
    <row r="860" customFormat="1" ht="14.25" customHeight="1" x14ac:dyDescent="0.35"/>
    <row r="861" customFormat="1" ht="14.25" customHeight="1" x14ac:dyDescent="0.35"/>
    <row r="862" customFormat="1" ht="14.25" customHeight="1" x14ac:dyDescent="0.35"/>
    <row r="863" customFormat="1" ht="14.25" customHeight="1" x14ac:dyDescent="0.35"/>
    <row r="864" customFormat="1" ht="14.25" customHeight="1" x14ac:dyDescent="0.35"/>
    <row r="865" customFormat="1" ht="14.25" customHeight="1" x14ac:dyDescent="0.35"/>
    <row r="866" customFormat="1" ht="14.25" customHeight="1" x14ac:dyDescent="0.35"/>
    <row r="867" customFormat="1" ht="14.25" customHeight="1" x14ac:dyDescent="0.35"/>
    <row r="868" customFormat="1" ht="14.25" customHeight="1" x14ac:dyDescent="0.35"/>
    <row r="869" customFormat="1" ht="14.25" customHeight="1" x14ac:dyDescent="0.35"/>
    <row r="870" customFormat="1" ht="14.25" customHeight="1" x14ac:dyDescent="0.35"/>
    <row r="871" customFormat="1" ht="14.25" customHeight="1" x14ac:dyDescent="0.35"/>
    <row r="872" customFormat="1" ht="14.25" customHeight="1" x14ac:dyDescent="0.35"/>
    <row r="873" customFormat="1" ht="14.25" customHeight="1" x14ac:dyDescent="0.35"/>
    <row r="874" customFormat="1" ht="14.25" customHeight="1" x14ac:dyDescent="0.35"/>
    <row r="875" customFormat="1" ht="14.25" customHeight="1" x14ac:dyDescent="0.35"/>
    <row r="876" customFormat="1" ht="14.25" customHeight="1" x14ac:dyDescent="0.35"/>
    <row r="877" customFormat="1" ht="14.25" customHeight="1" x14ac:dyDescent="0.35"/>
    <row r="878" customFormat="1" ht="14.25" customHeight="1" x14ac:dyDescent="0.35"/>
    <row r="879" customFormat="1" ht="14.25" customHeight="1" x14ac:dyDescent="0.35"/>
    <row r="880" customFormat="1" ht="14.25" customHeight="1" x14ac:dyDescent="0.35"/>
    <row r="881" customFormat="1" ht="14.25" customHeight="1" x14ac:dyDescent="0.35"/>
    <row r="882" customFormat="1" ht="14.25" customHeight="1" x14ac:dyDescent="0.35"/>
    <row r="883" customFormat="1" ht="14.25" customHeight="1" x14ac:dyDescent="0.35"/>
    <row r="884" customFormat="1" ht="14.25" customHeight="1" x14ac:dyDescent="0.35"/>
    <row r="885" customFormat="1" ht="14.25" customHeight="1" x14ac:dyDescent="0.35"/>
    <row r="886" customFormat="1" ht="14.25" customHeight="1" x14ac:dyDescent="0.35"/>
    <row r="887" customFormat="1" ht="14.25" customHeight="1" x14ac:dyDescent="0.35"/>
    <row r="888" customFormat="1" ht="14.25" customHeight="1" x14ac:dyDescent="0.35"/>
    <row r="889" customFormat="1" ht="14.25" customHeight="1" x14ac:dyDescent="0.35"/>
    <row r="890" customFormat="1" ht="14.25" customHeight="1" x14ac:dyDescent="0.35"/>
    <row r="891" customFormat="1" ht="14.25" customHeight="1" x14ac:dyDescent="0.35"/>
    <row r="892" customFormat="1" ht="14.25" customHeight="1" x14ac:dyDescent="0.35"/>
    <row r="893" customFormat="1" ht="14.25" customHeight="1" x14ac:dyDescent="0.35"/>
    <row r="894" customFormat="1" ht="14.25" customHeight="1" x14ac:dyDescent="0.35"/>
    <row r="895" customFormat="1" ht="14.25" customHeight="1" x14ac:dyDescent="0.35"/>
    <row r="896" customFormat="1" ht="14.25" customHeight="1" x14ac:dyDescent="0.35"/>
    <row r="897" customFormat="1" ht="14.25" customHeight="1" x14ac:dyDescent="0.35"/>
    <row r="898" customFormat="1" ht="14.25" customHeight="1" x14ac:dyDescent="0.35"/>
    <row r="899" customFormat="1" ht="14.25" customHeight="1" x14ac:dyDescent="0.35"/>
    <row r="900" customFormat="1" ht="14.25" customHeight="1" x14ac:dyDescent="0.35"/>
    <row r="901" customFormat="1" ht="14.25" customHeight="1" x14ac:dyDescent="0.35"/>
    <row r="902" customFormat="1" ht="14.25" customHeight="1" x14ac:dyDescent="0.35"/>
    <row r="903" customFormat="1" ht="14.25" customHeight="1" x14ac:dyDescent="0.35"/>
    <row r="904" customFormat="1" ht="14.25" customHeight="1" x14ac:dyDescent="0.35"/>
    <row r="905" customFormat="1" ht="14.25" customHeight="1" x14ac:dyDescent="0.35"/>
    <row r="906" customFormat="1" ht="14.25" customHeight="1" x14ac:dyDescent="0.35"/>
    <row r="907" customFormat="1" ht="14.25" customHeight="1" x14ac:dyDescent="0.35"/>
    <row r="908" customFormat="1" ht="14.25" customHeight="1" x14ac:dyDescent="0.35"/>
    <row r="909" customFormat="1" ht="14.25" customHeight="1" x14ac:dyDescent="0.35"/>
    <row r="910" customFormat="1" ht="14.25" customHeight="1" x14ac:dyDescent="0.35"/>
    <row r="911" customFormat="1" ht="14.25" customHeight="1" x14ac:dyDescent="0.35"/>
    <row r="912" customFormat="1" ht="14.25" customHeight="1" x14ac:dyDescent="0.35"/>
    <row r="913" customFormat="1" ht="14.25" customHeight="1" x14ac:dyDescent="0.35"/>
    <row r="914" customFormat="1" ht="14.25" customHeight="1" x14ac:dyDescent="0.35"/>
    <row r="915" customFormat="1" ht="14.25" customHeight="1" x14ac:dyDescent="0.35"/>
    <row r="916" customFormat="1" ht="14.25" customHeight="1" x14ac:dyDescent="0.35"/>
    <row r="917" customFormat="1" ht="14.25" customHeight="1" x14ac:dyDescent="0.35"/>
    <row r="918" customFormat="1" ht="14.25" customHeight="1" x14ac:dyDescent="0.35"/>
    <row r="919" customFormat="1" ht="14.25" customHeight="1" x14ac:dyDescent="0.35"/>
    <row r="920" customFormat="1" ht="14.25" customHeight="1" x14ac:dyDescent="0.35"/>
    <row r="921" customFormat="1" ht="14.25" customHeight="1" x14ac:dyDescent="0.35"/>
    <row r="922" customFormat="1" ht="14.25" customHeight="1" x14ac:dyDescent="0.35"/>
    <row r="923" customFormat="1" ht="14.25" customHeight="1" x14ac:dyDescent="0.35"/>
    <row r="924" customFormat="1" ht="14.25" customHeight="1" x14ac:dyDescent="0.35"/>
    <row r="925" customFormat="1" ht="14.25" customHeight="1" x14ac:dyDescent="0.35"/>
    <row r="926" customFormat="1" ht="14.25" customHeight="1" x14ac:dyDescent="0.35"/>
    <row r="927" customFormat="1" ht="14.25" customHeight="1" x14ac:dyDescent="0.35"/>
    <row r="928" customFormat="1" ht="14.25" customHeight="1" x14ac:dyDescent="0.35"/>
    <row r="929" customFormat="1" ht="14.25" customHeight="1" x14ac:dyDescent="0.35"/>
    <row r="930" customFormat="1" ht="14.25" customHeight="1" x14ac:dyDescent="0.35"/>
    <row r="931" customFormat="1" ht="14.25" customHeight="1" x14ac:dyDescent="0.35"/>
    <row r="932" customFormat="1" ht="14.25" customHeight="1" x14ac:dyDescent="0.35"/>
    <row r="933" customFormat="1" ht="14.25" customHeight="1" x14ac:dyDescent="0.35"/>
    <row r="934" customFormat="1" ht="14.25" customHeight="1" x14ac:dyDescent="0.35"/>
    <row r="935" customFormat="1" ht="14.25" customHeight="1" x14ac:dyDescent="0.35"/>
    <row r="936" customFormat="1" ht="14.25" customHeight="1" x14ac:dyDescent="0.35"/>
    <row r="937" customFormat="1" ht="14.25" customHeight="1" x14ac:dyDescent="0.35"/>
    <row r="938" customFormat="1" ht="14.25" customHeight="1" x14ac:dyDescent="0.35"/>
    <row r="939" customFormat="1" ht="14.25" customHeight="1" x14ac:dyDescent="0.35"/>
    <row r="940" customFormat="1" ht="14.25" customHeight="1" x14ac:dyDescent="0.35"/>
    <row r="941" customFormat="1" ht="14.25" customHeight="1" x14ac:dyDescent="0.35"/>
    <row r="942" customFormat="1" ht="14.25" customHeight="1" x14ac:dyDescent="0.35"/>
    <row r="943" customFormat="1" ht="14.25" customHeight="1" x14ac:dyDescent="0.35"/>
    <row r="944" customFormat="1" ht="14.25" customHeight="1" x14ac:dyDescent="0.35"/>
    <row r="945" customFormat="1" ht="14.25" customHeight="1" x14ac:dyDescent="0.35"/>
    <row r="946" customFormat="1" ht="14.25" customHeight="1" x14ac:dyDescent="0.35"/>
    <row r="947" customFormat="1" ht="14.25" customHeight="1" x14ac:dyDescent="0.35"/>
    <row r="948" customFormat="1" ht="14.25" customHeight="1" x14ac:dyDescent="0.35"/>
    <row r="949" customFormat="1" ht="14.25" customHeight="1" x14ac:dyDescent="0.35"/>
    <row r="950" customFormat="1" ht="14.25" customHeight="1" x14ac:dyDescent="0.35"/>
    <row r="951" customFormat="1" ht="14.25" customHeight="1" x14ac:dyDescent="0.35"/>
    <row r="952" customFormat="1" ht="14.25" customHeight="1" x14ac:dyDescent="0.35"/>
    <row r="953" customFormat="1" ht="14.25" customHeight="1" x14ac:dyDescent="0.35"/>
    <row r="954" customFormat="1" ht="14.25" customHeight="1" x14ac:dyDescent="0.35"/>
    <row r="955" customFormat="1" ht="14.25" customHeight="1" x14ac:dyDescent="0.35"/>
    <row r="956" customFormat="1" ht="14.25" customHeight="1" x14ac:dyDescent="0.35"/>
    <row r="957" customFormat="1" ht="14.25" customHeight="1" x14ac:dyDescent="0.35"/>
    <row r="958" customFormat="1" ht="14.25" customHeight="1" x14ac:dyDescent="0.35"/>
    <row r="959" customFormat="1" ht="14.25" customHeight="1" x14ac:dyDescent="0.35"/>
    <row r="960" customFormat="1" ht="14.25" customHeight="1" x14ac:dyDescent="0.35"/>
    <row r="961" customFormat="1" ht="14.25" customHeight="1" x14ac:dyDescent="0.35"/>
    <row r="962" customFormat="1" ht="14.25" customHeight="1" x14ac:dyDescent="0.35"/>
    <row r="963" customFormat="1" ht="14.25" customHeight="1" x14ac:dyDescent="0.35"/>
    <row r="964" customFormat="1" ht="14.25" customHeight="1" x14ac:dyDescent="0.35"/>
    <row r="965" customFormat="1" ht="14.25" customHeight="1" x14ac:dyDescent="0.35"/>
    <row r="966" customFormat="1" ht="14.25" customHeight="1" x14ac:dyDescent="0.35"/>
    <row r="967" customFormat="1" ht="14.25" customHeight="1" x14ac:dyDescent="0.35"/>
    <row r="968" customFormat="1" ht="14.25" customHeight="1" x14ac:dyDescent="0.35"/>
    <row r="969" customFormat="1" ht="14.25" customHeight="1" x14ac:dyDescent="0.35"/>
    <row r="970" customFormat="1" ht="14.25" customHeight="1" x14ac:dyDescent="0.35"/>
    <row r="971" customFormat="1" ht="14.25" customHeight="1" x14ac:dyDescent="0.35"/>
    <row r="972" customFormat="1" ht="14.25" customHeight="1" x14ac:dyDescent="0.35"/>
    <row r="973" customFormat="1" ht="14.25" customHeight="1" x14ac:dyDescent="0.35"/>
    <row r="974" customFormat="1" ht="14.25" customHeight="1" x14ac:dyDescent="0.35"/>
    <row r="975" customFormat="1" ht="14.25" customHeight="1" x14ac:dyDescent="0.35"/>
    <row r="976" customFormat="1" ht="14.25" customHeight="1" x14ac:dyDescent="0.35"/>
    <row r="977" customFormat="1" ht="14.25" customHeight="1" x14ac:dyDescent="0.35"/>
    <row r="978" customFormat="1" ht="14.25" customHeight="1" x14ac:dyDescent="0.35"/>
    <row r="979" customFormat="1" ht="14.25" customHeight="1" x14ac:dyDescent="0.35"/>
    <row r="980" customFormat="1" ht="14.25" customHeight="1" x14ac:dyDescent="0.35"/>
    <row r="981" customFormat="1" ht="14.25" customHeight="1" x14ac:dyDescent="0.35"/>
    <row r="982" customFormat="1" ht="14.25" customHeight="1" x14ac:dyDescent="0.35"/>
    <row r="983" customFormat="1" ht="14.25" customHeight="1" x14ac:dyDescent="0.35"/>
    <row r="984" customFormat="1" ht="14.25" customHeight="1" x14ac:dyDescent="0.35"/>
    <row r="985" customFormat="1" ht="14.25" customHeight="1" x14ac:dyDescent="0.35"/>
    <row r="986" customFormat="1" ht="14.25" customHeight="1" x14ac:dyDescent="0.35"/>
    <row r="987" customFormat="1" ht="14.25" customHeight="1" x14ac:dyDescent="0.35"/>
    <row r="988" customFormat="1" ht="14.25" customHeight="1" x14ac:dyDescent="0.35"/>
    <row r="989" customFormat="1" ht="14.25" customHeight="1" x14ac:dyDescent="0.35"/>
    <row r="990" customFormat="1" ht="14.25" customHeight="1" x14ac:dyDescent="0.35"/>
    <row r="991" customFormat="1" ht="14.25" customHeight="1" x14ac:dyDescent="0.35"/>
    <row r="992" customFormat="1" ht="14.25" customHeight="1" x14ac:dyDescent="0.35"/>
    <row r="993" customFormat="1" ht="14.25" customHeight="1" x14ac:dyDescent="0.35"/>
    <row r="994" customFormat="1" ht="14.25" customHeight="1" x14ac:dyDescent="0.35"/>
    <row r="995" customFormat="1" ht="14.25" customHeight="1" x14ac:dyDescent="0.35"/>
    <row r="996" customFormat="1" ht="14.25" customHeight="1" x14ac:dyDescent="0.35"/>
    <row r="997" customFormat="1" ht="14.25" customHeight="1" x14ac:dyDescent="0.35"/>
    <row r="998" customFormat="1" ht="14.25" customHeight="1" x14ac:dyDescent="0.35"/>
    <row r="999" customFormat="1" ht="14.25" customHeight="1" x14ac:dyDescent="0.35"/>
    <row r="1000" customFormat="1" ht="14.2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dimension ref="B1:AF1000"/>
  <sheetViews>
    <sheetView tabSelected="1" topLeftCell="C1" zoomScale="85" zoomScaleNormal="85" workbookViewId="0">
      <selection activeCell="Q6" sqref="Q6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3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35">
      <c r="B4" s="125" t="s">
        <v>224</v>
      </c>
      <c r="C4" s="130">
        <v>1</v>
      </c>
      <c r="D4" s="130" t="s">
        <v>173</v>
      </c>
      <c r="E4" s="130" t="s">
        <v>171</v>
      </c>
      <c r="F4" s="130" t="s">
        <v>217</v>
      </c>
      <c r="G4" s="130" t="s">
        <v>30</v>
      </c>
      <c r="H4" s="130" t="s">
        <v>218</v>
      </c>
      <c r="I4" s="130" t="s">
        <v>219</v>
      </c>
      <c r="J4" s="130" t="s">
        <v>219</v>
      </c>
      <c r="K4" s="130">
        <v>1</v>
      </c>
      <c r="M4" s="1" t="s">
        <v>164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35">
      <c r="C5" s="130">
        <v>1</v>
      </c>
      <c r="D5" s="130" t="s">
        <v>171</v>
      </c>
      <c r="E5" s="130" t="s">
        <v>173</v>
      </c>
      <c r="F5" s="130" t="s">
        <v>221</v>
      </c>
      <c r="G5" s="130" t="s">
        <v>32</v>
      </c>
      <c r="H5" s="130" t="s">
        <v>218</v>
      </c>
      <c r="I5" s="130" t="s">
        <v>219</v>
      </c>
      <c r="J5" s="130" t="s">
        <v>219</v>
      </c>
      <c r="K5" s="130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35">
      <c r="C6" s="130">
        <v>1</v>
      </c>
      <c r="D6" s="130" t="s">
        <v>171</v>
      </c>
      <c r="E6" s="130" t="s">
        <v>173</v>
      </c>
      <c r="F6" s="130" t="s">
        <v>220</v>
      </c>
      <c r="G6" s="130" t="s">
        <v>37</v>
      </c>
      <c r="H6" s="130" t="s">
        <v>218</v>
      </c>
      <c r="I6" s="130">
        <v>1</v>
      </c>
      <c r="J6" s="130">
        <v>1</v>
      </c>
      <c r="K6" s="130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35">
      <c r="C7" s="130">
        <v>2</v>
      </c>
      <c r="D7" s="130" t="s">
        <v>171</v>
      </c>
      <c r="E7" s="130" t="s">
        <v>172</v>
      </c>
      <c r="F7" s="130" t="s">
        <v>217</v>
      </c>
      <c r="G7" s="130" t="s">
        <v>37</v>
      </c>
      <c r="H7" s="130" t="s">
        <v>218</v>
      </c>
      <c r="I7" s="130" t="s">
        <v>219</v>
      </c>
      <c r="J7" s="130" t="s">
        <v>219</v>
      </c>
      <c r="K7" s="130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35">
      <c r="C8" s="130">
        <v>2</v>
      </c>
      <c r="D8" s="130" t="s">
        <v>172</v>
      </c>
      <c r="E8" s="130" t="s">
        <v>171</v>
      </c>
      <c r="F8" s="130" t="s">
        <v>221</v>
      </c>
      <c r="G8" s="130" t="s">
        <v>91</v>
      </c>
      <c r="H8" s="130" t="s">
        <v>83</v>
      </c>
      <c r="I8" s="130" t="s">
        <v>219</v>
      </c>
      <c r="J8" s="130" t="s">
        <v>219</v>
      </c>
      <c r="K8" s="130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35">
      <c r="C9" s="130">
        <v>2</v>
      </c>
      <c r="D9" s="130" t="s">
        <v>171</v>
      </c>
      <c r="E9" s="130" t="s">
        <v>172</v>
      </c>
      <c r="F9" s="130" t="s">
        <v>220</v>
      </c>
      <c r="G9" s="130" t="s">
        <v>32</v>
      </c>
      <c r="H9" s="130" t="s">
        <v>218</v>
      </c>
      <c r="I9" s="130">
        <v>2</v>
      </c>
      <c r="J9" s="130">
        <v>1</v>
      </c>
      <c r="K9" s="130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35">
      <c r="C10" s="130">
        <v>3</v>
      </c>
      <c r="D10" s="130" t="s">
        <v>171</v>
      </c>
      <c r="E10" s="130" t="s">
        <v>173</v>
      </c>
      <c r="F10" s="130" t="s">
        <v>217</v>
      </c>
      <c r="G10" s="130" t="s">
        <v>37</v>
      </c>
      <c r="H10" s="130" t="s">
        <v>218</v>
      </c>
      <c r="I10" s="130" t="s">
        <v>219</v>
      </c>
      <c r="J10" s="130" t="s">
        <v>219</v>
      </c>
      <c r="K10" s="130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35">
      <c r="C11" s="130">
        <v>3</v>
      </c>
      <c r="D11" s="130" t="s">
        <v>171</v>
      </c>
      <c r="E11" s="130" t="s">
        <v>173</v>
      </c>
      <c r="F11" s="130" t="s">
        <v>215</v>
      </c>
      <c r="G11" s="130" t="s">
        <v>32</v>
      </c>
      <c r="H11" s="130" t="s">
        <v>83</v>
      </c>
      <c r="I11" s="130">
        <v>3</v>
      </c>
      <c r="J11" s="130">
        <v>2</v>
      </c>
      <c r="K11" s="130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35">
      <c r="C12" s="130">
        <v>4</v>
      </c>
      <c r="D12" s="130" t="s">
        <v>172</v>
      </c>
      <c r="E12" s="130" t="s">
        <v>171</v>
      </c>
      <c r="F12" s="130" t="s">
        <v>217</v>
      </c>
      <c r="G12" s="130" t="s">
        <v>41</v>
      </c>
      <c r="H12" s="130" t="s">
        <v>83</v>
      </c>
      <c r="I12" s="130" t="s">
        <v>219</v>
      </c>
      <c r="J12" s="130" t="s">
        <v>219</v>
      </c>
      <c r="K12" s="130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35">
      <c r="C13" s="130">
        <v>4</v>
      </c>
      <c r="D13" s="130" t="s">
        <v>172</v>
      </c>
      <c r="E13" s="130" t="s">
        <v>171</v>
      </c>
      <c r="F13" s="130" t="s">
        <v>215</v>
      </c>
      <c r="G13" s="130" t="s">
        <v>41</v>
      </c>
      <c r="H13" s="130" t="s">
        <v>83</v>
      </c>
      <c r="I13" s="130">
        <v>1</v>
      </c>
      <c r="J13" s="130">
        <v>1</v>
      </c>
      <c r="K13" s="130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35">
      <c r="C14" s="130">
        <v>5</v>
      </c>
      <c r="D14" s="130" t="s">
        <v>173</v>
      </c>
      <c r="E14" s="130" t="s">
        <v>172</v>
      </c>
      <c r="F14" s="130" t="s">
        <v>217</v>
      </c>
      <c r="G14" s="130" t="s">
        <v>52</v>
      </c>
      <c r="H14" s="130" t="s">
        <v>83</v>
      </c>
      <c r="I14" s="130" t="s">
        <v>219</v>
      </c>
      <c r="J14" s="130" t="s">
        <v>219</v>
      </c>
      <c r="K14" s="130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35">
      <c r="C15" s="130">
        <v>5</v>
      </c>
      <c r="D15" s="130" t="s">
        <v>173</v>
      </c>
      <c r="E15" s="130" t="s">
        <v>172</v>
      </c>
      <c r="F15" s="130" t="s">
        <v>215</v>
      </c>
      <c r="G15" s="130" t="s">
        <v>30</v>
      </c>
      <c r="H15" s="130" t="s">
        <v>218</v>
      </c>
      <c r="I15" s="130">
        <v>1</v>
      </c>
      <c r="J15" s="130">
        <v>1</v>
      </c>
      <c r="K15" s="130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35">
      <c r="C16" s="128"/>
      <c r="D16" s="128"/>
      <c r="E16" s="128"/>
      <c r="F16" s="128"/>
      <c r="G16" s="128"/>
      <c r="H16" s="128"/>
      <c r="I16" s="128"/>
      <c r="J16" s="128"/>
      <c r="K16" s="128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35">
      <c r="C17" s="128"/>
      <c r="D17" s="128"/>
      <c r="E17" s="128"/>
      <c r="F17" s="128"/>
      <c r="G17" s="128"/>
      <c r="H17" s="128"/>
      <c r="I17" s="128"/>
      <c r="J17" s="128"/>
      <c r="K17" s="128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35">
      <c r="C18" s="128"/>
      <c r="D18" s="128"/>
      <c r="E18" s="128"/>
      <c r="F18" s="128"/>
      <c r="G18" s="128"/>
      <c r="H18" s="128"/>
      <c r="I18" s="128"/>
      <c r="J18" s="128"/>
      <c r="K18" s="128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35">
      <c r="C19" s="128"/>
      <c r="D19" s="128"/>
      <c r="E19" s="128"/>
      <c r="F19" s="128"/>
      <c r="G19" s="128"/>
      <c r="H19" s="128"/>
      <c r="I19" s="128"/>
      <c r="J19" s="128"/>
      <c r="K19" s="128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35">
      <c r="C20" s="128"/>
      <c r="D20" s="128"/>
      <c r="E20" s="128"/>
      <c r="F20" s="128"/>
      <c r="G20" s="128"/>
      <c r="H20" s="128"/>
      <c r="I20" s="128"/>
      <c r="J20" s="128"/>
      <c r="K20" s="128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35">
      <c r="C21" s="128"/>
      <c r="D21" s="128"/>
      <c r="E21" s="128"/>
      <c r="F21" s="128"/>
      <c r="G21" s="128"/>
      <c r="H21" s="128"/>
      <c r="I21" s="128"/>
      <c r="J21" s="128"/>
      <c r="K21" s="128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3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3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3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3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4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3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3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3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3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3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3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3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3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4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3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3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3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3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3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3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35">
      <c r="C40" s="50"/>
      <c r="T40" s="6"/>
      <c r="U40" s="6"/>
      <c r="V40" s="6"/>
    </row>
    <row r="41" spans="3:28" ht="14.25" customHeight="1" x14ac:dyDescent="0.7">
      <c r="S41" s="64"/>
      <c r="T41" s="64"/>
      <c r="U41" s="64"/>
      <c r="V41" s="64"/>
      <c r="W41" s="64"/>
    </row>
    <row r="42" spans="3:28" ht="14.25" customHeight="1" x14ac:dyDescent="0.7">
      <c r="S42" s="64"/>
      <c r="T42" s="64"/>
      <c r="U42" s="64"/>
      <c r="V42" s="64"/>
      <c r="W42" s="64"/>
    </row>
    <row r="43" spans="3:28" ht="14.25" customHeight="1" x14ac:dyDescent="0.35">
      <c r="C43" t="s">
        <v>135</v>
      </c>
      <c r="T43" s="10" t="s">
        <v>211</v>
      </c>
      <c r="U43" s="10"/>
    </row>
    <row r="44" spans="3:28" ht="14.25" customHeight="1" x14ac:dyDescent="0.3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35">
      <c r="C45" s="50" t="str">
        <f>B4</f>
        <v>29 January</v>
      </c>
      <c r="D45">
        <f>MAX(N3:N5)</f>
        <v>3</v>
      </c>
      <c r="E45">
        <f>COUNT(C4:C42)-D45-F45</f>
        <v>8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3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35">
      <c r="T47" s="10" t="s">
        <v>222</v>
      </c>
      <c r="U47" s="10"/>
    </row>
    <row r="48" spans="3:28" ht="14.25" customHeight="1" x14ac:dyDescent="0.35">
      <c r="T48" s="10"/>
    </row>
    <row r="49" spans="20:20" ht="14.25" customHeight="1" x14ac:dyDescent="0.35">
      <c r="T49" s="10"/>
    </row>
    <row r="50" spans="20:20" ht="14.25" customHeight="1" x14ac:dyDescent="0.35">
      <c r="T50" s="10"/>
    </row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customFormat="1" ht="14.25" customHeight="1" x14ac:dyDescent="0.35"/>
    <row r="66" customFormat="1" ht="14.25" customHeight="1" x14ac:dyDescent="0.35"/>
    <row r="67" customFormat="1" ht="14.25" customHeight="1" x14ac:dyDescent="0.35"/>
    <row r="68" customFormat="1" ht="14.25" customHeight="1" x14ac:dyDescent="0.35"/>
    <row r="69" customFormat="1" ht="14.25" customHeight="1" x14ac:dyDescent="0.35"/>
    <row r="70" customFormat="1" ht="14.25" customHeight="1" x14ac:dyDescent="0.35"/>
    <row r="71" customFormat="1" ht="14.25" customHeight="1" x14ac:dyDescent="0.35"/>
    <row r="72" customFormat="1" ht="14.25" customHeight="1" x14ac:dyDescent="0.35"/>
    <row r="73" customFormat="1" ht="14.25" customHeight="1" x14ac:dyDescent="0.35"/>
    <row r="74" customFormat="1" ht="14.25" customHeight="1" x14ac:dyDescent="0.35"/>
    <row r="75" customFormat="1" ht="14.25" customHeight="1" x14ac:dyDescent="0.35"/>
    <row r="76" customFormat="1" ht="14.25" customHeight="1" x14ac:dyDescent="0.35"/>
    <row r="77" customFormat="1" ht="14.25" customHeight="1" x14ac:dyDescent="0.35"/>
    <row r="78" customFormat="1" ht="14.25" customHeight="1" x14ac:dyDescent="0.35"/>
    <row r="79" customFormat="1" ht="14.25" customHeight="1" x14ac:dyDescent="0.35"/>
    <row r="80" customFormat="1" ht="14.25" customHeight="1" x14ac:dyDescent="0.35"/>
    <row r="81" customFormat="1" ht="14.25" customHeight="1" x14ac:dyDescent="0.35"/>
    <row r="82" customFormat="1" ht="14.25" customHeight="1" x14ac:dyDescent="0.35"/>
    <row r="83" customFormat="1" ht="14.25" customHeight="1" x14ac:dyDescent="0.35"/>
    <row r="84" customFormat="1" ht="14.25" customHeight="1" x14ac:dyDescent="0.35"/>
    <row r="85" customFormat="1" ht="14.25" customHeight="1" x14ac:dyDescent="0.35"/>
    <row r="86" customFormat="1" ht="14.25" customHeight="1" x14ac:dyDescent="0.35"/>
    <row r="87" customFormat="1" ht="14.25" customHeight="1" x14ac:dyDescent="0.35"/>
    <row r="88" customFormat="1" ht="14.25" customHeight="1" x14ac:dyDescent="0.35"/>
    <row r="89" customFormat="1" ht="14.25" customHeight="1" x14ac:dyDescent="0.35"/>
    <row r="90" customFormat="1" ht="14.25" customHeight="1" x14ac:dyDescent="0.35"/>
    <row r="91" customFormat="1" ht="14.25" customHeight="1" x14ac:dyDescent="0.35"/>
    <row r="92" customFormat="1" ht="14.25" customHeight="1" x14ac:dyDescent="0.35"/>
    <row r="93" customFormat="1" ht="14.25" customHeight="1" x14ac:dyDescent="0.35"/>
    <row r="94" customFormat="1" ht="14.25" customHeight="1" x14ac:dyDescent="0.35"/>
    <row r="95" customFormat="1" ht="14.25" customHeight="1" x14ac:dyDescent="0.35"/>
    <row r="96" customFormat="1" ht="14.25" customHeight="1" x14ac:dyDescent="0.35"/>
    <row r="97" customFormat="1" ht="14.25" customHeight="1" x14ac:dyDescent="0.35"/>
    <row r="98" customFormat="1" ht="14.25" customHeight="1" x14ac:dyDescent="0.35"/>
    <row r="99" customFormat="1" ht="14.25" customHeight="1" x14ac:dyDescent="0.35"/>
    <row r="100" customFormat="1" ht="14.25" customHeight="1" x14ac:dyDescent="0.35"/>
    <row r="101" customFormat="1" ht="14.25" customHeight="1" x14ac:dyDescent="0.35"/>
    <row r="102" customFormat="1" ht="14.25" customHeight="1" x14ac:dyDescent="0.35"/>
    <row r="103" customFormat="1" ht="14.25" customHeight="1" x14ac:dyDescent="0.35"/>
    <row r="104" customFormat="1" ht="14.25" customHeight="1" x14ac:dyDescent="0.35"/>
    <row r="105" customFormat="1" ht="14.25" customHeight="1" x14ac:dyDescent="0.35"/>
    <row r="106" customFormat="1" ht="14.25" customHeight="1" x14ac:dyDescent="0.35"/>
    <row r="107" customFormat="1" ht="14.25" customHeight="1" x14ac:dyDescent="0.35"/>
    <row r="108" customFormat="1" ht="14.25" customHeight="1" x14ac:dyDescent="0.35"/>
    <row r="109" customFormat="1" ht="14.25" customHeight="1" x14ac:dyDescent="0.35"/>
    <row r="110" customFormat="1" ht="14.25" customHeight="1" x14ac:dyDescent="0.35"/>
    <row r="111" customFormat="1" ht="14.25" customHeight="1" x14ac:dyDescent="0.35"/>
    <row r="112" customFormat="1" ht="14.25" customHeight="1" x14ac:dyDescent="0.35"/>
    <row r="113" customFormat="1" ht="14.25" customHeight="1" x14ac:dyDescent="0.35"/>
    <row r="114" customFormat="1" ht="14.25" customHeight="1" x14ac:dyDescent="0.35"/>
    <row r="115" customFormat="1" ht="14.25" customHeight="1" x14ac:dyDescent="0.35"/>
    <row r="116" customFormat="1" ht="14.25" customHeight="1" x14ac:dyDescent="0.35"/>
    <row r="117" customFormat="1" ht="14.25" customHeight="1" x14ac:dyDescent="0.35"/>
    <row r="118" customFormat="1" ht="14.25" customHeight="1" x14ac:dyDescent="0.35"/>
    <row r="119" customFormat="1" ht="14.25" customHeight="1" x14ac:dyDescent="0.35"/>
    <row r="120" customFormat="1" ht="14.25" customHeight="1" x14ac:dyDescent="0.35"/>
    <row r="121" customFormat="1" ht="14.25" customHeight="1" x14ac:dyDescent="0.35"/>
    <row r="122" customFormat="1" ht="14.25" customHeight="1" x14ac:dyDescent="0.35"/>
    <row r="123" customFormat="1" ht="14.25" customHeight="1" x14ac:dyDescent="0.35"/>
    <row r="124" customFormat="1" ht="14.25" customHeight="1" x14ac:dyDescent="0.35"/>
    <row r="125" customFormat="1" ht="14.25" customHeight="1" x14ac:dyDescent="0.35"/>
    <row r="126" customFormat="1" ht="14.25" customHeight="1" x14ac:dyDescent="0.35"/>
    <row r="127" customFormat="1" ht="14.25" customHeight="1" x14ac:dyDescent="0.35"/>
    <row r="128" customFormat="1" ht="14.25" customHeight="1" x14ac:dyDescent="0.35"/>
    <row r="129" customFormat="1" ht="14.25" customHeight="1" x14ac:dyDescent="0.35"/>
    <row r="130" customFormat="1" ht="14.25" customHeight="1" x14ac:dyDescent="0.35"/>
    <row r="131" customFormat="1" ht="14.25" customHeight="1" x14ac:dyDescent="0.35"/>
    <row r="132" customFormat="1" ht="14.25" customHeight="1" x14ac:dyDescent="0.35"/>
    <row r="133" customFormat="1" ht="14.25" customHeight="1" x14ac:dyDescent="0.35"/>
    <row r="134" customFormat="1" ht="14.25" customHeight="1" x14ac:dyDescent="0.35"/>
    <row r="135" customFormat="1" ht="14.25" customHeight="1" x14ac:dyDescent="0.35"/>
    <row r="136" customFormat="1" ht="14.25" customHeight="1" x14ac:dyDescent="0.35"/>
    <row r="137" customFormat="1" ht="14.25" customHeight="1" x14ac:dyDescent="0.35"/>
    <row r="138" customFormat="1" ht="14.25" customHeight="1" x14ac:dyDescent="0.35"/>
    <row r="139" customFormat="1" ht="14.25" customHeight="1" x14ac:dyDescent="0.35"/>
    <row r="140" customFormat="1" ht="14.25" customHeight="1" x14ac:dyDescent="0.35"/>
    <row r="141" customFormat="1" ht="14.25" customHeight="1" x14ac:dyDescent="0.35"/>
    <row r="142" customFormat="1" ht="14.25" customHeight="1" x14ac:dyDescent="0.35"/>
    <row r="143" customFormat="1" ht="14.25" customHeight="1" x14ac:dyDescent="0.35"/>
    <row r="144" customFormat="1" ht="14.25" customHeight="1" x14ac:dyDescent="0.35"/>
    <row r="145" customFormat="1" ht="14.25" customHeight="1" x14ac:dyDescent="0.35"/>
    <row r="146" customFormat="1" ht="14.25" customHeight="1" x14ac:dyDescent="0.35"/>
    <row r="147" customFormat="1" ht="14.25" customHeight="1" x14ac:dyDescent="0.35"/>
    <row r="148" customFormat="1" ht="14.25" customHeight="1" x14ac:dyDescent="0.35"/>
    <row r="149" customFormat="1" ht="14.25" customHeight="1" x14ac:dyDescent="0.35"/>
    <row r="150" customFormat="1" ht="14.25" customHeight="1" x14ac:dyDescent="0.35"/>
    <row r="151" customFormat="1" ht="14.25" customHeight="1" x14ac:dyDescent="0.35"/>
    <row r="152" customFormat="1" ht="14.25" customHeight="1" x14ac:dyDescent="0.35"/>
    <row r="153" customFormat="1" ht="14.25" customHeight="1" x14ac:dyDescent="0.35"/>
    <row r="154" customFormat="1" ht="14.25" customHeight="1" x14ac:dyDescent="0.35"/>
    <row r="155" customFormat="1" ht="14.25" customHeight="1" x14ac:dyDescent="0.35"/>
    <row r="156" customFormat="1" ht="14.25" customHeight="1" x14ac:dyDescent="0.35"/>
    <row r="157" customFormat="1" ht="14.25" customHeight="1" x14ac:dyDescent="0.35"/>
    <row r="158" customFormat="1" ht="14.25" customHeight="1" x14ac:dyDescent="0.35"/>
    <row r="159" customFormat="1" ht="14.25" customHeight="1" x14ac:dyDescent="0.35"/>
    <row r="160" customFormat="1" ht="14.25" customHeight="1" x14ac:dyDescent="0.35"/>
    <row r="161" customFormat="1" ht="14.25" customHeight="1" x14ac:dyDescent="0.35"/>
    <row r="162" customFormat="1" ht="14.25" customHeight="1" x14ac:dyDescent="0.35"/>
    <row r="163" customFormat="1" ht="14.25" customHeight="1" x14ac:dyDescent="0.35"/>
    <row r="164" customFormat="1" ht="14.25" customHeight="1" x14ac:dyDescent="0.35"/>
    <row r="165" customFormat="1" ht="14.25" customHeight="1" x14ac:dyDescent="0.35"/>
    <row r="166" customFormat="1" ht="14.25" customHeight="1" x14ac:dyDescent="0.35"/>
    <row r="167" customFormat="1" ht="14.25" customHeight="1" x14ac:dyDescent="0.35"/>
    <row r="168" customFormat="1" ht="14.25" customHeight="1" x14ac:dyDescent="0.35"/>
    <row r="169" customFormat="1" ht="14.25" customHeight="1" x14ac:dyDescent="0.35"/>
    <row r="170" customFormat="1" ht="14.25" customHeight="1" x14ac:dyDescent="0.35"/>
    <row r="171" customFormat="1" ht="14.25" customHeight="1" x14ac:dyDescent="0.35"/>
    <row r="172" customFormat="1" ht="14.25" customHeight="1" x14ac:dyDescent="0.35"/>
    <row r="173" customFormat="1" ht="14.25" customHeight="1" x14ac:dyDescent="0.35"/>
    <row r="174" customFormat="1" ht="14.25" customHeight="1" x14ac:dyDescent="0.35"/>
    <row r="175" customFormat="1" ht="14.25" customHeight="1" x14ac:dyDescent="0.35"/>
    <row r="176" customFormat="1" ht="14.25" customHeight="1" x14ac:dyDescent="0.35"/>
    <row r="177" customFormat="1" ht="14.25" customHeight="1" x14ac:dyDescent="0.35"/>
    <row r="178" customFormat="1" ht="14.25" customHeight="1" x14ac:dyDescent="0.35"/>
    <row r="179" customFormat="1" ht="14.25" customHeight="1" x14ac:dyDescent="0.35"/>
    <row r="180" customFormat="1" ht="14.25" customHeight="1" x14ac:dyDescent="0.35"/>
    <row r="181" customFormat="1" ht="14.25" customHeight="1" x14ac:dyDescent="0.35"/>
    <row r="182" customFormat="1" ht="14.25" customHeight="1" x14ac:dyDescent="0.35"/>
    <row r="183" customFormat="1" ht="14.25" customHeight="1" x14ac:dyDescent="0.35"/>
    <row r="184" customFormat="1" ht="14.25" customHeight="1" x14ac:dyDescent="0.35"/>
    <row r="185" customFormat="1" ht="14.25" customHeight="1" x14ac:dyDescent="0.35"/>
    <row r="186" customFormat="1" ht="14.25" customHeight="1" x14ac:dyDescent="0.35"/>
    <row r="187" customFormat="1" ht="14.25" customHeight="1" x14ac:dyDescent="0.35"/>
    <row r="188" customFormat="1" ht="14.25" customHeight="1" x14ac:dyDescent="0.35"/>
    <row r="189" customFormat="1" ht="14.25" customHeight="1" x14ac:dyDescent="0.35"/>
    <row r="190" customFormat="1" ht="14.25" customHeight="1" x14ac:dyDescent="0.35"/>
    <row r="191" customFormat="1" ht="14.25" customHeight="1" x14ac:dyDescent="0.35"/>
    <row r="192" customFormat="1" ht="14.25" customHeight="1" x14ac:dyDescent="0.35"/>
    <row r="193" customFormat="1" ht="14.25" customHeight="1" x14ac:dyDescent="0.35"/>
    <row r="194" customFormat="1" ht="14.25" customHeight="1" x14ac:dyDescent="0.35"/>
    <row r="195" customFormat="1" ht="14.25" customHeight="1" x14ac:dyDescent="0.35"/>
    <row r="196" customFormat="1" ht="14.25" customHeight="1" x14ac:dyDescent="0.35"/>
    <row r="197" customFormat="1" ht="14.25" customHeight="1" x14ac:dyDescent="0.35"/>
    <row r="198" customFormat="1" ht="14.25" customHeight="1" x14ac:dyDescent="0.35"/>
    <row r="199" customFormat="1" ht="14.25" customHeight="1" x14ac:dyDescent="0.35"/>
    <row r="200" customFormat="1" ht="14.25" customHeight="1" x14ac:dyDescent="0.35"/>
    <row r="201" customFormat="1" ht="14.25" customHeight="1" x14ac:dyDescent="0.35"/>
    <row r="202" customFormat="1" ht="14.25" customHeight="1" x14ac:dyDescent="0.35"/>
    <row r="203" customFormat="1" ht="14.25" customHeight="1" x14ac:dyDescent="0.35"/>
    <row r="204" customFormat="1" ht="14.25" customHeight="1" x14ac:dyDescent="0.35"/>
    <row r="205" customFormat="1" ht="14.25" customHeight="1" x14ac:dyDescent="0.35"/>
    <row r="206" customFormat="1" ht="14.25" customHeight="1" x14ac:dyDescent="0.35"/>
    <row r="207" customFormat="1" ht="14.25" customHeight="1" x14ac:dyDescent="0.35"/>
    <row r="208" customFormat="1" ht="14.25" customHeight="1" x14ac:dyDescent="0.35"/>
    <row r="209" customFormat="1" ht="14.25" customHeight="1" x14ac:dyDescent="0.35"/>
    <row r="210" customFormat="1" ht="14.25" customHeight="1" x14ac:dyDescent="0.35"/>
    <row r="211" customFormat="1" ht="14.25" customHeight="1" x14ac:dyDescent="0.35"/>
    <row r="212" customFormat="1" ht="14.25" customHeight="1" x14ac:dyDescent="0.35"/>
    <row r="213" customFormat="1" ht="14.25" customHeight="1" x14ac:dyDescent="0.35"/>
    <row r="214" customFormat="1" ht="14.25" customHeight="1" x14ac:dyDescent="0.35"/>
    <row r="215" customFormat="1" ht="14.25" customHeight="1" x14ac:dyDescent="0.35"/>
    <row r="216" customFormat="1" ht="14.25" customHeight="1" x14ac:dyDescent="0.35"/>
    <row r="217" customFormat="1" ht="14.25" customHeight="1" x14ac:dyDescent="0.35"/>
    <row r="218" customFormat="1" ht="14.25" customHeight="1" x14ac:dyDescent="0.35"/>
    <row r="219" customFormat="1" ht="14.25" customHeight="1" x14ac:dyDescent="0.35"/>
    <row r="220" customFormat="1" ht="14.25" customHeight="1" x14ac:dyDescent="0.35"/>
    <row r="221" customFormat="1" ht="14.25" customHeight="1" x14ac:dyDescent="0.35"/>
    <row r="222" customFormat="1" ht="14.25" customHeight="1" x14ac:dyDescent="0.35"/>
    <row r="223" customFormat="1" ht="14.25" customHeight="1" x14ac:dyDescent="0.35"/>
    <row r="224" customFormat="1" ht="14.25" customHeight="1" x14ac:dyDescent="0.35"/>
    <row r="225" customFormat="1" ht="14.25" customHeight="1" x14ac:dyDescent="0.35"/>
    <row r="226" customFormat="1" ht="14.25" customHeight="1" x14ac:dyDescent="0.35"/>
    <row r="227" customFormat="1" ht="14.25" customHeight="1" x14ac:dyDescent="0.35"/>
    <row r="228" customFormat="1" ht="14.25" customHeight="1" x14ac:dyDescent="0.35"/>
    <row r="229" customFormat="1" ht="14.25" customHeight="1" x14ac:dyDescent="0.35"/>
    <row r="230" customFormat="1" ht="14.25" customHeight="1" x14ac:dyDescent="0.35"/>
    <row r="231" customFormat="1" ht="14.25" customHeight="1" x14ac:dyDescent="0.35"/>
    <row r="232" customFormat="1" ht="14.25" customHeight="1" x14ac:dyDescent="0.35"/>
    <row r="233" customFormat="1" ht="14.25" customHeight="1" x14ac:dyDescent="0.35"/>
    <row r="234" customFormat="1" ht="14.25" customHeight="1" x14ac:dyDescent="0.35"/>
    <row r="235" customFormat="1" ht="14.25" customHeight="1" x14ac:dyDescent="0.35"/>
    <row r="236" customFormat="1" ht="14.25" customHeight="1" x14ac:dyDescent="0.35"/>
    <row r="237" customFormat="1" ht="14.25" customHeight="1" x14ac:dyDescent="0.35"/>
    <row r="238" customFormat="1" ht="14.25" customHeight="1" x14ac:dyDescent="0.35"/>
    <row r="239" customFormat="1" ht="14.25" customHeight="1" x14ac:dyDescent="0.35"/>
    <row r="240" customFormat="1" ht="14.25" customHeight="1" x14ac:dyDescent="0.35"/>
    <row r="241" customFormat="1" ht="14.25" customHeight="1" x14ac:dyDescent="0.35"/>
    <row r="242" customFormat="1" ht="14.25" customHeight="1" x14ac:dyDescent="0.35"/>
    <row r="243" customFormat="1" ht="14.25" customHeight="1" x14ac:dyDescent="0.35"/>
    <row r="244" customFormat="1" ht="14.25" customHeight="1" x14ac:dyDescent="0.35"/>
    <row r="245" customFormat="1" ht="14.25" customHeight="1" x14ac:dyDescent="0.35"/>
    <row r="246" customFormat="1" ht="14.25" customHeight="1" x14ac:dyDescent="0.35"/>
    <row r="247" customFormat="1" ht="14.25" customHeight="1" x14ac:dyDescent="0.35"/>
    <row r="248" customFormat="1" ht="14.25" customHeight="1" x14ac:dyDescent="0.35"/>
    <row r="249" customFormat="1" ht="14.25" customHeight="1" x14ac:dyDescent="0.35"/>
    <row r="250" customFormat="1" ht="14.25" customHeight="1" x14ac:dyDescent="0.35"/>
    <row r="251" customFormat="1" ht="14.25" customHeight="1" x14ac:dyDescent="0.35"/>
    <row r="252" customFormat="1" ht="14.25" customHeight="1" x14ac:dyDescent="0.35"/>
    <row r="253" customFormat="1" ht="14.25" customHeight="1" x14ac:dyDescent="0.35"/>
    <row r="254" customFormat="1" ht="14.25" customHeight="1" x14ac:dyDescent="0.35"/>
    <row r="255" customFormat="1" ht="14.25" customHeight="1" x14ac:dyDescent="0.35"/>
    <row r="256" customFormat="1" ht="14.25" customHeight="1" x14ac:dyDescent="0.35"/>
    <row r="257" customFormat="1" ht="14.25" customHeight="1" x14ac:dyDescent="0.35"/>
    <row r="258" customFormat="1" ht="14.25" customHeight="1" x14ac:dyDescent="0.35"/>
    <row r="259" customFormat="1" ht="14.25" customHeight="1" x14ac:dyDescent="0.35"/>
    <row r="260" customFormat="1" ht="14.25" customHeight="1" x14ac:dyDescent="0.35"/>
    <row r="261" customFormat="1" ht="14.25" customHeight="1" x14ac:dyDescent="0.35"/>
    <row r="262" customFormat="1" ht="14.25" customHeight="1" x14ac:dyDescent="0.35"/>
    <row r="263" customFormat="1" ht="14.25" customHeight="1" x14ac:dyDescent="0.35"/>
    <row r="264" customFormat="1" ht="14.25" customHeight="1" x14ac:dyDescent="0.35"/>
    <row r="265" customFormat="1" ht="14.25" customHeight="1" x14ac:dyDescent="0.35"/>
    <row r="266" customFormat="1" ht="14.25" customHeight="1" x14ac:dyDescent="0.35"/>
    <row r="267" customFormat="1" ht="14.25" customHeight="1" x14ac:dyDescent="0.35"/>
    <row r="268" customFormat="1" ht="14.25" customHeight="1" x14ac:dyDescent="0.35"/>
    <row r="269" customFormat="1" ht="14.25" customHeight="1" x14ac:dyDescent="0.35"/>
    <row r="270" customFormat="1" ht="14.25" customHeight="1" x14ac:dyDescent="0.35"/>
    <row r="271" customFormat="1" ht="14.25" customHeight="1" x14ac:dyDescent="0.35"/>
    <row r="272" customFormat="1" ht="14.25" customHeight="1" x14ac:dyDescent="0.35"/>
    <row r="273" customFormat="1" ht="14.25" customHeight="1" x14ac:dyDescent="0.35"/>
    <row r="274" customFormat="1" ht="14.25" customHeight="1" x14ac:dyDescent="0.35"/>
    <row r="275" customFormat="1" ht="14.25" customHeight="1" x14ac:dyDescent="0.35"/>
    <row r="276" customFormat="1" ht="14.25" customHeight="1" x14ac:dyDescent="0.35"/>
    <row r="277" customFormat="1" ht="14.25" customHeight="1" x14ac:dyDescent="0.35"/>
    <row r="278" customFormat="1" ht="14.25" customHeight="1" x14ac:dyDescent="0.35"/>
    <row r="279" customFormat="1" ht="14.25" customHeight="1" x14ac:dyDescent="0.35"/>
    <row r="280" customFormat="1" ht="14.25" customHeight="1" x14ac:dyDescent="0.35"/>
    <row r="281" customFormat="1" ht="14.25" customHeight="1" x14ac:dyDescent="0.35"/>
    <row r="282" customFormat="1" ht="14.25" customHeight="1" x14ac:dyDescent="0.35"/>
    <row r="283" customFormat="1" ht="14.25" customHeight="1" x14ac:dyDescent="0.35"/>
    <row r="284" customFormat="1" ht="14.25" customHeight="1" x14ac:dyDescent="0.35"/>
    <row r="285" customFormat="1" ht="14.25" customHeight="1" x14ac:dyDescent="0.35"/>
    <row r="286" customFormat="1" ht="14.25" customHeight="1" x14ac:dyDescent="0.35"/>
    <row r="287" customFormat="1" ht="14.25" customHeight="1" x14ac:dyDescent="0.35"/>
    <row r="288" customFormat="1" ht="14.25" customHeight="1" x14ac:dyDescent="0.35"/>
    <row r="289" customFormat="1" ht="14.25" customHeight="1" x14ac:dyDescent="0.35"/>
    <row r="290" customFormat="1" ht="14.25" customHeight="1" x14ac:dyDescent="0.35"/>
    <row r="291" customFormat="1" ht="14.25" customHeight="1" x14ac:dyDescent="0.35"/>
    <row r="292" customFormat="1" ht="14.25" customHeight="1" x14ac:dyDescent="0.35"/>
    <row r="293" customFormat="1" ht="14.25" customHeight="1" x14ac:dyDescent="0.35"/>
    <row r="294" customFormat="1" ht="14.25" customHeight="1" x14ac:dyDescent="0.35"/>
    <row r="295" customFormat="1" ht="14.25" customHeight="1" x14ac:dyDescent="0.35"/>
    <row r="296" customFormat="1" ht="14.25" customHeight="1" x14ac:dyDescent="0.35"/>
    <row r="297" customFormat="1" ht="14.25" customHeight="1" x14ac:dyDescent="0.35"/>
    <row r="298" customFormat="1" ht="14.25" customHeight="1" x14ac:dyDescent="0.35"/>
    <row r="299" customFormat="1" ht="14.25" customHeight="1" x14ac:dyDescent="0.35"/>
    <row r="300" customFormat="1" ht="14.25" customHeight="1" x14ac:dyDescent="0.35"/>
    <row r="301" customFormat="1" ht="14.25" customHeight="1" x14ac:dyDescent="0.35"/>
    <row r="302" customFormat="1" ht="14.25" customHeight="1" x14ac:dyDescent="0.35"/>
    <row r="303" customFormat="1" ht="14.25" customHeight="1" x14ac:dyDescent="0.35"/>
    <row r="304" customFormat="1" ht="14.25" customHeight="1" x14ac:dyDescent="0.35"/>
    <row r="305" customFormat="1" ht="14.25" customHeight="1" x14ac:dyDescent="0.35"/>
    <row r="306" customFormat="1" ht="14.25" customHeight="1" x14ac:dyDescent="0.35"/>
    <row r="307" customFormat="1" ht="14.25" customHeight="1" x14ac:dyDescent="0.35"/>
    <row r="308" customFormat="1" ht="14.25" customHeight="1" x14ac:dyDescent="0.35"/>
    <row r="309" customFormat="1" ht="14.25" customHeight="1" x14ac:dyDescent="0.35"/>
    <row r="310" customFormat="1" ht="14.25" customHeight="1" x14ac:dyDescent="0.35"/>
    <row r="311" customFormat="1" ht="14.25" customHeight="1" x14ac:dyDescent="0.35"/>
    <row r="312" customFormat="1" ht="14.25" customHeight="1" x14ac:dyDescent="0.35"/>
    <row r="313" customFormat="1" ht="14.25" customHeight="1" x14ac:dyDescent="0.35"/>
    <row r="314" customFormat="1" ht="14.25" customHeight="1" x14ac:dyDescent="0.35"/>
    <row r="315" customFormat="1" ht="14.25" customHeight="1" x14ac:dyDescent="0.35"/>
    <row r="316" customFormat="1" ht="14.25" customHeight="1" x14ac:dyDescent="0.35"/>
    <row r="317" customFormat="1" ht="14.25" customHeight="1" x14ac:dyDescent="0.35"/>
    <row r="318" customFormat="1" ht="14.25" customHeight="1" x14ac:dyDescent="0.35"/>
    <row r="319" customFormat="1" ht="14.25" customHeight="1" x14ac:dyDescent="0.35"/>
    <row r="320" customFormat="1" ht="14.25" customHeight="1" x14ac:dyDescent="0.35"/>
    <row r="321" customFormat="1" ht="14.25" customHeight="1" x14ac:dyDescent="0.35"/>
    <row r="322" customFormat="1" ht="14.25" customHeight="1" x14ac:dyDescent="0.35"/>
    <row r="323" customFormat="1" ht="14.25" customHeight="1" x14ac:dyDescent="0.35"/>
    <row r="324" customFormat="1" ht="14.25" customHeight="1" x14ac:dyDescent="0.35"/>
    <row r="325" customFormat="1" ht="14.25" customHeight="1" x14ac:dyDescent="0.35"/>
    <row r="326" customFormat="1" ht="14.25" customHeight="1" x14ac:dyDescent="0.35"/>
    <row r="327" customFormat="1" ht="14.25" customHeight="1" x14ac:dyDescent="0.35"/>
    <row r="328" customFormat="1" ht="14.25" customHeight="1" x14ac:dyDescent="0.35"/>
    <row r="329" customFormat="1" ht="14.25" customHeight="1" x14ac:dyDescent="0.35"/>
    <row r="330" customFormat="1" ht="14.25" customHeight="1" x14ac:dyDescent="0.35"/>
    <row r="331" customFormat="1" ht="14.25" customHeight="1" x14ac:dyDescent="0.35"/>
    <row r="332" customFormat="1" ht="14.25" customHeight="1" x14ac:dyDescent="0.35"/>
    <row r="333" customFormat="1" ht="14.25" customHeight="1" x14ac:dyDescent="0.35"/>
    <row r="334" customFormat="1" ht="14.25" customHeight="1" x14ac:dyDescent="0.35"/>
    <row r="335" customFormat="1" ht="14.25" customHeight="1" x14ac:dyDescent="0.35"/>
    <row r="336" customFormat="1" ht="14.25" customHeight="1" x14ac:dyDescent="0.35"/>
    <row r="337" customFormat="1" ht="14.25" customHeight="1" x14ac:dyDescent="0.35"/>
    <row r="338" customFormat="1" ht="14.25" customHeight="1" x14ac:dyDescent="0.35"/>
    <row r="339" customFormat="1" ht="14.25" customHeight="1" x14ac:dyDescent="0.35"/>
    <row r="340" customFormat="1" ht="14.25" customHeight="1" x14ac:dyDescent="0.35"/>
    <row r="341" customFormat="1" ht="14.25" customHeight="1" x14ac:dyDescent="0.35"/>
    <row r="342" customFormat="1" ht="14.25" customHeight="1" x14ac:dyDescent="0.35"/>
    <row r="343" customFormat="1" ht="14.25" customHeight="1" x14ac:dyDescent="0.35"/>
    <row r="344" customFormat="1" ht="14.25" customHeight="1" x14ac:dyDescent="0.35"/>
    <row r="345" customFormat="1" ht="14.25" customHeight="1" x14ac:dyDescent="0.35"/>
    <row r="346" customFormat="1" ht="14.25" customHeight="1" x14ac:dyDescent="0.35"/>
    <row r="347" customFormat="1" ht="14.25" customHeight="1" x14ac:dyDescent="0.35"/>
    <row r="348" customFormat="1" ht="14.25" customHeight="1" x14ac:dyDescent="0.35"/>
    <row r="349" customFormat="1" ht="14.25" customHeight="1" x14ac:dyDescent="0.35"/>
    <row r="350" customFormat="1" ht="14.25" customHeight="1" x14ac:dyDescent="0.35"/>
    <row r="351" customFormat="1" ht="14.25" customHeight="1" x14ac:dyDescent="0.35"/>
    <row r="352" customFormat="1" ht="14.25" customHeight="1" x14ac:dyDescent="0.35"/>
    <row r="353" customFormat="1" ht="14.25" customHeight="1" x14ac:dyDescent="0.35"/>
    <row r="354" customFormat="1" ht="14.25" customHeight="1" x14ac:dyDescent="0.35"/>
    <row r="355" customFormat="1" ht="14.25" customHeight="1" x14ac:dyDescent="0.35"/>
    <row r="356" customFormat="1" ht="14.25" customHeight="1" x14ac:dyDescent="0.35"/>
    <row r="357" customFormat="1" ht="14.25" customHeight="1" x14ac:dyDescent="0.35"/>
    <row r="358" customFormat="1" ht="14.25" customHeight="1" x14ac:dyDescent="0.35"/>
    <row r="359" customFormat="1" ht="14.25" customHeight="1" x14ac:dyDescent="0.35"/>
    <row r="360" customFormat="1" ht="14.25" customHeight="1" x14ac:dyDescent="0.35"/>
    <row r="361" customFormat="1" ht="14.25" customHeight="1" x14ac:dyDescent="0.35"/>
    <row r="362" customFormat="1" ht="14.25" customHeight="1" x14ac:dyDescent="0.35"/>
    <row r="363" customFormat="1" ht="14.25" customHeight="1" x14ac:dyDescent="0.35"/>
    <row r="364" customFormat="1" ht="14.25" customHeight="1" x14ac:dyDescent="0.35"/>
    <row r="365" customFormat="1" ht="14.25" customHeight="1" x14ac:dyDescent="0.35"/>
    <row r="366" customFormat="1" ht="14.25" customHeight="1" x14ac:dyDescent="0.35"/>
    <row r="367" customFormat="1" ht="14.25" customHeight="1" x14ac:dyDescent="0.35"/>
    <row r="368" customFormat="1" ht="14.25" customHeight="1" x14ac:dyDescent="0.35"/>
    <row r="369" customFormat="1" ht="14.25" customHeight="1" x14ac:dyDescent="0.35"/>
    <row r="370" customFormat="1" ht="14.25" customHeight="1" x14ac:dyDescent="0.35"/>
    <row r="371" customFormat="1" ht="14.25" customHeight="1" x14ac:dyDescent="0.35"/>
    <row r="372" customFormat="1" ht="14.25" customHeight="1" x14ac:dyDescent="0.35"/>
    <row r="373" customFormat="1" ht="14.25" customHeight="1" x14ac:dyDescent="0.35"/>
    <row r="374" customFormat="1" ht="14.25" customHeight="1" x14ac:dyDescent="0.35"/>
    <row r="375" customFormat="1" ht="14.25" customHeight="1" x14ac:dyDescent="0.35"/>
    <row r="376" customFormat="1" ht="14.25" customHeight="1" x14ac:dyDescent="0.35"/>
    <row r="377" customFormat="1" ht="14.25" customHeight="1" x14ac:dyDescent="0.35"/>
    <row r="378" customFormat="1" ht="14.25" customHeight="1" x14ac:dyDescent="0.35"/>
    <row r="379" customFormat="1" ht="14.25" customHeight="1" x14ac:dyDescent="0.35"/>
    <row r="380" customFormat="1" ht="14.25" customHeight="1" x14ac:dyDescent="0.35"/>
    <row r="381" customFormat="1" ht="14.25" customHeight="1" x14ac:dyDescent="0.35"/>
    <row r="382" customFormat="1" ht="14.25" customHeight="1" x14ac:dyDescent="0.35"/>
    <row r="383" customFormat="1" ht="14.25" customHeight="1" x14ac:dyDescent="0.35"/>
    <row r="384" customFormat="1" ht="14.25" customHeight="1" x14ac:dyDescent="0.35"/>
    <row r="385" customFormat="1" ht="14.25" customHeight="1" x14ac:dyDescent="0.35"/>
    <row r="386" customFormat="1" ht="14.25" customHeight="1" x14ac:dyDescent="0.35"/>
    <row r="387" customFormat="1" ht="14.25" customHeight="1" x14ac:dyDescent="0.35"/>
    <row r="388" customFormat="1" ht="14.25" customHeight="1" x14ac:dyDescent="0.35"/>
    <row r="389" customFormat="1" ht="14.25" customHeight="1" x14ac:dyDescent="0.35"/>
    <row r="390" customFormat="1" ht="14.25" customHeight="1" x14ac:dyDescent="0.35"/>
    <row r="391" customFormat="1" ht="14.25" customHeight="1" x14ac:dyDescent="0.35"/>
    <row r="392" customFormat="1" ht="14.25" customHeight="1" x14ac:dyDescent="0.35"/>
    <row r="393" customFormat="1" ht="14.25" customHeight="1" x14ac:dyDescent="0.35"/>
    <row r="394" customFormat="1" ht="14.25" customHeight="1" x14ac:dyDescent="0.35"/>
    <row r="395" customFormat="1" ht="14.25" customHeight="1" x14ac:dyDescent="0.35"/>
    <row r="396" customFormat="1" ht="14.25" customHeight="1" x14ac:dyDescent="0.35"/>
    <row r="397" customFormat="1" ht="14.25" customHeight="1" x14ac:dyDescent="0.35"/>
    <row r="398" customFormat="1" ht="14.25" customHeight="1" x14ac:dyDescent="0.35"/>
    <row r="399" customFormat="1" ht="14.25" customHeight="1" x14ac:dyDescent="0.35"/>
    <row r="400" customFormat="1" ht="14.25" customHeight="1" x14ac:dyDescent="0.35"/>
    <row r="401" customFormat="1" ht="14.25" customHeight="1" x14ac:dyDescent="0.35"/>
    <row r="402" customFormat="1" ht="14.25" customHeight="1" x14ac:dyDescent="0.35"/>
    <row r="403" customFormat="1" ht="14.25" customHeight="1" x14ac:dyDescent="0.35"/>
    <row r="404" customFormat="1" ht="14.25" customHeight="1" x14ac:dyDescent="0.35"/>
    <row r="405" customFormat="1" ht="14.25" customHeight="1" x14ac:dyDescent="0.35"/>
    <row r="406" customFormat="1" ht="14.25" customHeight="1" x14ac:dyDescent="0.35"/>
    <row r="407" customFormat="1" ht="14.25" customHeight="1" x14ac:dyDescent="0.35"/>
    <row r="408" customFormat="1" ht="14.25" customHeight="1" x14ac:dyDescent="0.35"/>
    <row r="409" customFormat="1" ht="14.25" customHeight="1" x14ac:dyDescent="0.35"/>
    <row r="410" customFormat="1" ht="14.25" customHeight="1" x14ac:dyDescent="0.35"/>
    <row r="411" customFormat="1" ht="14.25" customHeight="1" x14ac:dyDescent="0.35"/>
    <row r="412" customFormat="1" ht="14.25" customHeight="1" x14ac:dyDescent="0.35"/>
    <row r="413" customFormat="1" ht="14.25" customHeight="1" x14ac:dyDescent="0.35"/>
    <row r="414" customFormat="1" ht="14.25" customHeight="1" x14ac:dyDescent="0.35"/>
    <row r="415" customFormat="1" ht="14.25" customHeight="1" x14ac:dyDescent="0.35"/>
    <row r="416" customFormat="1" ht="14.25" customHeight="1" x14ac:dyDescent="0.35"/>
    <row r="417" customFormat="1" ht="14.25" customHeight="1" x14ac:dyDescent="0.35"/>
    <row r="418" customFormat="1" ht="14.25" customHeight="1" x14ac:dyDescent="0.35"/>
    <row r="419" customFormat="1" ht="14.25" customHeight="1" x14ac:dyDescent="0.35"/>
    <row r="420" customFormat="1" ht="14.25" customHeight="1" x14ac:dyDescent="0.35"/>
    <row r="421" customFormat="1" ht="14.25" customHeight="1" x14ac:dyDescent="0.35"/>
    <row r="422" customFormat="1" ht="14.25" customHeight="1" x14ac:dyDescent="0.35"/>
    <row r="423" customFormat="1" ht="14.25" customHeight="1" x14ac:dyDescent="0.35"/>
    <row r="424" customFormat="1" ht="14.25" customHeight="1" x14ac:dyDescent="0.35"/>
    <row r="425" customFormat="1" ht="14.25" customHeight="1" x14ac:dyDescent="0.35"/>
    <row r="426" customFormat="1" ht="14.25" customHeight="1" x14ac:dyDescent="0.35"/>
    <row r="427" customFormat="1" ht="14.25" customHeight="1" x14ac:dyDescent="0.35"/>
    <row r="428" customFormat="1" ht="14.25" customHeight="1" x14ac:dyDescent="0.35"/>
    <row r="429" customFormat="1" ht="14.25" customHeight="1" x14ac:dyDescent="0.35"/>
    <row r="430" customFormat="1" ht="14.25" customHeight="1" x14ac:dyDescent="0.35"/>
    <row r="431" customFormat="1" ht="14.25" customHeight="1" x14ac:dyDescent="0.35"/>
    <row r="432" customFormat="1" ht="14.25" customHeight="1" x14ac:dyDescent="0.35"/>
    <row r="433" customFormat="1" ht="14.25" customHeight="1" x14ac:dyDescent="0.35"/>
    <row r="434" customFormat="1" ht="14.25" customHeight="1" x14ac:dyDescent="0.35"/>
    <row r="435" customFormat="1" ht="14.25" customHeight="1" x14ac:dyDescent="0.35"/>
    <row r="436" customFormat="1" ht="14.25" customHeight="1" x14ac:dyDescent="0.35"/>
    <row r="437" customFormat="1" ht="14.25" customHeight="1" x14ac:dyDescent="0.35"/>
    <row r="438" customFormat="1" ht="14.25" customHeight="1" x14ac:dyDescent="0.35"/>
    <row r="439" customFormat="1" ht="14.25" customHeight="1" x14ac:dyDescent="0.35"/>
    <row r="440" customFormat="1" ht="14.25" customHeight="1" x14ac:dyDescent="0.35"/>
    <row r="441" customFormat="1" ht="14.25" customHeight="1" x14ac:dyDescent="0.35"/>
    <row r="442" customFormat="1" ht="14.25" customHeight="1" x14ac:dyDescent="0.35"/>
    <row r="443" customFormat="1" ht="14.25" customHeight="1" x14ac:dyDescent="0.35"/>
    <row r="444" customFormat="1" ht="14.25" customHeight="1" x14ac:dyDescent="0.35"/>
    <row r="445" customFormat="1" ht="14.25" customHeight="1" x14ac:dyDescent="0.35"/>
    <row r="446" customFormat="1" ht="14.25" customHeight="1" x14ac:dyDescent="0.35"/>
    <row r="447" customFormat="1" ht="14.25" customHeight="1" x14ac:dyDescent="0.35"/>
    <row r="448" customFormat="1" ht="14.25" customHeight="1" x14ac:dyDescent="0.35"/>
    <row r="449" customFormat="1" ht="14.25" customHeight="1" x14ac:dyDescent="0.35"/>
    <row r="450" customFormat="1" ht="14.25" customHeight="1" x14ac:dyDescent="0.35"/>
    <row r="451" customFormat="1" ht="14.25" customHeight="1" x14ac:dyDescent="0.35"/>
    <row r="452" customFormat="1" ht="14.25" customHeight="1" x14ac:dyDescent="0.35"/>
    <row r="453" customFormat="1" ht="14.25" customHeight="1" x14ac:dyDescent="0.35"/>
    <row r="454" customFormat="1" ht="14.25" customHeight="1" x14ac:dyDescent="0.35"/>
    <row r="455" customFormat="1" ht="14.25" customHeight="1" x14ac:dyDescent="0.35"/>
    <row r="456" customFormat="1" ht="14.25" customHeight="1" x14ac:dyDescent="0.35"/>
    <row r="457" customFormat="1" ht="14.25" customHeight="1" x14ac:dyDescent="0.35"/>
    <row r="458" customFormat="1" ht="14.25" customHeight="1" x14ac:dyDescent="0.35"/>
    <row r="459" customFormat="1" ht="14.25" customHeight="1" x14ac:dyDescent="0.35"/>
    <row r="460" customFormat="1" ht="14.25" customHeight="1" x14ac:dyDescent="0.35"/>
    <row r="461" customFormat="1" ht="14.25" customHeight="1" x14ac:dyDescent="0.35"/>
    <row r="462" customFormat="1" ht="14.25" customHeight="1" x14ac:dyDescent="0.35"/>
    <row r="463" customFormat="1" ht="14.25" customHeight="1" x14ac:dyDescent="0.35"/>
    <row r="464" customFormat="1" ht="14.25" customHeight="1" x14ac:dyDescent="0.35"/>
    <row r="465" customFormat="1" ht="14.25" customHeight="1" x14ac:dyDescent="0.35"/>
    <row r="466" customFormat="1" ht="14.25" customHeight="1" x14ac:dyDescent="0.35"/>
    <row r="467" customFormat="1" ht="14.25" customHeight="1" x14ac:dyDescent="0.35"/>
    <row r="468" customFormat="1" ht="14.25" customHeight="1" x14ac:dyDescent="0.35"/>
    <row r="469" customFormat="1" ht="14.25" customHeight="1" x14ac:dyDescent="0.35"/>
    <row r="470" customFormat="1" ht="14.25" customHeight="1" x14ac:dyDescent="0.35"/>
    <row r="471" customFormat="1" ht="14.25" customHeight="1" x14ac:dyDescent="0.35"/>
    <row r="472" customFormat="1" ht="14.25" customHeight="1" x14ac:dyDescent="0.35"/>
    <row r="473" customFormat="1" ht="14.25" customHeight="1" x14ac:dyDescent="0.35"/>
    <row r="474" customFormat="1" ht="14.25" customHeight="1" x14ac:dyDescent="0.35"/>
    <row r="475" customFormat="1" ht="14.25" customHeight="1" x14ac:dyDescent="0.35"/>
    <row r="476" customFormat="1" ht="14.25" customHeight="1" x14ac:dyDescent="0.35"/>
    <row r="477" customFormat="1" ht="14.25" customHeight="1" x14ac:dyDescent="0.35"/>
    <row r="478" customFormat="1" ht="14.25" customHeight="1" x14ac:dyDescent="0.35"/>
    <row r="479" customFormat="1" ht="14.25" customHeight="1" x14ac:dyDescent="0.35"/>
    <row r="480" customFormat="1" ht="14.25" customHeight="1" x14ac:dyDescent="0.35"/>
    <row r="481" customFormat="1" ht="14.25" customHeight="1" x14ac:dyDescent="0.35"/>
    <row r="482" customFormat="1" ht="14.25" customHeight="1" x14ac:dyDescent="0.35"/>
    <row r="483" customFormat="1" ht="14.25" customHeight="1" x14ac:dyDescent="0.35"/>
    <row r="484" customFormat="1" ht="14.25" customHeight="1" x14ac:dyDescent="0.35"/>
    <row r="485" customFormat="1" ht="14.25" customHeight="1" x14ac:dyDescent="0.35"/>
    <row r="486" customFormat="1" ht="14.25" customHeight="1" x14ac:dyDescent="0.35"/>
    <row r="487" customFormat="1" ht="14.25" customHeight="1" x14ac:dyDescent="0.35"/>
    <row r="488" customFormat="1" ht="14.25" customHeight="1" x14ac:dyDescent="0.35"/>
    <row r="489" customFormat="1" ht="14.25" customHeight="1" x14ac:dyDescent="0.35"/>
    <row r="490" customFormat="1" ht="14.25" customHeight="1" x14ac:dyDescent="0.35"/>
    <row r="491" customFormat="1" ht="14.25" customHeight="1" x14ac:dyDescent="0.35"/>
    <row r="492" customFormat="1" ht="14.25" customHeight="1" x14ac:dyDescent="0.35"/>
    <row r="493" customFormat="1" ht="14.25" customHeight="1" x14ac:dyDescent="0.35"/>
    <row r="494" customFormat="1" ht="14.25" customHeight="1" x14ac:dyDescent="0.35"/>
    <row r="495" customFormat="1" ht="14.25" customHeight="1" x14ac:dyDescent="0.35"/>
    <row r="496" customFormat="1" ht="14.25" customHeight="1" x14ac:dyDescent="0.35"/>
    <row r="497" customFormat="1" ht="14.25" customHeight="1" x14ac:dyDescent="0.35"/>
    <row r="498" customFormat="1" ht="14.25" customHeight="1" x14ac:dyDescent="0.35"/>
    <row r="499" customFormat="1" ht="14.25" customHeight="1" x14ac:dyDescent="0.35"/>
    <row r="500" customFormat="1" ht="14.25" customHeight="1" x14ac:dyDescent="0.35"/>
    <row r="501" customFormat="1" ht="14.25" customHeight="1" x14ac:dyDescent="0.35"/>
    <row r="502" customFormat="1" ht="14.25" customHeight="1" x14ac:dyDescent="0.35"/>
    <row r="503" customFormat="1" ht="14.25" customHeight="1" x14ac:dyDescent="0.35"/>
    <row r="504" customFormat="1" ht="14.25" customHeight="1" x14ac:dyDescent="0.35"/>
    <row r="505" customFormat="1" ht="14.25" customHeight="1" x14ac:dyDescent="0.35"/>
    <row r="506" customFormat="1" ht="14.25" customHeight="1" x14ac:dyDescent="0.35"/>
    <row r="507" customFormat="1" ht="14.25" customHeight="1" x14ac:dyDescent="0.35"/>
    <row r="508" customFormat="1" ht="14.25" customHeight="1" x14ac:dyDescent="0.35"/>
    <row r="509" customFormat="1" ht="14.25" customHeight="1" x14ac:dyDescent="0.35"/>
    <row r="510" customFormat="1" ht="14.25" customHeight="1" x14ac:dyDescent="0.35"/>
    <row r="511" customFormat="1" ht="14.25" customHeight="1" x14ac:dyDescent="0.35"/>
    <row r="512" customFormat="1" ht="14.25" customHeight="1" x14ac:dyDescent="0.35"/>
    <row r="513" customFormat="1" ht="14.25" customHeight="1" x14ac:dyDescent="0.35"/>
    <row r="514" customFormat="1" ht="14.25" customHeight="1" x14ac:dyDescent="0.35"/>
    <row r="515" customFormat="1" ht="14.25" customHeight="1" x14ac:dyDescent="0.35"/>
    <row r="516" customFormat="1" ht="14.25" customHeight="1" x14ac:dyDescent="0.35"/>
    <row r="517" customFormat="1" ht="14.25" customHeight="1" x14ac:dyDescent="0.35"/>
    <row r="518" customFormat="1" ht="14.25" customHeight="1" x14ac:dyDescent="0.35"/>
    <row r="519" customFormat="1" ht="14.25" customHeight="1" x14ac:dyDescent="0.35"/>
    <row r="520" customFormat="1" ht="14.25" customHeight="1" x14ac:dyDescent="0.35"/>
    <row r="521" customFormat="1" ht="14.25" customHeight="1" x14ac:dyDescent="0.35"/>
    <row r="522" customFormat="1" ht="14.25" customHeight="1" x14ac:dyDescent="0.35"/>
    <row r="523" customFormat="1" ht="14.25" customHeight="1" x14ac:dyDescent="0.35"/>
    <row r="524" customFormat="1" ht="14.25" customHeight="1" x14ac:dyDescent="0.35"/>
    <row r="525" customFormat="1" ht="14.25" customHeight="1" x14ac:dyDescent="0.35"/>
    <row r="526" customFormat="1" ht="14.25" customHeight="1" x14ac:dyDescent="0.35"/>
    <row r="527" customFormat="1" ht="14.25" customHeight="1" x14ac:dyDescent="0.35"/>
    <row r="528" customFormat="1" ht="14.25" customHeight="1" x14ac:dyDescent="0.35"/>
    <row r="529" customFormat="1" ht="14.25" customHeight="1" x14ac:dyDescent="0.35"/>
    <row r="530" customFormat="1" ht="14.25" customHeight="1" x14ac:dyDescent="0.35"/>
    <row r="531" customFormat="1" ht="14.25" customHeight="1" x14ac:dyDescent="0.35"/>
    <row r="532" customFormat="1" ht="14.25" customHeight="1" x14ac:dyDescent="0.35"/>
    <row r="533" customFormat="1" ht="14.25" customHeight="1" x14ac:dyDescent="0.35"/>
    <row r="534" customFormat="1" ht="14.25" customHeight="1" x14ac:dyDescent="0.35"/>
    <row r="535" customFormat="1" ht="14.25" customHeight="1" x14ac:dyDescent="0.35"/>
    <row r="536" customFormat="1" ht="14.25" customHeight="1" x14ac:dyDescent="0.35"/>
    <row r="537" customFormat="1" ht="14.25" customHeight="1" x14ac:dyDescent="0.35"/>
    <row r="538" customFormat="1" ht="14.25" customHeight="1" x14ac:dyDescent="0.35"/>
    <row r="539" customFormat="1" ht="14.25" customHeight="1" x14ac:dyDescent="0.35"/>
    <row r="540" customFormat="1" ht="14.25" customHeight="1" x14ac:dyDescent="0.35"/>
    <row r="541" customFormat="1" ht="14.25" customHeight="1" x14ac:dyDescent="0.35"/>
    <row r="542" customFormat="1" ht="14.25" customHeight="1" x14ac:dyDescent="0.35"/>
    <row r="543" customFormat="1" ht="14.25" customHeight="1" x14ac:dyDescent="0.35"/>
    <row r="544" customFormat="1" ht="14.25" customHeight="1" x14ac:dyDescent="0.35"/>
    <row r="545" customFormat="1" ht="14.25" customHeight="1" x14ac:dyDescent="0.35"/>
    <row r="546" customFormat="1" ht="14.25" customHeight="1" x14ac:dyDescent="0.35"/>
    <row r="547" customFormat="1" ht="14.25" customHeight="1" x14ac:dyDescent="0.35"/>
    <row r="548" customFormat="1" ht="14.25" customHeight="1" x14ac:dyDescent="0.35"/>
    <row r="549" customFormat="1" ht="14.25" customHeight="1" x14ac:dyDescent="0.35"/>
    <row r="550" customFormat="1" ht="14.25" customHeight="1" x14ac:dyDescent="0.35"/>
    <row r="551" customFormat="1" ht="14.25" customHeight="1" x14ac:dyDescent="0.35"/>
    <row r="552" customFormat="1" ht="14.25" customHeight="1" x14ac:dyDescent="0.35"/>
    <row r="553" customFormat="1" ht="14.25" customHeight="1" x14ac:dyDescent="0.35"/>
    <row r="554" customFormat="1" ht="14.25" customHeight="1" x14ac:dyDescent="0.35"/>
    <row r="555" customFormat="1" ht="14.25" customHeight="1" x14ac:dyDescent="0.35"/>
    <row r="556" customFormat="1" ht="14.25" customHeight="1" x14ac:dyDescent="0.35"/>
    <row r="557" customFormat="1" ht="14.25" customHeight="1" x14ac:dyDescent="0.35"/>
    <row r="558" customFormat="1" ht="14.25" customHeight="1" x14ac:dyDescent="0.35"/>
    <row r="559" customFormat="1" ht="14.25" customHeight="1" x14ac:dyDescent="0.35"/>
    <row r="560" customFormat="1" ht="14.25" customHeight="1" x14ac:dyDescent="0.35"/>
    <row r="561" customFormat="1" ht="14.25" customHeight="1" x14ac:dyDescent="0.35"/>
    <row r="562" customFormat="1" ht="14.25" customHeight="1" x14ac:dyDescent="0.35"/>
    <row r="563" customFormat="1" ht="14.25" customHeight="1" x14ac:dyDescent="0.35"/>
    <row r="564" customFormat="1" ht="14.25" customHeight="1" x14ac:dyDescent="0.35"/>
    <row r="565" customFormat="1" ht="14.25" customHeight="1" x14ac:dyDescent="0.35"/>
    <row r="566" customFormat="1" ht="14.25" customHeight="1" x14ac:dyDescent="0.35"/>
    <row r="567" customFormat="1" ht="14.25" customHeight="1" x14ac:dyDescent="0.35"/>
    <row r="568" customFormat="1" ht="14.25" customHeight="1" x14ac:dyDescent="0.35"/>
    <row r="569" customFormat="1" ht="14.25" customHeight="1" x14ac:dyDescent="0.35"/>
    <row r="570" customFormat="1" ht="14.25" customHeight="1" x14ac:dyDescent="0.35"/>
    <row r="571" customFormat="1" ht="14.25" customHeight="1" x14ac:dyDescent="0.35"/>
    <row r="572" customFormat="1" ht="14.25" customHeight="1" x14ac:dyDescent="0.35"/>
    <row r="573" customFormat="1" ht="14.25" customHeight="1" x14ac:dyDescent="0.35"/>
    <row r="574" customFormat="1" ht="14.25" customHeight="1" x14ac:dyDescent="0.35"/>
    <row r="575" customFormat="1" ht="14.25" customHeight="1" x14ac:dyDescent="0.35"/>
    <row r="576" customFormat="1" ht="14.25" customHeight="1" x14ac:dyDescent="0.35"/>
    <row r="577" customFormat="1" ht="14.25" customHeight="1" x14ac:dyDescent="0.35"/>
    <row r="578" customFormat="1" ht="14.25" customHeight="1" x14ac:dyDescent="0.35"/>
    <row r="579" customFormat="1" ht="14.25" customHeight="1" x14ac:dyDescent="0.35"/>
    <row r="580" customFormat="1" ht="14.25" customHeight="1" x14ac:dyDescent="0.35"/>
    <row r="581" customFormat="1" ht="14.25" customHeight="1" x14ac:dyDescent="0.35"/>
    <row r="582" customFormat="1" ht="14.25" customHeight="1" x14ac:dyDescent="0.35"/>
    <row r="583" customFormat="1" ht="14.25" customHeight="1" x14ac:dyDescent="0.35"/>
    <row r="584" customFormat="1" ht="14.25" customHeight="1" x14ac:dyDescent="0.35"/>
    <row r="585" customFormat="1" ht="14.25" customHeight="1" x14ac:dyDescent="0.35"/>
    <row r="586" customFormat="1" ht="14.25" customHeight="1" x14ac:dyDescent="0.35"/>
    <row r="587" customFormat="1" ht="14.25" customHeight="1" x14ac:dyDescent="0.35"/>
    <row r="588" customFormat="1" ht="14.25" customHeight="1" x14ac:dyDescent="0.35"/>
    <row r="589" customFormat="1" ht="14.25" customHeight="1" x14ac:dyDescent="0.35"/>
    <row r="590" customFormat="1" ht="14.25" customHeight="1" x14ac:dyDescent="0.35"/>
    <row r="591" customFormat="1" ht="14.25" customHeight="1" x14ac:dyDescent="0.35"/>
    <row r="592" customFormat="1" ht="14.25" customHeight="1" x14ac:dyDescent="0.35"/>
    <row r="593" customFormat="1" ht="14.25" customHeight="1" x14ac:dyDescent="0.35"/>
    <row r="594" customFormat="1" ht="14.25" customHeight="1" x14ac:dyDescent="0.35"/>
    <row r="595" customFormat="1" ht="14.25" customHeight="1" x14ac:dyDescent="0.35"/>
    <row r="596" customFormat="1" ht="14.25" customHeight="1" x14ac:dyDescent="0.35"/>
    <row r="597" customFormat="1" ht="14.25" customHeight="1" x14ac:dyDescent="0.35"/>
    <row r="598" customFormat="1" ht="14.25" customHeight="1" x14ac:dyDescent="0.35"/>
    <row r="599" customFormat="1" ht="14.25" customHeight="1" x14ac:dyDescent="0.35"/>
    <row r="600" customFormat="1" ht="14.25" customHeight="1" x14ac:dyDescent="0.35"/>
    <row r="601" customFormat="1" ht="14.25" customHeight="1" x14ac:dyDescent="0.35"/>
    <row r="602" customFormat="1" ht="14.25" customHeight="1" x14ac:dyDescent="0.35"/>
    <row r="603" customFormat="1" ht="14.25" customHeight="1" x14ac:dyDescent="0.35"/>
    <row r="604" customFormat="1" ht="14.25" customHeight="1" x14ac:dyDescent="0.35"/>
    <row r="605" customFormat="1" ht="14.25" customHeight="1" x14ac:dyDescent="0.35"/>
    <row r="606" customFormat="1" ht="14.25" customHeight="1" x14ac:dyDescent="0.35"/>
    <row r="607" customFormat="1" ht="14.25" customHeight="1" x14ac:dyDescent="0.35"/>
    <row r="608" customFormat="1" ht="14.25" customHeight="1" x14ac:dyDescent="0.35"/>
    <row r="609" customFormat="1" ht="14.25" customHeight="1" x14ac:dyDescent="0.35"/>
    <row r="610" customFormat="1" ht="14.25" customHeight="1" x14ac:dyDescent="0.35"/>
    <row r="611" customFormat="1" ht="14.25" customHeight="1" x14ac:dyDescent="0.35"/>
    <row r="612" customFormat="1" ht="14.25" customHeight="1" x14ac:dyDescent="0.35"/>
    <row r="613" customFormat="1" ht="14.25" customHeight="1" x14ac:dyDescent="0.35"/>
    <row r="614" customFormat="1" ht="14.25" customHeight="1" x14ac:dyDescent="0.35"/>
    <row r="615" customFormat="1" ht="14.25" customHeight="1" x14ac:dyDescent="0.35"/>
    <row r="616" customFormat="1" ht="14.25" customHeight="1" x14ac:dyDescent="0.35"/>
    <row r="617" customFormat="1" ht="14.25" customHeight="1" x14ac:dyDescent="0.35"/>
    <row r="618" customFormat="1" ht="14.25" customHeight="1" x14ac:dyDescent="0.35"/>
    <row r="619" customFormat="1" ht="14.25" customHeight="1" x14ac:dyDescent="0.35"/>
    <row r="620" customFormat="1" ht="14.25" customHeight="1" x14ac:dyDescent="0.35"/>
    <row r="621" customFormat="1" ht="14.25" customHeight="1" x14ac:dyDescent="0.35"/>
    <row r="622" customFormat="1" ht="14.25" customHeight="1" x14ac:dyDescent="0.35"/>
    <row r="623" customFormat="1" ht="14.25" customHeight="1" x14ac:dyDescent="0.35"/>
    <row r="624" customFormat="1" ht="14.25" customHeight="1" x14ac:dyDescent="0.35"/>
    <row r="625" customFormat="1" ht="14.25" customHeight="1" x14ac:dyDescent="0.35"/>
    <row r="626" customFormat="1" ht="14.25" customHeight="1" x14ac:dyDescent="0.35"/>
    <row r="627" customFormat="1" ht="14.25" customHeight="1" x14ac:dyDescent="0.35"/>
    <row r="628" customFormat="1" ht="14.25" customHeight="1" x14ac:dyDescent="0.35"/>
    <row r="629" customFormat="1" ht="14.25" customHeight="1" x14ac:dyDescent="0.35"/>
    <row r="630" customFormat="1" ht="14.25" customHeight="1" x14ac:dyDescent="0.35"/>
    <row r="631" customFormat="1" ht="14.25" customHeight="1" x14ac:dyDescent="0.35"/>
    <row r="632" customFormat="1" ht="14.25" customHeight="1" x14ac:dyDescent="0.35"/>
    <row r="633" customFormat="1" ht="14.25" customHeight="1" x14ac:dyDescent="0.35"/>
    <row r="634" customFormat="1" ht="14.25" customHeight="1" x14ac:dyDescent="0.35"/>
    <row r="635" customFormat="1" ht="14.25" customHeight="1" x14ac:dyDescent="0.35"/>
    <row r="636" customFormat="1" ht="14.25" customHeight="1" x14ac:dyDescent="0.35"/>
    <row r="637" customFormat="1" ht="14.25" customHeight="1" x14ac:dyDescent="0.35"/>
    <row r="638" customFormat="1" ht="14.25" customHeight="1" x14ac:dyDescent="0.35"/>
    <row r="639" customFormat="1" ht="14.25" customHeight="1" x14ac:dyDescent="0.35"/>
    <row r="640" customFormat="1" ht="14.25" customHeight="1" x14ac:dyDescent="0.35"/>
    <row r="641" customFormat="1" ht="14.25" customHeight="1" x14ac:dyDescent="0.35"/>
    <row r="642" customFormat="1" ht="14.25" customHeight="1" x14ac:dyDescent="0.35"/>
    <row r="643" customFormat="1" ht="14.25" customHeight="1" x14ac:dyDescent="0.35"/>
    <row r="644" customFormat="1" ht="14.25" customHeight="1" x14ac:dyDescent="0.35"/>
    <row r="645" customFormat="1" ht="14.25" customHeight="1" x14ac:dyDescent="0.35"/>
    <row r="646" customFormat="1" ht="14.25" customHeight="1" x14ac:dyDescent="0.35"/>
    <row r="647" customFormat="1" ht="14.25" customHeight="1" x14ac:dyDescent="0.35"/>
    <row r="648" customFormat="1" ht="14.25" customHeight="1" x14ac:dyDescent="0.35"/>
    <row r="649" customFormat="1" ht="14.25" customHeight="1" x14ac:dyDescent="0.35"/>
    <row r="650" customFormat="1" ht="14.25" customHeight="1" x14ac:dyDescent="0.35"/>
    <row r="651" customFormat="1" ht="14.25" customHeight="1" x14ac:dyDescent="0.35"/>
    <row r="652" customFormat="1" ht="14.25" customHeight="1" x14ac:dyDescent="0.35"/>
    <row r="653" customFormat="1" ht="14.25" customHeight="1" x14ac:dyDescent="0.35"/>
    <row r="654" customFormat="1" ht="14.25" customHeight="1" x14ac:dyDescent="0.35"/>
    <row r="655" customFormat="1" ht="14.25" customHeight="1" x14ac:dyDescent="0.35"/>
    <row r="656" customFormat="1" ht="14.25" customHeight="1" x14ac:dyDescent="0.35"/>
    <row r="657" customFormat="1" ht="14.25" customHeight="1" x14ac:dyDescent="0.35"/>
    <row r="658" customFormat="1" ht="14.25" customHeight="1" x14ac:dyDescent="0.35"/>
    <row r="659" customFormat="1" ht="14.25" customHeight="1" x14ac:dyDescent="0.35"/>
    <row r="660" customFormat="1" ht="14.25" customHeight="1" x14ac:dyDescent="0.35"/>
    <row r="661" customFormat="1" ht="14.25" customHeight="1" x14ac:dyDescent="0.35"/>
    <row r="662" customFormat="1" ht="14.25" customHeight="1" x14ac:dyDescent="0.35"/>
    <row r="663" customFormat="1" ht="14.25" customHeight="1" x14ac:dyDescent="0.35"/>
    <row r="664" customFormat="1" ht="14.25" customHeight="1" x14ac:dyDescent="0.35"/>
    <row r="665" customFormat="1" ht="14.25" customHeight="1" x14ac:dyDescent="0.35"/>
    <row r="666" customFormat="1" ht="14.25" customHeight="1" x14ac:dyDescent="0.35"/>
    <row r="667" customFormat="1" ht="14.25" customHeight="1" x14ac:dyDescent="0.35"/>
    <row r="668" customFormat="1" ht="14.25" customHeight="1" x14ac:dyDescent="0.35"/>
    <row r="669" customFormat="1" ht="14.25" customHeight="1" x14ac:dyDescent="0.35"/>
    <row r="670" customFormat="1" ht="14.25" customHeight="1" x14ac:dyDescent="0.35"/>
    <row r="671" customFormat="1" ht="14.25" customHeight="1" x14ac:dyDescent="0.35"/>
    <row r="672" customFormat="1" ht="14.25" customHeight="1" x14ac:dyDescent="0.35"/>
    <row r="673" customFormat="1" ht="14.25" customHeight="1" x14ac:dyDescent="0.35"/>
    <row r="674" customFormat="1" ht="14.25" customHeight="1" x14ac:dyDescent="0.35"/>
    <row r="675" customFormat="1" ht="14.25" customHeight="1" x14ac:dyDescent="0.35"/>
    <row r="676" customFormat="1" ht="14.25" customHeight="1" x14ac:dyDescent="0.35"/>
    <row r="677" customFormat="1" ht="14.25" customHeight="1" x14ac:dyDescent="0.35"/>
    <row r="678" customFormat="1" ht="14.25" customHeight="1" x14ac:dyDescent="0.35"/>
    <row r="679" customFormat="1" ht="14.25" customHeight="1" x14ac:dyDescent="0.35"/>
    <row r="680" customFormat="1" ht="14.25" customHeight="1" x14ac:dyDescent="0.35"/>
    <row r="681" customFormat="1" ht="14.25" customHeight="1" x14ac:dyDescent="0.35"/>
    <row r="682" customFormat="1" ht="14.25" customHeight="1" x14ac:dyDescent="0.35"/>
    <row r="683" customFormat="1" ht="14.25" customHeight="1" x14ac:dyDescent="0.35"/>
    <row r="684" customFormat="1" ht="14.25" customHeight="1" x14ac:dyDescent="0.35"/>
    <row r="685" customFormat="1" ht="14.25" customHeight="1" x14ac:dyDescent="0.35"/>
    <row r="686" customFormat="1" ht="14.25" customHeight="1" x14ac:dyDescent="0.35"/>
    <row r="687" customFormat="1" ht="14.25" customHeight="1" x14ac:dyDescent="0.35"/>
    <row r="688" customFormat="1" ht="14.25" customHeight="1" x14ac:dyDescent="0.35"/>
    <row r="689" customFormat="1" ht="14.25" customHeight="1" x14ac:dyDescent="0.35"/>
    <row r="690" customFormat="1" ht="14.25" customHeight="1" x14ac:dyDescent="0.35"/>
    <row r="691" customFormat="1" ht="14.25" customHeight="1" x14ac:dyDescent="0.35"/>
    <row r="692" customFormat="1" ht="14.25" customHeight="1" x14ac:dyDescent="0.35"/>
    <row r="693" customFormat="1" ht="14.25" customHeight="1" x14ac:dyDescent="0.35"/>
    <row r="694" customFormat="1" ht="14.25" customHeight="1" x14ac:dyDescent="0.35"/>
    <row r="695" customFormat="1" ht="14.25" customHeight="1" x14ac:dyDescent="0.35"/>
    <row r="696" customFormat="1" ht="14.25" customHeight="1" x14ac:dyDescent="0.35"/>
    <row r="697" customFormat="1" ht="14.25" customHeight="1" x14ac:dyDescent="0.35"/>
    <row r="698" customFormat="1" ht="14.25" customHeight="1" x14ac:dyDescent="0.35"/>
    <row r="699" customFormat="1" ht="14.25" customHeight="1" x14ac:dyDescent="0.35"/>
    <row r="700" customFormat="1" ht="14.25" customHeight="1" x14ac:dyDescent="0.35"/>
    <row r="701" customFormat="1" ht="14.25" customHeight="1" x14ac:dyDescent="0.35"/>
    <row r="702" customFormat="1" ht="14.25" customHeight="1" x14ac:dyDescent="0.35"/>
    <row r="703" customFormat="1" ht="14.25" customHeight="1" x14ac:dyDescent="0.35"/>
    <row r="704" customFormat="1" ht="14.25" customHeight="1" x14ac:dyDescent="0.35"/>
    <row r="705" customFormat="1" ht="14.25" customHeight="1" x14ac:dyDescent="0.35"/>
    <row r="706" customFormat="1" ht="14.25" customHeight="1" x14ac:dyDescent="0.35"/>
    <row r="707" customFormat="1" ht="14.25" customHeight="1" x14ac:dyDescent="0.35"/>
    <row r="708" customFormat="1" ht="14.25" customHeight="1" x14ac:dyDescent="0.35"/>
    <row r="709" customFormat="1" ht="14.25" customHeight="1" x14ac:dyDescent="0.35"/>
    <row r="710" customFormat="1" ht="14.25" customHeight="1" x14ac:dyDescent="0.35"/>
    <row r="711" customFormat="1" ht="14.25" customHeight="1" x14ac:dyDescent="0.35"/>
    <row r="712" customFormat="1" ht="14.25" customHeight="1" x14ac:dyDescent="0.35"/>
    <row r="713" customFormat="1" ht="14.25" customHeight="1" x14ac:dyDescent="0.35"/>
    <row r="714" customFormat="1" ht="14.25" customHeight="1" x14ac:dyDescent="0.35"/>
    <row r="715" customFormat="1" ht="14.25" customHeight="1" x14ac:dyDescent="0.35"/>
    <row r="716" customFormat="1" ht="14.25" customHeight="1" x14ac:dyDescent="0.35"/>
    <row r="717" customFormat="1" ht="14.25" customHeight="1" x14ac:dyDescent="0.35"/>
    <row r="718" customFormat="1" ht="14.25" customHeight="1" x14ac:dyDescent="0.35"/>
    <row r="719" customFormat="1" ht="14.25" customHeight="1" x14ac:dyDescent="0.35"/>
    <row r="720" customFormat="1" ht="14.25" customHeight="1" x14ac:dyDescent="0.35"/>
    <row r="721" customFormat="1" ht="14.25" customHeight="1" x14ac:dyDescent="0.35"/>
    <row r="722" customFormat="1" ht="14.25" customHeight="1" x14ac:dyDescent="0.35"/>
    <row r="723" customFormat="1" ht="14.25" customHeight="1" x14ac:dyDescent="0.35"/>
    <row r="724" customFormat="1" ht="14.25" customHeight="1" x14ac:dyDescent="0.35"/>
    <row r="725" customFormat="1" ht="14.25" customHeight="1" x14ac:dyDescent="0.35"/>
    <row r="726" customFormat="1" ht="14.25" customHeight="1" x14ac:dyDescent="0.35"/>
    <row r="727" customFormat="1" ht="14.25" customHeight="1" x14ac:dyDescent="0.35"/>
    <row r="728" customFormat="1" ht="14.25" customHeight="1" x14ac:dyDescent="0.35"/>
    <row r="729" customFormat="1" ht="14.25" customHeight="1" x14ac:dyDescent="0.35"/>
    <row r="730" customFormat="1" ht="14.25" customHeight="1" x14ac:dyDescent="0.35"/>
    <row r="731" customFormat="1" ht="14.25" customHeight="1" x14ac:dyDescent="0.35"/>
    <row r="732" customFormat="1" ht="14.25" customHeight="1" x14ac:dyDescent="0.35"/>
    <row r="733" customFormat="1" ht="14.25" customHeight="1" x14ac:dyDescent="0.35"/>
    <row r="734" customFormat="1" ht="14.25" customHeight="1" x14ac:dyDescent="0.35"/>
    <row r="735" customFormat="1" ht="14.25" customHeight="1" x14ac:dyDescent="0.35"/>
    <row r="736" customFormat="1" ht="14.25" customHeight="1" x14ac:dyDescent="0.35"/>
    <row r="737" customFormat="1" ht="14.25" customHeight="1" x14ac:dyDescent="0.35"/>
    <row r="738" customFormat="1" ht="14.25" customHeight="1" x14ac:dyDescent="0.35"/>
    <row r="739" customFormat="1" ht="14.25" customHeight="1" x14ac:dyDescent="0.35"/>
    <row r="740" customFormat="1" ht="14.25" customHeight="1" x14ac:dyDescent="0.35"/>
    <row r="741" customFormat="1" ht="14.25" customHeight="1" x14ac:dyDescent="0.35"/>
    <row r="742" customFormat="1" ht="14.25" customHeight="1" x14ac:dyDescent="0.35"/>
    <row r="743" customFormat="1" ht="14.25" customHeight="1" x14ac:dyDescent="0.35"/>
    <row r="744" customFormat="1" ht="14.25" customHeight="1" x14ac:dyDescent="0.35"/>
    <row r="745" customFormat="1" ht="14.25" customHeight="1" x14ac:dyDescent="0.35"/>
    <row r="746" customFormat="1" ht="14.25" customHeight="1" x14ac:dyDescent="0.35"/>
    <row r="747" customFormat="1" ht="14.25" customHeight="1" x14ac:dyDescent="0.35"/>
    <row r="748" customFormat="1" ht="14.25" customHeight="1" x14ac:dyDescent="0.35"/>
    <row r="749" customFormat="1" ht="14.25" customHeight="1" x14ac:dyDescent="0.35"/>
    <row r="750" customFormat="1" ht="14.25" customHeight="1" x14ac:dyDescent="0.35"/>
    <row r="751" customFormat="1" ht="14.25" customHeight="1" x14ac:dyDescent="0.35"/>
    <row r="752" customFormat="1" ht="14.25" customHeight="1" x14ac:dyDescent="0.35"/>
    <row r="753" customFormat="1" ht="14.25" customHeight="1" x14ac:dyDescent="0.35"/>
    <row r="754" customFormat="1" ht="14.25" customHeight="1" x14ac:dyDescent="0.35"/>
    <row r="755" customFormat="1" ht="14.25" customHeight="1" x14ac:dyDescent="0.35"/>
    <row r="756" customFormat="1" ht="14.25" customHeight="1" x14ac:dyDescent="0.35"/>
    <row r="757" customFormat="1" ht="14.25" customHeight="1" x14ac:dyDescent="0.35"/>
    <row r="758" customFormat="1" ht="14.25" customHeight="1" x14ac:dyDescent="0.35"/>
    <row r="759" customFormat="1" ht="14.25" customHeight="1" x14ac:dyDescent="0.35"/>
    <row r="760" customFormat="1" ht="14.25" customHeight="1" x14ac:dyDescent="0.35"/>
    <row r="761" customFormat="1" ht="14.25" customHeight="1" x14ac:dyDescent="0.35"/>
    <row r="762" customFormat="1" ht="14.25" customHeight="1" x14ac:dyDescent="0.35"/>
    <row r="763" customFormat="1" ht="14.25" customHeight="1" x14ac:dyDescent="0.35"/>
    <row r="764" customFormat="1" ht="14.25" customHeight="1" x14ac:dyDescent="0.35"/>
    <row r="765" customFormat="1" ht="14.25" customHeight="1" x14ac:dyDescent="0.35"/>
    <row r="766" customFormat="1" ht="14.25" customHeight="1" x14ac:dyDescent="0.35"/>
    <row r="767" customFormat="1" ht="14.25" customHeight="1" x14ac:dyDescent="0.35"/>
    <row r="768" customFormat="1" ht="14.25" customHeight="1" x14ac:dyDescent="0.35"/>
    <row r="769" customFormat="1" ht="14.25" customHeight="1" x14ac:dyDescent="0.35"/>
    <row r="770" customFormat="1" ht="14.25" customHeight="1" x14ac:dyDescent="0.35"/>
    <row r="771" customFormat="1" ht="14.25" customHeight="1" x14ac:dyDescent="0.35"/>
    <row r="772" customFormat="1" ht="14.25" customHeight="1" x14ac:dyDescent="0.35"/>
    <row r="773" customFormat="1" ht="14.25" customHeight="1" x14ac:dyDescent="0.35"/>
    <row r="774" customFormat="1" ht="14.25" customHeight="1" x14ac:dyDescent="0.35"/>
    <row r="775" customFormat="1" ht="14.25" customHeight="1" x14ac:dyDescent="0.35"/>
    <row r="776" customFormat="1" ht="14.25" customHeight="1" x14ac:dyDescent="0.35"/>
    <row r="777" customFormat="1" ht="14.25" customHeight="1" x14ac:dyDescent="0.35"/>
    <row r="778" customFormat="1" ht="14.25" customHeight="1" x14ac:dyDescent="0.35"/>
    <row r="779" customFormat="1" ht="14.25" customHeight="1" x14ac:dyDescent="0.35"/>
    <row r="780" customFormat="1" ht="14.25" customHeight="1" x14ac:dyDescent="0.35"/>
    <row r="781" customFormat="1" ht="14.25" customHeight="1" x14ac:dyDescent="0.35"/>
    <row r="782" customFormat="1" ht="14.25" customHeight="1" x14ac:dyDescent="0.35"/>
    <row r="783" customFormat="1" ht="14.25" customHeight="1" x14ac:dyDescent="0.35"/>
    <row r="784" customFormat="1" ht="14.25" customHeight="1" x14ac:dyDescent="0.35"/>
    <row r="785" customFormat="1" ht="14.25" customHeight="1" x14ac:dyDescent="0.35"/>
    <row r="786" customFormat="1" ht="14.25" customHeight="1" x14ac:dyDescent="0.35"/>
    <row r="787" customFormat="1" ht="14.25" customHeight="1" x14ac:dyDescent="0.35"/>
    <row r="788" customFormat="1" ht="14.25" customHeight="1" x14ac:dyDescent="0.35"/>
    <row r="789" customFormat="1" ht="14.25" customHeight="1" x14ac:dyDescent="0.35"/>
    <row r="790" customFormat="1" ht="14.25" customHeight="1" x14ac:dyDescent="0.35"/>
    <row r="791" customFormat="1" ht="14.25" customHeight="1" x14ac:dyDescent="0.35"/>
    <row r="792" customFormat="1" ht="14.25" customHeight="1" x14ac:dyDescent="0.35"/>
    <row r="793" customFormat="1" ht="14.25" customHeight="1" x14ac:dyDescent="0.35"/>
    <row r="794" customFormat="1" ht="14.25" customHeight="1" x14ac:dyDescent="0.35"/>
    <row r="795" customFormat="1" ht="14.25" customHeight="1" x14ac:dyDescent="0.35"/>
    <row r="796" customFormat="1" ht="14.25" customHeight="1" x14ac:dyDescent="0.35"/>
    <row r="797" customFormat="1" ht="14.25" customHeight="1" x14ac:dyDescent="0.35"/>
    <row r="798" customFormat="1" ht="14.25" customHeight="1" x14ac:dyDescent="0.35"/>
    <row r="799" customFormat="1" ht="14.25" customHeight="1" x14ac:dyDescent="0.35"/>
    <row r="800" customFormat="1" ht="14.25" customHeight="1" x14ac:dyDescent="0.35"/>
    <row r="801" customFormat="1" ht="14.25" customHeight="1" x14ac:dyDescent="0.35"/>
    <row r="802" customFormat="1" ht="14.25" customHeight="1" x14ac:dyDescent="0.35"/>
    <row r="803" customFormat="1" ht="14.25" customHeight="1" x14ac:dyDescent="0.35"/>
    <row r="804" customFormat="1" ht="14.25" customHeight="1" x14ac:dyDescent="0.35"/>
    <row r="805" customFormat="1" ht="14.25" customHeight="1" x14ac:dyDescent="0.35"/>
    <row r="806" customFormat="1" ht="14.25" customHeight="1" x14ac:dyDescent="0.35"/>
    <row r="807" customFormat="1" ht="14.25" customHeight="1" x14ac:dyDescent="0.35"/>
    <row r="808" customFormat="1" ht="14.25" customHeight="1" x14ac:dyDescent="0.35"/>
    <row r="809" customFormat="1" ht="14.25" customHeight="1" x14ac:dyDescent="0.35"/>
    <row r="810" customFormat="1" ht="14.25" customHeight="1" x14ac:dyDescent="0.35"/>
    <row r="811" customFormat="1" ht="14.25" customHeight="1" x14ac:dyDescent="0.35"/>
    <row r="812" customFormat="1" ht="14.25" customHeight="1" x14ac:dyDescent="0.35"/>
    <row r="813" customFormat="1" ht="14.25" customHeight="1" x14ac:dyDescent="0.35"/>
    <row r="814" customFormat="1" ht="14.25" customHeight="1" x14ac:dyDescent="0.35"/>
    <row r="815" customFormat="1" ht="14.25" customHeight="1" x14ac:dyDescent="0.35"/>
    <row r="816" customFormat="1" ht="14.25" customHeight="1" x14ac:dyDescent="0.35"/>
    <row r="817" customFormat="1" ht="14.25" customHeight="1" x14ac:dyDescent="0.35"/>
    <row r="818" customFormat="1" ht="14.25" customHeight="1" x14ac:dyDescent="0.35"/>
    <row r="819" customFormat="1" ht="14.25" customHeight="1" x14ac:dyDescent="0.35"/>
    <row r="820" customFormat="1" ht="14.25" customHeight="1" x14ac:dyDescent="0.35"/>
    <row r="821" customFormat="1" ht="14.25" customHeight="1" x14ac:dyDescent="0.35"/>
    <row r="822" customFormat="1" ht="14.25" customHeight="1" x14ac:dyDescent="0.35"/>
    <row r="823" customFormat="1" ht="14.25" customHeight="1" x14ac:dyDescent="0.35"/>
    <row r="824" customFormat="1" ht="14.25" customHeight="1" x14ac:dyDescent="0.35"/>
    <row r="825" customFormat="1" ht="14.25" customHeight="1" x14ac:dyDescent="0.35"/>
    <row r="826" customFormat="1" ht="14.25" customHeight="1" x14ac:dyDescent="0.35"/>
    <row r="827" customFormat="1" ht="14.25" customHeight="1" x14ac:dyDescent="0.35"/>
    <row r="828" customFormat="1" ht="14.25" customHeight="1" x14ac:dyDescent="0.35"/>
    <row r="829" customFormat="1" ht="14.25" customHeight="1" x14ac:dyDescent="0.35"/>
    <row r="830" customFormat="1" ht="14.25" customHeight="1" x14ac:dyDescent="0.35"/>
    <row r="831" customFormat="1" ht="14.25" customHeight="1" x14ac:dyDescent="0.35"/>
    <row r="832" customFormat="1" ht="14.25" customHeight="1" x14ac:dyDescent="0.35"/>
    <row r="833" customFormat="1" ht="14.25" customHeight="1" x14ac:dyDescent="0.35"/>
    <row r="834" customFormat="1" ht="14.25" customHeight="1" x14ac:dyDescent="0.35"/>
    <row r="835" customFormat="1" ht="14.25" customHeight="1" x14ac:dyDescent="0.35"/>
    <row r="836" customFormat="1" ht="14.25" customHeight="1" x14ac:dyDescent="0.35"/>
    <row r="837" customFormat="1" ht="14.25" customHeight="1" x14ac:dyDescent="0.35"/>
    <row r="838" customFormat="1" ht="14.25" customHeight="1" x14ac:dyDescent="0.35"/>
    <row r="839" customFormat="1" ht="14.25" customHeight="1" x14ac:dyDescent="0.35"/>
    <row r="840" customFormat="1" ht="14.25" customHeight="1" x14ac:dyDescent="0.35"/>
    <row r="841" customFormat="1" ht="14.25" customHeight="1" x14ac:dyDescent="0.35"/>
    <row r="842" customFormat="1" ht="14.25" customHeight="1" x14ac:dyDescent="0.35"/>
    <row r="843" customFormat="1" ht="14.25" customHeight="1" x14ac:dyDescent="0.35"/>
    <row r="844" customFormat="1" ht="14.25" customHeight="1" x14ac:dyDescent="0.35"/>
    <row r="845" customFormat="1" ht="14.25" customHeight="1" x14ac:dyDescent="0.35"/>
    <row r="846" customFormat="1" ht="14.25" customHeight="1" x14ac:dyDescent="0.35"/>
    <row r="847" customFormat="1" ht="14.25" customHeight="1" x14ac:dyDescent="0.35"/>
    <row r="848" customFormat="1" ht="14.25" customHeight="1" x14ac:dyDescent="0.35"/>
    <row r="849" customFormat="1" ht="14.25" customHeight="1" x14ac:dyDescent="0.35"/>
    <row r="850" customFormat="1" ht="14.25" customHeight="1" x14ac:dyDescent="0.35"/>
    <row r="851" customFormat="1" ht="14.25" customHeight="1" x14ac:dyDescent="0.35"/>
    <row r="852" customFormat="1" ht="14.25" customHeight="1" x14ac:dyDescent="0.35"/>
    <row r="853" customFormat="1" ht="14.25" customHeight="1" x14ac:dyDescent="0.35"/>
    <row r="854" customFormat="1" ht="14.25" customHeight="1" x14ac:dyDescent="0.35"/>
    <row r="855" customFormat="1" ht="14.25" customHeight="1" x14ac:dyDescent="0.35"/>
    <row r="856" customFormat="1" ht="14.25" customHeight="1" x14ac:dyDescent="0.35"/>
    <row r="857" customFormat="1" ht="14.25" customHeight="1" x14ac:dyDescent="0.35"/>
    <row r="858" customFormat="1" ht="14.25" customHeight="1" x14ac:dyDescent="0.35"/>
    <row r="859" customFormat="1" ht="14.25" customHeight="1" x14ac:dyDescent="0.35"/>
    <row r="860" customFormat="1" ht="14.25" customHeight="1" x14ac:dyDescent="0.35"/>
    <row r="861" customFormat="1" ht="14.25" customHeight="1" x14ac:dyDescent="0.35"/>
    <row r="862" customFormat="1" ht="14.25" customHeight="1" x14ac:dyDescent="0.35"/>
    <row r="863" customFormat="1" ht="14.25" customHeight="1" x14ac:dyDescent="0.35"/>
    <row r="864" customFormat="1" ht="14.25" customHeight="1" x14ac:dyDescent="0.35"/>
    <row r="865" customFormat="1" ht="14.25" customHeight="1" x14ac:dyDescent="0.35"/>
    <row r="866" customFormat="1" ht="14.25" customHeight="1" x14ac:dyDescent="0.35"/>
    <row r="867" customFormat="1" ht="14.25" customHeight="1" x14ac:dyDescent="0.35"/>
    <row r="868" customFormat="1" ht="14.25" customHeight="1" x14ac:dyDescent="0.35"/>
    <row r="869" customFormat="1" ht="14.25" customHeight="1" x14ac:dyDescent="0.35"/>
    <row r="870" customFormat="1" ht="14.25" customHeight="1" x14ac:dyDescent="0.35"/>
    <row r="871" customFormat="1" ht="14.25" customHeight="1" x14ac:dyDescent="0.35"/>
    <row r="872" customFormat="1" ht="14.25" customHeight="1" x14ac:dyDescent="0.35"/>
    <row r="873" customFormat="1" ht="14.25" customHeight="1" x14ac:dyDescent="0.35"/>
    <row r="874" customFormat="1" ht="14.25" customHeight="1" x14ac:dyDescent="0.35"/>
    <row r="875" customFormat="1" ht="14.25" customHeight="1" x14ac:dyDescent="0.35"/>
    <row r="876" customFormat="1" ht="14.25" customHeight="1" x14ac:dyDescent="0.35"/>
    <row r="877" customFormat="1" ht="14.25" customHeight="1" x14ac:dyDescent="0.35"/>
    <row r="878" customFormat="1" ht="14.25" customHeight="1" x14ac:dyDescent="0.35"/>
    <row r="879" customFormat="1" ht="14.25" customHeight="1" x14ac:dyDescent="0.35"/>
    <row r="880" customFormat="1" ht="14.25" customHeight="1" x14ac:dyDescent="0.35"/>
    <row r="881" customFormat="1" ht="14.25" customHeight="1" x14ac:dyDescent="0.35"/>
    <row r="882" customFormat="1" ht="14.25" customHeight="1" x14ac:dyDescent="0.35"/>
    <row r="883" customFormat="1" ht="14.25" customHeight="1" x14ac:dyDescent="0.35"/>
    <row r="884" customFormat="1" ht="14.25" customHeight="1" x14ac:dyDescent="0.35"/>
    <row r="885" customFormat="1" ht="14.25" customHeight="1" x14ac:dyDescent="0.35"/>
    <row r="886" customFormat="1" ht="14.25" customHeight="1" x14ac:dyDescent="0.35"/>
    <row r="887" customFormat="1" ht="14.25" customHeight="1" x14ac:dyDescent="0.35"/>
    <row r="888" customFormat="1" ht="14.25" customHeight="1" x14ac:dyDescent="0.35"/>
    <row r="889" customFormat="1" ht="14.25" customHeight="1" x14ac:dyDescent="0.35"/>
    <row r="890" customFormat="1" ht="14.25" customHeight="1" x14ac:dyDescent="0.35"/>
    <row r="891" customFormat="1" ht="14.25" customHeight="1" x14ac:dyDescent="0.35"/>
    <row r="892" customFormat="1" ht="14.25" customHeight="1" x14ac:dyDescent="0.35"/>
    <row r="893" customFormat="1" ht="14.25" customHeight="1" x14ac:dyDescent="0.35"/>
    <row r="894" customFormat="1" ht="14.25" customHeight="1" x14ac:dyDescent="0.35"/>
    <row r="895" customFormat="1" ht="14.25" customHeight="1" x14ac:dyDescent="0.35"/>
    <row r="896" customFormat="1" ht="14.25" customHeight="1" x14ac:dyDescent="0.35"/>
    <row r="897" customFormat="1" ht="14.25" customHeight="1" x14ac:dyDescent="0.35"/>
    <row r="898" customFormat="1" ht="14.25" customHeight="1" x14ac:dyDescent="0.35"/>
    <row r="899" customFormat="1" ht="14.25" customHeight="1" x14ac:dyDescent="0.35"/>
    <row r="900" customFormat="1" ht="14.25" customHeight="1" x14ac:dyDescent="0.35"/>
    <row r="901" customFormat="1" ht="14.25" customHeight="1" x14ac:dyDescent="0.35"/>
    <row r="902" customFormat="1" ht="14.25" customHeight="1" x14ac:dyDescent="0.35"/>
    <row r="903" customFormat="1" ht="14.25" customHeight="1" x14ac:dyDescent="0.35"/>
    <row r="904" customFormat="1" ht="14.25" customHeight="1" x14ac:dyDescent="0.35"/>
    <row r="905" customFormat="1" ht="14.25" customHeight="1" x14ac:dyDescent="0.35"/>
    <row r="906" customFormat="1" ht="14.25" customHeight="1" x14ac:dyDescent="0.35"/>
    <row r="907" customFormat="1" ht="14.25" customHeight="1" x14ac:dyDescent="0.35"/>
    <row r="908" customFormat="1" ht="14.25" customHeight="1" x14ac:dyDescent="0.35"/>
    <row r="909" customFormat="1" ht="14.25" customHeight="1" x14ac:dyDescent="0.35"/>
    <row r="910" customFormat="1" ht="14.25" customHeight="1" x14ac:dyDescent="0.35"/>
    <row r="911" customFormat="1" ht="14.25" customHeight="1" x14ac:dyDescent="0.35"/>
    <row r="912" customFormat="1" ht="14.25" customHeight="1" x14ac:dyDescent="0.35"/>
    <row r="913" customFormat="1" ht="14.25" customHeight="1" x14ac:dyDescent="0.35"/>
    <row r="914" customFormat="1" ht="14.25" customHeight="1" x14ac:dyDescent="0.35"/>
    <row r="915" customFormat="1" ht="14.25" customHeight="1" x14ac:dyDescent="0.35"/>
    <row r="916" customFormat="1" ht="14.25" customHeight="1" x14ac:dyDescent="0.35"/>
    <row r="917" customFormat="1" ht="14.25" customHeight="1" x14ac:dyDescent="0.35"/>
    <row r="918" customFormat="1" ht="14.25" customHeight="1" x14ac:dyDescent="0.35"/>
    <row r="919" customFormat="1" ht="14.25" customHeight="1" x14ac:dyDescent="0.35"/>
    <row r="920" customFormat="1" ht="14.25" customHeight="1" x14ac:dyDescent="0.35"/>
    <row r="921" customFormat="1" ht="14.25" customHeight="1" x14ac:dyDescent="0.35"/>
    <row r="922" customFormat="1" ht="14.25" customHeight="1" x14ac:dyDescent="0.35"/>
    <row r="923" customFormat="1" ht="14.25" customHeight="1" x14ac:dyDescent="0.35"/>
    <row r="924" customFormat="1" ht="14.25" customHeight="1" x14ac:dyDescent="0.35"/>
    <row r="925" customFormat="1" ht="14.25" customHeight="1" x14ac:dyDescent="0.35"/>
    <row r="926" customFormat="1" ht="14.25" customHeight="1" x14ac:dyDescent="0.35"/>
    <row r="927" customFormat="1" ht="14.25" customHeight="1" x14ac:dyDescent="0.35"/>
    <row r="928" customFormat="1" ht="14.25" customHeight="1" x14ac:dyDescent="0.35"/>
    <row r="929" customFormat="1" ht="14.25" customHeight="1" x14ac:dyDescent="0.35"/>
    <row r="930" customFormat="1" ht="14.25" customHeight="1" x14ac:dyDescent="0.35"/>
    <row r="931" customFormat="1" ht="14.25" customHeight="1" x14ac:dyDescent="0.35"/>
    <row r="932" customFormat="1" ht="14.25" customHeight="1" x14ac:dyDescent="0.35"/>
    <row r="933" customFormat="1" ht="14.25" customHeight="1" x14ac:dyDescent="0.35"/>
    <row r="934" customFormat="1" ht="14.25" customHeight="1" x14ac:dyDescent="0.35"/>
    <row r="935" customFormat="1" ht="14.25" customHeight="1" x14ac:dyDescent="0.35"/>
    <row r="936" customFormat="1" ht="14.25" customHeight="1" x14ac:dyDescent="0.35"/>
    <row r="937" customFormat="1" ht="14.25" customHeight="1" x14ac:dyDescent="0.35"/>
    <row r="938" customFormat="1" ht="14.25" customHeight="1" x14ac:dyDescent="0.35"/>
    <row r="939" customFormat="1" ht="14.25" customHeight="1" x14ac:dyDescent="0.35"/>
    <row r="940" customFormat="1" ht="14.25" customHeight="1" x14ac:dyDescent="0.35"/>
    <row r="941" customFormat="1" ht="14.25" customHeight="1" x14ac:dyDescent="0.35"/>
    <row r="942" customFormat="1" ht="14.25" customHeight="1" x14ac:dyDescent="0.35"/>
    <row r="943" customFormat="1" ht="14.25" customHeight="1" x14ac:dyDescent="0.35"/>
    <row r="944" customFormat="1" ht="14.25" customHeight="1" x14ac:dyDescent="0.35"/>
    <row r="945" customFormat="1" ht="14.25" customHeight="1" x14ac:dyDescent="0.35"/>
    <row r="946" customFormat="1" ht="14.25" customHeight="1" x14ac:dyDescent="0.35"/>
    <row r="947" customFormat="1" ht="14.25" customHeight="1" x14ac:dyDescent="0.35"/>
    <row r="948" customFormat="1" ht="14.25" customHeight="1" x14ac:dyDescent="0.35"/>
    <row r="949" customFormat="1" ht="14.25" customHeight="1" x14ac:dyDescent="0.35"/>
    <row r="950" customFormat="1" ht="14.25" customHeight="1" x14ac:dyDescent="0.35"/>
    <row r="951" customFormat="1" ht="14.25" customHeight="1" x14ac:dyDescent="0.35"/>
    <row r="952" customFormat="1" ht="14.25" customHeight="1" x14ac:dyDescent="0.35"/>
    <row r="953" customFormat="1" ht="14.25" customHeight="1" x14ac:dyDescent="0.35"/>
    <row r="954" customFormat="1" ht="14.25" customHeight="1" x14ac:dyDescent="0.35"/>
    <row r="955" customFormat="1" ht="14.25" customHeight="1" x14ac:dyDescent="0.35"/>
    <row r="956" customFormat="1" ht="14.25" customHeight="1" x14ac:dyDescent="0.35"/>
    <row r="957" customFormat="1" ht="14.25" customHeight="1" x14ac:dyDescent="0.35"/>
    <row r="958" customFormat="1" ht="14.25" customHeight="1" x14ac:dyDescent="0.35"/>
    <row r="959" customFormat="1" ht="14.25" customHeight="1" x14ac:dyDescent="0.35"/>
    <row r="960" customFormat="1" ht="14.25" customHeight="1" x14ac:dyDescent="0.35"/>
    <row r="961" customFormat="1" ht="14.25" customHeight="1" x14ac:dyDescent="0.35"/>
    <row r="962" customFormat="1" ht="14.25" customHeight="1" x14ac:dyDescent="0.35"/>
    <row r="963" customFormat="1" ht="14.25" customHeight="1" x14ac:dyDescent="0.35"/>
    <row r="964" customFormat="1" ht="14.25" customHeight="1" x14ac:dyDescent="0.35"/>
    <row r="965" customFormat="1" ht="14.25" customHeight="1" x14ac:dyDescent="0.35"/>
    <row r="966" customFormat="1" ht="14.25" customHeight="1" x14ac:dyDescent="0.35"/>
    <row r="967" customFormat="1" ht="14.25" customHeight="1" x14ac:dyDescent="0.35"/>
    <row r="968" customFormat="1" ht="14.25" customHeight="1" x14ac:dyDescent="0.35"/>
    <row r="969" customFormat="1" ht="14.25" customHeight="1" x14ac:dyDescent="0.35"/>
    <row r="970" customFormat="1" ht="14.25" customHeight="1" x14ac:dyDescent="0.35"/>
    <row r="971" customFormat="1" ht="14.25" customHeight="1" x14ac:dyDescent="0.35"/>
    <row r="972" customFormat="1" ht="14.25" customHeight="1" x14ac:dyDescent="0.35"/>
    <row r="973" customFormat="1" ht="14.25" customHeight="1" x14ac:dyDescent="0.35"/>
    <row r="974" customFormat="1" ht="14.25" customHeight="1" x14ac:dyDescent="0.35"/>
    <row r="975" customFormat="1" ht="14.25" customHeight="1" x14ac:dyDescent="0.35"/>
    <row r="976" customFormat="1" ht="14.25" customHeight="1" x14ac:dyDescent="0.35"/>
    <row r="977" customFormat="1" ht="14.25" customHeight="1" x14ac:dyDescent="0.35"/>
    <row r="978" customFormat="1" ht="14.25" customHeight="1" x14ac:dyDescent="0.35"/>
    <row r="979" customFormat="1" ht="14.25" customHeight="1" x14ac:dyDescent="0.35"/>
    <row r="980" customFormat="1" ht="14.25" customHeight="1" x14ac:dyDescent="0.35"/>
    <row r="981" customFormat="1" ht="14.25" customHeight="1" x14ac:dyDescent="0.35"/>
    <row r="982" customFormat="1" ht="14.25" customHeight="1" x14ac:dyDescent="0.35"/>
    <row r="983" customFormat="1" ht="14.25" customHeight="1" x14ac:dyDescent="0.35"/>
    <row r="984" customFormat="1" ht="14.25" customHeight="1" x14ac:dyDescent="0.35"/>
    <row r="985" customFormat="1" ht="14.25" customHeight="1" x14ac:dyDescent="0.35"/>
    <row r="986" customFormat="1" ht="14.25" customHeight="1" x14ac:dyDescent="0.35"/>
    <row r="987" customFormat="1" ht="14.25" customHeight="1" x14ac:dyDescent="0.35"/>
    <row r="988" customFormat="1" ht="14.25" customHeight="1" x14ac:dyDescent="0.35"/>
    <row r="989" customFormat="1" ht="14.25" customHeight="1" x14ac:dyDescent="0.35"/>
    <row r="990" customFormat="1" ht="14.25" customHeight="1" x14ac:dyDescent="0.35"/>
    <row r="991" customFormat="1" ht="14.25" customHeight="1" x14ac:dyDescent="0.35"/>
    <row r="992" customFormat="1" ht="14.25" customHeight="1" x14ac:dyDescent="0.35"/>
    <row r="993" customFormat="1" ht="14.25" customHeight="1" x14ac:dyDescent="0.35"/>
    <row r="994" customFormat="1" ht="14.25" customHeight="1" x14ac:dyDescent="0.35"/>
    <row r="995" customFormat="1" ht="14.25" customHeight="1" x14ac:dyDescent="0.35"/>
    <row r="996" customFormat="1" ht="14.25" customHeight="1" x14ac:dyDescent="0.35"/>
    <row r="997" customFormat="1" ht="14.25" customHeight="1" x14ac:dyDescent="0.35"/>
    <row r="998" customFormat="1" ht="14.25" customHeight="1" x14ac:dyDescent="0.35"/>
    <row r="999" customFormat="1" ht="14.25" customHeight="1" x14ac:dyDescent="0.35"/>
    <row r="1000" customFormat="1" ht="14.25" customHeight="1" x14ac:dyDescent="0.3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dimension ref="B1:AF1000"/>
  <sheetViews>
    <sheetView topLeftCell="B1" zoomScale="74" workbookViewId="0">
      <selection activeCell="L43" sqref="A1:XFD1048576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3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35">
      <c r="B4" s="125" t="s">
        <v>223</v>
      </c>
      <c r="C4" s="128">
        <v>1</v>
      </c>
      <c r="D4" s="128" t="s">
        <v>173</v>
      </c>
      <c r="E4" s="128" t="s">
        <v>171</v>
      </c>
      <c r="F4" s="128" t="s">
        <v>217</v>
      </c>
      <c r="G4" s="128" t="s">
        <v>52</v>
      </c>
      <c r="H4" s="128" t="s">
        <v>218</v>
      </c>
      <c r="I4" s="128" t="s">
        <v>219</v>
      </c>
      <c r="J4" s="128" t="s">
        <v>219</v>
      </c>
      <c r="K4" s="128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35">
      <c r="C5" s="128">
        <v>1</v>
      </c>
      <c r="D5" s="128" t="s">
        <v>171</v>
      </c>
      <c r="E5" s="128" t="s">
        <v>173</v>
      </c>
      <c r="F5" s="128" t="s">
        <v>221</v>
      </c>
      <c r="G5" s="128" t="s">
        <v>44</v>
      </c>
      <c r="H5" s="128" t="s">
        <v>83</v>
      </c>
      <c r="I5" s="128" t="s">
        <v>219</v>
      </c>
      <c r="J5" s="128" t="s">
        <v>219</v>
      </c>
      <c r="K5" s="128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35">
      <c r="C6" s="128">
        <v>1</v>
      </c>
      <c r="D6" s="128" t="s">
        <v>173</v>
      </c>
      <c r="E6" s="128" t="s">
        <v>171</v>
      </c>
      <c r="F6" s="128" t="s">
        <v>220</v>
      </c>
      <c r="G6" s="128" t="s">
        <v>30</v>
      </c>
      <c r="H6" s="128" t="s">
        <v>218</v>
      </c>
      <c r="I6" s="128">
        <v>1</v>
      </c>
      <c r="J6" s="128">
        <v>1</v>
      </c>
      <c r="K6" s="128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35">
      <c r="C7" s="128">
        <v>2</v>
      </c>
      <c r="D7" s="128" t="s">
        <v>173</v>
      </c>
      <c r="E7" s="128" t="s">
        <v>172</v>
      </c>
      <c r="F7" s="128" t="s">
        <v>217</v>
      </c>
      <c r="G7" s="128" t="s">
        <v>52</v>
      </c>
      <c r="H7" s="128" t="s">
        <v>83</v>
      </c>
      <c r="I7" s="128" t="s">
        <v>219</v>
      </c>
      <c r="J7" s="128" t="s">
        <v>219</v>
      </c>
      <c r="K7" s="128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35">
      <c r="C8" s="128">
        <v>2</v>
      </c>
      <c r="D8" s="128" t="s">
        <v>173</v>
      </c>
      <c r="E8" s="128" t="s">
        <v>172</v>
      </c>
      <c r="F8" s="128" t="s">
        <v>215</v>
      </c>
      <c r="G8" s="128" t="s">
        <v>30</v>
      </c>
      <c r="H8" s="128" t="s">
        <v>218</v>
      </c>
      <c r="I8" s="128">
        <v>2</v>
      </c>
      <c r="J8" s="128">
        <v>1</v>
      </c>
      <c r="K8" s="128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35">
      <c r="C9" s="128">
        <v>3</v>
      </c>
      <c r="D9" s="128" t="s">
        <v>171</v>
      </c>
      <c r="E9" s="128" t="s">
        <v>173</v>
      </c>
      <c r="F9" s="128" t="s">
        <v>217</v>
      </c>
      <c r="G9" s="128" t="s">
        <v>44</v>
      </c>
      <c r="H9" s="128" t="s">
        <v>83</v>
      </c>
      <c r="I9" s="128" t="s">
        <v>219</v>
      </c>
      <c r="J9" s="128" t="s">
        <v>219</v>
      </c>
      <c r="K9" s="128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35">
      <c r="C10" s="128">
        <v>3</v>
      </c>
      <c r="D10" s="128" t="s">
        <v>173</v>
      </c>
      <c r="E10" s="128" t="s">
        <v>171</v>
      </c>
      <c r="F10" s="128" t="s">
        <v>221</v>
      </c>
      <c r="G10" s="128" t="s">
        <v>27</v>
      </c>
      <c r="H10" s="128" t="s">
        <v>218</v>
      </c>
      <c r="I10" s="128" t="s">
        <v>219</v>
      </c>
      <c r="J10" s="128" t="s">
        <v>219</v>
      </c>
      <c r="K10" s="128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35">
      <c r="C11" s="128">
        <v>3</v>
      </c>
      <c r="D11" s="128" t="s">
        <v>171</v>
      </c>
      <c r="E11" s="128" t="s">
        <v>173</v>
      </c>
      <c r="F11" s="128" t="s">
        <v>220</v>
      </c>
      <c r="G11" s="128" t="s">
        <v>37</v>
      </c>
      <c r="H11" s="128" t="s">
        <v>218</v>
      </c>
      <c r="I11" s="128">
        <v>1</v>
      </c>
      <c r="J11" s="128">
        <v>1</v>
      </c>
      <c r="K11" s="128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35">
      <c r="C12" s="128">
        <v>4</v>
      </c>
      <c r="D12" s="128" t="s">
        <v>171</v>
      </c>
      <c r="E12" s="128" t="s">
        <v>172</v>
      </c>
      <c r="F12" s="128" t="s">
        <v>217</v>
      </c>
      <c r="G12" s="128" t="s">
        <v>44</v>
      </c>
      <c r="H12" s="128" t="s">
        <v>83</v>
      </c>
      <c r="I12" s="128" t="s">
        <v>219</v>
      </c>
      <c r="J12" s="128" t="s">
        <v>219</v>
      </c>
      <c r="K12" s="128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35">
      <c r="C13" s="128">
        <v>4</v>
      </c>
      <c r="D13" s="128" t="s">
        <v>172</v>
      </c>
      <c r="E13" s="128" t="s">
        <v>171</v>
      </c>
      <c r="F13" s="128" t="s">
        <v>220</v>
      </c>
      <c r="G13" s="128" t="s">
        <v>55</v>
      </c>
      <c r="H13" s="128" t="s">
        <v>216</v>
      </c>
      <c r="I13" s="128">
        <v>1</v>
      </c>
      <c r="J13" s="128">
        <v>1</v>
      </c>
      <c r="K13" s="128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35">
      <c r="C14" s="128"/>
      <c r="D14" s="128"/>
      <c r="E14" s="128"/>
      <c r="F14" s="128"/>
      <c r="G14" s="128"/>
      <c r="H14" s="128"/>
      <c r="I14" s="128"/>
      <c r="J14" s="128"/>
      <c r="K14" s="128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35">
      <c r="C15" s="128"/>
      <c r="D15" s="128"/>
      <c r="E15" s="128"/>
      <c r="F15" s="128"/>
      <c r="G15" s="128"/>
      <c r="H15" s="128"/>
      <c r="I15" s="128"/>
      <c r="J15" s="128"/>
      <c r="K15" s="128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35">
      <c r="C16" s="128"/>
      <c r="D16" s="128"/>
      <c r="E16" s="128"/>
      <c r="F16" s="128"/>
      <c r="G16" s="128"/>
      <c r="H16" s="128"/>
      <c r="I16" s="128"/>
      <c r="J16" s="128"/>
      <c r="K16" s="128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35">
      <c r="C17" s="128"/>
      <c r="D17" s="128"/>
      <c r="E17" s="128"/>
      <c r="F17" s="128"/>
      <c r="G17" s="128"/>
      <c r="H17" s="128"/>
      <c r="I17" s="128"/>
      <c r="J17" s="128"/>
      <c r="K17" s="128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35">
      <c r="C18" s="128"/>
      <c r="D18" s="128"/>
      <c r="E18" s="128"/>
      <c r="F18" s="128"/>
      <c r="G18" s="128"/>
      <c r="H18" s="128"/>
      <c r="I18" s="128"/>
      <c r="J18" s="128"/>
      <c r="K18" s="128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35">
      <c r="C19" s="128"/>
      <c r="D19" s="128"/>
      <c r="E19" s="128"/>
      <c r="F19" s="128"/>
      <c r="G19" s="128"/>
      <c r="H19" s="128"/>
      <c r="I19" s="128"/>
      <c r="J19" s="128"/>
      <c r="K19" s="128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35">
      <c r="C20" s="128"/>
      <c r="D20" s="128"/>
      <c r="E20" s="128"/>
      <c r="F20" s="128"/>
      <c r="G20" s="128"/>
      <c r="H20" s="128"/>
      <c r="I20" s="128"/>
      <c r="J20" s="128"/>
      <c r="K20" s="128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35">
      <c r="C21" s="128"/>
      <c r="D21" s="128"/>
      <c r="E21" s="128"/>
      <c r="F21" s="128"/>
      <c r="G21" s="128"/>
      <c r="H21" s="128"/>
      <c r="I21" s="128"/>
      <c r="J21" s="128"/>
      <c r="K21" s="128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3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3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3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3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4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3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3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3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3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3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3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3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3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4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3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3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3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3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3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3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35">
      <c r="C40" s="50"/>
      <c r="T40" s="6"/>
      <c r="U40" s="6"/>
      <c r="V40" s="6"/>
    </row>
    <row r="41" spans="3:28" ht="14.25" customHeight="1" x14ac:dyDescent="0.7">
      <c r="S41" s="64"/>
      <c r="T41" s="64"/>
      <c r="U41" s="64"/>
      <c r="V41" s="64"/>
      <c r="W41" s="64"/>
    </row>
    <row r="42" spans="3:28" ht="14.25" customHeight="1" x14ac:dyDescent="0.7">
      <c r="S42" s="64"/>
      <c r="T42" s="64"/>
      <c r="U42" s="64"/>
      <c r="V42" s="64"/>
      <c r="W42" s="64"/>
    </row>
    <row r="43" spans="3:28" ht="14.25" customHeight="1" x14ac:dyDescent="0.35">
      <c r="C43" t="s">
        <v>135</v>
      </c>
      <c r="T43" s="10" t="s">
        <v>211</v>
      </c>
      <c r="U43" s="10"/>
    </row>
    <row r="44" spans="3:28" ht="14.25" customHeight="1" x14ac:dyDescent="0.3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3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3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35">
      <c r="T47" s="10" t="s">
        <v>222</v>
      </c>
      <c r="U47" s="10"/>
    </row>
    <row r="48" spans="3:28" ht="14.25" customHeight="1" x14ac:dyDescent="0.35">
      <c r="T48" s="10"/>
    </row>
    <row r="49" spans="20:20" ht="14.25" customHeight="1" x14ac:dyDescent="0.35">
      <c r="T49" s="10"/>
    </row>
    <row r="50" spans="20:20" ht="14.25" customHeight="1" x14ac:dyDescent="0.35">
      <c r="T50" s="10"/>
    </row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customFormat="1" ht="14.25" customHeight="1" x14ac:dyDescent="0.35"/>
    <row r="66" customFormat="1" ht="14.25" customHeight="1" x14ac:dyDescent="0.35"/>
    <row r="67" customFormat="1" ht="14.25" customHeight="1" x14ac:dyDescent="0.35"/>
    <row r="68" customFormat="1" ht="14.25" customHeight="1" x14ac:dyDescent="0.35"/>
    <row r="69" customFormat="1" ht="14.25" customHeight="1" x14ac:dyDescent="0.35"/>
    <row r="70" customFormat="1" ht="14.25" customHeight="1" x14ac:dyDescent="0.35"/>
    <row r="71" customFormat="1" ht="14.25" customHeight="1" x14ac:dyDescent="0.35"/>
    <row r="72" customFormat="1" ht="14.25" customHeight="1" x14ac:dyDescent="0.35"/>
    <row r="73" customFormat="1" ht="14.25" customHeight="1" x14ac:dyDescent="0.35"/>
    <row r="74" customFormat="1" ht="14.25" customHeight="1" x14ac:dyDescent="0.35"/>
    <row r="75" customFormat="1" ht="14.25" customHeight="1" x14ac:dyDescent="0.35"/>
    <row r="76" customFormat="1" ht="14.25" customHeight="1" x14ac:dyDescent="0.35"/>
    <row r="77" customFormat="1" ht="14.25" customHeight="1" x14ac:dyDescent="0.35"/>
    <row r="78" customFormat="1" ht="14.25" customHeight="1" x14ac:dyDescent="0.35"/>
    <row r="79" customFormat="1" ht="14.25" customHeight="1" x14ac:dyDescent="0.35"/>
    <row r="80" customFormat="1" ht="14.25" customHeight="1" x14ac:dyDescent="0.35"/>
    <row r="81" customFormat="1" ht="14.25" customHeight="1" x14ac:dyDescent="0.35"/>
    <row r="82" customFormat="1" ht="14.25" customHeight="1" x14ac:dyDescent="0.35"/>
    <row r="83" customFormat="1" ht="14.25" customHeight="1" x14ac:dyDescent="0.35"/>
    <row r="84" customFormat="1" ht="14.25" customHeight="1" x14ac:dyDescent="0.35"/>
    <row r="85" customFormat="1" ht="14.25" customHeight="1" x14ac:dyDescent="0.35"/>
    <row r="86" customFormat="1" ht="14.25" customHeight="1" x14ac:dyDescent="0.35"/>
    <row r="87" customFormat="1" ht="14.25" customHeight="1" x14ac:dyDescent="0.35"/>
    <row r="88" customFormat="1" ht="14.25" customHeight="1" x14ac:dyDescent="0.35"/>
    <row r="89" customFormat="1" ht="14.25" customHeight="1" x14ac:dyDescent="0.35"/>
    <row r="90" customFormat="1" ht="14.25" customHeight="1" x14ac:dyDescent="0.35"/>
    <row r="91" customFormat="1" ht="14.25" customHeight="1" x14ac:dyDescent="0.35"/>
    <row r="92" customFormat="1" ht="14.25" customHeight="1" x14ac:dyDescent="0.35"/>
    <row r="93" customFormat="1" ht="14.25" customHeight="1" x14ac:dyDescent="0.35"/>
    <row r="94" customFormat="1" ht="14.25" customHeight="1" x14ac:dyDescent="0.35"/>
    <row r="95" customFormat="1" ht="14.25" customHeight="1" x14ac:dyDescent="0.35"/>
    <row r="96" customFormat="1" ht="14.25" customHeight="1" x14ac:dyDescent="0.35"/>
    <row r="97" customFormat="1" ht="14.25" customHeight="1" x14ac:dyDescent="0.35"/>
    <row r="98" customFormat="1" ht="14.25" customHeight="1" x14ac:dyDescent="0.35"/>
    <row r="99" customFormat="1" ht="14.25" customHeight="1" x14ac:dyDescent="0.35"/>
    <row r="100" customFormat="1" ht="14.25" customHeight="1" x14ac:dyDescent="0.35"/>
    <row r="101" customFormat="1" ht="14.25" customHeight="1" x14ac:dyDescent="0.35"/>
    <row r="102" customFormat="1" ht="14.25" customHeight="1" x14ac:dyDescent="0.35"/>
    <row r="103" customFormat="1" ht="14.25" customHeight="1" x14ac:dyDescent="0.35"/>
    <row r="104" customFormat="1" ht="14.25" customHeight="1" x14ac:dyDescent="0.35"/>
    <row r="105" customFormat="1" ht="14.25" customHeight="1" x14ac:dyDescent="0.35"/>
    <row r="106" customFormat="1" ht="14.25" customHeight="1" x14ac:dyDescent="0.35"/>
    <row r="107" customFormat="1" ht="14.25" customHeight="1" x14ac:dyDescent="0.35"/>
    <row r="108" customFormat="1" ht="14.25" customHeight="1" x14ac:dyDescent="0.35"/>
    <row r="109" customFormat="1" ht="14.25" customHeight="1" x14ac:dyDescent="0.35"/>
    <row r="110" customFormat="1" ht="14.25" customHeight="1" x14ac:dyDescent="0.35"/>
    <row r="111" customFormat="1" ht="14.25" customHeight="1" x14ac:dyDescent="0.35"/>
    <row r="112" customFormat="1" ht="14.25" customHeight="1" x14ac:dyDescent="0.35"/>
    <row r="113" customFormat="1" ht="14.25" customHeight="1" x14ac:dyDescent="0.35"/>
    <row r="114" customFormat="1" ht="14.25" customHeight="1" x14ac:dyDescent="0.35"/>
    <row r="115" customFormat="1" ht="14.25" customHeight="1" x14ac:dyDescent="0.35"/>
    <row r="116" customFormat="1" ht="14.25" customHeight="1" x14ac:dyDescent="0.35"/>
    <row r="117" customFormat="1" ht="14.25" customHeight="1" x14ac:dyDescent="0.35"/>
    <row r="118" customFormat="1" ht="14.25" customHeight="1" x14ac:dyDescent="0.35"/>
    <row r="119" customFormat="1" ht="14.25" customHeight="1" x14ac:dyDescent="0.35"/>
    <row r="120" customFormat="1" ht="14.25" customHeight="1" x14ac:dyDescent="0.35"/>
    <row r="121" customFormat="1" ht="14.25" customHeight="1" x14ac:dyDescent="0.35"/>
    <row r="122" customFormat="1" ht="14.25" customHeight="1" x14ac:dyDescent="0.35"/>
    <row r="123" customFormat="1" ht="14.25" customHeight="1" x14ac:dyDescent="0.35"/>
    <row r="124" customFormat="1" ht="14.25" customHeight="1" x14ac:dyDescent="0.35"/>
    <row r="125" customFormat="1" ht="14.25" customHeight="1" x14ac:dyDescent="0.35"/>
    <row r="126" customFormat="1" ht="14.25" customHeight="1" x14ac:dyDescent="0.35"/>
    <row r="127" customFormat="1" ht="14.25" customHeight="1" x14ac:dyDescent="0.35"/>
    <row r="128" customFormat="1" ht="14.25" customHeight="1" x14ac:dyDescent="0.35"/>
    <row r="129" customFormat="1" ht="14.25" customHeight="1" x14ac:dyDescent="0.35"/>
    <row r="130" customFormat="1" ht="14.25" customHeight="1" x14ac:dyDescent="0.35"/>
    <row r="131" customFormat="1" ht="14.25" customHeight="1" x14ac:dyDescent="0.35"/>
    <row r="132" customFormat="1" ht="14.25" customHeight="1" x14ac:dyDescent="0.35"/>
    <row r="133" customFormat="1" ht="14.25" customHeight="1" x14ac:dyDescent="0.35"/>
    <row r="134" customFormat="1" ht="14.25" customHeight="1" x14ac:dyDescent="0.35"/>
    <row r="135" customFormat="1" ht="14.25" customHeight="1" x14ac:dyDescent="0.35"/>
    <row r="136" customFormat="1" ht="14.25" customHeight="1" x14ac:dyDescent="0.35"/>
    <row r="137" customFormat="1" ht="14.25" customHeight="1" x14ac:dyDescent="0.35"/>
    <row r="138" customFormat="1" ht="14.25" customHeight="1" x14ac:dyDescent="0.35"/>
    <row r="139" customFormat="1" ht="14.25" customHeight="1" x14ac:dyDescent="0.35"/>
    <row r="140" customFormat="1" ht="14.25" customHeight="1" x14ac:dyDescent="0.35"/>
    <row r="141" customFormat="1" ht="14.25" customHeight="1" x14ac:dyDescent="0.35"/>
    <row r="142" customFormat="1" ht="14.25" customHeight="1" x14ac:dyDescent="0.35"/>
    <row r="143" customFormat="1" ht="14.25" customHeight="1" x14ac:dyDescent="0.35"/>
    <row r="144" customFormat="1" ht="14.25" customHeight="1" x14ac:dyDescent="0.35"/>
    <row r="145" customFormat="1" ht="14.25" customHeight="1" x14ac:dyDescent="0.35"/>
    <row r="146" customFormat="1" ht="14.25" customHeight="1" x14ac:dyDescent="0.35"/>
    <row r="147" customFormat="1" ht="14.25" customHeight="1" x14ac:dyDescent="0.35"/>
    <row r="148" customFormat="1" ht="14.25" customHeight="1" x14ac:dyDescent="0.35"/>
    <row r="149" customFormat="1" ht="14.25" customHeight="1" x14ac:dyDescent="0.35"/>
    <row r="150" customFormat="1" ht="14.25" customHeight="1" x14ac:dyDescent="0.35"/>
    <row r="151" customFormat="1" ht="14.25" customHeight="1" x14ac:dyDescent="0.35"/>
    <row r="152" customFormat="1" ht="14.25" customHeight="1" x14ac:dyDescent="0.35"/>
    <row r="153" customFormat="1" ht="14.25" customHeight="1" x14ac:dyDescent="0.35"/>
    <row r="154" customFormat="1" ht="14.25" customHeight="1" x14ac:dyDescent="0.35"/>
    <row r="155" customFormat="1" ht="14.25" customHeight="1" x14ac:dyDescent="0.35"/>
    <row r="156" customFormat="1" ht="14.25" customHeight="1" x14ac:dyDescent="0.35"/>
    <row r="157" customFormat="1" ht="14.25" customHeight="1" x14ac:dyDescent="0.35"/>
    <row r="158" customFormat="1" ht="14.25" customHeight="1" x14ac:dyDescent="0.35"/>
    <row r="159" customFormat="1" ht="14.25" customHeight="1" x14ac:dyDescent="0.35"/>
    <row r="160" customFormat="1" ht="14.25" customHeight="1" x14ac:dyDescent="0.35"/>
    <row r="161" customFormat="1" ht="14.25" customHeight="1" x14ac:dyDescent="0.35"/>
    <row r="162" customFormat="1" ht="14.25" customHeight="1" x14ac:dyDescent="0.35"/>
    <row r="163" customFormat="1" ht="14.25" customHeight="1" x14ac:dyDescent="0.35"/>
    <row r="164" customFormat="1" ht="14.25" customHeight="1" x14ac:dyDescent="0.35"/>
    <row r="165" customFormat="1" ht="14.25" customHeight="1" x14ac:dyDescent="0.35"/>
    <row r="166" customFormat="1" ht="14.25" customHeight="1" x14ac:dyDescent="0.35"/>
    <row r="167" customFormat="1" ht="14.25" customHeight="1" x14ac:dyDescent="0.35"/>
    <row r="168" customFormat="1" ht="14.25" customHeight="1" x14ac:dyDescent="0.35"/>
    <row r="169" customFormat="1" ht="14.25" customHeight="1" x14ac:dyDescent="0.35"/>
    <row r="170" customFormat="1" ht="14.25" customHeight="1" x14ac:dyDescent="0.35"/>
    <row r="171" customFormat="1" ht="14.25" customHeight="1" x14ac:dyDescent="0.35"/>
    <row r="172" customFormat="1" ht="14.25" customHeight="1" x14ac:dyDescent="0.35"/>
    <row r="173" customFormat="1" ht="14.25" customHeight="1" x14ac:dyDescent="0.35"/>
    <row r="174" customFormat="1" ht="14.25" customHeight="1" x14ac:dyDescent="0.35"/>
    <row r="175" customFormat="1" ht="14.25" customHeight="1" x14ac:dyDescent="0.35"/>
    <row r="176" customFormat="1" ht="14.25" customHeight="1" x14ac:dyDescent="0.35"/>
    <row r="177" customFormat="1" ht="14.25" customHeight="1" x14ac:dyDescent="0.35"/>
    <row r="178" customFormat="1" ht="14.25" customHeight="1" x14ac:dyDescent="0.35"/>
    <row r="179" customFormat="1" ht="14.25" customHeight="1" x14ac:dyDescent="0.35"/>
    <row r="180" customFormat="1" ht="14.25" customHeight="1" x14ac:dyDescent="0.35"/>
    <row r="181" customFormat="1" ht="14.25" customHeight="1" x14ac:dyDescent="0.35"/>
    <row r="182" customFormat="1" ht="14.25" customHeight="1" x14ac:dyDescent="0.35"/>
    <row r="183" customFormat="1" ht="14.25" customHeight="1" x14ac:dyDescent="0.35"/>
    <row r="184" customFormat="1" ht="14.25" customHeight="1" x14ac:dyDescent="0.35"/>
    <row r="185" customFormat="1" ht="14.25" customHeight="1" x14ac:dyDescent="0.35"/>
    <row r="186" customFormat="1" ht="14.25" customHeight="1" x14ac:dyDescent="0.35"/>
    <row r="187" customFormat="1" ht="14.25" customHeight="1" x14ac:dyDescent="0.35"/>
    <row r="188" customFormat="1" ht="14.25" customHeight="1" x14ac:dyDescent="0.35"/>
    <row r="189" customFormat="1" ht="14.25" customHeight="1" x14ac:dyDescent="0.35"/>
    <row r="190" customFormat="1" ht="14.25" customHeight="1" x14ac:dyDescent="0.35"/>
    <row r="191" customFormat="1" ht="14.25" customHeight="1" x14ac:dyDescent="0.35"/>
    <row r="192" customFormat="1" ht="14.25" customHeight="1" x14ac:dyDescent="0.35"/>
    <row r="193" customFormat="1" ht="14.25" customHeight="1" x14ac:dyDescent="0.35"/>
    <row r="194" customFormat="1" ht="14.25" customHeight="1" x14ac:dyDescent="0.35"/>
    <row r="195" customFormat="1" ht="14.25" customHeight="1" x14ac:dyDescent="0.35"/>
    <row r="196" customFormat="1" ht="14.25" customHeight="1" x14ac:dyDescent="0.35"/>
    <row r="197" customFormat="1" ht="14.25" customHeight="1" x14ac:dyDescent="0.35"/>
    <row r="198" customFormat="1" ht="14.25" customHeight="1" x14ac:dyDescent="0.35"/>
    <row r="199" customFormat="1" ht="14.25" customHeight="1" x14ac:dyDescent="0.35"/>
    <row r="200" customFormat="1" ht="14.25" customHeight="1" x14ac:dyDescent="0.35"/>
    <row r="201" customFormat="1" ht="14.25" customHeight="1" x14ac:dyDescent="0.35"/>
    <row r="202" customFormat="1" ht="14.25" customHeight="1" x14ac:dyDescent="0.35"/>
    <row r="203" customFormat="1" ht="14.25" customHeight="1" x14ac:dyDescent="0.35"/>
    <row r="204" customFormat="1" ht="14.25" customHeight="1" x14ac:dyDescent="0.35"/>
    <row r="205" customFormat="1" ht="14.25" customHeight="1" x14ac:dyDescent="0.35"/>
    <row r="206" customFormat="1" ht="14.25" customHeight="1" x14ac:dyDescent="0.35"/>
    <row r="207" customFormat="1" ht="14.25" customHeight="1" x14ac:dyDescent="0.35"/>
    <row r="208" customFormat="1" ht="14.25" customHeight="1" x14ac:dyDescent="0.35"/>
    <row r="209" customFormat="1" ht="14.25" customHeight="1" x14ac:dyDescent="0.35"/>
    <row r="210" customFormat="1" ht="14.25" customHeight="1" x14ac:dyDescent="0.35"/>
    <row r="211" customFormat="1" ht="14.25" customHeight="1" x14ac:dyDescent="0.35"/>
    <row r="212" customFormat="1" ht="14.25" customHeight="1" x14ac:dyDescent="0.35"/>
    <row r="213" customFormat="1" ht="14.25" customHeight="1" x14ac:dyDescent="0.35"/>
    <row r="214" customFormat="1" ht="14.25" customHeight="1" x14ac:dyDescent="0.35"/>
    <row r="215" customFormat="1" ht="14.25" customHeight="1" x14ac:dyDescent="0.35"/>
    <row r="216" customFormat="1" ht="14.25" customHeight="1" x14ac:dyDescent="0.35"/>
    <row r="217" customFormat="1" ht="14.25" customHeight="1" x14ac:dyDescent="0.35"/>
    <row r="218" customFormat="1" ht="14.25" customHeight="1" x14ac:dyDescent="0.35"/>
    <row r="219" customFormat="1" ht="14.25" customHeight="1" x14ac:dyDescent="0.35"/>
    <row r="220" customFormat="1" ht="14.25" customHeight="1" x14ac:dyDescent="0.35"/>
    <row r="221" customFormat="1" ht="14.25" customHeight="1" x14ac:dyDescent="0.35"/>
    <row r="222" customFormat="1" ht="14.25" customHeight="1" x14ac:dyDescent="0.35"/>
    <row r="223" customFormat="1" ht="14.25" customHeight="1" x14ac:dyDescent="0.35"/>
    <row r="224" customFormat="1" ht="14.25" customHeight="1" x14ac:dyDescent="0.35"/>
    <row r="225" customFormat="1" ht="14.25" customHeight="1" x14ac:dyDescent="0.35"/>
    <row r="226" customFormat="1" ht="14.25" customHeight="1" x14ac:dyDescent="0.35"/>
    <row r="227" customFormat="1" ht="14.25" customHeight="1" x14ac:dyDescent="0.35"/>
    <row r="228" customFormat="1" ht="14.25" customHeight="1" x14ac:dyDescent="0.35"/>
    <row r="229" customFormat="1" ht="14.25" customHeight="1" x14ac:dyDescent="0.35"/>
    <row r="230" customFormat="1" ht="14.25" customHeight="1" x14ac:dyDescent="0.35"/>
    <row r="231" customFormat="1" ht="14.25" customHeight="1" x14ac:dyDescent="0.35"/>
    <row r="232" customFormat="1" ht="14.25" customHeight="1" x14ac:dyDescent="0.35"/>
    <row r="233" customFormat="1" ht="14.25" customHeight="1" x14ac:dyDescent="0.35"/>
    <row r="234" customFormat="1" ht="14.25" customHeight="1" x14ac:dyDescent="0.35"/>
    <row r="235" customFormat="1" ht="14.25" customHeight="1" x14ac:dyDescent="0.35"/>
    <row r="236" customFormat="1" ht="14.25" customHeight="1" x14ac:dyDescent="0.35"/>
    <row r="237" customFormat="1" ht="14.25" customHeight="1" x14ac:dyDescent="0.35"/>
    <row r="238" customFormat="1" ht="14.25" customHeight="1" x14ac:dyDescent="0.35"/>
    <row r="239" customFormat="1" ht="14.25" customHeight="1" x14ac:dyDescent="0.35"/>
    <row r="240" customFormat="1" ht="14.25" customHeight="1" x14ac:dyDescent="0.35"/>
    <row r="241" customFormat="1" ht="14.25" customHeight="1" x14ac:dyDescent="0.35"/>
    <row r="242" customFormat="1" ht="14.25" customHeight="1" x14ac:dyDescent="0.35"/>
    <row r="243" customFormat="1" ht="14.25" customHeight="1" x14ac:dyDescent="0.35"/>
    <row r="244" customFormat="1" ht="14.25" customHeight="1" x14ac:dyDescent="0.35"/>
    <row r="245" customFormat="1" ht="14.25" customHeight="1" x14ac:dyDescent="0.35"/>
    <row r="246" customFormat="1" ht="14.25" customHeight="1" x14ac:dyDescent="0.35"/>
    <row r="247" customFormat="1" ht="14.25" customHeight="1" x14ac:dyDescent="0.35"/>
    <row r="248" customFormat="1" ht="14.25" customHeight="1" x14ac:dyDescent="0.35"/>
    <row r="249" customFormat="1" ht="14.25" customHeight="1" x14ac:dyDescent="0.35"/>
    <row r="250" customFormat="1" ht="14.25" customHeight="1" x14ac:dyDescent="0.35"/>
    <row r="251" customFormat="1" ht="14.25" customHeight="1" x14ac:dyDescent="0.35"/>
    <row r="252" customFormat="1" ht="14.25" customHeight="1" x14ac:dyDescent="0.35"/>
    <row r="253" customFormat="1" ht="14.25" customHeight="1" x14ac:dyDescent="0.35"/>
    <row r="254" customFormat="1" ht="14.25" customHeight="1" x14ac:dyDescent="0.35"/>
    <row r="255" customFormat="1" ht="14.25" customHeight="1" x14ac:dyDescent="0.35"/>
    <row r="256" customFormat="1" ht="14.25" customHeight="1" x14ac:dyDescent="0.35"/>
    <row r="257" customFormat="1" ht="14.25" customHeight="1" x14ac:dyDescent="0.35"/>
    <row r="258" customFormat="1" ht="14.25" customHeight="1" x14ac:dyDescent="0.35"/>
    <row r="259" customFormat="1" ht="14.25" customHeight="1" x14ac:dyDescent="0.35"/>
    <row r="260" customFormat="1" ht="14.25" customHeight="1" x14ac:dyDescent="0.35"/>
    <row r="261" customFormat="1" ht="14.25" customHeight="1" x14ac:dyDescent="0.35"/>
    <row r="262" customFormat="1" ht="14.25" customHeight="1" x14ac:dyDescent="0.35"/>
    <row r="263" customFormat="1" ht="14.25" customHeight="1" x14ac:dyDescent="0.35"/>
    <row r="264" customFormat="1" ht="14.25" customHeight="1" x14ac:dyDescent="0.35"/>
    <row r="265" customFormat="1" ht="14.25" customHeight="1" x14ac:dyDescent="0.35"/>
    <row r="266" customFormat="1" ht="14.25" customHeight="1" x14ac:dyDescent="0.35"/>
    <row r="267" customFormat="1" ht="14.25" customHeight="1" x14ac:dyDescent="0.35"/>
    <row r="268" customFormat="1" ht="14.25" customHeight="1" x14ac:dyDescent="0.35"/>
    <row r="269" customFormat="1" ht="14.25" customHeight="1" x14ac:dyDescent="0.35"/>
    <row r="270" customFormat="1" ht="14.25" customHeight="1" x14ac:dyDescent="0.35"/>
    <row r="271" customFormat="1" ht="14.25" customHeight="1" x14ac:dyDescent="0.35"/>
    <row r="272" customFormat="1" ht="14.25" customHeight="1" x14ac:dyDescent="0.35"/>
    <row r="273" customFormat="1" ht="14.25" customHeight="1" x14ac:dyDescent="0.35"/>
    <row r="274" customFormat="1" ht="14.25" customHeight="1" x14ac:dyDescent="0.35"/>
    <row r="275" customFormat="1" ht="14.25" customHeight="1" x14ac:dyDescent="0.35"/>
    <row r="276" customFormat="1" ht="14.25" customHeight="1" x14ac:dyDescent="0.35"/>
    <row r="277" customFormat="1" ht="14.25" customHeight="1" x14ac:dyDescent="0.35"/>
    <row r="278" customFormat="1" ht="14.25" customHeight="1" x14ac:dyDescent="0.35"/>
    <row r="279" customFormat="1" ht="14.25" customHeight="1" x14ac:dyDescent="0.35"/>
    <row r="280" customFormat="1" ht="14.25" customHeight="1" x14ac:dyDescent="0.35"/>
    <row r="281" customFormat="1" ht="14.25" customHeight="1" x14ac:dyDescent="0.35"/>
    <row r="282" customFormat="1" ht="14.25" customHeight="1" x14ac:dyDescent="0.35"/>
    <row r="283" customFormat="1" ht="14.25" customHeight="1" x14ac:dyDescent="0.35"/>
    <row r="284" customFormat="1" ht="14.25" customHeight="1" x14ac:dyDescent="0.35"/>
    <row r="285" customFormat="1" ht="14.25" customHeight="1" x14ac:dyDescent="0.35"/>
    <row r="286" customFormat="1" ht="14.25" customHeight="1" x14ac:dyDescent="0.35"/>
    <row r="287" customFormat="1" ht="14.25" customHeight="1" x14ac:dyDescent="0.35"/>
    <row r="288" customFormat="1" ht="14.25" customHeight="1" x14ac:dyDescent="0.35"/>
    <row r="289" customFormat="1" ht="14.25" customHeight="1" x14ac:dyDescent="0.35"/>
    <row r="290" customFormat="1" ht="14.25" customHeight="1" x14ac:dyDescent="0.35"/>
    <row r="291" customFormat="1" ht="14.25" customHeight="1" x14ac:dyDescent="0.35"/>
    <row r="292" customFormat="1" ht="14.25" customHeight="1" x14ac:dyDescent="0.35"/>
    <row r="293" customFormat="1" ht="14.25" customHeight="1" x14ac:dyDescent="0.35"/>
    <row r="294" customFormat="1" ht="14.25" customHeight="1" x14ac:dyDescent="0.35"/>
    <row r="295" customFormat="1" ht="14.25" customHeight="1" x14ac:dyDescent="0.35"/>
    <row r="296" customFormat="1" ht="14.25" customHeight="1" x14ac:dyDescent="0.35"/>
    <row r="297" customFormat="1" ht="14.25" customHeight="1" x14ac:dyDescent="0.35"/>
    <row r="298" customFormat="1" ht="14.25" customHeight="1" x14ac:dyDescent="0.35"/>
    <row r="299" customFormat="1" ht="14.25" customHeight="1" x14ac:dyDescent="0.35"/>
    <row r="300" customFormat="1" ht="14.25" customHeight="1" x14ac:dyDescent="0.35"/>
    <row r="301" customFormat="1" ht="14.25" customHeight="1" x14ac:dyDescent="0.35"/>
    <row r="302" customFormat="1" ht="14.25" customHeight="1" x14ac:dyDescent="0.35"/>
    <row r="303" customFormat="1" ht="14.25" customHeight="1" x14ac:dyDescent="0.35"/>
    <row r="304" customFormat="1" ht="14.25" customHeight="1" x14ac:dyDescent="0.35"/>
    <row r="305" customFormat="1" ht="14.25" customHeight="1" x14ac:dyDescent="0.35"/>
    <row r="306" customFormat="1" ht="14.25" customHeight="1" x14ac:dyDescent="0.35"/>
    <row r="307" customFormat="1" ht="14.25" customHeight="1" x14ac:dyDescent="0.35"/>
    <row r="308" customFormat="1" ht="14.25" customHeight="1" x14ac:dyDescent="0.35"/>
    <row r="309" customFormat="1" ht="14.25" customHeight="1" x14ac:dyDescent="0.35"/>
    <row r="310" customFormat="1" ht="14.25" customHeight="1" x14ac:dyDescent="0.35"/>
    <row r="311" customFormat="1" ht="14.25" customHeight="1" x14ac:dyDescent="0.35"/>
    <row r="312" customFormat="1" ht="14.25" customHeight="1" x14ac:dyDescent="0.35"/>
    <row r="313" customFormat="1" ht="14.25" customHeight="1" x14ac:dyDescent="0.35"/>
    <row r="314" customFormat="1" ht="14.25" customHeight="1" x14ac:dyDescent="0.35"/>
    <row r="315" customFormat="1" ht="14.25" customHeight="1" x14ac:dyDescent="0.35"/>
    <row r="316" customFormat="1" ht="14.25" customHeight="1" x14ac:dyDescent="0.35"/>
    <row r="317" customFormat="1" ht="14.25" customHeight="1" x14ac:dyDescent="0.35"/>
    <row r="318" customFormat="1" ht="14.25" customHeight="1" x14ac:dyDescent="0.35"/>
    <row r="319" customFormat="1" ht="14.25" customHeight="1" x14ac:dyDescent="0.35"/>
    <row r="320" customFormat="1" ht="14.25" customHeight="1" x14ac:dyDescent="0.35"/>
    <row r="321" customFormat="1" ht="14.25" customHeight="1" x14ac:dyDescent="0.35"/>
    <row r="322" customFormat="1" ht="14.25" customHeight="1" x14ac:dyDescent="0.35"/>
    <row r="323" customFormat="1" ht="14.25" customHeight="1" x14ac:dyDescent="0.35"/>
    <row r="324" customFormat="1" ht="14.25" customHeight="1" x14ac:dyDescent="0.35"/>
    <row r="325" customFormat="1" ht="14.25" customHeight="1" x14ac:dyDescent="0.35"/>
    <row r="326" customFormat="1" ht="14.25" customHeight="1" x14ac:dyDescent="0.35"/>
    <row r="327" customFormat="1" ht="14.25" customHeight="1" x14ac:dyDescent="0.35"/>
    <row r="328" customFormat="1" ht="14.25" customHeight="1" x14ac:dyDescent="0.35"/>
    <row r="329" customFormat="1" ht="14.25" customHeight="1" x14ac:dyDescent="0.35"/>
    <row r="330" customFormat="1" ht="14.25" customHeight="1" x14ac:dyDescent="0.35"/>
    <row r="331" customFormat="1" ht="14.25" customHeight="1" x14ac:dyDescent="0.35"/>
    <row r="332" customFormat="1" ht="14.25" customHeight="1" x14ac:dyDescent="0.35"/>
    <row r="333" customFormat="1" ht="14.25" customHeight="1" x14ac:dyDescent="0.35"/>
    <row r="334" customFormat="1" ht="14.25" customHeight="1" x14ac:dyDescent="0.35"/>
    <row r="335" customFormat="1" ht="14.25" customHeight="1" x14ac:dyDescent="0.35"/>
    <row r="336" customFormat="1" ht="14.25" customHeight="1" x14ac:dyDescent="0.35"/>
    <row r="337" customFormat="1" ht="14.25" customHeight="1" x14ac:dyDescent="0.35"/>
    <row r="338" customFormat="1" ht="14.25" customHeight="1" x14ac:dyDescent="0.35"/>
    <row r="339" customFormat="1" ht="14.25" customHeight="1" x14ac:dyDescent="0.35"/>
    <row r="340" customFormat="1" ht="14.25" customHeight="1" x14ac:dyDescent="0.35"/>
    <row r="341" customFormat="1" ht="14.25" customHeight="1" x14ac:dyDescent="0.35"/>
    <row r="342" customFormat="1" ht="14.25" customHeight="1" x14ac:dyDescent="0.35"/>
    <row r="343" customFormat="1" ht="14.25" customHeight="1" x14ac:dyDescent="0.35"/>
    <row r="344" customFormat="1" ht="14.25" customHeight="1" x14ac:dyDescent="0.35"/>
    <row r="345" customFormat="1" ht="14.25" customHeight="1" x14ac:dyDescent="0.35"/>
    <row r="346" customFormat="1" ht="14.25" customHeight="1" x14ac:dyDescent="0.35"/>
    <row r="347" customFormat="1" ht="14.25" customHeight="1" x14ac:dyDescent="0.35"/>
    <row r="348" customFormat="1" ht="14.25" customHeight="1" x14ac:dyDescent="0.35"/>
    <row r="349" customFormat="1" ht="14.25" customHeight="1" x14ac:dyDescent="0.35"/>
    <row r="350" customFormat="1" ht="14.25" customHeight="1" x14ac:dyDescent="0.35"/>
    <row r="351" customFormat="1" ht="14.25" customHeight="1" x14ac:dyDescent="0.35"/>
    <row r="352" customFormat="1" ht="14.25" customHeight="1" x14ac:dyDescent="0.35"/>
    <row r="353" customFormat="1" ht="14.25" customHeight="1" x14ac:dyDescent="0.35"/>
    <row r="354" customFormat="1" ht="14.25" customHeight="1" x14ac:dyDescent="0.35"/>
    <row r="355" customFormat="1" ht="14.25" customHeight="1" x14ac:dyDescent="0.35"/>
    <row r="356" customFormat="1" ht="14.25" customHeight="1" x14ac:dyDescent="0.35"/>
    <row r="357" customFormat="1" ht="14.25" customHeight="1" x14ac:dyDescent="0.35"/>
    <row r="358" customFormat="1" ht="14.25" customHeight="1" x14ac:dyDescent="0.35"/>
    <row r="359" customFormat="1" ht="14.25" customHeight="1" x14ac:dyDescent="0.35"/>
    <row r="360" customFormat="1" ht="14.25" customHeight="1" x14ac:dyDescent="0.35"/>
    <row r="361" customFormat="1" ht="14.25" customHeight="1" x14ac:dyDescent="0.35"/>
    <row r="362" customFormat="1" ht="14.25" customHeight="1" x14ac:dyDescent="0.35"/>
    <row r="363" customFormat="1" ht="14.25" customHeight="1" x14ac:dyDescent="0.35"/>
    <row r="364" customFormat="1" ht="14.25" customHeight="1" x14ac:dyDescent="0.35"/>
    <row r="365" customFormat="1" ht="14.25" customHeight="1" x14ac:dyDescent="0.35"/>
    <row r="366" customFormat="1" ht="14.25" customHeight="1" x14ac:dyDescent="0.35"/>
    <row r="367" customFormat="1" ht="14.25" customHeight="1" x14ac:dyDescent="0.35"/>
    <row r="368" customFormat="1" ht="14.25" customHeight="1" x14ac:dyDescent="0.35"/>
    <row r="369" customFormat="1" ht="14.25" customHeight="1" x14ac:dyDescent="0.35"/>
    <row r="370" customFormat="1" ht="14.25" customHeight="1" x14ac:dyDescent="0.35"/>
    <row r="371" customFormat="1" ht="14.25" customHeight="1" x14ac:dyDescent="0.35"/>
    <row r="372" customFormat="1" ht="14.25" customHeight="1" x14ac:dyDescent="0.35"/>
    <row r="373" customFormat="1" ht="14.25" customHeight="1" x14ac:dyDescent="0.35"/>
    <row r="374" customFormat="1" ht="14.25" customHeight="1" x14ac:dyDescent="0.35"/>
    <row r="375" customFormat="1" ht="14.25" customHeight="1" x14ac:dyDescent="0.35"/>
    <row r="376" customFormat="1" ht="14.25" customHeight="1" x14ac:dyDescent="0.35"/>
    <row r="377" customFormat="1" ht="14.25" customHeight="1" x14ac:dyDescent="0.35"/>
    <row r="378" customFormat="1" ht="14.25" customHeight="1" x14ac:dyDescent="0.35"/>
    <row r="379" customFormat="1" ht="14.25" customHeight="1" x14ac:dyDescent="0.35"/>
    <row r="380" customFormat="1" ht="14.25" customHeight="1" x14ac:dyDescent="0.35"/>
    <row r="381" customFormat="1" ht="14.25" customHeight="1" x14ac:dyDescent="0.35"/>
    <row r="382" customFormat="1" ht="14.25" customHeight="1" x14ac:dyDescent="0.35"/>
    <row r="383" customFormat="1" ht="14.25" customHeight="1" x14ac:dyDescent="0.35"/>
    <row r="384" customFormat="1" ht="14.25" customHeight="1" x14ac:dyDescent="0.35"/>
    <row r="385" customFormat="1" ht="14.25" customHeight="1" x14ac:dyDescent="0.35"/>
    <row r="386" customFormat="1" ht="14.25" customHeight="1" x14ac:dyDescent="0.35"/>
    <row r="387" customFormat="1" ht="14.25" customHeight="1" x14ac:dyDescent="0.35"/>
    <row r="388" customFormat="1" ht="14.25" customHeight="1" x14ac:dyDescent="0.35"/>
    <row r="389" customFormat="1" ht="14.25" customHeight="1" x14ac:dyDescent="0.35"/>
    <row r="390" customFormat="1" ht="14.25" customHeight="1" x14ac:dyDescent="0.35"/>
    <row r="391" customFormat="1" ht="14.25" customHeight="1" x14ac:dyDescent="0.35"/>
    <row r="392" customFormat="1" ht="14.25" customHeight="1" x14ac:dyDescent="0.35"/>
    <row r="393" customFormat="1" ht="14.25" customHeight="1" x14ac:dyDescent="0.35"/>
    <row r="394" customFormat="1" ht="14.25" customHeight="1" x14ac:dyDescent="0.35"/>
    <row r="395" customFormat="1" ht="14.25" customHeight="1" x14ac:dyDescent="0.35"/>
    <row r="396" customFormat="1" ht="14.25" customHeight="1" x14ac:dyDescent="0.35"/>
    <row r="397" customFormat="1" ht="14.25" customHeight="1" x14ac:dyDescent="0.35"/>
    <row r="398" customFormat="1" ht="14.25" customHeight="1" x14ac:dyDescent="0.35"/>
    <row r="399" customFormat="1" ht="14.25" customHeight="1" x14ac:dyDescent="0.35"/>
    <row r="400" customFormat="1" ht="14.25" customHeight="1" x14ac:dyDescent="0.35"/>
    <row r="401" customFormat="1" ht="14.25" customHeight="1" x14ac:dyDescent="0.35"/>
    <row r="402" customFormat="1" ht="14.25" customHeight="1" x14ac:dyDescent="0.35"/>
    <row r="403" customFormat="1" ht="14.25" customHeight="1" x14ac:dyDescent="0.35"/>
    <row r="404" customFormat="1" ht="14.25" customHeight="1" x14ac:dyDescent="0.35"/>
    <row r="405" customFormat="1" ht="14.25" customHeight="1" x14ac:dyDescent="0.35"/>
    <row r="406" customFormat="1" ht="14.25" customHeight="1" x14ac:dyDescent="0.35"/>
    <row r="407" customFormat="1" ht="14.25" customHeight="1" x14ac:dyDescent="0.35"/>
    <row r="408" customFormat="1" ht="14.25" customHeight="1" x14ac:dyDescent="0.35"/>
    <row r="409" customFormat="1" ht="14.25" customHeight="1" x14ac:dyDescent="0.35"/>
    <row r="410" customFormat="1" ht="14.25" customHeight="1" x14ac:dyDescent="0.35"/>
    <row r="411" customFormat="1" ht="14.25" customHeight="1" x14ac:dyDescent="0.35"/>
    <row r="412" customFormat="1" ht="14.25" customHeight="1" x14ac:dyDescent="0.35"/>
    <row r="413" customFormat="1" ht="14.25" customHeight="1" x14ac:dyDescent="0.35"/>
    <row r="414" customFormat="1" ht="14.25" customHeight="1" x14ac:dyDescent="0.35"/>
    <row r="415" customFormat="1" ht="14.25" customHeight="1" x14ac:dyDescent="0.35"/>
    <row r="416" customFormat="1" ht="14.25" customHeight="1" x14ac:dyDescent="0.35"/>
    <row r="417" customFormat="1" ht="14.25" customHeight="1" x14ac:dyDescent="0.35"/>
    <row r="418" customFormat="1" ht="14.25" customHeight="1" x14ac:dyDescent="0.35"/>
    <row r="419" customFormat="1" ht="14.25" customHeight="1" x14ac:dyDescent="0.35"/>
    <row r="420" customFormat="1" ht="14.25" customHeight="1" x14ac:dyDescent="0.35"/>
    <row r="421" customFormat="1" ht="14.25" customHeight="1" x14ac:dyDescent="0.35"/>
    <row r="422" customFormat="1" ht="14.25" customHeight="1" x14ac:dyDescent="0.35"/>
    <row r="423" customFormat="1" ht="14.25" customHeight="1" x14ac:dyDescent="0.35"/>
    <row r="424" customFormat="1" ht="14.25" customHeight="1" x14ac:dyDescent="0.35"/>
    <row r="425" customFormat="1" ht="14.25" customHeight="1" x14ac:dyDescent="0.35"/>
    <row r="426" customFormat="1" ht="14.25" customHeight="1" x14ac:dyDescent="0.35"/>
    <row r="427" customFormat="1" ht="14.25" customHeight="1" x14ac:dyDescent="0.35"/>
    <row r="428" customFormat="1" ht="14.25" customHeight="1" x14ac:dyDescent="0.35"/>
    <row r="429" customFormat="1" ht="14.25" customHeight="1" x14ac:dyDescent="0.35"/>
    <row r="430" customFormat="1" ht="14.25" customHeight="1" x14ac:dyDescent="0.35"/>
    <row r="431" customFormat="1" ht="14.25" customHeight="1" x14ac:dyDescent="0.35"/>
    <row r="432" customFormat="1" ht="14.25" customHeight="1" x14ac:dyDescent="0.35"/>
    <row r="433" customFormat="1" ht="14.25" customHeight="1" x14ac:dyDescent="0.35"/>
    <row r="434" customFormat="1" ht="14.25" customHeight="1" x14ac:dyDescent="0.35"/>
    <row r="435" customFormat="1" ht="14.25" customHeight="1" x14ac:dyDescent="0.35"/>
    <row r="436" customFormat="1" ht="14.25" customHeight="1" x14ac:dyDescent="0.35"/>
    <row r="437" customFormat="1" ht="14.25" customHeight="1" x14ac:dyDescent="0.35"/>
    <row r="438" customFormat="1" ht="14.25" customHeight="1" x14ac:dyDescent="0.35"/>
    <row r="439" customFormat="1" ht="14.25" customHeight="1" x14ac:dyDescent="0.35"/>
    <row r="440" customFormat="1" ht="14.25" customHeight="1" x14ac:dyDescent="0.35"/>
    <row r="441" customFormat="1" ht="14.25" customHeight="1" x14ac:dyDescent="0.35"/>
    <row r="442" customFormat="1" ht="14.25" customHeight="1" x14ac:dyDescent="0.35"/>
    <row r="443" customFormat="1" ht="14.25" customHeight="1" x14ac:dyDescent="0.35"/>
    <row r="444" customFormat="1" ht="14.25" customHeight="1" x14ac:dyDescent="0.35"/>
    <row r="445" customFormat="1" ht="14.25" customHeight="1" x14ac:dyDescent="0.35"/>
    <row r="446" customFormat="1" ht="14.25" customHeight="1" x14ac:dyDescent="0.35"/>
    <row r="447" customFormat="1" ht="14.25" customHeight="1" x14ac:dyDescent="0.35"/>
    <row r="448" customFormat="1" ht="14.25" customHeight="1" x14ac:dyDescent="0.35"/>
    <row r="449" customFormat="1" ht="14.25" customHeight="1" x14ac:dyDescent="0.35"/>
    <row r="450" customFormat="1" ht="14.25" customHeight="1" x14ac:dyDescent="0.35"/>
    <row r="451" customFormat="1" ht="14.25" customHeight="1" x14ac:dyDescent="0.35"/>
    <row r="452" customFormat="1" ht="14.25" customHeight="1" x14ac:dyDescent="0.35"/>
    <row r="453" customFormat="1" ht="14.25" customHeight="1" x14ac:dyDescent="0.35"/>
    <row r="454" customFormat="1" ht="14.25" customHeight="1" x14ac:dyDescent="0.35"/>
    <row r="455" customFormat="1" ht="14.25" customHeight="1" x14ac:dyDescent="0.35"/>
    <row r="456" customFormat="1" ht="14.25" customHeight="1" x14ac:dyDescent="0.35"/>
    <row r="457" customFormat="1" ht="14.25" customHeight="1" x14ac:dyDescent="0.35"/>
    <row r="458" customFormat="1" ht="14.25" customHeight="1" x14ac:dyDescent="0.35"/>
    <row r="459" customFormat="1" ht="14.25" customHeight="1" x14ac:dyDescent="0.35"/>
    <row r="460" customFormat="1" ht="14.25" customHeight="1" x14ac:dyDescent="0.35"/>
    <row r="461" customFormat="1" ht="14.25" customHeight="1" x14ac:dyDescent="0.35"/>
    <row r="462" customFormat="1" ht="14.25" customHeight="1" x14ac:dyDescent="0.35"/>
    <row r="463" customFormat="1" ht="14.25" customHeight="1" x14ac:dyDescent="0.35"/>
    <row r="464" customFormat="1" ht="14.25" customHeight="1" x14ac:dyDescent="0.35"/>
    <row r="465" customFormat="1" ht="14.25" customHeight="1" x14ac:dyDescent="0.35"/>
    <row r="466" customFormat="1" ht="14.25" customHeight="1" x14ac:dyDescent="0.35"/>
    <row r="467" customFormat="1" ht="14.25" customHeight="1" x14ac:dyDescent="0.35"/>
    <row r="468" customFormat="1" ht="14.25" customHeight="1" x14ac:dyDescent="0.35"/>
    <row r="469" customFormat="1" ht="14.25" customHeight="1" x14ac:dyDescent="0.35"/>
    <row r="470" customFormat="1" ht="14.25" customHeight="1" x14ac:dyDescent="0.35"/>
    <row r="471" customFormat="1" ht="14.25" customHeight="1" x14ac:dyDescent="0.35"/>
    <row r="472" customFormat="1" ht="14.25" customHeight="1" x14ac:dyDescent="0.35"/>
    <row r="473" customFormat="1" ht="14.25" customHeight="1" x14ac:dyDescent="0.35"/>
    <row r="474" customFormat="1" ht="14.25" customHeight="1" x14ac:dyDescent="0.35"/>
    <row r="475" customFormat="1" ht="14.25" customHeight="1" x14ac:dyDescent="0.35"/>
    <row r="476" customFormat="1" ht="14.25" customHeight="1" x14ac:dyDescent="0.35"/>
    <row r="477" customFormat="1" ht="14.25" customHeight="1" x14ac:dyDescent="0.35"/>
    <row r="478" customFormat="1" ht="14.25" customHeight="1" x14ac:dyDescent="0.35"/>
    <row r="479" customFormat="1" ht="14.25" customHeight="1" x14ac:dyDescent="0.35"/>
    <row r="480" customFormat="1" ht="14.25" customHeight="1" x14ac:dyDescent="0.35"/>
    <row r="481" customFormat="1" ht="14.25" customHeight="1" x14ac:dyDescent="0.35"/>
    <row r="482" customFormat="1" ht="14.25" customHeight="1" x14ac:dyDescent="0.35"/>
    <row r="483" customFormat="1" ht="14.25" customHeight="1" x14ac:dyDescent="0.35"/>
    <row r="484" customFormat="1" ht="14.25" customHeight="1" x14ac:dyDescent="0.35"/>
    <row r="485" customFormat="1" ht="14.25" customHeight="1" x14ac:dyDescent="0.35"/>
    <row r="486" customFormat="1" ht="14.25" customHeight="1" x14ac:dyDescent="0.35"/>
    <row r="487" customFormat="1" ht="14.25" customHeight="1" x14ac:dyDescent="0.35"/>
    <row r="488" customFormat="1" ht="14.25" customHeight="1" x14ac:dyDescent="0.35"/>
    <row r="489" customFormat="1" ht="14.25" customHeight="1" x14ac:dyDescent="0.35"/>
    <row r="490" customFormat="1" ht="14.25" customHeight="1" x14ac:dyDescent="0.35"/>
    <row r="491" customFormat="1" ht="14.25" customHeight="1" x14ac:dyDescent="0.35"/>
    <row r="492" customFormat="1" ht="14.25" customHeight="1" x14ac:dyDescent="0.35"/>
    <row r="493" customFormat="1" ht="14.25" customHeight="1" x14ac:dyDescent="0.35"/>
    <row r="494" customFormat="1" ht="14.25" customHeight="1" x14ac:dyDescent="0.35"/>
    <row r="495" customFormat="1" ht="14.25" customHeight="1" x14ac:dyDescent="0.35"/>
    <row r="496" customFormat="1" ht="14.25" customHeight="1" x14ac:dyDescent="0.35"/>
    <row r="497" customFormat="1" ht="14.25" customHeight="1" x14ac:dyDescent="0.35"/>
    <row r="498" customFormat="1" ht="14.25" customHeight="1" x14ac:dyDescent="0.35"/>
    <row r="499" customFormat="1" ht="14.25" customHeight="1" x14ac:dyDescent="0.35"/>
    <row r="500" customFormat="1" ht="14.25" customHeight="1" x14ac:dyDescent="0.35"/>
    <row r="501" customFormat="1" ht="14.25" customHeight="1" x14ac:dyDescent="0.35"/>
    <row r="502" customFormat="1" ht="14.25" customHeight="1" x14ac:dyDescent="0.35"/>
    <row r="503" customFormat="1" ht="14.25" customHeight="1" x14ac:dyDescent="0.35"/>
    <row r="504" customFormat="1" ht="14.25" customHeight="1" x14ac:dyDescent="0.35"/>
    <row r="505" customFormat="1" ht="14.25" customHeight="1" x14ac:dyDescent="0.35"/>
    <row r="506" customFormat="1" ht="14.25" customHeight="1" x14ac:dyDescent="0.35"/>
    <row r="507" customFormat="1" ht="14.25" customHeight="1" x14ac:dyDescent="0.35"/>
    <row r="508" customFormat="1" ht="14.25" customHeight="1" x14ac:dyDescent="0.35"/>
    <row r="509" customFormat="1" ht="14.25" customHeight="1" x14ac:dyDescent="0.35"/>
    <row r="510" customFormat="1" ht="14.25" customHeight="1" x14ac:dyDescent="0.35"/>
    <row r="511" customFormat="1" ht="14.25" customHeight="1" x14ac:dyDescent="0.35"/>
    <row r="512" customFormat="1" ht="14.25" customHeight="1" x14ac:dyDescent="0.35"/>
    <row r="513" customFormat="1" ht="14.25" customHeight="1" x14ac:dyDescent="0.35"/>
    <row r="514" customFormat="1" ht="14.25" customHeight="1" x14ac:dyDescent="0.35"/>
    <row r="515" customFormat="1" ht="14.25" customHeight="1" x14ac:dyDescent="0.35"/>
    <row r="516" customFormat="1" ht="14.25" customHeight="1" x14ac:dyDescent="0.35"/>
    <row r="517" customFormat="1" ht="14.25" customHeight="1" x14ac:dyDescent="0.35"/>
    <row r="518" customFormat="1" ht="14.25" customHeight="1" x14ac:dyDescent="0.35"/>
    <row r="519" customFormat="1" ht="14.25" customHeight="1" x14ac:dyDescent="0.35"/>
    <row r="520" customFormat="1" ht="14.25" customHeight="1" x14ac:dyDescent="0.35"/>
    <row r="521" customFormat="1" ht="14.25" customHeight="1" x14ac:dyDescent="0.35"/>
    <row r="522" customFormat="1" ht="14.25" customHeight="1" x14ac:dyDescent="0.35"/>
    <row r="523" customFormat="1" ht="14.25" customHeight="1" x14ac:dyDescent="0.35"/>
    <row r="524" customFormat="1" ht="14.25" customHeight="1" x14ac:dyDescent="0.35"/>
    <row r="525" customFormat="1" ht="14.25" customHeight="1" x14ac:dyDescent="0.35"/>
    <row r="526" customFormat="1" ht="14.25" customHeight="1" x14ac:dyDescent="0.35"/>
    <row r="527" customFormat="1" ht="14.25" customHeight="1" x14ac:dyDescent="0.35"/>
    <row r="528" customFormat="1" ht="14.25" customHeight="1" x14ac:dyDescent="0.35"/>
    <row r="529" customFormat="1" ht="14.25" customHeight="1" x14ac:dyDescent="0.35"/>
    <row r="530" customFormat="1" ht="14.25" customHeight="1" x14ac:dyDescent="0.35"/>
    <row r="531" customFormat="1" ht="14.25" customHeight="1" x14ac:dyDescent="0.35"/>
    <row r="532" customFormat="1" ht="14.25" customHeight="1" x14ac:dyDescent="0.35"/>
    <row r="533" customFormat="1" ht="14.25" customHeight="1" x14ac:dyDescent="0.35"/>
    <row r="534" customFormat="1" ht="14.25" customHeight="1" x14ac:dyDescent="0.35"/>
    <row r="535" customFormat="1" ht="14.25" customHeight="1" x14ac:dyDescent="0.35"/>
    <row r="536" customFormat="1" ht="14.25" customHeight="1" x14ac:dyDescent="0.35"/>
    <row r="537" customFormat="1" ht="14.25" customHeight="1" x14ac:dyDescent="0.35"/>
    <row r="538" customFormat="1" ht="14.25" customHeight="1" x14ac:dyDescent="0.35"/>
    <row r="539" customFormat="1" ht="14.25" customHeight="1" x14ac:dyDescent="0.35"/>
    <row r="540" customFormat="1" ht="14.25" customHeight="1" x14ac:dyDescent="0.35"/>
    <row r="541" customFormat="1" ht="14.25" customHeight="1" x14ac:dyDescent="0.35"/>
    <row r="542" customFormat="1" ht="14.25" customHeight="1" x14ac:dyDescent="0.35"/>
    <row r="543" customFormat="1" ht="14.25" customHeight="1" x14ac:dyDescent="0.35"/>
    <row r="544" customFormat="1" ht="14.25" customHeight="1" x14ac:dyDescent="0.35"/>
    <row r="545" customFormat="1" ht="14.25" customHeight="1" x14ac:dyDescent="0.35"/>
    <row r="546" customFormat="1" ht="14.25" customHeight="1" x14ac:dyDescent="0.35"/>
    <row r="547" customFormat="1" ht="14.25" customHeight="1" x14ac:dyDescent="0.35"/>
    <row r="548" customFormat="1" ht="14.25" customHeight="1" x14ac:dyDescent="0.35"/>
    <row r="549" customFormat="1" ht="14.25" customHeight="1" x14ac:dyDescent="0.35"/>
    <row r="550" customFormat="1" ht="14.25" customHeight="1" x14ac:dyDescent="0.35"/>
    <row r="551" customFormat="1" ht="14.25" customHeight="1" x14ac:dyDescent="0.35"/>
    <row r="552" customFormat="1" ht="14.25" customHeight="1" x14ac:dyDescent="0.35"/>
    <row r="553" customFormat="1" ht="14.25" customHeight="1" x14ac:dyDescent="0.35"/>
    <row r="554" customFormat="1" ht="14.25" customHeight="1" x14ac:dyDescent="0.35"/>
    <row r="555" customFormat="1" ht="14.25" customHeight="1" x14ac:dyDescent="0.35"/>
    <row r="556" customFormat="1" ht="14.25" customHeight="1" x14ac:dyDescent="0.35"/>
    <row r="557" customFormat="1" ht="14.25" customHeight="1" x14ac:dyDescent="0.35"/>
    <row r="558" customFormat="1" ht="14.25" customHeight="1" x14ac:dyDescent="0.35"/>
    <row r="559" customFormat="1" ht="14.25" customHeight="1" x14ac:dyDescent="0.35"/>
    <row r="560" customFormat="1" ht="14.25" customHeight="1" x14ac:dyDescent="0.35"/>
    <row r="561" customFormat="1" ht="14.25" customHeight="1" x14ac:dyDescent="0.35"/>
    <row r="562" customFormat="1" ht="14.25" customHeight="1" x14ac:dyDescent="0.35"/>
    <row r="563" customFormat="1" ht="14.25" customHeight="1" x14ac:dyDescent="0.35"/>
    <row r="564" customFormat="1" ht="14.25" customHeight="1" x14ac:dyDescent="0.35"/>
    <row r="565" customFormat="1" ht="14.25" customHeight="1" x14ac:dyDescent="0.35"/>
    <row r="566" customFormat="1" ht="14.25" customHeight="1" x14ac:dyDescent="0.35"/>
    <row r="567" customFormat="1" ht="14.25" customHeight="1" x14ac:dyDescent="0.35"/>
    <row r="568" customFormat="1" ht="14.25" customHeight="1" x14ac:dyDescent="0.35"/>
    <row r="569" customFormat="1" ht="14.25" customHeight="1" x14ac:dyDescent="0.35"/>
    <row r="570" customFormat="1" ht="14.25" customHeight="1" x14ac:dyDescent="0.35"/>
    <row r="571" customFormat="1" ht="14.25" customHeight="1" x14ac:dyDescent="0.35"/>
    <row r="572" customFormat="1" ht="14.25" customHeight="1" x14ac:dyDescent="0.35"/>
    <row r="573" customFormat="1" ht="14.25" customHeight="1" x14ac:dyDescent="0.35"/>
    <row r="574" customFormat="1" ht="14.25" customHeight="1" x14ac:dyDescent="0.35"/>
    <row r="575" customFormat="1" ht="14.25" customHeight="1" x14ac:dyDescent="0.35"/>
    <row r="576" customFormat="1" ht="14.25" customHeight="1" x14ac:dyDescent="0.35"/>
    <row r="577" customFormat="1" ht="14.25" customHeight="1" x14ac:dyDescent="0.35"/>
    <row r="578" customFormat="1" ht="14.25" customHeight="1" x14ac:dyDescent="0.35"/>
    <row r="579" customFormat="1" ht="14.25" customHeight="1" x14ac:dyDescent="0.35"/>
    <row r="580" customFormat="1" ht="14.25" customHeight="1" x14ac:dyDescent="0.35"/>
    <row r="581" customFormat="1" ht="14.25" customHeight="1" x14ac:dyDescent="0.35"/>
    <row r="582" customFormat="1" ht="14.25" customHeight="1" x14ac:dyDescent="0.35"/>
    <row r="583" customFormat="1" ht="14.25" customHeight="1" x14ac:dyDescent="0.35"/>
    <row r="584" customFormat="1" ht="14.25" customHeight="1" x14ac:dyDescent="0.35"/>
    <row r="585" customFormat="1" ht="14.25" customHeight="1" x14ac:dyDescent="0.35"/>
    <row r="586" customFormat="1" ht="14.25" customHeight="1" x14ac:dyDescent="0.35"/>
    <row r="587" customFormat="1" ht="14.25" customHeight="1" x14ac:dyDescent="0.35"/>
    <row r="588" customFormat="1" ht="14.25" customHeight="1" x14ac:dyDescent="0.35"/>
    <row r="589" customFormat="1" ht="14.25" customHeight="1" x14ac:dyDescent="0.35"/>
    <row r="590" customFormat="1" ht="14.25" customHeight="1" x14ac:dyDescent="0.35"/>
    <row r="591" customFormat="1" ht="14.25" customHeight="1" x14ac:dyDescent="0.35"/>
    <row r="592" customFormat="1" ht="14.25" customHeight="1" x14ac:dyDescent="0.35"/>
    <row r="593" customFormat="1" ht="14.25" customHeight="1" x14ac:dyDescent="0.35"/>
    <row r="594" customFormat="1" ht="14.25" customHeight="1" x14ac:dyDescent="0.35"/>
    <row r="595" customFormat="1" ht="14.25" customHeight="1" x14ac:dyDescent="0.35"/>
    <row r="596" customFormat="1" ht="14.25" customHeight="1" x14ac:dyDescent="0.35"/>
    <row r="597" customFormat="1" ht="14.25" customHeight="1" x14ac:dyDescent="0.35"/>
    <row r="598" customFormat="1" ht="14.25" customHeight="1" x14ac:dyDescent="0.35"/>
    <row r="599" customFormat="1" ht="14.25" customHeight="1" x14ac:dyDescent="0.35"/>
    <row r="600" customFormat="1" ht="14.25" customHeight="1" x14ac:dyDescent="0.35"/>
    <row r="601" customFormat="1" ht="14.25" customHeight="1" x14ac:dyDescent="0.35"/>
    <row r="602" customFormat="1" ht="14.25" customHeight="1" x14ac:dyDescent="0.35"/>
    <row r="603" customFormat="1" ht="14.25" customHeight="1" x14ac:dyDescent="0.35"/>
    <row r="604" customFormat="1" ht="14.25" customHeight="1" x14ac:dyDescent="0.35"/>
    <row r="605" customFormat="1" ht="14.25" customHeight="1" x14ac:dyDescent="0.35"/>
    <row r="606" customFormat="1" ht="14.25" customHeight="1" x14ac:dyDescent="0.35"/>
    <row r="607" customFormat="1" ht="14.25" customHeight="1" x14ac:dyDescent="0.35"/>
    <row r="608" customFormat="1" ht="14.25" customHeight="1" x14ac:dyDescent="0.35"/>
    <row r="609" customFormat="1" ht="14.25" customHeight="1" x14ac:dyDescent="0.35"/>
    <row r="610" customFormat="1" ht="14.25" customHeight="1" x14ac:dyDescent="0.35"/>
    <row r="611" customFormat="1" ht="14.25" customHeight="1" x14ac:dyDescent="0.35"/>
    <row r="612" customFormat="1" ht="14.25" customHeight="1" x14ac:dyDescent="0.35"/>
    <row r="613" customFormat="1" ht="14.25" customHeight="1" x14ac:dyDescent="0.35"/>
    <row r="614" customFormat="1" ht="14.25" customHeight="1" x14ac:dyDescent="0.35"/>
    <row r="615" customFormat="1" ht="14.25" customHeight="1" x14ac:dyDescent="0.35"/>
    <row r="616" customFormat="1" ht="14.25" customHeight="1" x14ac:dyDescent="0.35"/>
    <row r="617" customFormat="1" ht="14.25" customHeight="1" x14ac:dyDescent="0.35"/>
    <row r="618" customFormat="1" ht="14.25" customHeight="1" x14ac:dyDescent="0.35"/>
    <row r="619" customFormat="1" ht="14.25" customHeight="1" x14ac:dyDescent="0.35"/>
    <row r="620" customFormat="1" ht="14.25" customHeight="1" x14ac:dyDescent="0.35"/>
    <row r="621" customFormat="1" ht="14.25" customHeight="1" x14ac:dyDescent="0.35"/>
    <row r="622" customFormat="1" ht="14.25" customHeight="1" x14ac:dyDescent="0.35"/>
    <row r="623" customFormat="1" ht="14.25" customHeight="1" x14ac:dyDescent="0.35"/>
    <row r="624" customFormat="1" ht="14.25" customHeight="1" x14ac:dyDescent="0.35"/>
    <row r="625" customFormat="1" ht="14.25" customHeight="1" x14ac:dyDescent="0.35"/>
    <row r="626" customFormat="1" ht="14.25" customHeight="1" x14ac:dyDescent="0.35"/>
    <row r="627" customFormat="1" ht="14.25" customHeight="1" x14ac:dyDescent="0.35"/>
    <row r="628" customFormat="1" ht="14.25" customHeight="1" x14ac:dyDescent="0.35"/>
    <row r="629" customFormat="1" ht="14.25" customHeight="1" x14ac:dyDescent="0.35"/>
    <row r="630" customFormat="1" ht="14.25" customHeight="1" x14ac:dyDescent="0.35"/>
    <row r="631" customFormat="1" ht="14.25" customHeight="1" x14ac:dyDescent="0.35"/>
    <row r="632" customFormat="1" ht="14.25" customHeight="1" x14ac:dyDescent="0.35"/>
    <row r="633" customFormat="1" ht="14.25" customHeight="1" x14ac:dyDescent="0.35"/>
    <row r="634" customFormat="1" ht="14.25" customHeight="1" x14ac:dyDescent="0.35"/>
    <row r="635" customFormat="1" ht="14.25" customHeight="1" x14ac:dyDescent="0.35"/>
    <row r="636" customFormat="1" ht="14.25" customHeight="1" x14ac:dyDescent="0.35"/>
    <row r="637" customFormat="1" ht="14.25" customHeight="1" x14ac:dyDescent="0.35"/>
    <row r="638" customFormat="1" ht="14.25" customHeight="1" x14ac:dyDescent="0.35"/>
    <row r="639" customFormat="1" ht="14.25" customHeight="1" x14ac:dyDescent="0.35"/>
    <row r="640" customFormat="1" ht="14.25" customHeight="1" x14ac:dyDescent="0.35"/>
    <row r="641" customFormat="1" ht="14.25" customHeight="1" x14ac:dyDescent="0.35"/>
    <row r="642" customFormat="1" ht="14.25" customHeight="1" x14ac:dyDescent="0.35"/>
    <row r="643" customFormat="1" ht="14.25" customHeight="1" x14ac:dyDescent="0.35"/>
    <row r="644" customFormat="1" ht="14.25" customHeight="1" x14ac:dyDescent="0.35"/>
    <row r="645" customFormat="1" ht="14.25" customHeight="1" x14ac:dyDescent="0.35"/>
    <row r="646" customFormat="1" ht="14.25" customHeight="1" x14ac:dyDescent="0.35"/>
    <row r="647" customFormat="1" ht="14.25" customHeight="1" x14ac:dyDescent="0.35"/>
    <row r="648" customFormat="1" ht="14.25" customHeight="1" x14ac:dyDescent="0.35"/>
    <row r="649" customFormat="1" ht="14.25" customHeight="1" x14ac:dyDescent="0.35"/>
    <row r="650" customFormat="1" ht="14.25" customHeight="1" x14ac:dyDescent="0.35"/>
    <row r="651" customFormat="1" ht="14.25" customHeight="1" x14ac:dyDescent="0.35"/>
    <row r="652" customFormat="1" ht="14.25" customHeight="1" x14ac:dyDescent="0.35"/>
    <row r="653" customFormat="1" ht="14.25" customHeight="1" x14ac:dyDescent="0.35"/>
    <row r="654" customFormat="1" ht="14.25" customHeight="1" x14ac:dyDescent="0.35"/>
    <row r="655" customFormat="1" ht="14.25" customHeight="1" x14ac:dyDescent="0.35"/>
    <row r="656" customFormat="1" ht="14.25" customHeight="1" x14ac:dyDescent="0.35"/>
    <row r="657" customFormat="1" ht="14.25" customHeight="1" x14ac:dyDescent="0.35"/>
    <row r="658" customFormat="1" ht="14.25" customHeight="1" x14ac:dyDescent="0.35"/>
    <row r="659" customFormat="1" ht="14.25" customHeight="1" x14ac:dyDescent="0.35"/>
    <row r="660" customFormat="1" ht="14.25" customHeight="1" x14ac:dyDescent="0.35"/>
    <row r="661" customFormat="1" ht="14.25" customHeight="1" x14ac:dyDescent="0.35"/>
    <row r="662" customFormat="1" ht="14.25" customHeight="1" x14ac:dyDescent="0.35"/>
    <row r="663" customFormat="1" ht="14.25" customHeight="1" x14ac:dyDescent="0.35"/>
    <row r="664" customFormat="1" ht="14.25" customHeight="1" x14ac:dyDescent="0.35"/>
    <row r="665" customFormat="1" ht="14.25" customHeight="1" x14ac:dyDescent="0.35"/>
    <row r="666" customFormat="1" ht="14.25" customHeight="1" x14ac:dyDescent="0.35"/>
    <row r="667" customFormat="1" ht="14.25" customHeight="1" x14ac:dyDescent="0.35"/>
    <row r="668" customFormat="1" ht="14.25" customHeight="1" x14ac:dyDescent="0.35"/>
    <row r="669" customFormat="1" ht="14.25" customHeight="1" x14ac:dyDescent="0.35"/>
    <row r="670" customFormat="1" ht="14.25" customHeight="1" x14ac:dyDescent="0.35"/>
    <row r="671" customFormat="1" ht="14.25" customHeight="1" x14ac:dyDescent="0.35"/>
    <row r="672" customFormat="1" ht="14.25" customHeight="1" x14ac:dyDescent="0.35"/>
    <row r="673" customFormat="1" ht="14.25" customHeight="1" x14ac:dyDescent="0.35"/>
    <row r="674" customFormat="1" ht="14.25" customHeight="1" x14ac:dyDescent="0.35"/>
    <row r="675" customFormat="1" ht="14.25" customHeight="1" x14ac:dyDescent="0.35"/>
    <row r="676" customFormat="1" ht="14.25" customHeight="1" x14ac:dyDescent="0.35"/>
    <row r="677" customFormat="1" ht="14.25" customHeight="1" x14ac:dyDescent="0.35"/>
    <row r="678" customFormat="1" ht="14.25" customHeight="1" x14ac:dyDescent="0.35"/>
    <row r="679" customFormat="1" ht="14.25" customHeight="1" x14ac:dyDescent="0.35"/>
    <row r="680" customFormat="1" ht="14.25" customHeight="1" x14ac:dyDescent="0.35"/>
    <row r="681" customFormat="1" ht="14.25" customHeight="1" x14ac:dyDescent="0.35"/>
    <row r="682" customFormat="1" ht="14.25" customHeight="1" x14ac:dyDescent="0.35"/>
    <row r="683" customFormat="1" ht="14.25" customHeight="1" x14ac:dyDescent="0.35"/>
    <row r="684" customFormat="1" ht="14.25" customHeight="1" x14ac:dyDescent="0.35"/>
    <row r="685" customFormat="1" ht="14.25" customHeight="1" x14ac:dyDescent="0.35"/>
    <row r="686" customFormat="1" ht="14.25" customHeight="1" x14ac:dyDescent="0.35"/>
    <row r="687" customFormat="1" ht="14.25" customHeight="1" x14ac:dyDescent="0.35"/>
    <row r="688" customFormat="1" ht="14.25" customHeight="1" x14ac:dyDescent="0.35"/>
    <row r="689" customFormat="1" ht="14.25" customHeight="1" x14ac:dyDescent="0.35"/>
    <row r="690" customFormat="1" ht="14.25" customHeight="1" x14ac:dyDescent="0.35"/>
    <row r="691" customFormat="1" ht="14.25" customHeight="1" x14ac:dyDescent="0.35"/>
    <row r="692" customFormat="1" ht="14.25" customHeight="1" x14ac:dyDescent="0.35"/>
    <row r="693" customFormat="1" ht="14.25" customHeight="1" x14ac:dyDescent="0.35"/>
    <row r="694" customFormat="1" ht="14.25" customHeight="1" x14ac:dyDescent="0.35"/>
    <row r="695" customFormat="1" ht="14.25" customHeight="1" x14ac:dyDescent="0.35"/>
    <row r="696" customFormat="1" ht="14.25" customHeight="1" x14ac:dyDescent="0.35"/>
    <row r="697" customFormat="1" ht="14.25" customHeight="1" x14ac:dyDescent="0.35"/>
    <row r="698" customFormat="1" ht="14.25" customHeight="1" x14ac:dyDescent="0.35"/>
    <row r="699" customFormat="1" ht="14.25" customHeight="1" x14ac:dyDescent="0.35"/>
    <row r="700" customFormat="1" ht="14.25" customHeight="1" x14ac:dyDescent="0.35"/>
    <row r="701" customFormat="1" ht="14.25" customHeight="1" x14ac:dyDescent="0.35"/>
    <row r="702" customFormat="1" ht="14.25" customHeight="1" x14ac:dyDescent="0.35"/>
    <row r="703" customFormat="1" ht="14.25" customHeight="1" x14ac:dyDescent="0.35"/>
    <row r="704" customFormat="1" ht="14.25" customHeight="1" x14ac:dyDescent="0.35"/>
    <row r="705" customFormat="1" ht="14.25" customHeight="1" x14ac:dyDescent="0.35"/>
    <row r="706" customFormat="1" ht="14.25" customHeight="1" x14ac:dyDescent="0.35"/>
    <row r="707" customFormat="1" ht="14.25" customHeight="1" x14ac:dyDescent="0.35"/>
    <row r="708" customFormat="1" ht="14.25" customHeight="1" x14ac:dyDescent="0.35"/>
    <row r="709" customFormat="1" ht="14.25" customHeight="1" x14ac:dyDescent="0.35"/>
    <row r="710" customFormat="1" ht="14.25" customHeight="1" x14ac:dyDescent="0.35"/>
    <row r="711" customFormat="1" ht="14.25" customHeight="1" x14ac:dyDescent="0.35"/>
    <row r="712" customFormat="1" ht="14.25" customHeight="1" x14ac:dyDescent="0.35"/>
    <row r="713" customFormat="1" ht="14.25" customHeight="1" x14ac:dyDescent="0.35"/>
    <row r="714" customFormat="1" ht="14.25" customHeight="1" x14ac:dyDescent="0.35"/>
    <row r="715" customFormat="1" ht="14.25" customHeight="1" x14ac:dyDescent="0.35"/>
    <row r="716" customFormat="1" ht="14.25" customHeight="1" x14ac:dyDescent="0.35"/>
    <row r="717" customFormat="1" ht="14.25" customHeight="1" x14ac:dyDescent="0.35"/>
    <row r="718" customFormat="1" ht="14.25" customHeight="1" x14ac:dyDescent="0.35"/>
    <row r="719" customFormat="1" ht="14.25" customHeight="1" x14ac:dyDescent="0.35"/>
    <row r="720" customFormat="1" ht="14.25" customHeight="1" x14ac:dyDescent="0.35"/>
    <row r="721" customFormat="1" ht="14.25" customHeight="1" x14ac:dyDescent="0.35"/>
    <row r="722" customFormat="1" ht="14.25" customHeight="1" x14ac:dyDescent="0.35"/>
    <row r="723" customFormat="1" ht="14.25" customHeight="1" x14ac:dyDescent="0.35"/>
    <row r="724" customFormat="1" ht="14.25" customHeight="1" x14ac:dyDescent="0.35"/>
    <row r="725" customFormat="1" ht="14.25" customHeight="1" x14ac:dyDescent="0.35"/>
    <row r="726" customFormat="1" ht="14.25" customHeight="1" x14ac:dyDescent="0.35"/>
    <row r="727" customFormat="1" ht="14.25" customHeight="1" x14ac:dyDescent="0.35"/>
    <row r="728" customFormat="1" ht="14.25" customHeight="1" x14ac:dyDescent="0.35"/>
    <row r="729" customFormat="1" ht="14.25" customHeight="1" x14ac:dyDescent="0.35"/>
    <row r="730" customFormat="1" ht="14.25" customHeight="1" x14ac:dyDescent="0.35"/>
    <row r="731" customFormat="1" ht="14.25" customHeight="1" x14ac:dyDescent="0.35"/>
    <row r="732" customFormat="1" ht="14.25" customHeight="1" x14ac:dyDescent="0.35"/>
    <row r="733" customFormat="1" ht="14.25" customHeight="1" x14ac:dyDescent="0.35"/>
    <row r="734" customFormat="1" ht="14.25" customHeight="1" x14ac:dyDescent="0.35"/>
    <row r="735" customFormat="1" ht="14.25" customHeight="1" x14ac:dyDescent="0.35"/>
    <row r="736" customFormat="1" ht="14.25" customHeight="1" x14ac:dyDescent="0.35"/>
    <row r="737" customFormat="1" ht="14.25" customHeight="1" x14ac:dyDescent="0.35"/>
    <row r="738" customFormat="1" ht="14.25" customHeight="1" x14ac:dyDescent="0.35"/>
    <row r="739" customFormat="1" ht="14.25" customHeight="1" x14ac:dyDescent="0.35"/>
    <row r="740" customFormat="1" ht="14.25" customHeight="1" x14ac:dyDescent="0.35"/>
    <row r="741" customFormat="1" ht="14.25" customHeight="1" x14ac:dyDescent="0.35"/>
    <row r="742" customFormat="1" ht="14.25" customHeight="1" x14ac:dyDescent="0.35"/>
    <row r="743" customFormat="1" ht="14.25" customHeight="1" x14ac:dyDescent="0.35"/>
    <row r="744" customFormat="1" ht="14.25" customHeight="1" x14ac:dyDescent="0.35"/>
    <row r="745" customFormat="1" ht="14.25" customHeight="1" x14ac:dyDescent="0.35"/>
    <row r="746" customFormat="1" ht="14.25" customHeight="1" x14ac:dyDescent="0.35"/>
    <row r="747" customFormat="1" ht="14.25" customHeight="1" x14ac:dyDescent="0.35"/>
    <row r="748" customFormat="1" ht="14.25" customHeight="1" x14ac:dyDescent="0.35"/>
    <row r="749" customFormat="1" ht="14.25" customHeight="1" x14ac:dyDescent="0.35"/>
    <row r="750" customFormat="1" ht="14.25" customHeight="1" x14ac:dyDescent="0.35"/>
    <row r="751" customFormat="1" ht="14.25" customHeight="1" x14ac:dyDescent="0.35"/>
    <row r="752" customFormat="1" ht="14.25" customHeight="1" x14ac:dyDescent="0.35"/>
    <row r="753" customFormat="1" ht="14.25" customHeight="1" x14ac:dyDescent="0.35"/>
    <row r="754" customFormat="1" ht="14.25" customHeight="1" x14ac:dyDescent="0.35"/>
    <row r="755" customFormat="1" ht="14.25" customHeight="1" x14ac:dyDescent="0.35"/>
    <row r="756" customFormat="1" ht="14.25" customHeight="1" x14ac:dyDescent="0.35"/>
    <row r="757" customFormat="1" ht="14.25" customHeight="1" x14ac:dyDescent="0.35"/>
    <row r="758" customFormat="1" ht="14.25" customHeight="1" x14ac:dyDescent="0.35"/>
    <row r="759" customFormat="1" ht="14.25" customHeight="1" x14ac:dyDescent="0.35"/>
    <row r="760" customFormat="1" ht="14.25" customHeight="1" x14ac:dyDescent="0.35"/>
    <row r="761" customFormat="1" ht="14.25" customHeight="1" x14ac:dyDescent="0.35"/>
    <row r="762" customFormat="1" ht="14.25" customHeight="1" x14ac:dyDescent="0.35"/>
    <row r="763" customFormat="1" ht="14.25" customHeight="1" x14ac:dyDescent="0.35"/>
    <row r="764" customFormat="1" ht="14.25" customHeight="1" x14ac:dyDescent="0.35"/>
    <row r="765" customFormat="1" ht="14.25" customHeight="1" x14ac:dyDescent="0.35"/>
    <row r="766" customFormat="1" ht="14.25" customHeight="1" x14ac:dyDescent="0.35"/>
    <row r="767" customFormat="1" ht="14.25" customHeight="1" x14ac:dyDescent="0.35"/>
    <row r="768" customFormat="1" ht="14.25" customHeight="1" x14ac:dyDescent="0.35"/>
    <row r="769" customFormat="1" ht="14.25" customHeight="1" x14ac:dyDescent="0.35"/>
    <row r="770" customFormat="1" ht="14.25" customHeight="1" x14ac:dyDescent="0.35"/>
    <row r="771" customFormat="1" ht="14.25" customHeight="1" x14ac:dyDescent="0.35"/>
    <row r="772" customFormat="1" ht="14.25" customHeight="1" x14ac:dyDescent="0.35"/>
    <row r="773" customFormat="1" ht="14.25" customHeight="1" x14ac:dyDescent="0.35"/>
    <row r="774" customFormat="1" ht="14.25" customHeight="1" x14ac:dyDescent="0.35"/>
    <row r="775" customFormat="1" ht="14.25" customHeight="1" x14ac:dyDescent="0.35"/>
    <row r="776" customFormat="1" ht="14.25" customHeight="1" x14ac:dyDescent="0.35"/>
    <row r="777" customFormat="1" ht="14.25" customHeight="1" x14ac:dyDescent="0.35"/>
    <row r="778" customFormat="1" ht="14.25" customHeight="1" x14ac:dyDescent="0.35"/>
    <row r="779" customFormat="1" ht="14.25" customHeight="1" x14ac:dyDescent="0.35"/>
    <row r="780" customFormat="1" ht="14.25" customHeight="1" x14ac:dyDescent="0.35"/>
    <row r="781" customFormat="1" ht="14.25" customHeight="1" x14ac:dyDescent="0.35"/>
    <row r="782" customFormat="1" ht="14.25" customHeight="1" x14ac:dyDescent="0.35"/>
    <row r="783" customFormat="1" ht="14.25" customHeight="1" x14ac:dyDescent="0.35"/>
    <row r="784" customFormat="1" ht="14.25" customHeight="1" x14ac:dyDescent="0.35"/>
    <row r="785" customFormat="1" ht="14.25" customHeight="1" x14ac:dyDescent="0.35"/>
    <row r="786" customFormat="1" ht="14.25" customHeight="1" x14ac:dyDescent="0.35"/>
    <row r="787" customFormat="1" ht="14.25" customHeight="1" x14ac:dyDescent="0.35"/>
    <row r="788" customFormat="1" ht="14.25" customHeight="1" x14ac:dyDescent="0.35"/>
    <row r="789" customFormat="1" ht="14.25" customHeight="1" x14ac:dyDescent="0.35"/>
    <row r="790" customFormat="1" ht="14.25" customHeight="1" x14ac:dyDescent="0.35"/>
    <row r="791" customFormat="1" ht="14.25" customHeight="1" x14ac:dyDescent="0.35"/>
    <row r="792" customFormat="1" ht="14.25" customHeight="1" x14ac:dyDescent="0.35"/>
    <row r="793" customFormat="1" ht="14.25" customHeight="1" x14ac:dyDescent="0.35"/>
    <row r="794" customFormat="1" ht="14.25" customHeight="1" x14ac:dyDescent="0.35"/>
    <row r="795" customFormat="1" ht="14.25" customHeight="1" x14ac:dyDescent="0.35"/>
    <row r="796" customFormat="1" ht="14.25" customHeight="1" x14ac:dyDescent="0.35"/>
    <row r="797" customFormat="1" ht="14.25" customHeight="1" x14ac:dyDescent="0.35"/>
    <row r="798" customFormat="1" ht="14.25" customHeight="1" x14ac:dyDescent="0.35"/>
    <row r="799" customFormat="1" ht="14.25" customHeight="1" x14ac:dyDescent="0.35"/>
    <row r="800" customFormat="1" ht="14.25" customHeight="1" x14ac:dyDescent="0.35"/>
    <row r="801" customFormat="1" ht="14.25" customHeight="1" x14ac:dyDescent="0.35"/>
    <row r="802" customFormat="1" ht="14.25" customHeight="1" x14ac:dyDescent="0.35"/>
    <row r="803" customFormat="1" ht="14.25" customHeight="1" x14ac:dyDescent="0.35"/>
    <row r="804" customFormat="1" ht="14.25" customHeight="1" x14ac:dyDescent="0.35"/>
    <row r="805" customFormat="1" ht="14.25" customHeight="1" x14ac:dyDescent="0.35"/>
    <row r="806" customFormat="1" ht="14.25" customHeight="1" x14ac:dyDescent="0.35"/>
    <row r="807" customFormat="1" ht="14.25" customHeight="1" x14ac:dyDescent="0.35"/>
    <row r="808" customFormat="1" ht="14.25" customHeight="1" x14ac:dyDescent="0.35"/>
    <row r="809" customFormat="1" ht="14.25" customHeight="1" x14ac:dyDescent="0.35"/>
    <row r="810" customFormat="1" ht="14.25" customHeight="1" x14ac:dyDescent="0.35"/>
    <row r="811" customFormat="1" ht="14.25" customHeight="1" x14ac:dyDescent="0.35"/>
    <row r="812" customFormat="1" ht="14.25" customHeight="1" x14ac:dyDescent="0.35"/>
    <row r="813" customFormat="1" ht="14.25" customHeight="1" x14ac:dyDescent="0.35"/>
    <row r="814" customFormat="1" ht="14.25" customHeight="1" x14ac:dyDescent="0.35"/>
    <row r="815" customFormat="1" ht="14.25" customHeight="1" x14ac:dyDescent="0.35"/>
    <row r="816" customFormat="1" ht="14.25" customHeight="1" x14ac:dyDescent="0.35"/>
    <row r="817" customFormat="1" ht="14.25" customHeight="1" x14ac:dyDescent="0.35"/>
    <row r="818" customFormat="1" ht="14.25" customHeight="1" x14ac:dyDescent="0.35"/>
    <row r="819" customFormat="1" ht="14.25" customHeight="1" x14ac:dyDescent="0.35"/>
    <row r="820" customFormat="1" ht="14.25" customHeight="1" x14ac:dyDescent="0.35"/>
    <row r="821" customFormat="1" ht="14.25" customHeight="1" x14ac:dyDescent="0.35"/>
    <row r="822" customFormat="1" ht="14.25" customHeight="1" x14ac:dyDescent="0.35"/>
    <row r="823" customFormat="1" ht="14.25" customHeight="1" x14ac:dyDescent="0.35"/>
    <row r="824" customFormat="1" ht="14.25" customHeight="1" x14ac:dyDescent="0.35"/>
    <row r="825" customFormat="1" ht="14.25" customHeight="1" x14ac:dyDescent="0.35"/>
    <row r="826" customFormat="1" ht="14.25" customHeight="1" x14ac:dyDescent="0.35"/>
    <row r="827" customFormat="1" ht="14.25" customHeight="1" x14ac:dyDescent="0.35"/>
    <row r="828" customFormat="1" ht="14.25" customHeight="1" x14ac:dyDescent="0.35"/>
    <row r="829" customFormat="1" ht="14.25" customHeight="1" x14ac:dyDescent="0.35"/>
    <row r="830" customFormat="1" ht="14.25" customHeight="1" x14ac:dyDescent="0.35"/>
    <row r="831" customFormat="1" ht="14.25" customHeight="1" x14ac:dyDescent="0.35"/>
    <row r="832" customFormat="1" ht="14.25" customHeight="1" x14ac:dyDescent="0.35"/>
    <row r="833" customFormat="1" ht="14.25" customHeight="1" x14ac:dyDescent="0.35"/>
    <row r="834" customFormat="1" ht="14.25" customHeight="1" x14ac:dyDescent="0.35"/>
    <row r="835" customFormat="1" ht="14.25" customHeight="1" x14ac:dyDescent="0.35"/>
    <row r="836" customFormat="1" ht="14.25" customHeight="1" x14ac:dyDescent="0.35"/>
    <row r="837" customFormat="1" ht="14.25" customHeight="1" x14ac:dyDescent="0.35"/>
    <row r="838" customFormat="1" ht="14.25" customHeight="1" x14ac:dyDescent="0.35"/>
    <row r="839" customFormat="1" ht="14.25" customHeight="1" x14ac:dyDescent="0.35"/>
    <row r="840" customFormat="1" ht="14.25" customHeight="1" x14ac:dyDescent="0.35"/>
    <row r="841" customFormat="1" ht="14.25" customHeight="1" x14ac:dyDescent="0.35"/>
    <row r="842" customFormat="1" ht="14.25" customHeight="1" x14ac:dyDescent="0.35"/>
    <row r="843" customFormat="1" ht="14.25" customHeight="1" x14ac:dyDescent="0.35"/>
    <row r="844" customFormat="1" ht="14.25" customHeight="1" x14ac:dyDescent="0.35"/>
    <row r="845" customFormat="1" ht="14.25" customHeight="1" x14ac:dyDescent="0.35"/>
    <row r="846" customFormat="1" ht="14.25" customHeight="1" x14ac:dyDescent="0.35"/>
    <row r="847" customFormat="1" ht="14.25" customHeight="1" x14ac:dyDescent="0.35"/>
    <row r="848" customFormat="1" ht="14.25" customHeight="1" x14ac:dyDescent="0.35"/>
    <row r="849" customFormat="1" ht="14.25" customHeight="1" x14ac:dyDescent="0.35"/>
    <row r="850" customFormat="1" ht="14.25" customHeight="1" x14ac:dyDescent="0.35"/>
    <row r="851" customFormat="1" ht="14.25" customHeight="1" x14ac:dyDescent="0.35"/>
    <row r="852" customFormat="1" ht="14.25" customHeight="1" x14ac:dyDescent="0.35"/>
    <row r="853" customFormat="1" ht="14.25" customHeight="1" x14ac:dyDescent="0.35"/>
    <row r="854" customFormat="1" ht="14.25" customHeight="1" x14ac:dyDescent="0.35"/>
    <row r="855" customFormat="1" ht="14.25" customHeight="1" x14ac:dyDescent="0.35"/>
    <row r="856" customFormat="1" ht="14.25" customHeight="1" x14ac:dyDescent="0.35"/>
    <row r="857" customFormat="1" ht="14.25" customHeight="1" x14ac:dyDescent="0.35"/>
    <row r="858" customFormat="1" ht="14.25" customHeight="1" x14ac:dyDescent="0.35"/>
    <row r="859" customFormat="1" ht="14.25" customHeight="1" x14ac:dyDescent="0.35"/>
    <row r="860" customFormat="1" ht="14.25" customHeight="1" x14ac:dyDescent="0.35"/>
    <row r="861" customFormat="1" ht="14.25" customHeight="1" x14ac:dyDescent="0.35"/>
    <row r="862" customFormat="1" ht="14.25" customHeight="1" x14ac:dyDescent="0.35"/>
    <row r="863" customFormat="1" ht="14.25" customHeight="1" x14ac:dyDescent="0.35"/>
    <row r="864" customFormat="1" ht="14.25" customHeight="1" x14ac:dyDescent="0.35"/>
    <row r="865" customFormat="1" ht="14.25" customHeight="1" x14ac:dyDescent="0.35"/>
    <row r="866" customFormat="1" ht="14.25" customHeight="1" x14ac:dyDescent="0.35"/>
    <row r="867" customFormat="1" ht="14.25" customHeight="1" x14ac:dyDescent="0.35"/>
    <row r="868" customFormat="1" ht="14.25" customHeight="1" x14ac:dyDescent="0.35"/>
    <row r="869" customFormat="1" ht="14.25" customHeight="1" x14ac:dyDescent="0.35"/>
    <row r="870" customFormat="1" ht="14.25" customHeight="1" x14ac:dyDescent="0.35"/>
    <row r="871" customFormat="1" ht="14.25" customHeight="1" x14ac:dyDescent="0.35"/>
    <row r="872" customFormat="1" ht="14.25" customHeight="1" x14ac:dyDescent="0.35"/>
    <row r="873" customFormat="1" ht="14.25" customHeight="1" x14ac:dyDescent="0.35"/>
    <row r="874" customFormat="1" ht="14.25" customHeight="1" x14ac:dyDescent="0.35"/>
    <row r="875" customFormat="1" ht="14.25" customHeight="1" x14ac:dyDescent="0.35"/>
    <row r="876" customFormat="1" ht="14.25" customHeight="1" x14ac:dyDescent="0.35"/>
    <row r="877" customFormat="1" ht="14.25" customHeight="1" x14ac:dyDescent="0.35"/>
    <row r="878" customFormat="1" ht="14.25" customHeight="1" x14ac:dyDescent="0.35"/>
    <row r="879" customFormat="1" ht="14.25" customHeight="1" x14ac:dyDescent="0.35"/>
    <row r="880" customFormat="1" ht="14.25" customHeight="1" x14ac:dyDescent="0.35"/>
    <row r="881" customFormat="1" ht="14.25" customHeight="1" x14ac:dyDescent="0.35"/>
    <row r="882" customFormat="1" ht="14.25" customHeight="1" x14ac:dyDescent="0.35"/>
    <row r="883" customFormat="1" ht="14.25" customHeight="1" x14ac:dyDescent="0.35"/>
    <row r="884" customFormat="1" ht="14.25" customHeight="1" x14ac:dyDescent="0.35"/>
    <row r="885" customFormat="1" ht="14.25" customHeight="1" x14ac:dyDescent="0.35"/>
    <row r="886" customFormat="1" ht="14.25" customHeight="1" x14ac:dyDescent="0.35"/>
    <row r="887" customFormat="1" ht="14.25" customHeight="1" x14ac:dyDescent="0.35"/>
    <row r="888" customFormat="1" ht="14.25" customHeight="1" x14ac:dyDescent="0.35"/>
    <row r="889" customFormat="1" ht="14.25" customHeight="1" x14ac:dyDescent="0.35"/>
    <row r="890" customFormat="1" ht="14.25" customHeight="1" x14ac:dyDescent="0.35"/>
    <row r="891" customFormat="1" ht="14.25" customHeight="1" x14ac:dyDescent="0.35"/>
    <row r="892" customFormat="1" ht="14.25" customHeight="1" x14ac:dyDescent="0.35"/>
    <row r="893" customFormat="1" ht="14.25" customHeight="1" x14ac:dyDescent="0.35"/>
    <row r="894" customFormat="1" ht="14.25" customHeight="1" x14ac:dyDescent="0.35"/>
    <row r="895" customFormat="1" ht="14.25" customHeight="1" x14ac:dyDescent="0.35"/>
    <row r="896" customFormat="1" ht="14.25" customHeight="1" x14ac:dyDescent="0.35"/>
    <row r="897" customFormat="1" ht="14.25" customHeight="1" x14ac:dyDescent="0.35"/>
    <row r="898" customFormat="1" ht="14.25" customHeight="1" x14ac:dyDescent="0.35"/>
    <row r="899" customFormat="1" ht="14.25" customHeight="1" x14ac:dyDescent="0.35"/>
    <row r="900" customFormat="1" ht="14.25" customHeight="1" x14ac:dyDescent="0.35"/>
    <row r="901" customFormat="1" ht="14.25" customHeight="1" x14ac:dyDescent="0.35"/>
    <row r="902" customFormat="1" ht="14.25" customHeight="1" x14ac:dyDescent="0.35"/>
    <row r="903" customFormat="1" ht="14.25" customHeight="1" x14ac:dyDescent="0.35"/>
    <row r="904" customFormat="1" ht="14.25" customHeight="1" x14ac:dyDescent="0.35"/>
    <row r="905" customFormat="1" ht="14.25" customHeight="1" x14ac:dyDescent="0.35"/>
    <row r="906" customFormat="1" ht="14.25" customHeight="1" x14ac:dyDescent="0.35"/>
    <row r="907" customFormat="1" ht="14.25" customHeight="1" x14ac:dyDescent="0.35"/>
    <row r="908" customFormat="1" ht="14.25" customHeight="1" x14ac:dyDescent="0.35"/>
    <row r="909" customFormat="1" ht="14.25" customHeight="1" x14ac:dyDescent="0.35"/>
    <row r="910" customFormat="1" ht="14.25" customHeight="1" x14ac:dyDescent="0.35"/>
    <row r="911" customFormat="1" ht="14.25" customHeight="1" x14ac:dyDescent="0.35"/>
    <row r="912" customFormat="1" ht="14.25" customHeight="1" x14ac:dyDescent="0.35"/>
    <row r="913" customFormat="1" ht="14.25" customHeight="1" x14ac:dyDescent="0.35"/>
    <row r="914" customFormat="1" ht="14.25" customHeight="1" x14ac:dyDescent="0.35"/>
    <row r="915" customFormat="1" ht="14.25" customHeight="1" x14ac:dyDescent="0.35"/>
    <row r="916" customFormat="1" ht="14.25" customHeight="1" x14ac:dyDescent="0.35"/>
    <row r="917" customFormat="1" ht="14.25" customHeight="1" x14ac:dyDescent="0.35"/>
    <row r="918" customFormat="1" ht="14.25" customHeight="1" x14ac:dyDescent="0.35"/>
    <row r="919" customFormat="1" ht="14.25" customHeight="1" x14ac:dyDescent="0.35"/>
    <row r="920" customFormat="1" ht="14.25" customHeight="1" x14ac:dyDescent="0.35"/>
    <row r="921" customFormat="1" ht="14.25" customHeight="1" x14ac:dyDescent="0.35"/>
    <row r="922" customFormat="1" ht="14.25" customHeight="1" x14ac:dyDescent="0.35"/>
    <row r="923" customFormat="1" ht="14.25" customHeight="1" x14ac:dyDescent="0.35"/>
    <row r="924" customFormat="1" ht="14.25" customHeight="1" x14ac:dyDescent="0.35"/>
    <row r="925" customFormat="1" ht="14.25" customHeight="1" x14ac:dyDescent="0.35"/>
    <row r="926" customFormat="1" ht="14.25" customHeight="1" x14ac:dyDescent="0.35"/>
    <row r="927" customFormat="1" ht="14.25" customHeight="1" x14ac:dyDescent="0.35"/>
    <row r="928" customFormat="1" ht="14.25" customHeight="1" x14ac:dyDescent="0.35"/>
    <row r="929" customFormat="1" ht="14.25" customHeight="1" x14ac:dyDescent="0.35"/>
    <row r="930" customFormat="1" ht="14.25" customHeight="1" x14ac:dyDescent="0.35"/>
    <row r="931" customFormat="1" ht="14.25" customHeight="1" x14ac:dyDescent="0.35"/>
    <row r="932" customFormat="1" ht="14.25" customHeight="1" x14ac:dyDescent="0.35"/>
    <row r="933" customFormat="1" ht="14.25" customHeight="1" x14ac:dyDescent="0.35"/>
    <row r="934" customFormat="1" ht="14.25" customHeight="1" x14ac:dyDescent="0.35"/>
    <row r="935" customFormat="1" ht="14.25" customHeight="1" x14ac:dyDescent="0.35"/>
    <row r="936" customFormat="1" ht="14.25" customHeight="1" x14ac:dyDescent="0.35"/>
    <row r="937" customFormat="1" ht="14.25" customHeight="1" x14ac:dyDescent="0.35"/>
    <row r="938" customFormat="1" ht="14.25" customHeight="1" x14ac:dyDescent="0.35"/>
    <row r="939" customFormat="1" ht="14.25" customHeight="1" x14ac:dyDescent="0.35"/>
    <row r="940" customFormat="1" ht="14.25" customHeight="1" x14ac:dyDescent="0.35"/>
    <row r="941" customFormat="1" ht="14.25" customHeight="1" x14ac:dyDescent="0.35"/>
    <row r="942" customFormat="1" ht="14.25" customHeight="1" x14ac:dyDescent="0.35"/>
    <row r="943" customFormat="1" ht="14.25" customHeight="1" x14ac:dyDescent="0.35"/>
    <row r="944" customFormat="1" ht="14.25" customHeight="1" x14ac:dyDescent="0.35"/>
    <row r="945" customFormat="1" ht="14.25" customHeight="1" x14ac:dyDescent="0.35"/>
    <row r="946" customFormat="1" ht="14.25" customHeight="1" x14ac:dyDescent="0.35"/>
    <row r="947" customFormat="1" ht="14.25" customHeight="1" x14ac:dyDescent="0.35"/>
    <row r="948" customFormat="1" ht="14.25" customHeight="1" x14ac:dyDescent="0.35"/>
    <row r="949" customFormat="1" ht="14.25" customHeight="1" x14ac:dyDescent="0.35"/>
    <row r="950" customFormat="1" ht="14.25" customHeight="1" x14ac:dyDescent="0.35"/>
    <row r="951" customFormat="1" ht="14.25" customHeight="1" x14ac:dyDescent="0.35"/>
    <row r="952" customFormat="1" ht="14.25" customHeight="1" x14ac:dyDescent="0.35"/>
    <row r="953" customFormat="1" ht="14.25" customHeight="1" x14ac:dyDescent="0.35"/>
    <row r="954" customFormat="1" ht="14.25" customHeight="1" x14ac:dyDescent="0.35"/>
    <row r="955" customFormat="1" ht="14.25" customHeight="1" x14ac:dyDescent="0.35"/>
    <row r="956" customFormat="1" ht="14.25" customHeight="1" x14ac:dyDescent="0.35"/>
    <row r="957" customFormat="1" ht="14.25" customHeight="1" x14ac:dyDescent="0.35"/>
    <row r="958" customFormat="1" ht="14.25" customHeight="1" x14ac:dyDescent="0.35"/>
    <row r="959" customFormat="1" ht="14.25" customHeight="1" x14ac:dyDescent="0.35"/>
    <row r="960" customFormat="1" ht="14.25" customHeight="1" x14ac:dyDescent="0.35"/>
    <row r="961" customFormat="1" ht="14.25" customHeight="1" x14ac:dyDescent="0.35"/>
    <row r="962" customFormat="1" ht="14.25" customHeight="1" x14ac:dyDescent="0.35"/>
    <row r="963" customFormat="1" ht="14.25" customHeight="1" x14ac:dyDescent="0.35"/>
    <row r="964" customFormat="1" ht="14.25" customHeight="1" x14ac:dyDescent="0.35"/>
    <row r="965" customFormat="1" ht="14.25" customHeight="1" x14ac:dyDescent="0.35"/>
    <row r="966" customFormat="1" ht="14.25" customHeight="1" x14ac:dyDescent="0.35"/>
    <row r="967" customFormat="1" ht="14.25" customHeight="1" x14ac:dyDescent="0.35"/>
    <row r="968" customFormat="1" ht="14.25" customHeight="1" x14ac:dyDescent="0.35"/>
    <row r="969" customFormat="1" ht="14.25" customHeight="1" x14ac:dyDescent="0.35"/>
    <row r="970" customFormat="1" ht="14.25" customHeight="1" x14ac:dyDescent="0.35"/>
    <row r="971" customFormat="1" ht="14.25" customHeight="1" x14ac:dyDescent="0.35"/>
    <row r="972" customFormat="1" ht="14.25" customHeight="1" x14ac:dyDescent="0.35"/>
    <row r="973" customFormat="1" ht="14.25" customHeight="1" x14ac:dyDescent="0.35"/>
    <row r="974" customFormat="1" ht="14.25" customHeight="1" x14ac:dyDescent="0.35"/>
    <row r="975" customFormat="1" ht="14.25" customHeight="1" x14ac:dyDescent="0.35"/>
    <row r="976" customFormat="1" ht="14.25" customHeight="1" x14ac:dyDescent="0.35"/>
    <row r="977" customFormat="1" ht="14.25" customHeight="1" x14ac:dyDescent="0.35"/>
    <row r="978" customFormat="1" ht="14.25" customHeight="1" x14ac:dyDescent="0.35"/>
    <row r="979" customFormat="1" ht="14.25" customHeight="1" x14ac:dyDescent="0.35"/>
    <row r="980" customFormat="1" ht="14.25" customHeight="1" x14ac:dyDescent="0.35"/>
    <row r="981" customFormat="1" ht="14.25" customHeight="1" x14ac:dyDescent="0.35"/>
    <row r="982" customFormat="1" ht="14.25" customHeight="1" x14ac:dyDescent="0.35"/>
    <row r="983" customFormat="1" ht="14.25" customHeight="1" x14ac:dyDescent="0.35"/>
    <row r="984" customFormat="1" ht="14.25" customHeight="1" x14ac:dyDescent="0.35"/>
    <row r="985" customFormat="1" ht="14.25" customHeight="1" x14ac:dyDescent="0.35"/>
    <row r="986" customFormat="1" ht="14.25" customHeight="1" x14ac:dyDescent="0.35"/>
    <row r="987" customFormat="1" ht="14.25" customHeight="1" x14ac:dyDescent="0.35"/>
    <row r="988" customFormat="1" ht="14.25" customHeight="1" x14ac:dyDescent="0.35"/>
    <row r="989" customFormat="1" ht="14.25" customHeight="1" x14ac:dyDescent="0.35"/>
    <row r="990" customFormat="1" ht="14.25" customHeight="1" x14ac:dyDescent="0.35"/>
    <row r="991" customFormat="1" ht="14.25" customHeight="1" x14ac:dyDescent="0.35"/>
    <row r="992" customFormat="1" ht="14.25" customHeight="1" x14ac:dyDescent="0.35"/>
    <row r="993" customFormat="1" ht="14.25" customHeight="1" x14ac:dyDescent="0.35"/>
    <row r="994" customFormat="1" ht="14.25" customHeight="1" x14ac:dyDescent="0.35"/>
    <row r="995" customFormat="1" ht="14.25" customHeight="1" x14ac:dyDescent="0.35"/>
    <row r="996" customFormat="1" ht="14.25" customHeight="1" x14ac:dyDescent="0.35"/>
    <row r="997" customFormat="1" ht="14.25" customHeight="1" x14ac:dyDescent="0.35"/>
    <row r="998" customFormat="1" ht="14.25" customHeight="1" x14ac:dyDescent="0.35"/>
    <row r="999" customFormat="1" ht="14.25" customHeight="1" x14ac:dyDescent="0.35"/>
    <row r="1000" customFormat="1" ht="14.25" customHeight="1" x14ac:dyDescent="0.3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3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35">
      <c r="B4" s="125" t="s">
        <v>212</v>
      </c>
      <c r="C4" s="128">
        <v>1</v>
      </c>
      <c r="D4" s="128" t="s">
        <v>172</v>
      </c>
      <c r="E4" s="128" t="s">
        <v>173</v>
      </c>
      <c r="F4" s="128" t="s">
        <v>215</v>
      </c>
      <c r="G4" s="128" t="s">
        <v>39</v>
      </c>
      <c r="H4" s="128" t="s">
        <v>216</v>
      </c>
      <c r="I4" s="128">
        <v>1</v>
      </c>
      <c r="J4" s="128">
        <v>1</v>
      </c>
      <c r="K4" s="128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35">
      <c r="C5" s="128">
        <v>2</v>
      </c>
      <c r="D5" s="128" t="s">
        <v>171</v>
      </c>
      <c r="E5" s="128" t="s">
        <v>172</v>
      </c>
      <c r="F5" s="128" t="s">
        <v>217</v>
      </c>
      <c r="G5" s="128" t="s">
        <v>32</v>
      </c>
      <c r="H5" s="128" t="s">
        <v>218</v>
      </c>
      <c r="I5" s="128" t="s">
        <v>219</v>
      </c>
      <c r="J5" s="128" t="s">
        <v>219</v>
      </c>
      <c r="K5" s="128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35">
      <c r="C6" s="128">
        <v>2</v>
      </c>
      <c r="D6" s="128" t="s">
        <v>172</v>
      </c>
      <c r="E6" s="128" t="s">
        <v>171</v>
      </c>
      <c r="F6" s="128" t="s">
        <v>220</v>
      </c>
      <c r="G6" s="128" t="s">
        <v>55</v>
      </c>
      <c r="H6" s="128" t="s">
        <v>216</v>
      </c>
      <c r="I6" s="128">
        <v>2</v>
      </c>
      <c r="J6" s="128">
        <v>1</v>
      </c>
      <c r="K6" s="128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35">
      <c r="C7" s="128">
        <v>3</v>
      </c>
      <c r="D7" s="128" t="s">
        <v>173</v>
      </c>
      <c r="E7" s="128" t="s">
        <v>172</v>
      </c>
      <c r="F7" s="128" t="s">
        <v>217</v>
      </c>
      <c r="G7" s="128" t="s">
        <v>27</v>
      </c>
      <c r="H7" s="128" t="s">
        <v>218</v>
      </c>
      <c r="I7" s="128" t="s">
        <v>219</v>
      </c>
      <c r="J7" s="128" t="s">
        <v>219</v>
      </c>
      <c r="K7" s="128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35">
      <c r="C8" s="128">
        <v>3</v>
      </c>
      <c r="D8" s="128" t="s">
        <v>173</v>
      </c>
      <c r="E8" s="128" t="s">
        <v>172</v>
      </c>
      <c r="F8" s="128" t="s">
        <v>215</v>
      </c>
      <c r="G8" s="128" t="s">
        <v>52</v>
      </c>
      <c r="H8" s="128" t="s">
        <v>218</v>
      </c>
      <c r="I8" s="128">
        <v>1</v>
      </c>
      <c r="J8" s="128">
        <v>1</v>
      </c>
      <c r="K8" s="128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35">
      <c r="C9" s="128">
        <v>4</v>
      </c>
      <c r="D9" s="128" t="s">
        <v>173</v>
      </c>
      <c r="E9" s="128" t="s">
        <v>171</v>
      </c>
      <c r="F9" s="128" t="s">
        <v>217</v>
      </c>
      <c r="G9" s="128" t="s">
        <v>27</v>
      </c>
      <c r="H9" s="128" t="s">
        <v>218</v>
      </c>
      <c r="I9" s="128" t="s">
        <v>219</v>
      </c>
      <c r="J9" s="128" t="s">
        <v>219</v>
      </c>
      <c r="K9" s="128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35">
      <c r="C10" s="128">
        <v>4</v>
      </c>
      <c r="D10" s="128" t="s">
        <v>171</v>
      </c>
      <c r="E10" s="128" t="s">
        <v>173</v>
      </c>
      <c r="F10" s="128" t="s">
        <v>221</v>
      </c>
      <c r="G10" s="128" t="s">
        <v>32</v>
      </c>
      <c r="H10" s="128" t="s">
        <v>83</v>
      </c>
      <c r="I10" s="128" t="s">
        <v>219</v>
      </c>
      <c r="J10" s="128" t="s">
        <v>219</v>
      </c>
      <c r="K10" s="128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35">
      <c r="C11" s="128">
        <v>4</v>
      </c>
      <c r="D11" s="128" t="s">
        <v>171</v>
      </c>
      <c r="E11" s="128" t="s">
        <v>173</v>
      </c>
      <c r="F11" s="128" t="s">
        <v>220</v>
      </c>
      <c r="G11" s="128" t="s">
        <v>192</v>
      </c>
      <c r="H11" s="128" t="s">
        <v>218</v>
      </c>
      <c r="I11" s="128">
        <v>1</v>
      </c>
      <c r="J11" s="128">
        <v>1</v>
      </c>
      <c r="K11" s="128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35">
      <c r="C12" s="128">
        <v>5</v>
      </c>
      <c r="D12" s="128" t="s">
        <v>171</v>
      </c>
      <c r="E12" s="128" t="s">
        <v>172</v>
      </c>
      <c r="F12" s="128" t="s">
        <v>217</v>
      </c>
      <c r="G12" s="128" t="s">
        <v>44</v>
      </c>
      <c r="H12" s="128" t="s">
        <v>218</v>
      </c>
      <c r="I12" s="128" t="s">
        <v>219</v>
      </c>
      <c r="J12" s="128" t="s">
        <v>219</v>
      </c>
      <c r="K12" s="128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35">
      <c r="C13" s="128">
        <v>5</v>
      </c>
      <c r="D13" s="128" t="s">
        <v>171</v>
      </c>
      <c r="E13" s="128" t="s">
        <v>172</v>
      </c>
      <c r="F13" s="128" t="s">
        <v>215</v>
      </c>
      <c r="G13" s="128" t="s">
        <v>32</v>
      </c>
      <c r="H13" s="128" t="s">
        <v>218</v>
      </c>
      <c r="I13" s="128">
        <v>2</v>
      </c>
      <c r="J13" s="128">
        <v>2</v>
      </c>
      <c r="K13" s="128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35">
      <c r="C14" s="128">
        <v>6</v>
      </c>
      <c r="D14" s="128" t="s">
        <v>173</v>
      </c>
      <c r="E14" s="128" t="s">
        <v>171</v>
      </c>
      <c r="F14" s="128" t="s">
        <v>217</v>
      </c>
      <c r="G14" s="128" t="s">
        <v>27</v>
      </c>
      <c r="H14" s="128" t="s">
        <v>218</v>
      </c>
      <c r="I14" s="128" t="s">
        <v>219</v>
      </c>
      <c r="J14" s="128" t="s">
        <v>219</v>
      </c>
      <c r="K14" s="128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35">
      <c r="C15" s="128">
        <v>6</v>
      </c>
      <c r="D15" s="128" t="s">
        <v>173</v>
      </c>
      <c r="E15" s="128" t="s">
        <v>171</v>
      </c>
      <c r="F15" s="128" t="s">
        <v>215</v>
      </c>
      <c r="G15" s="128" t="s">
        <v>27</v>
      </c>
      <c r="H15" s="128" t="s">
        <v>218</v>
      </c>
      <c r="I15" s="128">
        <v>1</v>
      </c>
      <c r="J15" s="128">
        <v>1</v>
      </c>
      <c r="K15" s="128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35">
      <c r="C16" s="128">
        <v>7</v>
      </c>
      <c r="D16" s="128" t="s">
        <v>173</v>
      </c>
      <c r="E16" s="128" t="s">
        <v>172</v>
      </c>
      <c r="F16" s="128" t="s">
        <v>217</v>
      </c>
      <c r="G16" s="128" t="s">
        <v>46</v>
      </c>
      <c r="H16" s="128" t="s">
        <v>83</v>
      </c>
      <c r="I16" s="128" t="s">
        <v>219</v>
      </c>
      <c r="J16" s="128" t="s">
        <v>219</v>
      </c>
      <c r="K16" s="128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35">
      <c r="C17" s="128">
        <v>7</v>
      </c>
      <c r="D17" s="128" t="s">
        <v>172</v>
      </c>
      <c r="E17" s="128" t="s">
        <v>173</v>
      </c>
      <c r="F17" s="128" t="s">
        <v>221</v>
      </c>
      <c r="G17" s="128" t="s">
        <v>41</v>
      </c>
      <c r="H17" s="128" t="s">
        <v>218</v>
      </c>
      <c r="I17" s="128" t="s">
        <v>219</v>
      </c>
      <c r="J17" s="128" t="s">
        <v>219</v>
      </c>
      <c r="K17" s="128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35">
      <c r="C18" s="128">
        <v>7</v>
      </c>
      <c r="D18" s="128" t="s">
        <v>173</v>
      </c>
      <c r="E18" s="128" t="s">
        <v>172</v>
      </c>
      <c r="F18" s="128" t="s">
        <v>220</v>
      </c>
      <c r="G18" s="128" t="s">
        <v>27</v>
      </c>
      <c r="H18" s="128" t="s">
        <v>218</v>
      </c>
      <c r="I18" s="128">
        <v>2</v>
      </c>
      <c r="J18" s="128">
        <v>3</v>
      </c>
      <c r="K18" s="128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35">
      <c r="C19" s="128">
        <v>8</v>
      </c>
      <c r="D19" s="128" t="s">
        <v>173</v>
      </c>
      <c r="E19" s="128" t="s">
        <v>171</v>
      </c>
      <c r="F19" s="128" t="s">
        <v>217</v>
      </c>
      <c r="G19" s="128" t="s">
        <v>30</v>
      </c>
      <c r="H19" s="128" t="s">
        <v>218</v>
      </c>
      <c r="I19" s="128" t="s">
        <v>219</v>
      </c>
      <c r="J19" s="128" t="s">
        <v>219</v>
      </c>
      <c r="K19" s="128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35">
      <c r="C20" s="128">
        <v>8</v>
      </c>
      <c r="D20" s="128" t="s">
        <v>171</v>
      </c>
      <c r="E20" s="128" t="s">
        <v>173</v>
      </c>
      <c r="F20" s="128" t="s">
        <v>221</v>
      </c>
      <c r="G20" s="128" t="s">
        <v>44</v>
      </c>
      <c r="H20" s="128" t="s">
        <v>218</v>
      </c>
      <c r="I20" s="128" t="s">
        <v>219</v>
      </c>
      <c r="J20" s="128" t="s">
        <v>219</v>
      </c>
      <c r="K20" s="128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35">
      <c r="C21" s="128">
        <v>8</v>
      </c>
      <c r="D21" s="128" t="s">
        <v>173</v>
      </c>
      <c r="E21" s="128" t="s">
        <v>171</v>
      </c>
      <c r="F21" s="128" t="s">
        <v>220</v>
      </c>
      <c r="G21" s="128" t="s">
        <v>30</v>
      </c>
      <c r="H21" s="128" t="s">
        <v>218</v>
      </c>
      <c r="I21" s="128">
        <v>3</v>
      </c>
      <c r="J21" s="128">
        <v>2</v>
      </c>
      <c r="K21" s="128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3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3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3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3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4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3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3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3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3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3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3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3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3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4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3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3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3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3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3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3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35">
      <c r="C40" s="50"/>
      <c r="T40" s="6"/>
      <c r="U40" s="6"/>
      <c r="V40" s="6"/>
    </row>
    <row r="41" spans="3:28" ht="14.25" customHeight="1" x14ac:dyDescent="0.7">
      <c r="S41" s="64"/>
      <c r="T41" s="64"/>
      <c r="U41" s="64"/>
      <c r="V41" s="64"/>
      <c r="W41" s="64"/>
    </row>
    <row r="42" spans="3:28" ht="14.25" customHeight="1" x14ac:dyDescent="0.7">
      <c r="S42" s="64"/>
      <c r="T42" s="64"/>
      <c r="U42" s="64"/>
      <c r="V42" s="64"/>
      <c r="W42" s="64"/>
    </row>
    <row r="43" spans="3:28" ht="14.25" customHeight="1" x14ac:dyDescent="0.35">
      <c r="C43" t="s">
        <v>135</v>
      </c>
      <c r="T43" s="10" t="s">
        <v>211</v>
      </c>
      <c r="U43" s="10"/>
    </row>
    <row r="44" spans="3:28" ht="14.25" customHeight="1" x14ac:dyDescent="0.3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3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3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35">
      <c r="T47" s="10" t="s">
        <v>222</v>
      </c>
      <c r="U47" s="10"/>
    </row>
    <row r="48" spans="3:28" ht="14.25" customHeight="1" x14ac:dyDescent="0.35">
      <c r="T48" s="10"/>
    </row>
    <row r="49" spans="20:20" ht="14.25" customHeight="1" x14ac:dyDescent="0.35">
      <c r="T49" s="10"/>
    </row>
    <row r="50" spans="20:20" ht="14.25" customHeight="1" x14ac:dyDescent="0.35">
      <c r="T50" s="10"/>
    </row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SfW</vt:lpstr>
      <vt:lpstr>Stats Global</vt:lpstr>
      <vt:lpstr>Statistics CT</vt:lpstr>
      <vt:lpstr>Statistics TC</vt:lpstr>
      <vt:lpstr>Statistics GM</vt:lpstr>
      <vt:lpstr>Template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2024-01-29T07:16:34Z</dcterms:modified>
</cp:coreProperties>
</file>