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4AFE868-0706-46FE-9205-9633515A8881}" xr6:coauthVersionLast="47" xr6:coauthVersionMax="47" xr10:uidLastSave="{00000000-0000-0000-0000-000000000000}"/>
  <bookViews>
    <workbookView xWindow="-98" yWindow="-98" windowWidth="22695" windowHeight="14595" activeTab="4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0502" sheetId="15" r:id="rId7"/>
    <sheet name="0202" sheetId="14" r:id="rId8"/>
    <sheet name="0102" sheetId="13" r:id="rId9"/>
    <sheet name="3101" sheetId="12" r:id="rId10"/>
    <sheet name="3001" sheetId="11" r:id="rId11"/>
    <sheet name="2901" sheetId="10" r:id="rId12"/>
    <sheet name="2501" sheetId="9" r:id="rId13"/>
    <sheet name="2401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6" l="1"/>
  <c r="H34" i="6"/>
  <c r="H45" i="5"/>
  <c r="H44" i="5"/>
  <c r="G46" i="4"/>
  <c r="G45" i="4"/>
  <c r="G44" i="4"/>
  <c r="M37" i="6"/>
  <c r="L37" i="6"/>
  <c r="N36" i="6"/>
  <c r="N35" i="6"/>
  <c r="M48" i="5"/>
  <c r="L48" i="5"/>
  <c r="N47" i="5"/>
  <c r="N46" i="5"/>
  <c r="L48" i="4"/>
  <c r="L47" i="4"/>
  <c r="K48" i="4"/>
  <c r="K47" i="4"/>
  <c r="M47" i="4"/>
  <c r="M46" i="4"/>
  <c r="R5" i="6"/>
  <c r="S5" i="6"/>
  <c r="R6" i="6"/>
  <c r="S6" i="6"/>
  <c r="R7" i="6"/>
  <c r="S7" i="6"/>
  <c r="R8" i="6"/>
  <c r="S8" i="6"/>
  <c r="R9" i="6"/>
  <c r="S9" i="6"/>
  <c r="R10" i="6"/>
  <c r="S10" i="6"/>
  <c r="V4" i="5"/>
  <c r="W4" i="5"/>
  <c r="V5" i="5"/>
  <c r="W5" i="5"/>
  <c r="V6" i="5"/>
  <c r="W6" i="5"/>
  <c r="V7" i="5"/>
  <c r="W7" i="5"/>
  <c r="V8" i="5"/>
  <c r="W8" i="5"/>
  <c r="Y4" i="4"/>
  <c r="Z4" i="4"/>
  <c r="Y5" i="4"/>
  <c r="Z5" i="4"/>
  <c r="Y6" i="4"/>
  <c r="Z6" i="4"/>
  <c r="Y7" i="4"/>
  <c r="Z7" i="4"/>
  <c r="Y8" i="4"/>
  <c r="Z8" i="4"/>
  <c r="X5" i="4"/>
  <c r="X6" i="4"/>
  <c r="X7" i="4"/>
  <c r="X8" i="4"/>
  <c r="E68" i="2"/>
  <c r="B36" i="2"/>
  <c r="B35" i="2"/>
  <c r="AE49" i="3"/>
  <c r="AE50" i="3"/>
  <c r="AE51" i="3"/>
  <c r="AI10" i="3" s="1"/>
  <c r="M5" i="2" s="1"/>
  <c r="M55" i="2" s="1"/>
  <c r="AE52" i="3"/>
  <c r="AI11" i="3" s="1"/>
  <c r="M6" i="2" s="1"/>
  <c r="M56" i="2" s="1"/>
  <c r="AE53" i="3"/>
  <c r="AE54" i="3"/>
  <c r="AI13" i="3" s="1"/>
  <c r="M8" i="2" s="1"/>
  <c r="M58" i="2" s="1"/>
  <c r="AE55" i="3"/>
  <c r="AI14" i="3" s="1"/>
  <c r="M9" i="2" s="1"/>
  <c r="M59" i="2" s="1"/>
  <c r="AE56" i="3"/>
  <c r="AI15" i="3" s="1"/>
  <c r="M10" i="2" s="1"/>
  <c r="M60" i="2" s="1"/>
  <c r="AE57" i="3"/>
  <c r="AI16" i="3" s="1"/>
  <c r="M11" i="2" s="1"/>
  <c r="M61" i="2" s="1"/>
  <c r="AE58" i="3"/>
  <c r="AE59" i="3"/>
  <c r="AI18" i="3" s="1"/>
  <c r="M13" i="2" s="1"/>
  <c r="M63" i="2" s="1"/>
  <c r="AE60" i="3"/>
  <c r="AE61" i="3"/>
  <c r="AE62" i="3"/>
  <c r="AI21" i="3" s="1"/>
  <c r="M16" i="2" s="1"/>
  <c r="M66" i="2" s="1"/>
  <c r="AE63" i="3"/>
  <c r="AI22" i="3" s="1"/>
  <c r="M17" i="2" s="1"/>
  <c r="M67" i="2" s="1"/>
  <c r="AE64" i="3"/>
  <c r="AI23" i="3" s="1"/>
  <c r="M18" i="2" s="1"/>
  <c r="M68" i="2" s="1"/>
  <c r="M52" i="2"/>
  <c r="L52" i="2"/>
  <c r="M7" i="2"/>
  <c r="M57" i="2" s="1"/>
  <c r="AI12" i="3"/>
  <c r="AI19" i="3"/>
  <c r="M14" i="2" s="1"/>
  <c r="M64" i="2" s="1"/>
  <c r="AI20" i="3"/>
  <c r="M15" i="2" s="1"/>
  <c r="M65" i="2" s="1"/>
  <c r="AI8" i="3"/>
  <c r="M3" i="2" s="1"/>
  <c r="M53" i="2" s="1"/>
  <c r="AW84" i="3"/>
  <c r="AV84" i="3"/>
  <c r="AU84" i="3"/>
  <c r="AT84" i="3"/>
  <c r="AS84" i="3"/>
  <c r="AW83" i="3"/>
  <c r="AV83" i="3"/>
  <c r="AU83" i="3"/>
  <c r="AT83" i="3"/>
  <c r="AS83" i="3"/>
  <c r="AW82" i="3"/>
  <c r="AV82" i="3"/>
  <c r="AU82" i="3"/>
  <c r="AT82" i="3"/>
  <c r="AS82" i="3"/>
  <c r="AW81" i="3"/>
  <c r="AV81" i="3"/>
  <c r="AU81" i="3"/>
  <c r="AT81" i="3"/>
  <c r="AS81" i="3"/>
  <c r="AW80" i="3"/>
  <c r="AV80" i="3"/>
  <c r="AU80" i="3"/>
  <c r="AT80" i="3"/>
  <c r="AS80" i="3"/>
  <c r="AW79" i="3"/>
  <c r="AV79" i="3"/>
  <c r="AU79" i="3"/>
  <c r="AT79" i="3"/>
  <c r="AS79" i="3"/>
  <c r="AW78" i="3"/>
  <c r="AV78" i="3"/>
  <c r="AU78" i="3"/>
  <c r="AT78" i="3"/>
  <c r="AS78" i="3"/>
  <c r="AW77" i="3"/>
  <c r="AV77" i="3"/>
  <c r="AU77" i="3"/>
  <c r="AT77" i="3"/>
  <c r="AS77" i="3"/>
  <c r="AW76" i="3"/>
  <c r="AV76" i="3"/>
  <c r="AU76" i="3"/>
  <c r="AT76" i="3"/>
  <c r="AS76" i="3"/>
  <c r="AW75" i="3"/>
  <c r="AV75" i="3"/>
  <c r="AU75" i="3"/>
  <c r="AT75" i="3"/>
  <c r="AS75" i="3"/>
  <c r="AW74" i="3"/>
  <c r="AV74" i="3"/>
  <c r="AU74" i="3"/>
  <c r="AT74" i="3"/>
  <c r="AS74" i="3"/>
  <c r="AW73" i="3"/>
  <c r="AV73" i="3"/>
  <c r="AU73" i="3"/>
  <c r="AT73" i="3"/>
  <c r="AS73" i="3"/>
  <c r="AW72" i="3"/>
  <c r="AV72" i="3"/>
  <c r="AU72" i="3"/>
  <c r="AT72" i="3"/>
  <c r="AS72" i="3"/>
  <c r="AW71" i="3"/>
  <c r="AV71" i="3"/>
  <c r="AU71" i="3"/>
  <c r="AT71" i="3"/>
  <c r="AS71" i="3"/>
  <c r="AW70" i="3"/>
  <c r="AV70" i="3"/>
  <c r="AU70" i="3"/>
  <c r="AT70" i="3"/>
  <c r="AS70" i="3"/>
  <c r="AW69" i="3"/>
  <c r="AV69" i="3"/>
  <c r="AU69" i="3"/>
  <c r="AT69" i="3"/>
  <c r="AS69" i="3"/>
  <c r="AJ84" i="3"/>
  <c r="AI84" i="3"/>
  <c r="AH84" i="3"/>
  <c r="AG84" i="3"/>
  <c r="AF84" i="3"/>
  <c r="AJ83" i="3"/>
  <c r="AI83" i="3"/>
  <c r="AH83" i="3"/>
  <c r="AG83" i="3"/>
  <c r="AF83" i="3"/>
  <c r="AJ82" i="3"/>
  <c r="AI82" i="3"/>
  <c r="AH82" i="3"/>
  <c r="AG82" i="3"/>
  <c r="AF82" i="3"/>
  <c r="AJ81" i="3"/>
  <c r="AI81" i="3"/>
  <c r="AH81" i="3"/>
  <c r="AG81" i="3"/>
  <c r="AF81" i="3"/>
  <c r="AJ80" i="3"/>
  <c r="AI80" i="3"/>
  <c r="AH80" i="3"/>
  <c r="AG80" i="3"/>
  <c r="AF80" i="3"/>
  <c r="AJ79" i="3"/>
  <c r="AI79" i="3"/>
  <c r="AH79" i="3"/>
  <c r="AG79" i="3"/>
  <c r="AF79" i="3"/>
  <c r="AJ78" i="3"/>
  <c r="AI78" i="3"/>
  <c r="AH78" i="3"/>
  <c r="AG78" i="3"/>
  <c r="AF78" i="3"/>
  <c r="AJ77" i="3"/>
  <c r="AI77" i="3"/>
  <c r="AH77" i="3"/>
  <c r="AG77" i="3"/>
  <c r="AF77" i="3"/>
  <c r="AJ76" i="3"/>
  <c r="AI76" i="3"/>
  <c r="AH76" i="3"/>
  <c r="AG76" i="3"/>
  <c r="AF76" i="3"/>
  <c r="AJ75" i="3"/>
  <c r="AI75" i="3"/>
  <c r="AH75" i="3"/>
  <c r="AG75" i="3"/>
  <c r="AF75" i="3"/>
  <c r="AJ74" i="3"/>
  <c r="AI74" i="3"/>
  <c r="AH74" i="3"/>
  <c r="AG74" i="3"/>
  <c r="AF74" i="3"/>
  <c r="AJ73" i="3"/>
  <c r="AI73" i="3"/>
  <c r="AH73" i="3"/>
  <c r="AG73" i="3"/>
  <c r="AF73" i="3"/>
  <c r="AJ72" i="3"/>
  <c r="AI72" i="3"/>
  <c r="AH72" i="3"/>
  <c r="AG72" i="3"/>
  <c r="AF72" i="3"/>
  <c r="AJ71" i="3"/>
  <c r="AI71" i="3"/>
  <c r="AH71" i="3"/>
  <c r="AG71" i="3"/>
  <c r="AF71" i="3"/>
  <c r="AJ70" i="3"/>
  <c r="AI70" i="3"/>
  <c r="AH70" i="3"/>
  <c r="AG70" i="3"/>
  <c r="AF70" i="3"/>
  <c r="AJ69" i="3"/>
  <c r="AI69" i="3"/>
  <c r="AH69" i="3"/>
  <c r="AG69" i="3"/>
  <c r="AF69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B49" i="3"/>
  <c r="AC49" i="3"/>
  <c r="AD49" i="3"/>
  <c r="AA49" i="3"/>
  <c r="T46" i="15"/>
  <c r="R45" i="15"/>
  <c r="Q45" i="15"/>
  <c r="P45" i="15"/>
  <c r="C45" i="15"/>
  <c r="T44" i="15"/>
  <c r="AD39" i="15"/>
  <c r="AC39" i="15"/>
  <c r="AB39" i="15"/>
  <c r="AD38" i="15"/>
  <c r="AC38" i="15"/>
  <c r="AB38" i="15"/>
  <c r="Z38" i="15"/>
  <c r="AD37" i="15"/>
  <c r="AC37" i="15"/>
  <c r="AB37" i="15"/>
  <c r="Z37" i="15"/>
  <c r="AD36" i="15"/>
  <c r="AC36" i="15"/>
  <c r="AB36" i="15"/>
  <c r="Z36" i="15"/>
  <c r="V36" i="15"/>
  <c r="AD35" i="15"/>
  <c r="AC35" i="15"/>
  <c r="AB35" i="15"/>
  <c r="Z35" i="15"/>
  <c r="AD34" i="15"/>
  <c r="AC34" i="15"/>
  <c r="AB34" i="15"/>
  <c r="Z34" i="15"/>
  <c r="X34" i="15"/>
  <c r="AD33" i="15"/>
  <c r="AC33" i="15"/>
  <c r="AB33" i="15"/>
  <c r="Z33" i="15"/>
  <c r="Y33" i="15"/>
  <c r="AD32" i="15"/>
  <c r="AC32" i="15"/>
  <c r="AB32" i="15"/>
  <c r="Z32" i="15"/>
  <c r="AD31" i="15"/>
  <c r="AC31" i="15"/>
  <c r="AB31" i="15"/>
  <c r="Z31" i="15"/>
  <c r="AD30" i="15"/>
  <c r="AC30" i="15"/>
  <c r="AB30" i="15"/>
  <c r="Z30" i="15"/>
  <c r="AD29" i="15"/>
  <c r="AC29" i="15"/>
  <c r="AB29" i="15"/>
  <c r="Z29" i="15"/>
  <c r="AD28" i="15"/>
  <c r="AC28" i="15"/>
  <c r="AB28" i="15"/>
  <c r="Z28" i="15"/>
  <c r="V28" i="15"/>
  <c r="AD27" i="15"/>
  <c r="AC27" i="15"/>
  <c r="AB27" i="15"/>
  <c r="Z27" i="15"/>
  <c r="AD26" i="15"/>
  <c r="AC26" i="15"/>
  <c r="AB26" i="15"/>
  <c r="Z26" i="15"/>
  <c r="X26" i="15"/>
  <c r="AD25" i="15"/>
  <c r="AC25" i="15"/>
  <c r="AB25" i="15"/>
  <c r="Z25" i="15"/>
  <c r="Y25" i="15"/>
  <c r="AD24" i="15"/>
  <c r="AC24" i="15"/>
  <c r="AB24" i="15"/>
  <c r="Z24" i="15"/>
  <c r="AD23" i="15"/>
  <c r="AC23" i="15"/>
  <c r="AB23" i="15"/>
  <c r="Z23" i="15"/>
  <c r="T45" i="15" s="1"/>
  <c r="AD22" i="15"/>
  <c r="AC22" i="15"/>
  <c r="AB22" i="15"/>
  <c r="AD21" i="15"/>
  <c r="AC21" i="15"/>
  <c r="AB21" i="15"/>
  <c r="AD20" i="15"/>
  <c r="AC20" i="15"/>
  <c r="AB20" i="15"/>
  <c r="AD19" i="15"/>
  <c r="AC19" i="15"/>
  <c r="AB19" i="15"/>
  <c r="AD18" i="15"/>
  <c r="AC18" i="15"/>
  <c r="AB18" i="15"/>
  <c r="Y18" i="15"/>
  <c r="Y38" i="15" s="1"/>
  <c r="X18" i="15"/>
  <c r="U18" i="15" s="1"/>
  <c r="W18" i="15"/>
  <c r="V18" i="15"/>
  <c r="V38" i="15" s="1"/>
  <c r="AD17" i="15"/>
  <c r="AC17" i="15"/>
  <c r="AB17" i="15"/>
  <c r="Y17" i="15"/>
  <c r="Y37" i="15" s="1"/>
  <c r="X17" i="15"/>
  <c r="U17" i="15" s="1"/>
  <c r="W17" i="15"/>
  <c r="W37" i="15" s="1"/>
  <c r="V17" i="15"/>
  <c r="V37" i="15" s="1"/>
  <c r="AD16" i="15"/>
  <c r="AC16" i="15"/>
  <c r="AB16" i="15"/>
  <c r="Y16" i="15"/>
  <c r="Y36" i="15" s="1"/>
  <c r="X16" i="15"/>
  <c r="U16" i="15" s="1"/>
  <c r="W16" i="15"/>
  <c r="V16" i="15"/>
  <c r="AD15" i="15"/>
  <c r="AC15" i="15"/>
  <c r="AB15" i="15"/>
  <c r="Y15" i="15"/>
  <c r="Y35" i="15" s="1"/>
  <c r="X15" i="15"/>
  <c r="U15" i="15" s="1"/>
  <c r="W15" i="15"/>
  <c r="W35" i="15" s="1"/>
  <c r="V15" i="15"/>
  <c r="V35" i="15" s="1"/>
  <c r="AD14" i="15"/>
  <c r="AC14" i="15"/>
  <c r="AB14" i="15"/>
  <c r="Y14" i="15"/>
  <c r="Y34" i="15" s="1"/>
  <c r="X14" i="15"/>
  <c r="U14" i="15" s="1"/>
  <c r="W14" i="15"/>
  <c r="W34" i="15" s="1"/>
  <c r="V14" i="15"/>
  <c r="V34" i="15" s="1"/>
  <c r="AD13" i="15"/>
  <c r="AC13" i="15"/>
  <c r="AB13" i="15"/>
  <c r="Y13" i="15"/>
  <c r="X13" i="15"/>
  <c r="X33" i="15" s="1"/>
  <c r="W13" i="15"/>
  <c r="W33" i="15" s="1"/>
  <c r="V13" i="15"/>
  <c r="V33" i="15" s="1"/>
  <c r="AD12" i="15"/>
  <c r="AC12" i="15"/>
  <c r="AB12" i="15"/>
  <c r="Y12" i="15"/>
  <c r="Y32" i="15" s="1"/>
  <c r="X12" i="15"/>
  <c r="X32" i="15" s="1"/>
  <c r="W12" i="15"/>
  <c r="W32" i="15" s="1"/>
  <c r="V12" i="15"/>
  <c r="AD11" i="15"/>
  <c r="AC11" i="15"/>
  <c r="AB11" i="15"/>
  <c r="Y11" i="15"/>
  <c r="Y31" i="15" s="1"/>
  <c r="X11" i="15"/>
  <c r="U11" i="15" s="1"/>
  <c r="W11" i="15"/>
  <c r="W31" i="15" s="1"/>
  <c r="V11" i="15"/>
  <c r="V31" i="15" s="1"/>
  <c r="AD10" i="15"/>
  <c r="AC10" i="15"/>
  <c r="AB10" i="15"/>
  <c r="Y10" i="15"/>
  <c r="Y30" i="15" s="1"/>
  <c r="X10" i="15"/>
  <c r="U10" i="15" s="1"/>
  <c r="W10" i="15"/>
  <c r="V10" i="15"/>
  <c r="AD9" i="15"/>
  <c r="AC9" i="15"/>
  <c r="AB9" i="15"/>
  <c r="Y9" i="15"/>
  <c r="Y29" i="15" s="1"/>
  <c r="X9" i="15"/>
  <c r="U9" i="15" s="1"/>
  <c r="W9" i="15"/>
  <c r="W29" i="15" s="1"/>
  <c r="V9" i="15"/>
  <c r="V29" i="15" s="1"/>
  <c r="AD8" i="15"/>
  <c r="AC8" i="15"/>
  <c r="AB8" i="15"/>
  <c r="Y8" i="15"/>
  <c r="Y28" i="15" s="1"/>
  <c r="X8" i="15"/>
  <c r="U8" i="15" s="1"/>
  <c r="W8" i="15"/>
  <c r="V8" i="15"/>
  <c r="AD7" i="15"/>
  <c r="AC7" i="15"/>
  <c r="AB7" i="15"/>
  <c r="Y7" i="15"/>
  <c r="Y27" i="15" s="1"/>
  <c r="X7" i="15"/>
  <c r="U7" i="15" s="1"/>
  <c r="W7" i="15"/>
  <c r="W27" i="15" s="1"/>
  <c r="V7" i="15"/>
  <c r="V27" i="15" s="1"/>
  <c r="AD6" i="15"/>
  <c r="AC6" i="15"/>
  <c r="AB6" i="15"/>
  <c r="Y6" i="15"/>
  <c r="Y26" i="15" s="1"/>
  <c r="X6" i="15"/>
  <c r="U6" i="15" s="1"/>
  <c r="W6" i="15"/>
  <c r="W26" i="15" s="1"/>
  <c r="V6" i="15"/>
  <c r="V26" i="15" s="1"/>
  <c r="AD5" i="15"/>
  <c r="AC5" i="15"/>
  <c r="AB5" i="15"/>
  <c r="Y5" i="15"/>
  <c r="X5" i="15"/>
  <c r="X25" i="15" s="1"/>
  <c r="W5" i="15"/>
  <c r="W25" i="15" s="1"/>
  <c r="V5" i="15"/>
  <c r="V25" i="15" s="1"/>
  <c r="AD4" i="15"/>
  <c r="L45" i="15" s="1"/>
  <c r="K12" i="3" s="1"/>
  <c r="J11" i="5" s="1"/>
  <c r="AC4" i="15"/>
  <c r="H45" i="15" s="1"/>
  <c r="AB4" i="15"/>
  <c r="K45" i="15" s="1"/>
  <c r="Y4" i="15"/>
  <c r="Y24" i="15" s="1"/>
  <c r="X4" i="15"/>
  <c r="X24" i="15" s="1"/>
  <c r="W4" i="15"/>
  <c r="W24" i="15" s="1"/>
  <c r="V4" i="15"/>
  <c r="V24" i="15" s="1"/>
  <c r="U4" i="15"/>
  <c r="U24" i="15" s="1"/>
  <c r="O4" i="15"/>
  <c r="Y3" i="15"/>
  <c r="Y23" i="15" s="1"/>
  <c r="X3" i="15"/>
  <c r="X23" i="15" s="1"/>
  <c r="W3" i="15"/>
  <c r="W23" i="15" s="1"/>
  <c r="V3" i="15"/>
  <c r="V23" i="15" s="1"/>
  <c r="U3" i="15"/>
  <c r="U23" i="15" s="1"/>
  <c r="O3" i="15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3" i="7"/>
  <c r="O12" i="3"/>
  <c r="D11" i="4" s="1"/>
  <c r="P12" i="3"/>
  <c r="D11" i="6" s="1"/>
  <c r="Q12" i="3"/>
  <c r="B12" i="3"/>
  <c r="A11" i="4" s="1"/>
  <c r="AK49" i="3"/>
  <c r="AV49" i="3" s="1"/>
  <c r="AK50" i="3"/>
  <c r="AU50" i="3" s="1"/>
  <c r="AK51" i="3"/>
  <c r="AW51" i="3" s="1"/>
  <c r="AK54" i="3"/>
  <c r="AU54" i="3" s="1"/>
  <c r="AK55" i="3"/>
  <c r="AU55" i="3" s="1"/>
  <c r="AK56" i="3"/>
  <c r="AV56" i="3" s="1"/>
  <c r="AK57" i="3"/>
  <c r="AU57" i="3" s="1"/>
  <c r="AK58" i="3"/>
  <c r="AU58" i="3" s="1"/>
  <c r="AK59" i="3"/>
  <c r="AJ59" i="3" s="1"/>
  <c r="AK60" i="3"/>
  <c r="AU60" i="3" s="1"/>
  <c r="AK61" i="3"/>
  <c r="AU61" i="3" s="1"/>
  <c r="AK62" i="3"/>
  <c r="AJ62" i="3" s="1"/>
  <c r="AK63" i="3"/>
  <c r="AU63" i="3" s="1"/>
  <c r="AK64" i="3"/>
  <c r="AV64" i="3" s="1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D10" i="4" s="1"/>
  <c r="P11" i="3"/>
  <c r="D10" i="6" s="1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D9" i="5" s="1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D8" i="4" s="1"/>
  <c r="P9" i="3"/>
  <c r="D8" i="6" s="1"/>
  <c r="Q9" i="3"/>
  <c r="D8" i="5" s="1"/>
  <c r="B9" i="3"/>
  <c r="A8" i="4" s="1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B7" i="4" s="1"/>
  <c r="G8" i="3"/>
  <c r="H8" i="3"/>
  <c r="K7" i="4" s="1"/>
  <c r="I8" i="3"/>
  <c r="B7" i="6" s="1"/>
  <c r="J8" i="3"/>
  <c r="M7" i="4" s="1"/>
  <c r="K8" i="3"/>
  <c r="J7" i="5" s="1"/>
  <c r="L8" i="3"/>
  <c r="B7" i="5" s="1"/>
  <c r="M8" i="3"/>
  <c r="J7" i="4" s="1"/>
  <c r="N8" i="3"/>
  <c r="O8" i="3"/>
  <c r="P8" i="3"/>
  <c r="D7" i="6" s="1"/>
  <c r="Q8" i="3"/>
  <c r="D7" i="5" s="1"/>
  <c r="B8" i="3"/>
  <c r="A7" i="6" s="1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A6" i="6" s="1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D39" i="7"/>
  <c r="AC39" i="7"/>
  <c r="AB39" i="7"/>
  <c r="AD38" i="7"/>
  <c r="AC38" i="7"/>
  <c r="AB38" i="7"/>
  <c r="Z38" i="7"/>
  <c r="AD37" i="7"/>
  <c r="AC37" i="7"/>
  <c r="AB37" i="7"/>
  <c r="Z37" i="7"/>
  <c r="AD36" i="7"/>
  <c r="AC36" i="7"/>
  <c r="AB36" i="7"/>
  <c r="Z36" i="7"/>
  <c r="AD35" i="7"/>
  <c r="AC35" i="7"/>
  <c r="AB35" i="7"/>
  <c r="Z35" i="7"/>
  <c r="AD34" i="7"/>
  <c r="AC34" i="7"/>
  <c r="AB34" i="7"/>
  <c r="Z34" i="7"/>
  <c r="AD33" i="7"/>
  <c r="AC33" i="7"/>
  <c r="AB33" i="7"/>
  <c r="Z33" i="7"/>
  <c r="AD32" i="7"/>
  <c r="AC32" i="7"/>
  <c r="AB32" i="7"/>
  <c r="Z32" i="7"/>
  <c r="AD31" i="7"/>
  <c r="AC31" i="7"/>
  <c r="AB31" i="7"/>
  <c r="Z31" i="7"/>
  <c r="AD30" i="7"/>
  <c r="AC30" i="7"/>
  <c r="AB30" i="7"/>
  <c r="Z30" i="7"/>
  <c r="AD29" i="7"/>
  <c r="AC29" i="7"/>
  <c r="AB29" i="7"/>
  <c r="Z29" i="7"/>
  <c r="AD28" i="7"/>
  <c r="AC28" i="7"/>
  <c r="AB28" i="7"/>
  <c r="Z28" i="7"/>
  <c r="AD27" i="7"/>
  <c r="AC27" i="7"/>
  <c r="AB27" i="7"/>
  <c r="Z27" i="7"/>
  <c r="AD26" i="7"/>
  <c r="AC26" i="7"/>
  <c r="AB26" i="7"/>
  <c r="Z26" i="7"/>
  <c r="AD25" i="7"/>
  <c r="AC25" i="7"/>
  <c r="AB25" i="7"/>
  <c r="Z25" i="7"/>
  <c r="AD24" i="7"/>
  <c r="AC24" i="7"/>
  <c r="AB24" i="7"/>
  <c r="Z24" i="7"/>
  <c r="AD23" i="7"/>
  <c r="AC23" i="7"/>
  <c r="AB23" i="7"/>
  <c r="Z23" i="7"/>
  <c r="T45" i="7" s="1"/>
  <c r="AD22" i="7"/>
  <c r="AC22" i="7"/>
  <c r="AB22" i="7"/>
  <c r="AD21" i="7"/>
  <c r="AC21" i="7"/>
  <c r="AB21" i="7"/>
  <c r="AD20" i="7"/>
  <c r="AC20" i="7"/>
  <c r="AB20" i="7"/>
  <c r="AD19" i="7"/>
  <c r="AC19" i="7"/>
  <c r="AB19" i="7"/>
  <c r="AD18" i="7"/>
  <c r="AC18" i="7"/>
  <c r="AB18" i="7"/>
  <c r="X18" i="7"/>
  <c r="U18" i="7" s="1"/>
  <c r="U38" i="7" s="1"/>
  <c r="W18" i="7"/>
  <c r="W38" i="7" s="1"/>
  <c r="V18" i="7"/>
  <c r="V38" i="7" s="1"/>
  <c r="AD17" i="7"/>
  <c r="AC17" i="7"/>
  <c r="AB17" i="7"/>
  <c r="X17" i="7"/>
  <c r="X37" i="7" s="1"/>
  <c r="W17" i="7"/>
  <c r="W37" i="7" s="1"/>
  <c r="V17" i="7"/>
  <c r="V37" i="7" s="1"/>
  <c r="AD16" i="7"/>
  <c r="AC16" i="7"/>
  <c r="AB16" i="7"/>
  <c r="X16" i="7"/>
  <c r="X36" i="7" s="1"/>
  <c r="W16" i="7"/>
  <c r="W36" i="7" s="1"/>
  <c r="V16" i="7"/>
  <c r="V36" i="7" s="1"/>
  <c r="U16" i="7"/>
  <c r="U36" i="7" s="1"/>
  <c r="AD15" i="7"/>
  <c r="AC15" i="7"/>
  <c r="AB15" i="7"/>
  <c r="X15" i="7"/>
  <c r="X35" i="7" s="1"/>
  <c r="W15" i="7"/>
  <c r="W35" i="7" s="1"/>
  <c r="V15" i="7"/>
  <c r="V35" i="7" s="1"/>
  <c r="AD14" i="7"/>
  <c r="AC14" i="7"/>
  <c r="AB14" i="7"/>
  <c r="X14" i="7"/>
  <c r="X34" i="7" s="1"/>
  <c r="W14" i="7"/>
  <c r="W34" i="7" s="1"/>
  <c r="V14" i="7"/>
  <c r="V34" i="7" s="1"/>
  <c r="AD13" i="7"/>
  <c r="AC13" i="7"/>
  <c r="AB13" i="7"/>
  <c r="X13" i="7"/>
  <c r="X33" i="7" s="1"/>
  <c r="W13" i="7"/>
  <c r="W33" i="7" s="1"/>
  <c r="V13" i="7"/>
  <c r="V33" i="7" s="1"/>
  <c r="AD12" i="7"/>
  <c r="AC12" i="7"/>
  <c r="AB12" i="7"/>
  <c r="X12" i="7"/>
  <c r="X32" i="7" s="1"/>
  <c r="W12" i="7"/>
  <c r="W32" i="7" s="1"/>
  <c r="V12" i="7"/>
  <c r="V32" i="7" s="1"/>
  <c r="AD11" i="7"/>
  <c r="AC11" i="7"/>
  <c r="AB11" i="7"/>
  <c r="X11" i="7"/>
  <c r="X31" i="7" s="1"/>
  <c r="W11" i="7"/>
  <c r="W31" i="7" s="1"/>
  <c r="V11" i="7"/>
  <c r="V31" i="7" s="1"/>
  <c r="U11" i="7"/>
  <c r="U31" i="7" s="1"/>
  <c r="AD10" i="7"/>
  <c r="AC10" i="7"/>
  <c r="AB10" i="7"/>
  <c r="X10" i="7"/>
  <c r="X30" i="7" s="1"/>
  <c r="W10" i="7"/>
  <c r="W30" i="7" s="1"/>
  <c r="V10" i="7"/>
  <c r="V30" i="7" s="1"/>
  <c r="AD9" i="7"/>
  <c r="AC9" i="7"/>
  <c r="AB9" i="7"/>
  <c r="X9" i="7"/>
  <c r="X29" i="7" s="1"/>
  <c r="W9" i="7"/>
  <c r="W29" i="7" s="1"/>
  <c r="V9" i="7"/>
  <c r="V29" i="7" s="1"/>
  <c r="U9" i="7"/>
  <c r="U29" i="7" s="1"/>
  <c r="AD8" i="7"/>
  <c r="AC8" i="7"/>
  <c r="AB8" i="7"/>
  <c r="X8" i="7"/>
  <c r="X28" i="7" s="1"/>
  <c r="W8" i="7"/>
  <c r="W28" i="7" s="1"/>
  <c r="V8" i="7"/>
  <c r="V28" i="7" s="1"/>
  <c r="AD7" i="7"/>
  <c r="AC7" i="7"/>
  <c r="AB7" i="7"/>
  <c r="X7" i="7"/>
  <c r="X27" i="7" s="1"/>
  <c r="W7" i="7"/>
  <c r="W27" i="7" s="1"/>
  <c r="V7" i="7"/>
  <c r="V27" i="7" s="1"/>
  <c r="AD6" i="7"/>
  <c r="AC6" i="7"/>
  <c r="AB6" i="7"/>
  <c r="X6" i="7"/>
  <c r="X26" i="7" s="1"/>
  <c r="W6" i="7"/>
  <c r="W26" i="7" s="1"/>
  <c r="V6" i="7"/>
  <c r="V26" i="7" s="1"/>
  <c r="AD5" i="7"/>
  <c r="AC5" i="7"/>
  <c r="AB5" i="7"/>
  <c r="X5" i="7"/>
  <c r="X25" i="7" s="1"/>
  <c r="W5" i="7"/>
  <c r="W25" i="7" s="1"/>
  <c r="V5" i="7"/>
  <c r="V25" i="7" s="1"/>
  <c r="AD4" i="7"/>
  <c r="L45" i="7" s="1"/>
  <c r="AC4" i="7"/>
  <c r="AB4" i="7"/>
  <c r="X4" i="7"/>
  <c r="X24" i="7" s="1"/>
  <c r="W4" i="7"/>
  <c r="W24" i="7" s="1"/>
  <c r="V4" i="7"/>
  <c r="V24" i="7" s="1"/>
  <c r="X3" i="7"/>
  <c r="X23" i="7" s="1"/>
  <c r="W3" i="7"/>
  <c r="W23" i="7" s="1"/>
  <c r="V3" i="7"/>
  <c r="V23" i="7" s="1"/>
  <c r="O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A5" i="6" s="1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4" i="5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O67" i="2"/>
  <c r="P67" i="2"/>
  <c r="Q67" i="2"/>
  <c r="R67" i="2"/>
  <c r="S67" i="2"/>
  <c r="T67" i="2"/>
  <c r="U67" i="2"/>
  <c r="V67" i="2"/>
  <c r="O68" i="2"/>
  <c r="P68" i="2"/>
  <c r="Q68" i="2"/>
  <c r="R68" i="2"/>
  <c r="S68" i="2"/>
  <c r="T68" i="2"/>
  <c r="U68" i="2"/>
  <c r="V68" i="2"/>
  <c r="C68" i="2"/>
  <c r="W68" i="2"/>
  <c r="Y68" i="2"/>
  <c r="B68" i="2"/>
  <c r="W65" i="2"/>
  <c r="W66" i="2"/>
  <c r="W67" i="2"/>
  <c r="N18" i="2"/>
  <c r="N68" i="2" s="1"/>
  <c r="B63" i="2"/>
  <c r="C63" i="2"/>
  <c r="B64" i="2"/>
  <c r="C64" i="2"/>
  <c r="B65" i="2"/>
  <c r="C65" i="2"/>
  <c r="B66" i="2"/>
  <c r="C66" i="2"/>
  <c r="B67" i="2"/>
  <c r="C67" i="2"/>
  <c r="AK17" i="3"/>
  <c r="AK18" i="3"/>
  <c r="AK19" i="3"/>
  <c r="AK20" i="3"/>
  <c r="AK21" i="3"/>
  <c r="AK22" i="3"/>
  <c r="AK23" i="3"/>
  <c r="Z19" i="3"/>
  <c r="M7" i="5" s="1"/>
  <c r="Z20" i="3"/>
  <c r="P8" i="4" s="1"/>
  <c r="Z21" i="3"/>
  <c r="M8" i="5" s="1"/>
  <c r="Z22" i="3"/>
  <c r="I9" i="6" s="1"/>
  <c r="Z23" i="3"/>
  <c r="I10" i="6" s="1"/>
  <c r="W18" i="2"/>
  <c r="X18" i="2"/>
  <c r="X68" i="2" s="1"/>
  <c r="A10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C7" i="4"/>
  <c r="D7" i="4"/>
  <c r="D9" i="4"/>
  <c r="A10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9" i="5"/>
  <c r="A10" i="5"/>
  <c r="D10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W5" i="2"/>
  <c r="W6" i="2"/>
  <c r="W7" i="2"/>
  <c r="W8" i="2"/>
  <c r="W9" i="2"/>
  <c r="W11" i="2"/>
  <c r="W12" i="2"/>
  <c r="W14" i="2"/>
  <c r="W15" i="2"/>
  <c r="W16" i="2"/>
  <c r="W17" i="2"/>
  <c r="W3" i="2"/>
  <c r="Z9" i="3"/>
  <c r="I5" i="6" s="1"/>
  <c r="Z10" i="3"/>
  <c r="P6" i="4" s="1"/>
  <c r="Z11" i="3"/>
  <c r="P7" i="4" s="1"/>
  <c r="Z12" i="3"/>
  <c r="I6" i="6" s="1"/>
  <c r="Z13" i="3"/>
  <c r="I7" i="6" s="1"/>
  <c r="Z14" i="3"/>
  <c r="M5" i="5" s="1"/>
  <c r="Z15" i="3"/>
  <c r="M4" i="5" s="1"/>
  <c r="Z16" i="3"/>
  <c r="M6" i="5" s="1"/>
  <c r="Z17" i="3"/>
  <c r="I8" i="6" s="1"/>
  <c r="Z18" i="3"/>
  <c r="P4" i="4" s="1"/>
  <c r="Z8" i="3"/>
  <c r="P5" i="4" s="1"/>
  <c r="AA4" i="4"/>
  <c r="X4" i="2"/>
  <c r="X5" i="2"/>
  <c r="X6" i="2"/>
  <c r="X7" i="2"/>
  <c r="X8" i="2"/>
  <c r="X9" i="2"/>
  <c r="X10" i="2"/>
  <c r="X11" i="2"/>
  <c r="X12" i="2"/>
  <c r="X13" i="2"/>
  <c r="X14" i="2"/>
  <c r="X15" i="2"/>
  <c r="X65" i="2" s="1"/>
  <c r="X16" i="2"/>
  <c r="X66" i="2" s="1"/>
  <c r="X17" i="2"/>
  <c r="X67" i="2" s="1"/>
  <c r="X3" i="2"/>
  <c r="N52" i="2"/>
  <c r="AA6" i="3"/>
  <c r="W45" i="3" s="1"/>
  <c r="X43" i="3"/>
  <c r="X41" i="3"/>
  <c r="AI51" i="3" l="1"/>
  <c r="AT50" i="3"/>
  <c r="AV50" i="3"/>
  <c r="AV60" i="3"/>
  <c r="AU51" i="3"/>
  <c r="AS61" i="3"/>
  <c r="AV51" i="3"/>
  <c r="AT61" i="3"/>
  <c r="AV54" i="3"/>
  <c r="AV61" i="3"/>
  <c r="AW54" i="3"/>
  <c r="AV62" i="3"/>
  <c r="AV55" i="3"/>
  <c r="AW62" i="3"/>
  <c r="AJ58" i="3"/>
  <c r="AJ50" i="3"/>
  <c r="AV58" i="3"/>
  <c r="AV57" i="3"/>
  <c r="AV63" i="3"/>
  <c r="AI17" i="3"/>
  <c r="M12" i="2" s="1"/>
  <c r="M62" i="2" s="1"/>
  <c r="AW49" i="3"/>
  <c r="AW50" i="3"/>
  <c r="AW55" i="3"/>
  <c r="AW57" i="3"/>
  <c r="AW58" i="3"/>
  <c r="AW60" i="3"/>
  <c r="AW61" i="3"/>
  <c r="AW63" i="3"/>
  <c r="AI9" i="3"/>
  <c r="M4" i="2" s="1"/>
  <c r="M54" i="2" s="1"/>
  <c r="AW64" i="3"/>
  <c r="AJ61" i="3"/>
  <c r="AS49" i="3"/>
  <c r="AS50" i="3"/>
  <c r="AS54" i="3"/>
  <c r="AS55" i="3"/>
  <c r="AS57" i="3"/>
  <c r="AS58" i="3"/>
  <c r="AS60" i="3"/>
  <c r="AS62" i="3"/>
  <c r="AS63" i="3"/>
  <c r="AT49" i="3"/>
  <c r="AS51" i="3"/>
  <c r="AT54" i="3"/>
  <c r="AT55" i="3"/>
  <c r="AT57" i="3"/>
  <c r="AS59" i="3"/>
  <c r="AT60" i="3"/>
  <c r="AT62" i="3"/>
  <c r="AT63" i="3"/>
  <c r="AW56" i="3"/>
  <c r="AU49" i="3"/>
  <c r="AT51" i="3"/>
  <c r="AS56" i="3"/>
  <c r="AT59" i="3"/>
  <c r="AU62" i="3"/>
  <c r="AS64" i="3"/>
  <c r="AJ60" i="3"/>
  <c r="AT56" i="3"/>
  <c r="AU59" i="3"/>
  <c r="AT64" i="3"/>
  <c r="AI59" i="3"/>
  <c r="AU56" i="3"/>
  <c r="AT58" i="3"/>
  <c r="AV59" i="3"/>
  <c r="AU64" i="3"/>
  <c r="AW59" i="3"/>
  <c r="AJ49" i="3"/>
  <c r="AJ64" i="3"/>
  <c r="AJ56" i="3"/>
  <c r="AJ63" i="3"/>
  <c r="AJ55" i="3"/>
  <c r="AJ57" i="3"/>
  <c r="P5" i="15"/>
  <c r="J12" i="3"/>
  <c r="U30" i="15"/>
  <c r="U38" i="15"/>
  <c r="G12" i="3"/>
  <c r="C11" i="4" s="1"/>
  <c r="U29" i="15"/>
  <c r="U37" i="15"/>
  <c r="U28" i="15"/>
  <c r="U27" i="15"/>
  <c r="U35" i="15"/>
  <c r="U36" i="15"/>
  <c r="U26" i="15"/>
  <c r="U34" i="15"/>
  <c r="U31" i="15"/>
  <c r="M45" i="15"/>
  <c r="L12" i="3" s="1"/>
  <c r="B11" i="5" s="1"/>
  <c r="AH59" i="3"/>
  <c r="X27" i="15"/>
  <c r="W28" i="15"/>
  <c r="X35" i="15"/>
  <c r="W36" i="15"/>
  <c r="N45" i="15"/>
  <c r="X28" i="15"/>
  <c r="V30" i="15"/>
  <c r="X36" i="15"/>
  <c r="G45" i="15"/>
  <c r="F12" i="3" s="1"/>
  <c r="B11" i="4" s="1"/>
  <c r="O45" i="15"/>
  <c r="N12" i="3" s="1"/>
  <c r="K11" i="5" s="1"/>
  <c r="AF63" i="3"/>
  <c r="AK53" i="3"/>
  <c r="AH53" i="3" s="1"/>
  <c r="AJ54" i="3"/>
  <c r="O5" i="15"/>
  <c r="D45" i="15" s="1"/>
  <c r="X29" i="15"/>
  <c r="W30" i="15"/>
  <c r="X37" i="15"/>
  <c r="W38" i="15"/>
  <c r="AI58" i="3"/>
  <c r="AK52" i="3"/>
  <c r="X30" i="15"/>
  <c r="V32" i="15"/>
  <c r="X38" i="15"/>
  <c r="I45" i="15"/>
  <c r="H12" i="3" s="1"/>
  <c r="K11" i="4" s="1"/>
  <c r="X31" i="15"/>
  <c r="AJ51" i="3"/>
  <c r="U5" i="15"/>
  <c r="U12" i="15"/>
  <c r="U13" i="15"/>
  <c r="A7" i="5"/>
  <c r="A7" i="4"/>
  <c r="C11" i="6"/>
  <c r="AF49" i="3"/>
  <c r="AF56" i="3"/>
  <c r="AI57" i="3"/>
  <c r="AF64" i="3"/>
  <c r="A4" i="4"/>
  <c r="N11" i="4"/>
  <c r="AI49" i="3"/>
  <c r="AH57" i="3"/>
  <c r="AH51" i="3"/>
  <c r="AF62" i="3"/>
  <c r="AF54" i="3"/>
  <c r="AG49" i="3"/>
  <c r="AF59" i="3"/>
  <c r="AF57" i="3"/>
  <c r="AF51" i="3"/>
  <c r="A11" i="5"/>
  <c r="AF55" i="3"/>
  <c r="A11" i="6"/>
  <c r="M11" i="4"/>
  <c r="C7" i="6"/>
  <c r="AG63" i="3"/>
  <c r="AG55" i="3"/>
  <c r="AG61" i="3"/>
  <c r="C7" i="5"/>
  <c r="AF60" i="3"/>
  <c r="AF58" i="3"/>
  <c r="AF50" i="3"/>
  <c r="AG57" i="3"/>
  <c r="AH49" i="3"/>
  <c r="AF61" i="3"/>
  <c r="AI64" i="3"/>
  <c r="AI62" i="3"/>
  <c r="AI60" i="3"/>
  <c r="AI56" i="3"/>
  <c r="AI54" i="3"/>
  <c r="AI50" i="3"/>
  <c r="AH64" i="3"/>
  <c r="AH62" i="3"/>
  <c r="AH60" i="3"/>
  <c r="AH58" i="3"/>
  <c r="AH56" i="3"/>
  <c r="AH54" i="3"/>
  <c r="AH50" i="3"/>
  <c r="A8" i="6"/>
  <c r="AG64" i="3"/>
  <c r="AG62" i="3"/>
  <c r="AG60" i="3"/>
  <c r="AG56" i="3"/>
  <c r="AG54" i="3"/>
  <c r="AG50" i="3"/>
  <c r="K7" i="5"/>
  <c r="AI63" i="3"/>
  <c r="AI61" i="3"/>
  <c r="AI55" i="3"/>
  <c r="A8" i="5"/>
  <c r="AH63" i="3"/>
  <c r="AH61" i="3"/>
  <c r="AH55" i="3"/>
  <c r="U10" i="7"/>
  <c r="U30" i="7" s="1"/>
  <c r="U8" i="7"/>
  <c r="U28" i="7" s="1"/>
  <c r="N3" i="14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O29" i="3"/>
  <c r="AN43" i="3"/>
  <c r="AR43" i="3" s="1"/>
  <c r="AN41" i="3"/>
  <c r="AN39" i="3"/>
  <c r="AR39" i="3" s="1"/>
  <c r="AN37" i="3"/>
  <c r="AR37" i="3" s="1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AM29" i="3"/>
  <c r="AQ29" i="3" s="1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L45" i="14"/>
  <c r="K11" i="3" s="1"/>
  <c r="J10" i="5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J9" i="5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K9" i="5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J8" i="5" s="1"/>
  <c r="T4" i="12"/>
  <c r="T24" i="12" s="1"/>
  <c r="N5" i="12"/>
  <c r="AR41" i="3"/>
  <c r="T8" i="12"/>
  <c r="T18" i="12"/>
  <c r="U36" i="12"/>
  <c r="T7" i="12"/>
  <c r="U38" i="12"/>
  <c r="K45" i="12"/>
  <c r="J9" i="3" s="1"/>
  <c r="N4" i="12"/>
  <c r="M45" i="12" s="1"/>
  <c r="L9" i="3" s="1"/>
  <c r="B8" i="5" s="1"/>
  <c r="T10" i="12"/>
  <c r="J45" i="12"/>
  <c r="I9" i="3" s="1"/>
  <c r="B8" i="6" s="1"/>
  <c r="N3" i="12"/>
  <c r="T9" i="12"/>
  <c r="T17" i="12"/>
  <c r="N45" i="12"/>
  <c r="M9" i="3" s="1"/>
  <c r="O45" i="12"/>
  <c r="N9" i="3" s="1"/>
  <c r="K8" i="5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L45" i="10"/>
  <c r="K7" i="3" s="1"/>
  <c r="J6" i="5" s="1"/>
  <c r="T5" i="10"/>
  <c r="AR33" i="3"/>
  <c r="T15" i="10"/>
  <c r="T6" i="10"/>
  <c r="T11" i="10"/>
  <c r="U30" i="10"/>
  <c r="U31" i="10"/>
  <c r="T7" i="10"/>
  <c r="T12" i="10"/>
  <c r="V31" i="10"/>
  <c r="V38" i="10"/>
  <c r="U38" i="10"/>
  <c r="O45" i="10"/>
  <c r="N7" i="3" s="1"/>
  <c r="K6" i="5" s="1"/>
  <c r="T3" i="10"/>
  <c r="T13" i="10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P5" i="7" s="1"/>
  <c r="H45" i="7"/>
  <c r="P3" i="7" s="1"/>
  <c r="Q3" i="7" s="1"/>
  <c r="U12" i="7"/>
  <c r="U32" i="7" s="1"/>
  <c r="U17" i="7"/>
  <c r="U37" i="7" s="1"/>
  <c r="O5" i="7"/>
  <c r="N45" i="7"/>
  <c r="U4" i="7"/>
  <c r="U24" i="7" s="1"/>
  <c r="U7" i="7"/>
  <c r="U27" i="7" s="1"/>
  <c r="U15" i="7"/>
  <c r="U35" i="7" s="1"/>
  <c r="G45" i="7"/>
  <c r="O45" i="7"/>
  <c r="U3" i="7"/>
  <c r="U23" i="7" s="1"/>
  <c r="U6" i="7"/>
  <c r="U26" i="7" s="1"/>
  <c r="U14" i="7"/>
  <c r="U34" i="7" s="1"/>
  <c r="U5" i="7"/>
  <c r="U25" i="7" s="1"/>
  <c r="U13" i="7"/>
  <c r="U33" i="7" s="1"/>
  <c r="I45" i="7"/>
  <c r="X38" i="7"/>
  <c r="O4" i="7"/>
  <c r="F45" i="7" s="1"/>
  <c r="D45" i="9"/>
  <c r="C6" i="3" s="1"/>
  <c r="AD43" i="3"/>
  <c r="AH43" i="3" s="1"/>
  <c r="AD41" i="3"/>
  <c r="AH41" i="3" s="1"/>
  <c r="AD39" i="3"/>
  <c r="AH39" i="3" s="1"/>
  <c r="AD37" i="3"/>
  <c r="AH37" i="3" s="1"/>
  <c r="AD35" i="3"/>
  <c r="AH35" i="3" s="1"/>
  <c r="AD33" i="3"/>
  <c r="AH33" i="3" s="1"/>
  <c r="AD31" i="3"/>
  <c r="AH31" i="3" s="1"/>
  <c r="AD29" i="3"/>
  <c r="AH29" i="3" s="1"/>
  <c r="AC43" i="3"/>
  <c r="AG43" i="3" s="1"/>
  <c r="AC41" i="3"/>
  <c r="AG41" i="3" s="1"/>
  <c r="AC39" i="3"/>
  <c r="AG39" i="3" s="1"/>
  <c r="AC37" i="3"/>
  <c r="AG37" i="3" s="1"/>
  <c r="AC35" i="3"/>
  <c r="AG35" i="3" s="1"/>
  <c r="AC33" i="3"/>
  <c r="AG33" i="3" s="1"/>
  <c r="AC31" i="3"/>
  <c r="AG31" i="3" s="1"/>
  <c r="T12" i="9"/>
  <c r="AC29" i="3"/>
  <c r="AG29" i="3" s="1"/>
  <c r="AB43" i="3"/>
  <c r="AF43" i="3" s="1"/>
  <c r="AB41" i="3"/>
  <c r="AF41" i="3" s="1"/>
  <c r="AB39" i="3"/>
  <c r="AF39" i="3" s="1"/>
  <c r="AB37" i="3"/>
  <c r="AF37" i="3" s="1"/>
  <c r="AB35" i="3"/>
  <c r="AF35" i="3" s="1"/>
  <c r="AB33" i="3"/>
  <c r="AF33" i="3" s="1"/>
  <c r="AB31" i="3"/>
  <c r="AF31" i="3" s="1"/>
  <c r="K45" i="9"/>
  <c r="J6" i="3" s="1"/>
  <c r="M5" i="4" s="1"/>
  <c r="H45" i="9"/>
  <c r="G6" i="3" s="1"/>
  <c r="N5" i="4" s="1"/>
  <c r="AB29" i="3"/>
  <c r="AF29" i="3" s="1"/>
  <c r="AA39" i="3"/>
  <c r="AA37" i="3"/>
  <c r="AE37" i="3" s="1"/>
  <c r="T3" i="9"/>
  <c r="L45" i="9"/>
  <c r="K6" i="3" s="1"/>
  <c r="J5" i="5" s="1"/>
  <c r="T6" i="9"/>
  <c r="AD44" i="3"/>
  <c r="AH44" i="3" s="1"/>
  <c r="AD42" i="3"/>
  <c r="AH42" i="3" s="1"/>
  <c r="AD40" i="3"/>
  <c r="AH40" i="3" s="1"/>
  <c r="AD38" i="3"/>
  <c r="AH38" i="3" s="1"/>
  <c r="AD36" i="3"/>
  <c r="AH36" i="3" s="1"/>
  <c r="AD34" i="3"/>
  <c r="AH34" i="3" s="1"/>
  <c r="AD32" i="3"/>
  <c r="AH32" i="3" s="1"/>
  <c r="AD30" i="3"/>
  <c r="AH30" i="3" s="1"/>
  <c r="AC44" i="3"/>
  <c r="AG44" i="3" s="1"/>
  <c r="AC42" i="3"/>
  <c r="AG42" i="3" s="1"/>
  <c r="AC40" i="3"/>
  <c r="AG40" i="3" s="1"/>
  <c r="AC38" i="3"/>
  <c r="AG38" i="3" s="1"/>
  <c r="AC36" i="3"/>
  <c r="AG36" i="3" s="1"/>
  <c r="AC34" i="3"/>
  <c r="AG34" i="3" s="1"/>
  <c r="AC32" i="3"/>
  <c r="AG32" i="3" s="1"/>
  <c r="AC30" i="3"/>
  <c r="AG30" i="3" s="1"/>
  <c r="AB44" i="3"/>
  <c r="AF44" i="3" s="1"/>
  <c r="AB42" i="3"/>
  <c r="AF42" i="3" s="1"/>
  <c r="AB40" i="3"/>
  <c r="AF40" i="3" s="1"/>
  <c r="AB38" i="3"/>
  <c r="AF38" i="3" s="1"/>
  <c r="AB36" i="3"/>
  <c r="AF36" i="3" s="1"/>
  <c r="AB34" i="3"/>
  <c r="AF34" i="3" s="1"/>
  <c r="AB32" i="3"/>
  <c r="AF32" i="3" s="1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B5" i="4" s="1"/>
  <c r="O45" i="9"/>
  <c r="N6" i="3" s="1"/>
  <c r="K5" i="5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N4" i="8"/>
  <c r="M45" i="8" s="1"/>
  <c r="L5" i="3" s="1"/>
  <c r="B4" i="5" s="1"/>
  <c r="N3" i="8"/>
  <c r="G45" i="8" s="1"/>
  <c r="F5" i="3" s="1"/>
  <c r="B4" i="4" s="1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D5" i="5"/>
  <c r="AL9" i="3"/>
  <c r="T5" i="6" s="1"/>
  <c r="AL8" i="3"/>
  <c r="AA5" i="4" s="1"/>
  <c r="AA4" i="3"/>
  <c r="X42" i="3"/>
  <c r="AI53" i="3" l="1"/>
  <c r="AG53" i="3"/>
  <c r="AF53" i="3"/>
  <c r="AJ52" i="3"/>
  <c r="AU52" i="3"/>
  <c r="AV52" i="3"/>
  <c r="AT52" i="3"/>
  <c r="AS52" i="3"/>
  <c r="AW52" i="3"/>
  <c r="AU53" i="3"/>
  <c r="AT53" i="3"/>
  <c r="AS53" i="3"/>
  <c r="AW53" i="3"/>
  <c r="AV53" i="3"/>
  <c r="AJ8" i="3"/>
  <c r="L3" i="2" s="1"/>
  <c r="L53" i="2" s="1"/>
  <c r="AJ9" i="3"/>
  <c r="L4" i="2" s="1"/>
  <c r="L54" i="2" s="1"/>
  <c r="AF52" i="3"/>
  <c r="AG52" i="3"/>
  <c r="AH52" i="3"/>
  <c r="AI52" i="3"/>
  <c r="C12" i="3"/>
  <c r="E45" i="15"/>
  <c r="D12" i="3" s="1"/>
  <c r="F45" i="15"/>
  <c r="E12" i="3" s="1"/>
  <c r="P3" i="15"/>
  <c r="Q3" i="15" s="1"/>
  <c r="U33" i="15"/>
  <c r="AG59" i="3"/>
  <c r="AG58" i="3"/>
  <c r="U32" i="15"/>
  <c r="U25" i="15"/>
  <c r="AG51" i="3"/>
  <c r="AJ53" i="3"/>
  <c r="J45" i="15"/>
  <c r="I12" i="3" s="1"/>
  <c r="B11" i="6" s="1"/>
  <c r="Q5" i="15"/>
  <c r="M12" i="3"/>
  <c r="P4" i="15"/>
  <c r="Q4" i="15" s="1"/>
  <c r="C5" i="5"/>
  <c r="C5" i="4"/>
  <c r="AS29" i="3"/>
  <c r="AR29" i="3"/>
  <c r="AL43" i="3"/>
  <c r="AP43" i="3" s="1"/>
  <c r="F45" i="14"/>
  <c r="E11" i="3" s="1"/>
  <c r="N10" i="4"/>
  <c r="T26" i="14"/>
  <c r="AL32" i="3"/>
  <c r="AP32" i="3" s="1"/>
  <c r="T23" i="14"/>
  <c r="AL29" i="3"/>
  <c r="AP29" i="3" s="1"/>
  <c r="T33" i="14"/>
  <c r="AL39" i="3"/>
  <c r="AP39" i="3" s="1"/>
  <c r="O4" i="14"/>
  <c r="P4" i="14" s="1"/>
  <c r="M11" i="3"/>
  <c r="T27" i="14"/>
  <c r="AL33" i="3"/>
  <c r="AP33" i="3" s="1"/>
  <c r="T30" i="14"/>
  <c r="AL36" i="3"/>
  <c r="AP36" i="3" s="1"/>
  <c r="T32" i="14"/>
  <c r="AL38" i="3"/>
  <c r="AP38" i="3" s="1"/>
  <c r="T36" i="14"/>
  <c r="AL42" i="3"/>
  <c r="AP42" i="3" s="1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8" i="5" s="1"/>
  <c r="D45" i="14"/>
  <c r="O3" i="13"/>
  <c r="P3" i="13" s="1"/>
  <c r="T34" i="13"/>
  <c r="T29" i="13"/>
  <c r="T26" i="13"/>
  <c r="T27" i="13"/>
  <c r="T23" i="1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E3" i="6" s="1"/>
  <c r="N37" i="6" s="1"/>
  <c r="D45" i="13"/>
  <c r="G45" i="13"/>
  <c r="F10" i="3" s="1"/>
  <c r="B9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E45" i="11" s="1"/>
  <c r="T29" i="10"/>
  <c r="T32" i="10"/>
  <c r="T24" i="10"/>
  <c r="T37" i="10"/>
  <c r="C6" i="6"/>
  <c r="T27" i="10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P4" i="7"/>
  <c r="Q4" i="7" s="1"/>
  <c r="M45" i="7"/>
  <c r="J45" i="7"/>
  <c r="Q5" i="7"/>
  <c r="E45" i="9"/>
  <c r="D6" i="3" s="1"/>
  <c r="T26" i="9"/>
  <c r="AA32" i="3"/>
  <c r="AE32" i="3" s="1"/>
  <c r="T32" i="9"/>
  <c r="AA38" i="3"/>
  <c r="AE38" i="3" s="1"/>
  <c r="T27" i="9"/>
  <c r="AA33" i="3"/>
  <c r="AE33" i="3" s="1"/>
  <c r="T24" i="9"/>
  <c r="AA30" i="3"/>
  <c r="AE30" i="3" s="1"/>
  <c r="T23" i="9"/>
  <c r="AA29" i="3"/>
  <c r="AE29" i="3" s="1"/>
  <c r="T35" i="9"/>
  <c r="AA41" i="3"/>
  <c r="AE41" i="3" s="1"/>
  <c r="O3" i="9"/>
  <c r="H6" i="3"/>
  <c r="K5" i="4" s="1"/>
  <c r="T25" i="9"/>
  <c r="AA31" i="3"/>
  <c r="AE31" i="3" s="1"/>
  <c r="T37" i="9"/>
  <c r="AA43" i="3"/>
  <c r="AE43" i="3" s="1"/>
  <c r="T29" i="9"/>
  <c r="AA35" i="3"/>
  <c r="AE35" i="3" s="1"/>
  <c r="P3" i="9"/>
  <c r="P5" i="9"/>
  <c r="D45" i="8"/>
  <c r="C5" i="3" s="1"/>
  <c r="T35" i="8"/>
  <c r="T23" i="8"/>
  <c r="T38" i="8"/>
  <c r="AE44" i="3"/>
  <c r="T33" i="8"/>
  <c r="AE39" i="3"/>
  <c r="T32" i="8"/>
  <c r="T26" i="8"/>
  <c r="T34" i="8"/>
  <c r="AE40" i="3"/>
  <c r="F45" i="8"/>
  <c r="E5" i="3" s="1"/>
  <c r="T36" i="8"/>
  <c r="AE42" i="3"/>
  <c r="T37" i="8"/>
  <c r="T28" i="8"/>
  <c r="AE34" i="3"/>
  <c r="T29" i="8"/>
  <c r="T30" i="8"/>
  <c r="AE36" i="3"/>
  <c r="T24" i="8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5" i="6"/>
  <c r="D5" i="6"/>
  <c r="N3" i="2"/>
  <c r="N53" i="2" s="1"/>
  <c r="N4" i="2"/>
  <c r="N54" i="2" s="1"/>
  <c r="C11" i="5" l="1"/>
  <c r="J11" i="4"/>
  <c r="C4" i="5"/>
  <c r="F3" i="4"/>
  <c r="M48" i="4" s="1"/>
  <c r="J10" i="4"/>
  <c r="C10" i="5"/>
  <c r="E45" i="14"/>
  <c r="D11" i="3" s="1"/>
  <c r="C11" i="3"/>
  <c r="E45" i="13"/>
  <c r="D10" i="3" s="1"/>
  <c r="C10" i="3"/>
  <c r="E45" i="12"/>
  <c r="D9" i="3" s="1"/>
  <c r="J6" i="4"/>
  <c r="C6" i="5"/>
  <c r="V6" i="3"/>
  <c r="E45" i="10"/>
  <c r="D7" i="3" s="1"/>
  <c r="T46" i="9"/>
  <c r="P45" i="9"/>
  <c r="O6" i="3" s="1"/>
  <c r="D5" i="4" s="1"/>
  <c r="C4" i="6"/>
  <c r="F3" i="6" s="1"/>
  <c r="N38" i="6" s="1"/>
  <c r="E45" i="8"/>
  <c r="D5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AL10" i="3"/>
  <c r="AJ10" i="3" s="1"/>
  <c r="L5" i="2" s="1"/>
  <c r="L55" i="2" s="1"/>
  <c r="AL11" i="3"/>
  <c r="AJ11" i="3" s="1"/>
  <c r="L6" i="2" s="1"/>
  <c r="L56" i="2" s="1"/>
  <c r="AL12" i="3"/>
  <c r="AJ12" i="3" s="1"/>
  <c r="L7" i="2" s="1"/>
  <c r="L57" i="2" s="1"/>
  <c r="AL13" i="3"/>
  <c r="AJ13" i="3" s="1"/>
  <c r="L8" i="2" s="1"/>
  <c r="L58" i="2" s="1"/>
  <c r="AL14" i="3"/>
  <c r="AJ14" i="3" s="1"/>
  <c r="L9" i="2" s="1"/>
  <c r="L59" i="2" s="1"/>
  <c r="AL15" i="3"/>
  <c r="AJ15" i="3" s="1"/>
  <c r="L10" i="2" s="1"/>
  <c r="L60" i="2" s="1"/>
  <c r="AL17" i="3"/>
  <c r="AJ17" i="3" s="1"/>
  <c r="L12" i="2" s="1"/>
  <c r="L62" i="2" s="1"/>
  <c r="AL19" i="3"/>
  <c r="AJ19" i="3" s="1"/>
  <c r="L14" i="2" s="1"/>
  <c r="L64" i="2" s="1"/>
  <c r="AL20" i="3"/>
  <c r="AJ20" i="3" s="1"/>
  <c r="L15" i="2" s="1"/>
  <c r="L65" i="2" s="1"/>
  <c r="AL21" i="3"/>
  <c r="AJ21" i="3" s="1"/>
  <c r="L16" i="2" s="1"/>
  <c r="L66" i="2" s="1"/>
  <c r="AL22" i="3"/>
  <c r="AJ22" i="3" s="1"/>
  <c r="L17" i="2" s="1"/>
  <c r="L67" i="2" s="1"/>
  <c r="AL23" i="3"/>
  <c r="AJ23" i="3" s="1"/>
  <c r="L18" i="2" s="1"/>
  <c r="L68" i="2" s="1"/>
  <c r="AL16" i="3"/>
  <c r="AJ16" i="3" s="1"/>
  <c r="L11" i="2" s="1"/>
  <c r="L61" i="2" s="1"/>
  <c r="AL18" i="3"/>
  <c r="AJ18" i="3" s="1"/>
  <c r="L13" i="2" s="1"/>
  <c r="L63" i="2" s="1"/>
  <c r="X5" i="5" l="1"/>
  <c r="T10" i="6"/>
  <c r="T7" i="6"/>
  <c r="T6" i="6"/>
  <c r="X8" i="5"/>
  <c r="AA7" i="4"/>
  <c r="AA6" i="4"/>
  <c r="AA8" i="4"/>
  <c r="X7" i="5"/>
  <c r="T8" i="6"/>
  <c r="T9" i="6"/>
  <c r="N13" i="2"/>
  <c r="N63" i="2" s="1"/>
  <c r="X6" i="5"/>
  <c r="T6" i="3"/>
  <c r="C41" i="6"/>
  <c r="J41" i="4"/>
  <c r="G3" i="5"/>
  <c r="N49" i="5" s="1"/>
  <c r="S6" i="3"/>
  <c r="U6" i="3"/>
  <c r="C41" i="5"/>
  <c r="H3" i="4"/>
  <c r="H32" i="6"/>
  <c r="AG11" i="2" s="1"/>
  <c r="AF25" i="2" s="1"/>
  <c r="C41" i="4"/>
  <c r="G3" i="4"/>
  <c r="N10" i="2"/>
  <c r="N60" i="2" s="1"/>
  <c r="X4" i="5"/>
  <c r="N9" i="2"/>
  <c r="N59" i="2" s="1"/>
  <c r="N8" i="2"/>
  <c r="N58" i="2" s="1"/>
  <c r="N7" i="2"/>
  <c r="N57" i="2" s="1"/>
  <c r="N17" i="2"/>
  <c r="N67" i="2" s="1"/>
  <c r="N12" i="2"/>
  <c r="N62" i="2" s="1"/>
  <c r="N6" i="2"/>
  <c r="N56" i="2" s="1"/>
  <c r="N14" i="2"/>
  <c r="N64" i="2" s="1"/>
  <c r="N5" i="2"/>
  <c r="N55" i="2" s="1"/>
  <c r="AA16" i="3"/>
  <c r="N6" i="5" s="1"/>
  <c r="N15" i="2"/>
  <c r="N65" i="2" s="1"/>
  <c r="N16" i="2"/>
  <c r="N66" i="2" s="1"/>
  <c r="N11" i="2"/>
  <c r="N61" i="2" s="1"/>
  <c r="AC17" i="3"/>
  <c r="L8" i="6" s="1"/>
  <c r="AC9" i="3"/>
  <c r="L5" i="6" s="1"/>
  <c r="AG19" i="3"/>
  <c r="AG11" i="3"/>
  <c r="W7" i="4" s="1"/>
  <c r="AE23" i="3"/>
  <c r="AE22" i="3"/>
  <c r="AE14" i="3"/>
  <c r="R5" i="5" s="1"/>
  <c r="Y14" i="2"/>
  <c r="H43" i="5" l="1"/>
  <c r="AG7" i="2" s="1"/>
  <c r="AF21" i="2" s="1"/>
  <c r="M49" i="4"/>
  <c r="G43" i="4"/>
  <c r="AG3" i="2" s="1"/>
  <c r="AF17" i="2" s="1"/>
  <c r="N10" i="6"/>
  <c r="I18" i="2"/>
  <c r="I68" i="2" s="1"/>
  <c r="K14" i="2"/>
  <c r="K64" i="2" s="1"/>
  <c r="T7" i="5"/>
  <c r="N9" i="6"/>
  <c r="I17" i="2"/>
  <c r="I67" i="2" s="1"/>
  <c r="B37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60" i="2"/>
  <c r="Q60" i="2"/>
  <c r="R60" i="2"/>
  <c r="S60" i="2"/>
  <c r="T60" i="2"/>
  <c r="U60" i="2"/>
  <c r="V60" i="2"/>
  <c r="P61" i="2"/>
  <c r="Q61" i="2"/>
  <c r="R61" i="2"/>
  <c r="S61" i="2"/>
  <c r="T61" i="2"/>
  <c r="U61" i="2"/>
  <c r="V61" i="2"/>
  <c r="P62" i="2"/>
  <c r="Q62" i="2"/>
  <c r="R62" i="2"/>
  <c r="S62" i="2"/>
  <c r="T62" i="2"/>
  <c r="U62" i="2"/>
  <c r="V62" i="2"/>
  <c r="P63" i="2"/>
  <c r="Q63" i="2"/>
  <c r="R63" i="2"/>
  <c r="S63" i="2"/>
  <c r="T63" i="2"/>
  <c r="U63" i="2"/>
  <c r="V63" i="2"/>
  <c r="P64" i="2"/>
  <c r="Q64" i="2"/>
  <c r="R64" i="2"/>
  <c r="S64" i="2"/>
  <c r="T64" i="2"/>
  <c r="U64" i="2"/>
  <c r="V64" i="2"/>
  <c r="P65" i="2"/>
  <c r="Q65" i="2"/>
  <c r="R65" i="2"/>
  <c r="S65" i="2"/>
  <c r="T65" i="2"/>
  <c r="U65" i="2"/>
  <c r="V65" i="2"/>
  <c r="P66" i="2"/>
  <c r="Q66" i="2"/>
  <c r="R66" i="2"/>
  <c r="S66" i="2"/>
  <c r="T66" i="2"/>
  <c r="U66" i="2"/>
  <c r="V66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53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K9" i="3"/>
  <c r="AK10" i="3"/>
  <c r="AK11" i="3"/>
  <c r="AK12" i="3"/>
  <c r="AK13" i="3"/>
  <c r="AK14" i="3"/>
  <c r="AK15" i="3"/>
  <c r="AK16" i="3"/>
  <c r="AK8" i="3"/>
  <c r="B62" i="2"/>
  <c r="B61" i="2"/>
  <c r="B60" i="2"/>
  <c r="B59" i="2"/>
  <c r="B58" i="2"/>
  <c r="B57" i="2"/>
  <c r="B56" i="2"/>
  <c r="B55" i="2"/>
  <c r="B25" i="2" s="1"/>
  <c r="B54" i="2"/>
  <c r="B53" i="2"/>
  <c r="B52" i="2"/>
  <c r="C62" i="2"/>
  <c r="C61" i="2"/>
  <c r="C60" i="2"/>
  <c r="C59" i="2"/>
  <c r="C58" i="2"/>
  <c r="C57" i="2"/>
  <c r="C56" i="2"/>
  <c r="C55" i="2"/>
  <c r="C54" i="2"/>
  <c r="C53" i="2"/>
  <c r="C52" i="2"/>
  <c r="P52" i="2"/>
  <c r="Q52" i="2"/>
  <c r="R52" i="2"/>
  <c r="B41" i="2" s="1"/>
  <c r="S52" i="2"/>
  <c r="T52" i="2"/>
  <c r="U52" i="2"/>
  <c r="V52" i="2"/>
  <c r="W52" i="2"/>
  <c r="X52" i="2"/>
  <c r="Y52" i="2"/>
  <c r="W53" i="2"/>
  <c r="W54" i="2"/>
  <c r="W55" i="2"/>
  <c r="W56" i="2"/>
  <c r="W57" i="2"/>
  <c r="W58" i="2"/>
  <c r="W59" i="2"/>
  <c r="W60" i="2"/>
  <c r="W61" i="2"/>
  <c r="W62" i="2"/>
  <c r="W63" i="2"/>
  <c r="W64" i="2"/>
  <c r="O52" i="2"/>
  <c r="Y9" i="2"/>
  <c r="Y59" i="2" s="1"/>
  <c r="X54" i="2"/>
  <c r="X55" i="2"/>
  <c r="X56" i="2"/>
  <c r="X57" i="2"/>
  <c r="X58" i="2"/>
  <c r="X59" i="2"/>
  <c r="X60" i="2"/>
  <c r="X61" i="2"/>
  <c r="X62" i="2"/>
  <c r="X63" i="2"/>
  <c r="X64" i="2"/>
  <c r="X53" i="2"/>
  <c r="B39" i="2" l="1"/>
  <c r="B38" i="2"/>
  <c r="B45" i="2"/>
  <c r="B40" i="2"/>
  <c r="B46" i="2"/>
  <c r="B44" i="2"/>
  <c r="B43" i="2"/>
  <c r="B42" i="2"/>
  <c r="B47" i="2"/>
  <c r="N34" i="6"/>
  <c r="G14" i="2"/>
  <c r="G64" i="2" s="1"/>
  <c r="P7" i="5"/>
  <c r="K16" i="2"/>
  <c r="K66" i="2" s="1"/>
  <c r="T8" i="5"/>
  <c r="R7" i="5"/>
  <c r="I14" i="2"/>
  <c r="I64" i="2" s="1"/>
  <c r="G15" i="2"/>
  <c r="G65" i="2" s="1"/>
  <c r="S8" i="4"/>
  <c r="M44" i="4" s="1"/>
  <c r="G17" i="2"/>
  <c r="G67" i="2" s="1"/>
  <c r="L9" i="6"/>
  <c r="P9" i="6"/>
  <c r="K17" i="2"/>
  <c r="K67" i="2" s="1"/>
  <c r="G16" i="2"/>
  <c r="G66" i="2" s="1"/>
  <c r="P8" i="5"/>
  <c r="U8" i="4"/>
  <c r="M45" i="4" s="1"/>
  <c r="I15" i="2"/>
  <c r="I65" i="2" s="1"/>
  <c r="W8" i="4"/>
  <c r="K15" i="2"/>
  <c r="K65" i="2" s="1"/>
  <c r="R8" i="5"/>
  <c r="I16" i="2"/>
  <c r="I66" i="2" s="1"/>
  <c r="P10" i="6"/>
  <c r="K18" i="2"/>
  <c r="K68" i="2" s="1"/>
  <c r="G18" i="2"/>
  <c r="G68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S41" i="3"/>
  <c r="AA21" i="3"/>
  <c r="AA9" i="3"/>
  <c r="AA20" i="3"/>
  <c r="AA15" i="3"/>
  <c r="AA18" i="3"/>
  <c r="AA8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2" i="4" s="1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4" i="2" s="1"/>
  <c r="N8" i="5"/>
  <c r="E16" i="2"/>
  <c r="E66" i="2" s="1"/>
  <c r="Q5" i="4"/>
  <c r="J5" i="6"/>
  <c r="Q7" i="5"/>
  <c r="F14" i="2"/>
  <c r="F64" i="2" s="1"/>
  <c r="N7" i="5"/>
  <c r="E14" i="2"/>
  <c r="E64" i="2" s="1"/>
  <c r="E18" i="2"/>
  <c r="J10" i="6"/>
  <c r="J9" i="6"/>
  <c r="E17" i="2"/>
  <c r="E67" i="2" s="1"/>
  <c r="Q8" i="4"/>
  <c r="E15" i="2"/>
  <c r="E65" i="2" s="1"/>
  <c r="U7" i="5"/>
  <c r="J14" i="2"/>
  <c r="J64" i="2" s="1"/>
  <c r="J42" i="5"/>
  <c r="Q4" i="4"/>
  <c r="N4" i="5"/>
  <c r="AB19" i="3"/>
  <c r="AB12" i="3"/>
  <c r="K6" i="6" s="1"/>
  <c r="AB17" i="3"/>
  <c r="K8" i="6" s="1"/>
  <c r="S42" i="3"/>
  <c r="AB11" i="3"/>
  <c r="R7" i="4" s="1"/>
  <c r="M41" i="4"/>
  <c r="M42" i="4" s="1"/>
  <c r="AB16" i="3"/>
  <c r="O6" i="5" s="1"/>
  <c r="AD20" i="3"/>
  <c r="AF20" i="3"/>
  <c r="L35" i="6"/>
  <c r="M35" i="6" s="1"/>
  <c r="AB20" i="3"/>
  <c r="AF15" i="3"/>
  <c r="S4" i="5" s="1"/>
  <c r="AH18" i="3"/>
  <c r="X4" i="4" s="1"/>
  <c r="AD9" i="3"/>
  <c r="M5" i="6" s="1"/>
  <c r="AD17" i="3"/>
  <c r="M8" i="6" s="1"/>
  <c r="AD21" i="3"/>
  <c r="AH10" i="3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AB15" i="3"/>
  <c r="O4" i="5" s="1"/>
  <c r="AB8" i="3"/>
  <c r="AB22" i="3"/>
  <c r="AB9" i="3"/>
  <c r="AB23" i="3"/>
  <c r="N43" i="5" l="1"/>
  <c r="N32" i="6"/>
  <c r="AG13" i="2" s="1"/>
  <c r="AF27" i="2" s="1"/>
  <c r="R8" i="4"/>
  <c r="D15" i="2"/>
  <c r="D65" i="2" s="1"/>
  <c r="K9" i="6"/>
  <c r="D17" i="2"/>
  <c r="D67" i="2" s="1"/>
  <c r="F17" i="2"/>
  <c r="F67" i="2" s="1"/>
  <c r="M9" i="6"/>
  <c r="S8" i="5"/>
  <c r="H16" i="2"/>
  <c r="H66" i="2" s="1"/>
  <c r="M43" i="4"/>
  <c r="AG5" i="2" s="1"/>
  <c r="AF19" i="2" s="1"/>
  <c r="M39" i="6"/>
  <c r="R5" i="4"/>
  <c r="O9" i="6"/>
  <c r="H17" i="2"/>
  <c r="H67" i="2" s="1"/>
  <c r="H15" i="2"/>
  <c r="H65" i="2" s="1"/>
  <c r="V8" i="4"/>
  <c r="K5" i="6"/>
  <c r="O7" i="5"/>
  <c r="D14" i="2"/>
  <c r="D64" i="2" s="1"/>
  <c r="J16" i="2"/>
  <c r="J66" i="2" s="1"/>
  <c r="U8" i="5"/>
  <c r="F15" i="2"/>
  <c r="F65" i="2" s="1"/>
  <c r="T8" i="4"/>
  <c r="F18" i="2"/>
  <c r="F68" i="2" s="1"/>
  <c r="M10" i="6"/>
  <c r="Q8" i="5"/>
  <c r="F16" i="2"/>
  <c r="F66" i="2" s="1"/>
  <c r="D18" i="2"/>
  <c r="D68" i="2" s="1"/>
  <c r="K10" i="6"/>
  <c r="H35" i="6"/>
  <c r="AG14" i="2" s="1"/>
  <c r="AF28" i="2" s="1"/>
  <c r="H46" i="5"/>
  <c r="AG10" i="2" s="1"/>
  <c r="AF24" i="2" s="1"/>
  <c r="AF11" i="3"/>
  <c r="V7" i="4" s="1"/>
  <c r="AB10" i="3"/>
  <c r="R6" i="4" s="1"/>
  <c r="AH11" i="3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M34" i="6" s="1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AG9" i="2" l="1"/>
  <c r="AF23" i="2" s="1"/>
  <c r="J17" i="2"/>
  <c r="J67" i="2" s="1"/>
  <c r="Q9" i="6"/>
  <c r="O8" i="5"/>
  <c r="D16" i="2"/>
  <c r="D66" i="2" s="1"/>
  <c r="Q10" i="6"/>
  <c r="J18" i="2"/>
  <c r="J68" i="2" s="1"/>
  <c r="O10" i="6"/>
  <c r="H18" i="2"/>
  <c r="H68" i="2" s="1"/>
  <c r="J15" i="2"/>
  <c r="J65" i="2" s="1"/>
  <c r="L44" i="5"/>
  <c r="M44" i="5" s="1"/>
  <c r="L46" i="5"/>
  <c r="M46" i="5" s="1"/>
  <c r="L33" i="6"/>
  <c r="L47" i="5"/>
  <c r="M47" i="5" s="1"/>
  <c r="L36" i="6"/>
  <c r="M36" i="6" s="1"/>
  <c r="L45" i="5"/>
  <c r="M45" i="5" s="1"/>
  <c r="G3" i="2"/>
  <c r="I3" i="2"/>
  <c r="K3" i="2"/>
  <c r="M33" i="6" l="1"/>
  <c r="AG4" i="2"/>
  <c r="AF18" i="2" s="1"/>
  <c r="AG8" i="2"/>
  <c r="AF22" i="2" s="1"/>
  <c r="K52" i="2"/>
  <c r="J52" i="2"/>
  <c r="I52" i="2"/>
  <c r="H52" i="2"/>
  <c r="G52" i="2"/>
  <c r="F52" i="2"/>
  <c r="E52" i="2"/>
  <c r="D52" i="2"/>
  <c r="Y17" i="2"/>
  <c r="Y67" i="2" s="1"/>
  <c r="Y16" i="2"/>
  <c r="Y66" i="2" s="1"/>
  <c r="Y15" i="2"/>
  <c r="Y65" i="2" s="1"/>
  <c r="Y64" i="2"/>
  <c r="Y13" i="2"/>
  <c r="Y63" i="2" s="1"/>
  <c r="Y12" i="2"/>
  <c r="Y62" i="2" s="1"/>
  <c r="Y11" i="2"/>
  <c r="Y61" i="2" s="1"/>
  <c r="Y10" i="2"/>
  <c r="Y60" i="2" s="1"/>
  <c r="Y8" i="2"/>
  <c r="Y58" i="2" s="1"/>
  <c r="Y7" i="2"/>
  <c r="Y57" i="2" s="1"/>
  <c r="Y6" i="2"/>
  <c r="Y56" i="2" s="1"/>
  <c r="Y5" i="2"/>
  <c r="Y55" i="2" s="1"/>
  <c r="Y4" i="2"/>
  <c r="Y54" i="2" s="1"/>
  <c r="Y3" i="2"/>
  <c r="Y53" i="2" s="1"/>
  <c r="B48" i="2" l="1"/>
  <c r="AG12" i="2"/>
  <c r="AF26" i="2" s="1"/>
  <c r="K9" i="2"/>
  <c r="K8" i="2"/>
  <c r="I11" i="2"/>
  <c r="G9" i="2"/>
  <c r="G8" i="2"/>
  <c r="K10" i="2"/>
  <c r="G7" i="2"/>
  <c r="I9" i="2"/>
  <c r="G6" i="2"/>
  <c r="E13" i="2"/>
  <c r="E63" i="2" s="1"/>
  <c r="E5" i="2"/>
  <c r="I7" i="2"/>
  <c r="K6" i="2"/>
  <c r="G5" i="2"/>
  <c r="E12" i="2"/>
  <c r="I6" i="2"/>
  <c r="K13" i="2"/>
  <c r="K63" i="2" s="1"/>
  <c r="K5" i="2"/>
  <c r="G4" i="2"/>
  <c r="I13" i="2"/>
  <c r="I63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61" i="2" s="1"/>
  <c r="H7" i="2"/>
  <c r="H57" i="2" s="1"/>
  <c r="H10" i="2"/>
  <c r="H60" i="2" s="1"/>
  <c r="H5" i="2"/>
  <c r="H55" i="2" s="1"/>
  <c r="H13" i="2"/>
  <c r="H63" i="2" s="1"/>
  <c r="J5" i="2"/>
  <c r="J55" i="2" s="1"/>
  <c r="H6" i="2"/>
  <c r="H56" i="2" s="1"/>
  <c r="J10" i="2"/>
  <c r="J60" i="2" s="1"/>
  <c r="H9" i="2"/>
  <c r="J13" i="2"/>
  <c r="J63" i="2" s="1"/>
  <c r="J11" i="2"/>
  <c r="J61" i="2" s="1"/>
  <c r="J9" i="2"/>
  <c r="J59" i="2" s="1"/>
  <c r="H4" i="2"/>
  <c r="H54" i="2" s="1"/>
  <c r="H12" i="2"/>
  <c r="H62" i="2" s="1"/>
  <c r="J3" i="2"/>
  <c r="J53" i="2" s="1"/>
  <c r="H3" i="2"/>
  <c r="H53" i="2" s="1"/>
  <c r="J6" i="2"/>
  <c r="J56" i="2" s="1"/>
  <c r="F3" i="2"/>
  <c r="F53" i="2" s="1"/>
  <c r="F9" i="2"/>
  <c r="F59" i="2" s="1"/>
  <c r="F5" i="2"/>
  <c r="F55" i="2" s="1"/>
  <c r="F6" i="2"/>
  <c r="F56" i="2" s="1"/>
  <c r="K7" i="2"/>
  <c r="K57" i="2" s="1"/>
  <c r="G12" i="2"/>
  <c r="G62" i="2" s="1"/>
  <c r="G13" i="2"/>
  <c r="G63" i="2" s="1"/>
  <c r="J8" i="2"/>
  <c r="J58" i="2" s="1"/>
  <c r="F8" i="2"/>
  <c r="F58" i="2" s="1"/>
  <c r="I8" i="2"/>
  <c r="I58" i="2" s="1"/>
  <c r="F4" i="2"/>
  <c r="F54" i="2" s="1"/>
  <c r="G11" i="2"/>
  <c r="G61" i="2" s="1"/>
  <c r="F7" i="2"/>
  <c r="F57" i="2" s="1"/>
  <c r="K4" i="2"/>
  <c r="K54" i="2" s="1"/>
  <c r="W57" i="3"/>
  <c r="E53" i="2"/>
  <c r="U49" i="3"/>
  <c r="U50" i="3"/>
  <c r="V50" i="3" s="1"/>
  <c r="U51" i="3"/>
  <c r="U7" i="3"/>
  <c r="K53" i="2"/>
  <c r="K56" i="2"/>
  <c r="K62" i="2"/>
  <c r="K58" i="2"/>
  <c r="K60" i="2"/>
  <c r="I61" i="2"/>
  <c r="I60" i="2"/>
  <c r="I54" i="2"/>
  <c r="G54" i="2"/>
  <c r="G56" i="2"/>
  <c r="I59" i="2"/>
  <c r="I62" i="2"/>
  <c r="I57" i="2"/>
  <c r="G53" i="2"/>
  <c r="G57" i="2"/>
  <c r="K61" i="2"/>
  <c r="K55" i="2"/>
  <c r="G60" i="2"/>
  <c r="G59" i="2"/>
  <c r="I56" i="2"/>
  <c r="G55" i="2"/>
  <c r="K59" i="2"/>
  <c r="I53" i="2"/>
  <c r="I55" i="2"/>
  <c r="G58" i="2"/>
  <c r="T56" i="3" l="1"/>
  <c r="W56" i="3" s="1"/>
  <c r="AG6" i="2"/>
  <c r="AF20" i="2" s="1"/>
  <c r="B30" i="2"/>
  <c r="B34" i="2"/>
  <c r="B32" i="2"/>
  <c r="J4" i="2"/>
  <c r="J54" i="2" s="1"/>
  <c r="J7" i="2"/>
  <c r="J57" i="2" s="1"/>
  <c r="H8" i="2"/>
  <c r="H58" i="2" s="1"/>
  <c r="D13" i="2"/>
  <c r="D63" i="2" s="1"/>
  <c r="D5" i="2"/>
  <c r="D9" i="2"/>
  <c r="D59" i="2" s="1"/>
  <c r="D7" i="2"/>
  <c r="D12" i="2"/>
  <c r="D4" i="2"/>
  <c r="D8" i="2"/>
  <c r="J12" i="2"/>
  <c r="J62" i="2" s="1"/>
  <c r="E6" i="2"/>
  <c r="E56" i="2" s="1"/>
  <c r="E10" i="2"/>
  <c r="E60" i="2" s="1"/>
  <c r="F11" i="2"/>
  <c r="F61" i="2" s="1"/>
  <c r="F10" i="2"/>
  <c r="F60" i="2" s="1"/>
  <c r="E11" i="2"/>
  <c r="E61" i="2" s="1"/>
  <c r="F12" i="2"/>
  <c r="F62" i="2" s="1"/>
  <c r="F13" i="2"/>
  <c r="F63" i="2" s="1"/>
  <c r="U55" i="3"/>
  <c r="W55" i="3" s="1"/>
  <c r="E57" i="2"/>
  <c r="V51" i="3"/>
  <c r="W51" i="3"/>
  <c r="V49" i="3"/>
  <c r="W49" i="3"/>
  <c r="W50" i="3"/>
  <c r="E58" i="2"/>
  <c r="H59" i="2"/>
  <c r="E55" i="2"/>
  <c r="E59" i="2"/>
  <c r="E62" i="2"/>
  <c r="E54" i="2"/>
  <c r="B31" i="2" l="1"/>
  <c r="B28" i="2"/>
  <c r="B33" i="2"/>
  <c r="B29" i="2"/>
  <c r="D3" i="2"/>
  <c r="D53" i="2" s="1"/>
  <c r="D10" i="2"/>
  <c r="D60" i="2" s="1"/>
  <c r="D6" i="2"/>
  <c r="D56" i="2" s="1"/>
  <c r="D11" i="2"/>
  <c r="D61" i="2" s="1"/>
  <c r="D57" i="2"/>
  <c r="D54" i="2"/>
  <c r="D55" i="2"/>
  <c r="D62" i="2"/>
  <c r="D58" i="2"/>
  <c r="B27" i="2" l="1"/>
</calcChain>
</file>

<file path=xl/sharedStrings.xml><?xml version="1.0" encoding="utf-8"?>
<sst xmlns="http://schemas.openxmlformats.org/spreadsheetml/2006/main" count="1990" uniqueCount="243">
  <si>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</si>
  <si>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</si>
  <si>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</si>
  <si>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</si>
  <si>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</si>
  <si>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</si>
  <si>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</si>
  <si>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</si>
  <si>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</si>
  <si>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</si>
  <si>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</si>
  <si>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</si>
  <si>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</si>
  <si>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</si>
  <si>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</si>
  <si>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</si>
  <si>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</si>
  <si>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</si>
  <si>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</si>
  <si>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</si>
  <si>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</si>
  <si>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</si>
  <si>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</si>
  <si>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</si>
  <si>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</si>
  <si>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</si>
  <si>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</si>
  <si>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</si>
  <si>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</si>
  <si>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</si>
  <si>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</si>
  <si>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</si>
  <si>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</si>
  <si>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</si>
  <si>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</si>
  <si>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</si>
  <si>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</si>
  <si>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</si>
  <si>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</si>
  <si>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</si>
  <si>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</si>
  <si>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</si>
  <si>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</si>
  <si>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</si>
  <si>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</si>
  <si>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</si>
  <si>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</si>
  <si>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</si>
  <si>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</si>
  <si>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</si>
  <si>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</si>
  <si>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</si>
  <si>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</si>
  <si>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</si>
  <si>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</si>
  <si>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</si>
  <si>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</si>
  <si>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</si>
  <si>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</si>
  <si>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</si>
  <si>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</si>
  <si>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</si>
  <si>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</si>
  <si>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</si>
  <si>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</si>
  <si>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</si>
  <si>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</si>
  <si>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</si>
  <si>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</si>
  <si>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</si>
  <si>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</si>
  <si>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</si>
  <si>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</si>
  <si>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</si>
  <si>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</si>
  <si>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</si>
  <si>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</si>
  <si>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</si>
  <si>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</si>
  <si>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</si>
  <si>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</si>
  <si>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</si>
  <si>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</si>
  <si>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</si>
  <si>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</si>
  <si>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</si>
  <si>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</si>
  <si>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</si>
  <si>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</si>
  <si>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</si>
  <si>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</si>
  <si>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</si>
  <si>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</si>
  <si>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</si>
  <si>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</si>
  <si>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</si>
  <si>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</si>
  <si>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</si>
  <si>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</si>
  <si>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</si>
  <si>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</si>
  <si>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</si>
  <si>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</si>
  <si>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</si>
  <si>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</si>
  <si>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</si>
  <si>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</si>
  <si>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</si>
  <si>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</si>
  <si>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</si>
  <si>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</si>
  <si>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</si>
  <si>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</si>
  <si>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</si>
  <si>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</si>
  <si>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</si>
  <si>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</si>
  <si>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</si>
  <si>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</si>
  <si>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</si>
  <si>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</si>
  <si>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</si>
  <si>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</si>
  <si>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</si>
  <si>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</si>
  <si>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</si>
  <si>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</si>
  <si>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</si>
  <si>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</si>
  <si>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</si>
  <si>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</si>
  <si>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</si>
  <si>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</si>
  <si>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</si>
  <si>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</si>
  <si>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</si>
  <si>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</si>
  <si>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</si>
  <si>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</si>
  <si>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</si>
  <si>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</si>
  <si>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</si>
  <si>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</si>
  <si>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</si>
  <si>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</si>
  <si>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</si>
  <si>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Missed</t>
  </si>
  <si>
    <t>T1</t>
  </si>
  <si>
    <t>T2</t>
  </si>
  <si>
    <t>Predicted</t>
  </si>
  <si>
    <t>Points ahead required to clinch position</t>
  </si>
  <si>
    <t>Typical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</si>
  <si>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</si>
  <si>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</si>
  <si>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</si>
  <si>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</si>
  <si>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</si>
  <si>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</si>
  <si>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</si>
  <si>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</si>
  <si>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</si>
  <si>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</si>
  <si>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</si>
  <si>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</si>
  <si>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</si>
  <si>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</si>
  <si>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</si>
  <si>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</si>
  <si>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</si>
  <si>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</si>
  <si>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</si>
  <si>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</si>
  <si>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</si>
  <si>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</si>
  <si>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</si>
  <si>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</si>
  <si>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</si>
  <si>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</si>
  <si>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</si>
  <si>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</si>
  <si>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</si>
  <si>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</si>
  <si>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</si>
  <si>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</si>
  <si>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</si>
  <si>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</si>
  <si>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</si>
  <si>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</si>
  <si>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</si>
  <si>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</si>
  <si>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</si>
  <si>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</si>
  <si>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</si>
  <si>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</si>
  <si>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</si>
  <si>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</si>
  <si>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</si>
  <si>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</si>
  <si>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</si>
  <si>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</si>
  <si>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</si>
  <si>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</si>
  <si>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</si>
  <si>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</si>
  <si>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</si>
  <si>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</si>
  <si>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</si>
  <si>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</si>
  <si>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</si>
  <si>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</si>
  <si>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</si>
  <si>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</si>
  <si>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</si>
  <si>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</si>
  <si>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</si>
  <si>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</si>
  <si>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</si>
  <si>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</si>
  <si>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</si>
  <si>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</si>
  <si>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</si>
  <si>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</si>
  <si>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</si>
  <si>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</si>
  <si>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</si>
  <si>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</si>
  <si>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</si>
  <si>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</si>
  <si>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</si>
  <si>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</si>
  <si>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</si>
  <si>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</si>
  <si>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</si>
  <si>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</si>
  <si>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</si>
  <si>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 February</t>
  </si>
  <si>
    <t>Assister</t>
  </si>
  <si>
    <t>Assists</t>
  </si>
  <si>
    <t>Average Assists</t>
  </si>
  <si>
    <t>Average AST</t>
  </si>
  <si>
    <t>Avg A</t>
  </si>
  <si>
    <t>APG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</si>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</sst>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7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" fontId="31" fillId="0" borderId="1" xfId="1" applyNumberFormat="1"/>
    <xf numFmtId="0" fontId="32" fillId="0" borderId="1" xfId="0" applyFont="1" applyBorder="1" applyAlignment="1">
      <alignment horizontal="center"/>
    </xf>
    <xf numFmtId="0" fontId="0" fillId="0" borderId="0" xfId="0" applyFont="1"/>
    <xf numFmtId="1" fontId="0" fillId="0" borderId="2" xfId="0" applyNumberFormat="1" applyBorder="1"/>
    <xf numFmtId="1" fontId="37" fillId="0" borderId="7" xfId="0" applyNumberFormat="1" applyFont="1" applyBorder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0.30973451327433627</c:v>
                </c:pt>
                <c:pt idx="1">
                  <c:v>0.61946902654867253</c:v>
                </c:pt>
                <c:pt idx="2">
                  <c:v>7.0796460176991149E-2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L23" totalsRowShown="0" headerRowDxfId="85" dataDxfId="84" headerRowBorderDxfId="82" tableBorderDxfId="83" totalsRowBorderDxfId="81">
  <autoFilter ref="Z7:AL23" xr:uid="{598ECA3B-99B4-4CAB-8F81-5D711AA5A7FC}"/>
  <tableColumns count="13">
    <tableColumn id="1" xr3:uid="{9B036617-5450-4894-9268-827D2E0914FF}" name="Scoring" dataDxfId="80">
      <calculatedColumnFormula>SfW!B3</calculatedColumnFormula>
    </tableColumn>
    <tableColumn id="2" xr3:uid="{6662CE93-E9C4-47DE-9476-E46126825B0A}" name="Points" dataDxfId="79">
      <calculatedColumnFormula>SUM(AA29,AA49,AN49,AA69,AL69,AA89,AL29)</calculatedColumnFormula>
    </tableColumn>
    <tableColumn id="3" xr3:uid="{8FDDFCB0-2692-4EB0-948C-7B877263B55B}" name="Average" dataDxfId="7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77">
      <calculatedColumnFormula>SUM(AB29,AB49,AO49,AB69,AM69,AB89,AM29)</calculatedColumnFormula>
    </tableColumn>
    <tableColumn id="5" xr3:uid="{5F324C66-956D-4EDC-870F-8EDE96C328C8}" name="Averages" dataDxfId="7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75">
      <calculatedColumnFormula>SUM(AC29,AC49,AP49,AC69,AN69,AC89,AN29)</calculatedColumnFormula>
    </tableColumn>
    <tableColumn id="7" xr3:uid="{8E7E6B37-23A0-4556-8839-B9D7834E3E68}" name="Averages2" dataDxfId="7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73">
      <calculatedColumnFormula>SUM(AD29,AD49,AQ49,AD69,AO69,AD89,AO29)</calculatedColumnFormula>
    </tableColumn>
    <tableColumn id="9" xr3:uid="{E0C0BF1C-40E8-4137-8E0F-BB238D651DAE}" name="Averages3" dataDxfId="72">
      <calculatedColumnFormula>IF($AA$6-Table1[[#This Row],[Missed Games]]=0, 0,Table1[[#This Row],[Threes]]/($AA$6-Table1[[#This Row],[Missed Games]]))</calculatedColumnFormula>
    </tableColumn>
    <tableColumn id="13" xr3:uid="{A98B2C8A-C0E8-4655-9D4E-ED0EF1139655}" name="Assists" dataDxfId="24">
      <calculatedColumnFormula>AE49+AR49+AE69+AR69</calculatedColumnFormula>
    </tableColumn>
    <tableColumn id="12" xr3:uid="{AD7CC2D5-6288-49C2-9FD4-AC4E84D3D010}" name="Average AST" dataDxfId="23">
      <calculatedColumnFormula>IF($AA$6-(Table1[[#This Row],[Missed Games]]+7-AI29-AT29)=0, 0,Table1[[#This Row],[Assists]]/($AA$6-Table1[[#This Row],[Missed Games]]-7+AI29+AT29))</calculatedColumnFormula>
    </tableColumn>
    <tableColumn id="10" xr3:uid="{1C75F230-74E0-47EE-BF13-C22289FE0F87}" name="Team" dataDxfId="71">
      <calculatedColumnFormula>SfW!C3</calculatedColumnFormula>
    </tableColumn>
    <tableColumn id="11" xr3:uid="{E167D7FA-56F9-4571-B292-FF3869585F59}" name="Missed Games" dataDxfId="70">
      <calculatedColumnFormula>SUM(AI29,AK49,AV49,AI69,AT69,AI89,AT29)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X8" totalsRowShown="0" headerRowDxfId="109" dataDxfId="108">
  <autoFilter ref="M3:X8" xr:uid="{54759C84-3153-4DC9-9240-E2749AA0D92B}"/>
  <tableColumns count="12">
    <tableColumn id="1" xr3:uid="{7790729E-C8E5-45C1-8784-25212A2654AA}" name="Name" dataDxfId="107"/>
    <tableColumn id="2" xr3:uid="{52A67B2B-967C-4970-8D83-8F8E9CC61522}" name="Points" dataDxfId="106"/>
    <tableColumn id="3" xr3:uid="{BA1FA2C8-AEC0-4644-83DB-5097750D7188}" name="Average" dataDxfId="105"/>
    <tableColumn id="4" xr3:uid="{4CF66F5D-BF10-4CBD-88FF-CCD38730E1CD}" name="Finishes" dataDxfId="104"/>
    <tableColumn id="5" xr3:uid="{BC246D5B-7E78-41A6-B796-C93ED8E53DF9}" name="Averages" dataDxfId="103"/>
    <tableColumn id="6" xr3:uid="{AB819419-CC06-4A40-8DED-E231125129C0}" name="Midranges" dataDxfId="102"/>
    <tableColumn id="7" xr3:uid="{064AA562-C451-4362-805E-D12DC76C3530}" name="Averages2" dataDxfId="101"/>
    <tableColumn id="8" xr3:uid="{BD0D8BAE-15E4-4B38-87FE-B682D7BAEE75}" name="Threes" dataDxfId="100"/>
    <tableColumn id="9" xr3:uid="{541E391B-4B08-4E98-A63F-753C11193269}" name="Averages3" dataDxfId="99"/>
    <tableColumn id="12" xr3:uid="{4370FEEB-5DA0-4CA5-A2AF-C855F74D0C23}" name="Assists" dataDxfId="7"/>
    <tableColumn id="11" xr3:uid="{F14634B1-375C-4086-89E5-DA123BB7C5C2}" name="Average Assists" dataDxfId="8"/>
    <tableColumn id="10" xr3:uid="{999BB5D2-D6FB-4EB9-A268-D62EA72F939D}" name="Missed Games" dataDxfId="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T10" totalsRowShown="0" headerRowDxfId="97" dataDxfId="96">
  <autoFilter ref="I4:T10" xr:uid="{C12CFC3F-7D59-4C0F-8D43-3F8ACD58C2BD}"/>
  <tableColumns count="12">
    <tableColumn id="1" xr3:uid="{CE15C23D-9493-4B21-9D40-1A25D210C18E}" name="Name" dataDxfId="95"/>
    <tableColumn id="2" xr3:uid="{6BB170B1-AA38-4699-9B96-400D2947EE9C}" name="Points" dataDxfId="94"/>
    <tableColumn id="3" xr3:uid="{EC8B6CBB-FCC9-416C-AEA6-738419DFE531}" name="Average" dataDxfId="93"/>
    <tableColumn id="4" xr3:uid="{315DA055-9A43-468A-A501-1092626F523F}" name="Finishes" dataDxfId="92"/>
    <tableColumn id="5" xr3:uid="{56B6FF4D-95D4-4550-88E4-C781ABDA83A6}" name="Averages" dataDxfId="91"/>
    <tableColumn id="6" xr3:uid="{F7B5C0B8-FBE2-44B0-A372-112C7776FCCF}" name="Midranges" dataDxfId="90"/>
    <tableColumn id="7" xr3:uid="{1A1C2126-FEB1-408F-8523-049E53028B4E}" name="Averages2" dataDxfId="89"/>
    <tableColumn id="8" xr3:uid="{AE94036B-3777-4C1B-97D5-7BFA1037C0BF}" name="Threes" dataDxfId="88"/>
    <tableColumn id="9" xr3:uid="{448B0903-7F66-40BA-809F-74ADBF397B45}" name="Averages3" dataDxfId="87"/>
    <tableColumn id="12" xr3:uid="{8911E9D7-FD99-48B0-9B80-37E83F43A921}" name="Assists" dataDxfId="5"/>
    <tableColumn id="11" xr3:uid="{AA2377FF-8142-446F-8FC1-C2A41726313B}" name="Average Assists" dataDxfId="6"/>
    <tableColumn id="10" xr3:uid="{E0CAC55D-8398-4928-A219-C01706996D48}" name="Missed Games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56" dataDxfId="155">
  <autoFilter ref="Z28:AI44" xr:uid="{46F39EBA-1E74-46F4-A6E5-473672128124}"/>
  <tableColumns count="10">
    <tableColumn id="1" xr3:uid="{5D003608-C1C2-4694-9447-8632FB8D7348}" name="Scoring" dataDxfId="154"/>
    <tableColumn id="2" xr3:uid="{D15F4085-CED5-4CDD-B43B-BF7EB59B45A3}" name="Points" dataDxfId="153">
      <calculatedColumnFormula>'2401'!T3+'2501'!T3</calculatedColumnFormula>
    </tableColumn>
    <tableColumn id="3" xr3:uid="{2D436F37-54B6-4820-9145-F48B4EF9B294}" name="Finishes" dataDxfId="152">
      <calculatedColumnFormula>'2401'!U3+'2501'!U3</calculatedColumnFormula>
    </tableColumn>
    <tableColumn id="4" xr3:uid="{1D9B6A22-B682-47F3-B738-7C138F317A41}" name="Midranges" dataDxfId="151">
      <calculatedColumnFormula>'2401'!V3+'2501'!V3</calculatedColumnFormula>
    </tableColumn>
    <tableColumn id="5" xr3:uid="{9966C9A0-3872-44E9-BB39-05DE197EAA68}" name="Threes" dataDxfId="150">
      <calculatedColumnFormula>'2401'!W3+'2501'!W3</calculatedColumnFormula>
    </tableColumn>
    <tableColumn id="6" xr3:uid="{CC4AB646-735F-425F-8528-C5EFE7FE11DC}" name="Avg P" dataDxfId="149">
      <calculatedColumnFormula>Table211[[#This Row],[Points]]/($AA$27-$AI29)</calculatedColumnFormula>
    </tableColumn>
    <tableColumn id="7" xr3:uid="{F8D0247E-C6F7-467A-9F38-46084D44F8AB}" name="Avg F" dataDxfId="148">
      <calculatedColumnFormula>Table211[[#This Row],[Finishes]]/($AA$27-$AI29)</calculatedColumnFormula>
    </tableColumn>
    <tableColumn id="8" xr3:uid="{7CCF1C77-9DB0-4EB2-B7D0-FD0BDBEBFA0E}" name="Avg M" dataDxfId="147">
      <calculatedColumnFormula>Table211[[#This Row],[Midranges]]/($AA$27-$AI29)</calculatedColumnFormula>
    </tableColumn>
    <tableColumn id="9" xr3:uid="{582A1A4E-5383-4383-A480-735408867046}" name="Avg T" dataDxfId="146">
      <calculatedColumnFormula>Table211[[#This Row],[Threes]]/($AA$27-$AI29)</calculatedColumnFormula>
    </tableColumn>
    <tableColumn id="10" xr3:uid="{E547AEB5-F9BA-4C5F-8DCE-34B6A8FF303A}" name="Missed Games" dataDxfId="145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K64" totalsRowShown="0" headerRowDxfId="144" dataDxfId="143">
  <autoFilter ref="Z48:AK64" xr:uid="{D27C125F-71B2-44D9-9F7A-9BED67755DD3}"/>
  <tableColumns count="12">
    <tableColumn id="1" xr3:uid="{0B0344E8-2677-4FAB-9B03-4745991FB5AE}" name="Scoring" dataDxfId="142"/>
    <tableColumn id="2" xr3:uid="{58CA1107-8BB4-4A5D-BA00-31619C8D3973}" name="Points" dataDxfId="67">
      <calculatedColumnFormula>'0502'!U3</calculatedColumnFormula>
    </tableColumn>
    <tableColumn id="3" xr3:uid="{8090861E-1FDF-44F4-9DB6-BB814E32C754}" name="Finishes" dataDxfId="141">
      <calculatedColumnFormula>'0502'!V3</calculatedColumnFormula>
    </tableColumn>
    <tableColumn id="4" xr3:uid="{972D0347-DAB3-4985-A738-E5D78740D498}" name="Midranges" dataDxfId="140">
      <calculatedColumnFormula>'0502'!W3</calculatedColumnFormula>
    </tableColumn>
    <tableColumn id="5" xr3:uid="{48F5F884-1753-4988-9056-632B5EB6BBCB}" name="Threes" dataDxfId="139">
      <calculatedColumnFormula>'0502'!X3</calculatedColumnFormula>
    </tableColumn>
    <tableColumn id="11" xr3:uid="{35F5276C-240E-4477-AAB1-AF9834DE985F}" name="Assists" dataDxfId="69">
      <calculatedColumnFormula>'0502'!Y3</calculatedColumnFormula>
    </tableColumn>
    <tableColumn id="6" xr3:uid="{6953B627-EA05-418F-A758-FD59263EA60D}" name="Avg P" dataDxfId="138">
      <calculatedColumnFormula>Table21123[[#This Row],[Points]]/($AA$47-$AK49)</calculatedColumnFormula>
    </tableColumn>
    <tableColumn id="7" xr3:uid="{BE057C9C-5ECD-4AC2-A9C0-18C89CFB52BC}" name="Avg F" dataDxfId="137">
      <calculatedColumnFormula>Table21123[[#This Row],[Finishes]]/($AA$47-$AK49)</calculatedColumnFormula>
    </tableColumn>
    <tableColumn id="8" xr3:uid="{0FDEBEE7-CD5E-4A44-A0AE-74F044F1FF46}" name="Avg M" dataDxfId="136">
      <calculatedColumnFormula>Table21123[[#This Row],[Midranges]]/($AA$47-$AK49)</calculatedColumnFormula>
    </tableColumn>
    <tableColumn id="9" xr3:uid="{76975BB6-3677-41A8-BC24-7536B1D876D3}" name="Avg T" dataDxfId="135">
      <calculatedColumnFormula>Table21123[[#This Row],[Threes]]/($AA$47-$AK49)</calculatedColumnFormula>
    </tableColumn>
    <tableColumn id="12" xr3:uid="{E49E8436-7691-4357-B42E-B8C818153B90}" name="Avg A" dataDxfId="68">
      <calculatedColumnFormula>Table21123[[#This Row],[Assists]]/($AA$47-$AK49)</calculatedColumnFormula>
    </tableColumn>
    <tableColumn id="10" xr3:uid="{E5ADB69B-3BA2-4019-8C83-8B02221F187E}" name="Missed Games" dataDxfId="134">
      <calculatedColumnFormula>COUNTIF('0502'!X3,TRUE)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133" dataDxfId="132">
  <autoFilter ref="Z88:AI104" xr:uid="{BDD2E472-3925-41A7-BECD-3315E6E71ECC}"/>
  <tableColumns count="10">
    <tableColumn id="1" xr3:uid="{9DBD966D-620C-4B97-A502-29D00ABE150B}" name="Scoring" dataDxfId="131"/>
    <tableColumn id="2" xr3:uid="{F8F81F0E-16B3-4472-9D90-A92149C763E4}" name="Points" dataDxfId="130"/>
    <tableColumn id="3" xr3:uid="{09859CE1-290D-4977-B02C-46F4E5A6FDC2}" name="Finishes" dataDxfId="129"/>
    <tableColumn id="4" xr3:uid="{7D751A0E-2895-46DF-B5E2-5A8AA5531CD2}" name="Midranges" dataDxfId="128"/>
    <tableColumn id="5" xr3:uid="{591CDC71-B0EA-413B-B6C1-77884E7E50D4}" name="Threes" dataDxfId="127"/>
    <tableColumn id="6" xr3:uid="{52ED768C-5557-42DC-9824-7A4D9B547153}" name="Avg P" dataDxfId="126"/>
    <tableColumn id="7" xr3:uid="{FC79BE87-72E2-4F5E-83D6-CDCE645EB943}" name="Avg F" dataDxfId="125"/>
    <tableColumn id="8" xr3:uid="{BA012C22-0D65-4C11-98A7-4F958703D04B}" name="Avg M" dataDxfId="124"/>
    <tableColumn id="9" xr3:uid="{63344F2B-5D94-417D-85E2-C2BFBACE3E7E}" name="Avg T" dataDxfId="123"/>
    <tableColumn id="10" xr3:uid="{1AD5A604-8909-45B3-8E43-11D407451CEA}" name="Missed Games" dataDxfId="12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121" dataDxfId="120">
  <autoFilter ref="AK28:AT44" xr:uid="{F9183685-60DE-4163-AA62-BE4F563EE570}"/>
  <tableColumns count="10">
    <tableColumn id="1" xr3:uid="{E62FBAA0-D6F6-4997-96C9-B6B13FAA9B6E}" name="Scoring" dataDxfId="119"/>
    <tableColumn id="2" xr3:uid="{0A655F6F-9A21-4167-85B6-B9F7DC2070CA}" name="Points" dataDxfId="118">
      <calculatedColumnFormula>'2901'!T3+'3001'!T3+'3101'!T3+'0102'!T3+'0202'!T3</calculatedColumnFormula>
    </tableColumn>
    <tableColumn id="3" xr3:uid="{460771D3-3BD8-4DA3-AF1B-1A0F98EF1499}" name="Finishes" dataDxfId="117">
      <calculatedColumnFormula>'2901'!U3+'3001'!U3+'3101'!U3+'0102'!U3+'0202'!U3</calculatedColumnFormula>
    </tableColumn>
    <tableColumn id="4" xr3:uid="{3C08B2D7-823D-49C3-A627-A5848E664B2F}" name="Midranges" dataDxfId="116">
      <calculatedColumnFormula>'2901'!V3+'3001'!V3+'3101'!V3+'0102'!V3+'0202'!V3</calculatedColumnFormula>
    </tableColumn>
    <tableColumn id="5" xr3:uid="{E88F45FB-4C46-4674-86D5-74808E7E5368}" name="Threes" dataDxfId="115">
      <calculatedColumnFormula>'2901'!W3+'3001'!W3+'3101'!W3+'0102'!W3+'0202'!W3</calculatedColumnFormula>
    </tableColumn>
    <tableColumn id="6" xr3:uid="{0C0E8016-1E6E-4F25-9675-4EE061FFD0F7}" name="Avg P" dataDxfId="114">
      <calculatedColumnFormula>Table21128[[#This Row],[Points]]/($AL$27-$AT29)</calculatedColumnFormula>
    </tableColumn>
    <tableColumn id="7" xr3:uid="{F7AC350B-AE4B-4912-B21D-16D99E2AE8BF}" name="Avg F" dataDxfId="113">
      <calculatedColumnFormula>Table21128[[#This Row],[Finishes]]/($AL$27-$AT29)</calculatedColumnFormula>
    </tableColumn>
    <tableColumn id="8" xr3:uid="{F451E5CA-B9C4-4EFA-A647-CEDB2FB39550}" name="Avg M" dataDxfId="112">
      <calculatedColumnFormula>Table21128[[#This Row],[Midranges]]/($AL$27-$AT29)</calculatedColumnFormula>
    </tableColumn>
    <tableColumn id="9" xr3:uid="{ED1D92B5-05F1-40CE-A89F-E6627FAB4A59}" name="Avg T" dataDxfId="111">
      <calculatedColumnFormula>Table21128[[#This Row],[Threes]]/($AL$27-$AT29)</calculatedColumnFormula>
    </tableColumn>
    <tableColumn id="10" xr3:uid="{48A4808A-3DE6-4644-83F5-C2AEDDFC3E5E}" name="Missed Games" dataDxfId="110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1CF96-EC01-4908-96EE-FCFECAD895EC}" name="Table211235" displayName="Table211235" ref="AM48:AX64" totalsRowShown="0" headerRowDxfId="66" dataDxfId="65">
  <autoFilter ref="AM48:AX64" xr:uid="{0751CF96-EC01-4908-96EE-FCFECAD895EC}"/>
  <tableColumns count="12">
    <tableColumn id="1" xr3:uid="{5358DC0E-E7CB-4AE8-BD90-84A0901BC1CC}" name="Scoring" dataDxfId="64"/>
    <tableColumn id="2" xr3:uid="{149DDD1F-63AA-45F8-BC2B-3D6D12894BC7}" name="Points" dataDxfId="63">
      <calculatedColumnFormula>'0502'!AH3</calculatedColumnFormula>
    </tableColumn>
    <tableColumn id="3" xr3:uid="{67FB75DE-EA00-42A8-B82B-B6D922FB12D0}" name="Finishes" dataDxfId="62">
      <calculatedColumnFormula>'0502'!AI3</calculatedColumnFormula>
    </tableColumn>
    <tableColumn id="4" xr3:uid="{3878BC5C-1B3D-4C06-863D-EFCED2107903}" name="Midranges" dataDxfId="61">
      <calculatedColumnFormula>'0502'!AJ3</calculatedColumnFormula>
    </tableColumn>
    <tableColumn id="5" xr3:uid="{E375B9A8-1F8E-4B0E-874A-7575A0D45BF1}" name="Threes" dataDxfId="60">
      <calculatedColumnFormula>'0502'!AK3</calculatedColumnFormula>
    </tableColumn>
    <tableColumn id="11" xr3:uid="{50E98886-968E-452D-9B04-6534399B111E}" name="Assists" dataDxfId="59">
      <calculatedColumnFormula>'0502'!AL3</calculatedColumnFormula>
    </tableColumn>
    <tableColumn id="6" xr3:uid="{B050CA9E-1CF0-487C-BD3F-17EDDF7B753E}" name="Avg P" dataDxfId="58">
      <calculatedColumnFormula>Table211235[[#This Row],[Points]]/($AA$47-$AK49)</calculatedColumnFormula>
    </tableColumn>
    <tableColumn id="7" xr3:uid="{BF0E9ECA-4307-4081-84B8-00B7BA75F4B5}" name="Avg F" dataDxfId="57">
      <calculatedColumnFormula>Table211235[[#This Row],[Finishes]]/($AA$47-$AK49)</calculatedColumnFormula>
    </tableColumn>
    <tableColumn id="8" xr3:uid="{5F8E7EED-093A-4367-B42F-C56005A3B0AA}" name="Avg M" dataDxfId="56">
      <calculatedColumnFormula>Table211235[[#This Row],[Midranges]]/($AA$47-$AK49)</calculatedColumnFormula>
    </tableColumn>
    <tableColumn id="9" xr3:uid="{CFC3369B-FB64-42D1-A129-F569C15DEC5D}" name="Avg T" dataDxfId="55">
      <calculatedColumnFormula>Table211235[[#This Row],[Threes]]/($AA$47-$AK49)</calculatedColumnFormula>
    </tableColumn>
    <tableColumn id="12" xr3:uid="{4DA95783-5655-4B95-A53D-F554A16E1F8F}" name="Avg A" dataDxfId="54">
      <calculatedColumnFormula>Table211235[[#This Row],[Assists]]/($AA$47-$AK49)</calculatedColumnFormula>
    </tableColumn>
    <tableColumn id="10" xr3:uid="{D30E0B5B-4435-4B7E-88E2-14D94CD70537}" name="Missed Games" dataDxfId="53">
      <calculatedColumnFormula>COUNTIF('0502'!AK3,TRUE)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146FFF-1A34-4779-BC99-B8CFAC52654A}" name="Table2112356" displayName="Table2112356" ref="Z68:AK84" totalsRowShown="0" headerRowDxfId="52" dataDxfId="51">
  <autoFilter ref="Z68:AK84" xr:uid="{4C146FFF-1A34-4779-BC99-B8CFAC52654A}"/>
  <tableColumns count="12">
    <tableColumn id="1" xr3:uid="{B371690F-4160-43E5-BBA8-81BC6CC58148}" name="Scoring" dataDxfId="50"/>
    <tableColumn id="2" xr3:uid="{3AEB1ABC-AA0A-44F2-BB03-6AC478E1EE47}" name="Points" dataDxfId="49">
      <calculatedColumnFormula>'0502'!U23</calculatedColumnFormula>
    </tableColumn>
    <tableColumn id="3" xr3:uid="{E7B17EE0-9CE6-457B-B59C-5FCDA34D81C9}" name="Finishes" dataDxfId="48">
      <calculatedColumnFormula>'0502'!V23</calculatedColumnFormula>
    </tableColumn>
    <tableColumn id="4" xr3:uid="{F0F54EB3-60D0-4147-B2F0-F65E9354B6AF}" name="Midranges" dataDxfId="47">
      <calculatedColumnFormula>'0502'!W23</calculatedColumnFormula>
    </tableColumn>
    <tableColumn id="5" xr3:uid="{B3A117D1-1236-4F87-939D-5481C8CEC24C}" name="Threes" dataDxfId="46">
      <calculatedColumnFormula>'0502'!X23</calculatedColumnFormula>
    </tableColumn>
    <tableColumn id="11" xr3:uid="{394795AC-8CB6-4083-977F-60783F299085}" name="Assists" dataDxfId="45">
      <calculatedColumnFormula>'0502'!Y23</calculatedColumnFormula>
    </tableColumn>
    <tableColumn id="6" xr3:uid="{2ABD907C-2CE3-4924-ADAF-29CCA60C0140}" name="Avg P" dataDxfId="44">
      <calculatedColumnFormula>Table2112356[[#This Row],[Points]]/($AA$47-$AK69)</calculatedColumnFormula>
    </tableColumn>
    <tableColumn id="7" xr3:uid="{F63FA22D-7B85-444C-ACAF-A1D816094916}" name="Avg F" dataDxfId="43">
      <calculatedColumnFormula>Table2112356[[#This Row],[Finishes]]/($AA$47-$AK69)</calculatedColumnFormula>
    </tableColumn>
    <tableColumn id="8" xr3:uid="{13B421A0-0867-4506-80D3-72743734C05B}" name="Avg M" dataDxfId="42">
      <calculatedColumnFormula>Table2112356[[#This Row],[Midranges]]/($AA$47-$AK69)</calculatedColumnFormula>
    </tableColumn>
    <tableColumn id="9" xr3:uid="{4CFA89F0-AB39-4179-86C0-67E9804D4DA0}" name="Avg T" dataDxfId="41">
      <calculatedColumnFormula>Table2112356[[#This Row],[Threes]]/($AA$47-$AK69)</calculatedColumnFormula>
    </tableColumn>
    <tableColumn id="12" xr3:uid="{1ABB5E28-FCB8-44B2-96FE-950E33236927}" name="Avg A" dataDxfId="40">
      <calculatedColumnFormula>Table2112356[[#This Row],[Assists]]/($AA$47-$AK69)</calculatedColumnFormula>
    </tableColumn>
    <tableColumn id="10" xr3:uid="{3C3B5D78-833E-4F7A-9839-078B8F76B260}" name="Missed Games" dataDxfId="39">
      <calculatedColumnFormula>COUNTIF('0502'!X23,TRUE)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B7CF16-8DF2-429B-9C2E-DF8237911D29}" name="Table2112357" displayName="Table2112357" ref="AM68:AX84" totalsRowShown="0" headerRowDxfId="38" dataDxfId="37">
  <autoFilter ref="AM68:AX84" xr:uid="{03B7CF16-8DF2-429B-9C2E-DF8237911D29}"/>
  <tableColumns count="12">
    <tableColumn id="1" xr3:uid="{E7B9626D-5DEC-4818-94DB-9A4CBD1B639C}" name="Scoring" dataDxfId="36"/>
    <tableColumn id="2" xr3:uid="{AC94A8A5-9DD6-47FE-A891-2954A07BA11B}" name="Points" dataDxfId="35">
      <calculatedColumnFormula>'0502'!AH23</calculatedColumnFormula>
    </tableColumn>
    <tableColumn id="3" xr3:uid="{A408CB0F-B33F-468B-B60E-ED0DFD636AC7}" name="Finishes" dataDxfId="34">
      <calculatedColumnFormula>'0502'!AI23</calculatedColumnFormula>
    </tableColumn>
    <tableColumn id="4" xr3:uid="{09A96D95-6F98-4A60-B3D4-CEC1B2A3EB29}" name="Midranges" dataDxfId="33">
      <calculatedColumnFormula>'0502'!AJ23</calculatedColumnFormula>
    </tableColumn>
    <tableColumn id="5" xr3:uid="{E2534A55-D3C1-4EC6-932D-B2E31CB08AF3}" name="Threes" dataDxfId="32">
      <calculatedColumnFormula>'0502'!AK23</calculatedColumnFormula>
    </tableColumn>
    <tableColumn id="11" xr3:uid="{0379766E-EEF4-4483-9590-DAF87BD2AC9E}" name="Assists" dataDxfId="31">
      <calculatedColumnFormula>'0502'!AL23</calculatedColumnFormula>
    </tableColumn>
    <tableColumn id="6" xr3:uid="{8E665330-4CB0-4DA8-AB62-E45FF76973BE}" name="Avg P" dataDxfId="30">
      <calculatedColumnFormula>Table2112357[[#This Row],[Points]]/($AA$47-$AK69)</calculatedColumnFormula>
    </tableColumn>
    <tableColumn id="7" xr3:uid="{3DD4CB7A-336E-43EA-A663-06010E9E5EF5}" name="Avg F" dataDxfId="29">
      <calculatedColumnFormula>Table2112357[[#This Row],[Finishes]]/($AA$47-$AK69)</calculatedColumnFormula>
    </tableColumn>
    <tableColumn id="8" xr3:uid="{87BC9E66-A0DC-43B7-9110-9CBB01A0BEA2}" name="Avg M" dataDxfId="28">
      <calculatedColumnFormula>Table2112357[[#This Row],[Midranges]]/($AA$47-$AK69)</calculatedColumnFormula>
    </tableColumn>
    <tableColumn id="9" xr3:uid="{23F17CBC-344E-4B39-9E53-FCE573E915DD}" name="Avg T" dataDxfId="27">
      <calculatedColumnFormula>Table2112357[[#This Row],[Threes]]/($AA$47-$AK69)</calculatedColumnFormula>
    </tableColumn>
    <tableColumn id="12" xr3:uid="{74F961AC-E04D-45C5-98C0-85E634644B17}" name="Avg A" dataDxfId="26">
      <calculatedColumnFormula>Table2112357[[#This Row],[Assists]]/($AA$47-$AK69)</calculatedColumnFormula>
    </tableColumn>
    <tableColumn id="10" xr3:uid="{0F8BB0EC-1D02-462B-A5F9-3A139B985C0B}" name="Missed Games" dataDxfId="25">
      <calculatedColumnFormula>COUNTIF('0502'!AK23,TRUE)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AA8" totalsRowShown="0" headerRowDxfId="22" dataDxfId="21">
  <autoFilter ref="P3:AA8" xr:uid="{744FF78C-74B5-4798-AD3D-741E3ACB43CF}"/>
  <tableColumns count="12">
    <tableColumn id="1" xr3:uid="{B3B5C08C-655A-460A-A171-B3B0C826FF04}" name="Name" dataDxfId="20"/>
    <tableColumn id="2" xr3:uid="{427944B0-44CA-4325-A406-29F83026BA5E}" name="Points" dataDxfId="19"/>
    <tableColumn id="3" xr3:uid="{5E06D173-4DBE-4045-9072-0A0A77D19C84}" name="Average" dataDxfId="18"/>
    <tableColumn id="4" xr3:uid="{E74131A4-1DCA-4A89-8989-A4CF80175582}" name="Finishes" dataDxfId="17"/>
    <tableColumn id="5" xr3:uid="{FC3336D4-2CB5-4673-A345-7C9CCED7ADEE}" name="Averages" dataDxfId="16"/>
    <tableColumn id="6" xr3:uid="{BD6313A7-5D92-4B66-9B85-7ABC12DE9691}" name="Midranges" dataDxfId="15"/>
    <tableColumn id="7" xr3:uid="{6D0293BC-7E06-45CE-9D4B-FE4769DF9D9F}" name="Averages2" dataDxfId="14"/>
    <tableColumn id="8" xr3:uid="{89C1C64B-DD66-482C-BCDE-8B912D2676EF}" name="Threes" dataDxfId="13"/>
    <tableColumn id="9" xr3:uid="{7748B87C-1833-4BD6-9162-76373407E655}" name="Averages3" dataDxfId="12"/>
    <tableColumn id="12" xr3:uid="{EF408B6C-3F0F-431E-A625-9E1D23F49C5E}" name="Assists" dataDxfId="9"/>
    <tableColumn id="11" xr3:uid="{075174A1-67DB-473A-AFCE-7408A44A9FB9}" name="Average Assists" dataDxfId="10"/>
    <tableColumn id="10" xr3:uid="{D870E191-A52F-442E-AA52-A42CFAD05573}" name="Missed Game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G1000"/>
  <sheetViews>
    <sheetView topLeftCell="P1" zoomScale="57" zoomScaleNormal="130" workbookViewId="0">
      <selection activeCell="E68" sqref="E6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3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3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34" t="s">
        <v>241</v>
      </c>
      <c r="M2" s="134" t="s">
        <v>242</v>
      </c>
      <c r="N2" t="s">
        <v>146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33" ht="14.25" customHeight="1" x14ac:dyDescent="0.45">
      <c r="B3" s="1" t="s">
        <v>25</v>
      </c>
      <c r="C3" s="111" t="s">
        <v>166</v>
      </c>
      <c r="D3" s="5">
        <f>'Stats Global'!AB8</f>
        <v>0.5</v>
      </c>
      <c r="E3" s="1">
        <f>'Stats Global'!AA8</f>
        <v>4</v>
      </c>
      <c r="F3" s="5">
        <f>'Stats Global'!AD8</f>
        <v>0.125</v>
      </c>
      <c r="G3" s="1">
        <f>'Stats Global'!AC8</f>
        <v>1</v>
      </c>
      <c r="H3" s="5">
        <f>'Stats Global'!AF8</f>
        <v>0.375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M3" s="13">
        <f>'Stats Global'!AI8</f>
        <v>0</v>
      </c>
      <c r="N3" s="13">
        <f>'Stats Global'!AL8</f>
        <v>0</v>
      </c>
      <c r="V3" t="s">
        <v>186</v>
      </c>
      <c r="W3" t="str">
        <f>"Drafted by "&amp;C3</f>
        <v>Drafted by Choc-Tops</v>
      </c>
      <c r="X3" s="1" t="str">
        <f>IF(C3="Gentle, Men", $AA$3, IF(C3="Choc-Tops", $AA$4, IF(C3="Traffic Controllers", $AA$5, $AA$6)))</f>
        <v>../Images/CT_Final.png</v>
      </c>
      <c r="Y3" s="1" t="str">
        <f>AA$8&amp;AA10&amp;".png"</f>
        <v>../Images/Players/Jasper.png</v>
      </c>
      <c r="AA3" s="1" t="s">
        <v>167</v>
      </c>
      <c r="AF3" t="s">
        <v>187</v>
      </c>
      <c r="AG3" t="str">
        <f>'Statistics CT'!G43</f>
        <v>28,22,20],</v>
      </c>
    </row>
    <row r="4" spans="2:33" ht="14.25" customHeight="1" x14ac:dyDescent="0.45">
      <c r="B4" s="1" t="s">
        <v>26</v>
      </c>
      <c r="C4" s="101" t="s">
        <v>164</v>
      </c>
      <c r="D4" s="5">
        <f>'Stats Global'!AB9</f>
        <v>0.5</v>
      </c>
      <c r="E4" s="1">
        <f>'Stats Global'!AA9</f>
        <v>4</v>
      </c>
      <c r="F4" s="5">
        <f>'Stats Global'!AD9</f>
        <v>0.125</v>
      </c>
      <c r="G4" s="1">
        <f>'Stats Global'!AC9</f>
        <v>1</v>
      </c>
      <c r="H4" s="5">
        <f>'Stats Global'!AF9</f>
        <v>0.375</v>
      </c>
      <c r="I4" s="1">
        <f>'Stats Global'!AE9</f>
        <v>3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M4" s="13">
        <f>'Stats Global'!AI9</f>
        <v>0</v>
      </c>
      <c r="N4" s="13">
        <f>'Stats Global'!AL9</f>
        <v>0</v>
      </c>
      <c r="W4" t="s">
        <v>161</v>
      </c>
      <c r="X4" s="1" t="str">
        <f>IF(C4="Gentle, Men", $AA$3, IF(C4="Choc-Tops", $AA$4, IF(C4="Traffic Controllers", $AA$5, $AA$6)))</f>
        <v>../Images/GM_Final.png</v>
      </c>
      <c r="Y4" s="1" t="str">
        <f>AA$8&amp;AA11&amp;".png"</f>
        <v>../Images/Players/Conor.png</v>
      </c>
      <c r="AA4" s="1" t="s">
        <v>168</v>
      </c>
      <c r="AF4" t="s">
        <v>188</v>
      </c>
      <c r="AG4" t="str">
        <f>'Statistics CT'!G44</f>
        <v>23,"Rudy Hoschke",23,"Rudy Hoschke",7,"Ryan Pattemore",1,"Ryan Pattemore",0,"N/A"],</v>
      </c>
    </row>
    <row r="5" spans="2:33" ht="14.25" customHeight="1" x14ac:dyDescent="0.45">
      <c r="B5" s="1" t="s">
        <v>27</v>
      </c>
      <c r="C5" s="111" t="s">
        <v>166</v>
      </c>
      <c r="D5" s="5">
        <f>'Stats Global'!AB10</f>
        <v>2.6666666666666665</v>
      </c>
      <c r="E5" s="1">
        <f>'Stats Global'!AA10</f>
        <v>16</v>
      </c>
      <c r="F5" s="5">
        <f>'Stats Global'!AD10</f>
        <v>2.6666666666666665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3">
        <f>'Stats Global'!AI10</f>
        <v>0</v>
      </c>
      <c r="N5" s="13">
        <f>'Stats Global'!AL10</f>
        <v>2</v>
      </c>
      <c r="O5" s="1" t="s">
        <v>28</v>
      </c>
      <c r="P5" s="1" t="s">
        <v>29</v>
      </c>
      <c r="Q5" t="s">
        <v>122</v>
      </c>
      <c r="R5" t="s">
        <v>123</v>
      </c>
      <c r="W5" t="str">
        <f>"Drafted by "&amp;C5</f>
        <v>Drafted by Choc-Tops</v>
      </c>
      <c r="X5" s="1" t="str">
        <f>IF(C5="Gentle, Men", $AA$3, IF(C5="Choc-Tops", $AA$4, IF(C5="Traffic Controllers", $AA$5, $AA$6)))</f>
        <v>../Images/CT_Final.png</v>
      </c>
      <c r="Y5" s="1" t="str">
        <f>AA$8&amp;AA12&amp;".png"</f>
        <v>../Images/Players/Alex.png</v>
      </c>
      <c r="AA5" s="1" t="s">
        <v>169</v>
      </c>
      <c r="AF5" t="s">
        <v>189</v>
      </c>
      <c r="AG5" t="str">
        <f>'Statistics CT'!G45</f>
        <v>7.6,5.8,1.6,0.1,0,3.5,2.8],</v>
      </c>
    </row>
    <row r="6" spans="2:33" ht="14.25" customHeight="1" x14ac:dyDescent="0.45">
      <c r="B6" s="1" t="s">
        <v>30</v>
      </c>
      <c r="C6" s="111" t="s">
        <v>166</v>
      </c>
      <c r="D6" s="5">
        <f>'Stats Global'!AB11</f>
        <v>2.875</v>
      </c>
      <c r="E6" s="1">
        <f>'Stats Global'!AA11</f>
        <v>23</v>
      </c>
      <c r="F6" s="5">
        <f>'Stats Global'!AD11</f>
        <v>2.875</v>
      </c>
      <c r="G6" s="1">
        <f>'Stats Global'!AC11</f>
        <v>23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3">
        <f>'Stats Global'!AI11</f>
        <v>0</v>
      </c>
      <c r="N6" s="13">
        <f>'Stats Global'!AL11</f>
        <v>0</v>
      </c>
      <c r="O6" s="1" t="s">
        <v>31</v>
      </c>
      <c r="P6" s="1" t="s">
        <v>28</v>
      </c>
      <c r="Q6" s="1" t="s">
        <v>29</v>
      </c>
      <c r="R6" t="s">
        <v>122</v>
      </c>
      <c r="S6" t="s">
        <v>123</v>
      </c>
      <c r="T6" t="s">
        <v>126</v>
      </c>
      <c r="U6" t="s">
        <v>35</v>
      </c>
      <c r="W6" t="str">
        <f>"Drafted by "&amp;C6</f>
        <v>Drafted by Choc-Tops</v>
      </c>
      <c r="X6" s="1" t="str">
        <f>IF(C6="Gentle, Men", $AA$3, IF(C6="Choc-Tops", $AA$4, IF(C6="Traffic Controllers", $AA$5, $AA$6)))</f>
        <v>../Images/CT_Final.png</v>
      </c>
      <c r="Y6" s="1" t="str">
        <f>AA$8&amp;AA13&amp;".png"</f>
        <v>../Images/Players/Rudy.png</v>
      </c>
      <c r="AA6" s="1" t="s">
        <v>132</v>
      </c>
      <c r="AF6" t="s">
        <v>190</v>
      </c>
      <c r="AG6" t="str">
        <f>'Statistics CT'!G46</f>
        <v>15,6,71.4,13,11,54.2],</v>
      </c>
    </row>
    <row r="7" spans="2:33" ht="14.25" customHeight="1" x14ac:dyDescent="0.45">
      <c r="B7" s="1" t="s">
        <v>32</v>
      </c>
      <c r="C7" s="111" t="s">
        <v>164</v>
      </c>
      <c r="D7" s="5">
        <f>'Stats Global'!AB12</f>
        <v>1.625</v>
      </c>
      <c r="E7" s="1">
        <f>'Stats Global'!AA12</f>
        <v>13</v>
      </c>
      <c r="F7" s="5">
        <f>'Stats Global'!AD12</f>
        <v>1.25</v>
      </c>
      <c r="G7" s="1">
        <f>'Stats Global'!AC12</f>
        <v>10</v>
      </c>
      <c r="H7" s="5">
        <f>'Stats Global'!AF12</f>
        <v>0.375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3">
        <f>'Stats Global'!AI12</f>
        <v>0</v>
      </c>
      <c r="N7" s="13">
        <f>'Stats Global'!AL12</f>
        <v>0</v>
      </c>
      <c r="O7" s="1" t="s">
        <v>33</v>
      </c>
      <c r="P7" s="1" t="s">
        <v>34</v>
      </c>
      <c r="Q7" t="s">
        <v>122</v>
      </c>
      <c r="R7" t="s">
        <v>124</v>
      </c>
      <c r="W7" t="str">
        <f>"Drafted by "&amp;C7</f>
        <v>Drafted by Gentle, Men</v>
      </c>
      <c r="X7" s="1" t="str">
        <f>IF(C7="Gentle, Men", $AA$3, IF(C7="Choc-Tops", $AA$4, IF(C7="Traffic Controllers", $AA$5, $AA$6)))</f>
        <v>../Images/GM_Final.png</v>
      </c>
      <c r="Y7" s="1" t="str">
        <f>AA$8&amp;AA14&amp;".png"</f>
        <v>../Images/Players/Michael.png</v>
      </c>
      <c r="AF7" t="s">
        <v>191</v>
      </c>
      <c r="AG7" t="str">
        <f>'Statistics TC'!H43</f>
        <v>14,24,12.5],</v>
      </c>
    </row>
    <row r="8" spans="2:33" ht="14.25" customHeight="1" x14ac:dyDescent="0.45">
      <c r="B8" s="1" t="s">
        <v>37</v>
      </c>
      <c r="C8" s="111" t="s">
        <v>164</v>
      </c>
      <c r="D8" s="5">
        <f>'Stats Global'!AB13</f>
        <v>1.1666666666666667</v>
      </c>
      <c r="E8" s="1">
        <f>'Stats Global'!AA13</f>
        <v>7</v>
      </c>
      <c r="F8" s="5">
        <f>'Stats Global'!AD13</f>
        <v>1</v>
      </c>
      <c r="G8" s="1">
        <f>'Stats Global'!AC13</f>
        <v>6</v>
      </c>
      <c r="H8" s="5">
        <f>'Stats Global'!AF13</f>
        <v>0.16666666666666666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3">
        <f>'Stats Global'!AI13</f>
        <v>0</v>
      </c>
      <c r="N8" s="13">
        <f>'Stats Global'!AL13</f>
        <v>2</v>
      </c>
      <c r="O8" s="1" t="s">
        <v>38</v>
      </c>
      <c r="P8" s="1" t="s">
        <v>31</v>
      </c>
      <c r="Q8" t="s">
        <v>125</v>
      </c>
      <c r="W8" t="str">
        <f>"Drafted by "&amp;C8</f>
        <v>Drafted by Gentle, Men</v>
      </c>
      <c r="X8" s="1" t="str">
        <f>IF(C8="Gentle, Men", $AA$3, IF(C8="Choc-Tops", $AA$4, IF(C8="Traffic Controllers", $AA$5, $AA$6)))</f>
        <v>../Images/GM_Final.png</v>
      </c>
      <c r="Y8" s="1" t="str">
        <f>AA$8&amp;AA15&amp;".png"</f>
        <v>../Images/Players/Lukas.png</v>
      </c>
      <c r="AA8" s="1" t="s">
        <v>36</v>
      </c>
      <c r="AF8" t="s">
        <v>192</v>
      </c>
      <c r="AG8" t="str">
        <f>'Statistics TC'!H44</f>
        <v>10,"Clarrie Jones",3,"Angus Walker",7,"Sam James",3,"Clarrie Jones",0,"N/A"],</v>
      </c>
    </row>
    <row r="9" spans="2:33" ht="14.25" customHeight="1" x14ac:dyDescent="0.45">
      <c r="B9" t="s">
        <v>91</v>
      </c>
      <c r="C9" s="111" t="s">
        <v>165</v>
      </c>
      <c r="D9" s="5">
        <f>'Stats Global'!AB14</f>
        <v>0.875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0.875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s="13">
        <f>'Stats Global'!AI14</f>
        <v>0</v>
      </c>
      <c r="N9" s="13">
        <f>'Stats Global'!AL14</f>
        <v>0</v>
      </c>
      <c r="O9" t="s">
        <v>145</v>
      </c>
      <c r="P9" t="s">
        <v>127</v>
      </c>
      <c r="W9" t="str">
        <f>"Drafted by "&amp;C9</f>
        <v>Drafted by Traffic Controllers</v>
      </c>
      <c r="X9" s="1" t="str">
        <f>IF(C9="Gentle, Men", $AA$3, IF(C9="Choc-Tops", $AA$4, IF(C9="Traffic Controllers", $AA$5, $AA$6)))</f>
        <v>../Images/TC_Final.png</v>
      </c>
      <c r="Y9" s="1" t="str">
        <f>AA$8&amp;AA16&amp;".png"</f>
        <v>../Images/Players/SamJ.png</v>
      </c>
      <c r="AF9" t="s">
        <v>193</v>
      </c>
      <c r="AG9" t="str">
        <f>'Statistics TC'!H45</f>
        <v>7.6,0.8,2.3,0.8,0,1.8,3],</v>
      </c>
    </row>
    <row r="10" spans="2:33" ht="14.25" customHeight="1" x14ac:dyDescent="0.45">
      <c r="B10" s="1" t="s">
        <v>39</v>
      </c>
      <c r="C10" s="101" t="s">
        <v>165</v>
      </c>
      <c r="D10" s="5">
        <f>'Stats Global'!AB15</f>
        <v>1.25</v>
      </c>
      <c r="E10" s="1">
        <f>'Stats Global'!AA15</f>
        <v>10</v>
      </c>
      <c r="F10" s="5">
        <f>'Stats Global'!AD15</f>
        <v>0.125</v>
      </c>
      <c r="G10" s="1">
        <f>'Stats Global'!AC15</f>
        <v>1</v>
      </c>
      <c r="H10" s="5">
        <f>'Stats Global'!AF15</f>
        <v>0.375</v>
      </c>
      <c r="I10" s="1">
        <f>'Stats Global'!AE15</f>
        <v>3</v>
      </c>
      <c r="J10" s="5">
        <f>'Stats Global'!AH15</f>
        <v>0.375</v>
      </c>
      <c r="K10" s="1">
        <f>'Stats Global'!AG15</f>
        <v>3</v>
      </c>
      <c r="L10" s="13">
        <f>'Stats Global'!AJ15</f>
        <v>0</v>
      </c>
      <c r="M10" s="13">
        <f>'Stats Global'!AI15</f>
        <v>0</v>
      </c>
      <c r="N10" s="13">
        <f>'Stats Global'!AL15</f>
        <v>0</v>
      </c>
      <c r="O10" t="s">
        <v>130</v>
      </c>
      <c r="P10" s="1" t="s">
        <v>29</v>
      </c>
      <c r="Q10" s="1" t="s">
        <v>129</v>
      </c>
      <c r="R10" t="s">
        <v>121</v>
      </c>
      <c r="S10" t="s">
        <v>125</v>
      </c>
      <c r="T10" t="s">
        <v>124</v>
      </c>
      <c r="U10" t="s">
        <v>127</v>
      </c>
      <c r="W10" t="s">
        <v>163</v>
      </c>
      <c r="X10" s="1" t="str">
        <f>IF(C10="Gentle, Men", $AA$3, IF(C10="Choc-Tops", $AA$4, IF(C10="Traffic Controllers", $AA$5, $AA$6)))</f>
        <v>../Images/TC_Final.png</v>
      </c>
      <c r="Y10" s="1" t="str">
        <f>AA$8&amp;AA17&amp;".png"</f>
        <v>../Images/Players/Clarrie.png</v>
      </c>
      <c r="AA10" s="1" t="s">
        <v>40</v>
      </c>
      <c r="AF10" t="s">
        <v>194</v>
      </c>
      <c r="AG10" t="str">
        <f>'Statistics TC'!H46</f>
        <v>6,15,28.6,8,9,47.1],</v>
      </c>
    </row>
    <row r="11" spans="2:33" ht="14.25" customHeight="1" x14ac:dyDescent="0.45">
      <c r="B11" s="1" t="s">
        <v>41</v>
      </c>
      <c r="C11" s="109" t="s">
        <v>165</v>
      </c>
      <c r="D11" s="5">
        <f>'Stats Global'!AB16</f>
        <v>1.2857142857142858</v>
      </c>
      <c r="E11" s="1">
        <f>'Stats Global'!AA16</f>
        <v>9</v>
      </c>
      <c r="F11" s="5">
        <f>'Stats Global'!AD16</f>
        <v>0.2857142857142857</v>
      </c>
      <c r="G11" s="1">
        <f>'Stats Global'!AC16</f>
        <v>2</v>
      </c>
      <c r="H11" s="5">
        <f>'Stats Global'!AF16</f>
        <v>0.7142857142857143</v>
      </c>
      <c r="I11" s="1">
        <f>'Stats Global'!AE16</f>
        <v>5</v>
      </c>
      <c r="J11" s="5">
        <f>'Stats Global'!AH16</f>
        <v>0.14285714285714285</v>
      </c>
      <c r="K11" s="1">
        <f>'Stats Global'!AG16</f>
        <v>1</v>
      </c>
      <c r="L11" s="13">
        <f>'Stats Global'!AJ16</f>
        <v>0</v>
      </c>
      <c r="M11" s="13">
        <f>'Stats Global'!AI16</f>
        <v>0</v>
      </c>
      <c r="N11" s="13">
        <f>'Stats Global'!AL16</f>
        <v>1</v>
      </c>
      <c r="O11" s="1" t="s">
        <v>42</v>
      </c>
      <c r="P11" s="1" t="s">
        <v>31</v>
      </c>
      <c r="Q11" s="1" t="s">
        <v>28</v>
      </c>
      <c r="R11" t="s">
        <v>125</v>
      </c>
      <c r="S11" t="s">
        <v>123</v>
      </c>
      <c r="T11" t="s">
        <v>127</v>
      </c>
      <c r="U11" t="s">
        <v>128</v>
      </c>
      <c r="W11" t="str">
        <f>"Drafted by "&amp;C11</f>
        <v>Drafted by Traffic Controllers</v>
      </c>
      <c r="X11" s="1" t="str">
        <f>IF(C11="Gentle, Men", $AA$3, IF(C11="Choc-Tops", $AA$4, IF(C11="Traffic Controllers", $AA$5, $AA$6)))</f>
        <v>../Images/TC_Final.png</v>
      </c>
      <c r="Y11" s="1" t="str">
        <f>AA$8&amp;AA18&amp;".png"</f>
        <v>../Images/Players/Kimmy.png</v>
      </c>
      <c r="AA11" s="1" t="s">
        <v>43</v>
      </c>
      <c r="AF11" t="s">
        <v>195</v>
      </c>
      <c r="AG11" t="str">
        <f>'Statistics GM'!H32</f>
        <v>20,21,15.5],</v>
      </c>
    </row>
    <row r="12" spans="2:33" ht="14.25" customHeight="1" x14ac:dyDescent="0.45">
      <c r="B12" s="1" t="s">
        <v>44</v>
      </c>
      <c r="C12" s="111" t="s">
        <v>164</v>
      </c>
      <c r="D12" s="5">
        <f>'Stats Global'!AB17</f>
        <v>2.625</v>
      </c>
      <c r="E12" s="1">
        <f>'Stats Global'!AA17</f>
        <v>21</v>
      </c>
      <c r="F12" s="5">
        <f>'Stats Global'!AD17</f>
        <v>0.875</v>
      </c>
      <c r="G12" s="1">
        <f>'Stats Global'!AC17</f>
        <v>7</v>
      </c>
      <c r="H12" s="5">
        <f>'Stats Global'!AF17</f>
        <v>1.5</v>
      </c>
      <c r="I12" s="1">
        <f>'Stats Global'!AE17</f>
        <v>12</v>
      </c>
      <c r="J12" s="5">
        <f>'Stats Global'!AH17</f>
        <v>0.125</v>
      </c>
      <c r="K12" s="1">
        <f>'Stats Global'!AG17</f>
        <v>1</v>
      </c>
      <c r="L12" s="13">
        <f>'Stats Global'!AJ17</f>
        <v>0</v>
      </c>
      <c r="M12" s="13">
        <f>'Stats Global'!AI17</f>
        <v>0</v>
      </c>
      <c r="N12" s="13">
        <f>'Stats Global'!AL17</f>
        <v>0</v>
      </c>
      <c r="O12" s="1" t="s">
        <v>35</v>
      </c>
      <c r="P12" s="1" t="s">
        <v>31</v>
      </c>
      <c r="Q12" s="1" t="s">
        <v>28</v>
      </c>
      <c r="R12" t="s">
        <v>122</v>
      </c>
      <c r="S12" t="s">
        <v>123</v>
      </c>
      <c r="W12" t="str">
        <f>"Drafted by "&amp;C12</f>
        <v>Drafted by Gentle, Men</v>
      </c>
      <c r="X12" s="1" t="str">
        <f>IF(C12="Gentle, Men", $AA$3, IF(C12="Choc-Tops", $AA$4, IF(C12="Traffic Controllers", $AA$5, $AA$6)))</f>
        <v>../Images/GM_Final.png</v>
      </c>
      <c r="Y12" s="1" t="str">
        <f>AA$8&amp;AA19&amp;".png"</f>
        <v>../Images/Players/SamM.png</v>
      </c>
      <c r="AA12" s="1" t="s">
        <v>45</v>
      </c>
      <c r="AF12" t="s">
        <v>196</v>
      </c>
      <c r="AG12" t="str">
        <f>'Statistics GM'!H33</f>
        <v>21,"Samuel McConaghy",10,"Michael Iffland",12,"Samuel McConaghy",1,"Samuel McConaghy",0,"N/A"],</v>
      </c>
    </row>
    <row r="13" spans="2:33" ht="14.25" customHeight="1" x14ac:dyDescent="0.45">
      <c r="B13" s="1" t="s">
        <v>46</v>
      </c>
      <c r="C13" s="101" t="s">
        <v>166</v>
      </c>
      <c r="D13" s="5">
        <f>'Stats Global'!AB18</f>
        <v>1.2857142857142858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7</v>
      </c>
      <c r="J13" s="5">
        <f>'Stats Global'!AH18</f>
        <v>0.14285714285714285</v>
      </c>
      <c r="K13" s="1">
        <f>'Stats Global'!AG18</f>
        <v>1</v>
      </c>
      <c r="L13" s="13">
        <f>'Stats Global'!AJ18</f>
        <v>0</v>
      </c>
      <c r="M13" s="13">
        <f>'Stats Global'!AI18</f>
        <v>0</v>
      </c>
      <c r="N13" s="13">
        <f>'Stats Global'!AL18</f>
        <v>1</v>
      </c>
      <c r="O13" s="1" t="s">
        <v>47</v>
      </c>
      <c r="P13" s="1" t="s">
        <v>29</v>
      </c>
      <c r="W13" t="s">
        <v>162</v>
      </c>
      <c r="X13" s="1" t="str">
        <f>IF(C13="Gentle, Men", $AA$3, IF(C13="Choc-Tops", $AA$4, IF(C13="Traffic Controllers", $AA$5, $AA$6)))</f>
        <v>../Images/CT_Final.png</v>
      </c>
      <c r="Y13" s="1" t="str">
        <f>AA$8&amp;AA20&amp;".png"</f>
        <v>../Images/Players/Ryan.png</v>
      </c>
      <c r="AA13" s="1" t="s">
        <v>48</v>
      </c>
      <c r="AF13" t="s">
        <v>197</v>
      </c>
      <c r="AG13" t="str">
        <f>'Statistics GM'!H34</f>
        <v>5.9,3.3,2.4,0.1,0,2.5,2.6],</v>
      </c>
    </row>
    <row r="14" spans="2:33" ht="14.25" customHeight="1" x14ac:dyDescent="0.45">
      <c r="B14" s="1" t="s">
        <v>49</v>
      </c>
      <c r="C14" s="111" t="s">
        <v>165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0</v>
      </c>
      <c r="M14" s="13">
        <f>'Stats Global'!AI19</f>
        <v>0</v>
      </c>
      <c r="N14" s="13">
        <f>'Stats Global'!AL20</f>
        <v>1</v>
      </c>
      <c r="O14" s="1" t="s">
        <v>50</v>
      </c>
      <c r="P14" s="1" t="s">
        <v>29</v>
      </c>
      <c r="Q14" t="s">
        <v>119</v>
      </c>
      <c r="R14" t="s">
        <v>120</v>
      </c>
      <c r="S14" t="s">
        <v>125</v>
      </c>
      <c r="T14" t="s">
        <v>124</v>
      </c>
      <c r="W14" t="str">
        <f>"Drafted by "&amp;C14</f>
        <v>Drafted by Traffic Controllers</v>
      </c>
      <c r="X14" s="1" t="str">
        <f>IF(C14="Gentle, Men", $AA$3, IF(C14="Choc-Tops", $AA$4, IF(C14="Traffic Controllers", $AA$5, $AA$6)))</f>
        <v>../Images/TC_Final.png</v>
      </c>
      <c r="Y14" s="1" t="str">
        <f>AA$8&amp;AA22&amp;".png"</f>
        <v>../Images/Players/Nicholas.png</v>
      </c>
      <c r="AA14" s="1" t="s">
        <v>51</v>
      </c>
      <c r="AF14" t="s">
        <v>198</v>
      </c>
      <c r="AG14" t="str">
        <f>'Statistics GM'!H35</f>
        <v>11,13,45.8,9,8,52.9],</v>
      </c>
    </row>
    <row r="15" spans="2:33" ht="14.25" customHeight="1" x14ac:dyDescent="0.45">
      <c r="B15" s="1" t="s">
        <v>52</v>
      </c>
      <c r="C15" s="111" t="s">
        <v>166</v>
      </c>
      <c r="D15" s="5">
        <f>'Stats Global'!AB20</f>
        <v>1.2857142857142858</v>
      </c>
      <c r="E15" s="1">
        <f>'Stats Global'!AA20</f>
        <v>9</v>
      </c>
      <c r="F15" s="5">
        <f>'Stats Global'!AD20</f>
        <v>0.8571428571428571</v>
      </c>
      <c r="G15" s="1">
        <f>'Stats Global'!AC20</f>
        <v>6</v>
      </c>
      <c r="H15" s="5">
        <f>'Stats Global'!AF20</f>
        <v>0.42857142857142855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3">
        <f>'Stats Global'!AI20</f>
        <v>0</v>
      </c>
      <c r="N15" s="13">
        <f>'Stats Global'!AL21</f>
        <v>0</v>
      </c>
      <c r="O15" s="1" t="s">
        <v>53</v>
      </c>
      <c r="P15" t="s">
        <v>116</v>
      </c>
      <c r="Q15" t="s">
        <v>117</v>
      </c>
      <c r="R15" t="s">
        <v>125</v>
      </c>
      <c r="S15" t="s">
        <v>124</v>
      </c>
      <c r="T15" t="s">
        <v>127</v>
      </c>
      <c r="W15" t="str">
        <f>"Drafted by "&amp;C15</f>
        <v>Drafted by Choc-Tops</v>
      </c>
      <c r="X15" s="1" t="str">
        <f>IF(C15="Gentle, Men", $AA$3, IF(C15="Choc-Tops", $AA$4, IF(C15="Traffic Controllers", $AA$5, $AA$6)))</f>
        <v>../Images/CT_Final.png</v>
      </c>
      <c r="Y15" s="1" t="str">
        <f>AA$8&amp;AA23&amp;".png"</f>
        <v>../Images/Players/Chris.png</v>
      </c>
      <c r="AA15" s="1" t="s">
        <v>54</v>
      </c>
    </row>
    <row r="16" spans="2:33" ht="14.25" customHeight="1" x14ac:dyDescent="0.45">
      <c r="B16" s="1" t="s">
        <v>55</v>
      </c>
      <c r="C16" s="111" t="s">
        <v>165</v>
      </c>
      <c r="D16" s="5">
        <f>'Stats Global'!AB21</f>
        <v>1.25</v>
      </c>
      <c r="E16" s="1">
        <f>'Stats Global'!AA21</f>
        <v>10</v>
      </c>
      <c r="F16" s="5">
        <f>'Stats Global'!AD21</f>
        <v>0.375</v>
      </c>
      <c r="G16" s="1">
        <f>'Stats Global'!AC21</f>
        <v>3</v>
      </c>
      <c r="H16" s="5">
        <f>'Stats Global'!AF21</f>
        <v>0.375</v>
      </c>
      <c r="I16" s="1">
        <f>'Stats Global'!AE21</f>
        <v>3</v>
      </c>
      <c r="J16" s="5">
        <f>'Stats Global'!AH21</f>
        <v>0.25</v>
      </c>
      <c r="K16" s="1">
        <f>'Stats Global'!AG21</f>
        <v>2</v>
      </c>
      <c r="L16" s="13">
        <f>'Stats Global'!AJ21</f>
        <v>0</v>
      </c>
      <c r="M16" s="13">
        <f>'Stats Global'!AI21</f>
        <v>0</v>
      </c>
      <c r="N16" s="13">
        <f>'Stats Global'!AL22</f>
        <v>0</v>
      </c>
      <c r="O16" s="1" t="s">
        <v>131</v>
      </c>
      <c r="P16" s="1" t="s">
        <v>35</v>
      </c>
      <c r="Q16" s="1" t="s">
        <v>31</v>
      </c>
      <c r="R16" s="1" t="s">
        <v>28</v>
      </c>
      <c r="S16" s="1" t="s">
        <v>56</v>
      </c>
      <c r="T16" t="s">
        <v>122</v>
      </c>
      <c r="U16" t="s">
        <v>123</v>
      </c>
      <c r="V16" t="s">
        <v>127</v>
      </c>
      <c r="W16" t="str">
        <f>"Drafted by "&amp;C16</f>
        <v>Drafted by Traffic Controllers</v>
      </c>
      <c r="X16" s="1" t="str">
        <f>IF(C16="Gentle, Men", $AA$3, IF(C16="Choc-Tops", $AA$4, IF(C16="Traffic Controllers", $AA$5, $AA$6)))</f>
        <v>../Images/TC_Final.png</v>
      </c>
      <c r="Y16" s="1" t="str">
        <f>AA$8&amp;AA24&amp;".png"</f>
        <v>../Images/Players/Angus.png</v>
      </c>
      <c r="AA16" t="s">
        <v>80</v>
      </c>
    </row>
    <row r="17" spans="2:32" ht="14.25" customHeight="1" x14ac:dyDescent="0.45">
      <c r="B17" s="1" t="s">
        <v>185</v>
      </c>
      <c r="C17" s="111" t="s">
        <v>164</v>
      </c>
      <c r="D17" s="5">
        <f>'Stats Global'!AB22</f>
        <v>0.25</v>
      </c>
      <c r="E17" s="1">
        <f>'Stats Global'!AA22</f>
        <v>2</v>
      </c>
      <c r="F17" s="5">
        <f>'Stats Global'!AD22</f>
        <v>0.25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3">
        <f>'Stats Global'!AI22</f>
        <v>0</v>
      </c>
      <c r="N17" s="13">
        <f>'Stats Global'!AL23</f>
        <v>6</v>
      </c>
      <c r="O17" s="1" t="s">
        <v>58</v>
      </c>
      <c r="P17" s="1" t="s">
        <v>29</v>
      </c>
      <c r="Q17" t="s">
        <v>118</v>
      </c>
      <c r="W17" t="str">
        <f>"Drafted by "&amp;C17</f>
        <v>Drafted by Gentle, Men</v>
      </c>
      <c r="X17" s="1" t="str">
        <f>IF(C17="Gentle, Men", $AA$3, IF(C17="Choc-Tops", $AA$4, IF(C17="Traffic Controllers", $AA$5, $AA$6)))</f>
        <v>../Images/GM_Final.png</v>
      </c>
      <c r="Y17" s="1" t="str">
        <f>AA$8&amp;AA25&amp;".png"</f>
        <v>../Images/Players/Will.png</v>
      </c>
      <c r="AA17" s="1" t="s">
        <v>57</v>
      </c>
      <c r="AF17" s="35" t="str">
        <f t="shared" ref="AF17:AF28" si="0">CHAR(34)&amp;AF3&amp;CHAR(34)&amp;":["&amp;AG3</f>
        <v>"PartACT":[28,22,20],</v>
      </c>
    </row>
    <row r="18" spans="2:32" ht="14.25" customHeight="1" x14ac:dyDescent="0.45">
      <c r="B18" t="s">
        <v>199</v>
      </c>
      <c r="C18" s="119" t="s">
        <v>164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3">
        <f>'Stats Global'!AI23</f>
        <v>0</v>
      </c>
      <c r="N18" s="13">
        <f>'Stats Global'!AJ24</f>
        <v>0</v>
      </c>
      <c r="W18" t="str">
        <f>"Drafted by "&amp;C18</f>
        <v>Drafted by Gentle, Men</v>
      </c>
      <c r="X18" t="str">
        <f>IF(C18="Gentle, Men", $AA$3, IF(C18="Choc-Tops", $AA$4, IF(C18="Traffic Controllers", $AA$5, $AA$6)))</f>
        <v>../Images/GM_Final.png</v>
      </c>
      <c r="AA18" s="1" t="s">
        <v>59</v>
      </c>
      <c r="AF18" s="35" t="str">
        <f t="shared" si="0"/>
        <v>"PartBCT":[23,"Rudy Hoschke",23,"Rudy Hoschke",7,"Ryan Pattemore",1,"Ryan Pattemore",0,"N/A"],</v>
      </c>
    </row>
    <row r="19" spans="2:32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N19" s="13"/>
      <c r="W19" s="86"/>
      <c r="X19" s="1"/>
      <c r="Y19" s="1"/>
      <c r="AA19" s="1" t="s">
        <v>60</v>
      </c>
      <c r="AF19" s="35" t="str">
        <f t="shared" si="0"/>
        <v>"PartCCT":[7.6,5.8,1.6,0.1,0,3.5,2.8],</v>
      </c>
    </row>
    <row r="20" spans="2:32" ht="14.25" customHeight="1" x14ac:dyDescent="0.45">
      <c r="B20" s="1"/>
      <c r="D20" s="12"/>
      <c r="F20" s="12"/>
      <c r="H20" s="12"/>
      <c r="J20" s="12"/>
      <c r="AA20" s="1" t="s">
        <v>61</v>
      </c>
      <c r="AF20" s="35" t="str">
        <f t="shared" si="0"/>
        <v>"PartDCT":[15,6,71.4,13,11,54.2],</v>
      </c>
    </row>
    <row r="21" spans="2:32" ht="14.25" customHeight="1" x14ac:dyDescent="0.45">
      <c r="AA21" t="s">
        <v>144</v>
      </c>
      <c r="AF21" s="35" t="str">
        <f t="shared" si="0"/>
        <v>"PartATC":[14,24,12.5],</v>
      </c>
    </row>
    <row r="22" spans="2:32" ht="14.25" customHeight="1" x14ac:dyDescent="0.9">
      <c r="B22" s="133" t="s">
        <v>95</v>
      </c>
      <c r="C22" s="133"/>
      <c r="D22" s="63"/>
      <c r="AA22" s="1" t="s">
        <v>103</v>
      </c>
      <c r="AF22" s="35" t="str">
        <f t="shared" si="0"/>
        <v>"PartBTC":[10,"Clarrie Jones",3,"Angus Walker",7,"Sam James",3,"Clarrie Jones",0,"N/A"],</v>
      </c>
    </row>
    <row r="23" spans="2:32" ht="14.25" customHeight="1" x14ac:dyDescent="0.9">
      <c r="B23" s="133"/>
      <c r="C23" s="133"/>
      <c r="D23" s="63"/>
      <c r="AA23" s="1" t="s">
        <v>62</v>
      </c>
      <c r="AF23" s="35" t="str">
        <f t="shared" si="0"/>
        <v>"PartCTC":[7.6,0.8,2.3,0.8,0,1.8,3],</v>
      </c>
    </row>
    <row r="24" spans="2:32" ht="14.25" customHeight="1" x14ac:dyDescent="0.9">
      <c r="C24" s="33"/>
      <c r="D24" s="33"/>
      <c r="AA24" s="1" t="s">
        <v>64</v>
      </c>
      <c r="AF24" s="35" t="str">
        <f t="shared" si="0"/>
        <v>"PartDTC":[6,15,28.6,8,9,47.1],</v>
      </c>
    </row>
    <row r="25" spans="2:32" ht="14.25" customHeight="1" x14ac:dyDescent="0.9">
      <c r="B25" s="112" t="str">
        <f>B52&amp;":["&amp;B53&amp;B54&amp;B55&amp;B56&amp;B57&amp;B58&amp;B59&amp;B60&amp;B61&amp;B62&amp;B63&amp;B64&amp;B65&amp;B66&amp;B67&amp;B68&amp;"],"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AA25" s="1" t="s">
        <v>144</v>
      </c>
      <c r="AF25" s="35" t="str">
        <f t="shared" si="0"/>
        <v>"PartAGM":[20,21,15.5],</v>
      </c>
    </row>
    <row r="26" spans="2:32" ht="14.25" customHeight="1" x14ac:dyDescent="0.9">
      <c r="B26" s="112" t="str">
        <f>C52&amp;":["&amp;C53&amp;C54&amp;C55&amp;C56&amp;C57&amp;C58&amp;C59&amp;C60&amp;C61&amp;C62&amp;C63&amp;C64&amp;C65&amp;C66&amp;C67&amp;C68&amp;"],"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AA26" s="1"/>
      <c r="AF26" s="35" t="str">
        <f t="shared" si="0"/>
        <v>"PartBGM":[21,"Samuel McConaghy",10,"Michael Iffland",12,"Samuel McConaghy",1,"Samuel McConaghy",0,"N/A"],</v>
      </c>
    </row>
    <row r="27" spans="2:32" ht="14.25" customHeight="1" x14ac:dyDescent="0.45">
      <c r="B27" s="112" t="str">
        <f>D52&amp;":["&amp;D53&amp;D54&amp;D55&amp;D56&amp;D57&amp;D58&amp;D59&amp;D60&amp;D61&amp;D62&amp;D63&amp;D64&amp;D65&amp;D66&amp;D67&amp;D68&amp;"],"</f>
        <v>"PPG":[0.5,0.5,2.67,2.88,1.63,1.17,0.88,1.25,1.29,2.63,1.29,0,1.29,1.25,0.25,"0"],</v>
      </c>
      <c r="AF27" s="35" t="str">
        <f t="shared" si="0"/>
        <v>"PartCGM":[5.9,3.3,2.4,0.1,0,2.5,2.6],</v>
      </c>
    </row>
    <row r="28" spans="2:32" ht="14.25" customHeight="1" x14ac:dyDescent="0.45">
      <c r="B28" s="10" t="str">
        <f>E52&amp;":["&amp;E53&amp;E54&amp;E55&amp;E56&amp;E57&amp;E58&amp;E59&amp;E60&amp;E61&amp;E62&amp;E63&amp;E64&amp;E65&amp;E66&amp;E67&amp;E68&amp;"],"</f>
        <v>"TP":[4,4,16,23,13,7,7,10,9,21,9,0,9,10,2,"0"],</v>
      </c>
      <c r="AF28" s="35" t="str">
        <f t="shared" si="0"/>
        <v>"PartDGM":[11,13,45.8,9,8,52.9],</v>
      </c>
    </row>
    <row r="29" spans="2:32" ht="14.25" customHeight="1" x14ac:dyDescent="0.45">
      <c r="B29" s="10" t="str">
        <f>F52&amp;":["&amp;F53&amp;F54&amp;F55&amp;F56&amp;F57&amp;F58&amp;F59&amp;F60&amp;F61&amp;F62&amp;F63&amp;F64&amp;F65&amp;F66&amp;F67&amp;F68&amp;"],"</f>
        <v>"FPG":[0.13,0.13,2.67,2.88,1.25,1,0,0.13,0.29,0.88,0,0,0.86,0.38,0.25,"0"],</v>
      </c>
    </row>
    <row r="30" spans="2:32" ht="14.25" customHeight="1" x14ac:dyDescent="0.45">
      <c r="B30" s="10" t="str">
        <f>G52&amp;":["&amp;G53&amp;G54&amp;G55&amp;G56&amp;G57&amp;G58&amp;G59&amp;G60&amp;G61&amp;G62&amp;G63&amp;G64&amp;G65&amp;G66&amp;G67&amp;G68&amp;"],"</f>
        <v>"TF":[1,1,16,23,10,6,0,1,2,7,0,0,6,3,2,"0"],</v>
      </c>
    </row>
    <row r="31" spans="2:32" ht="14.25" customHeight="1" x14ac:dyDescent="0.45">
      <c r="B31" s="10" t="str">
        <f>H52&amp;":["&amp;H53&amp;H54&amp;H55&amp;H56&amp;H57&amp;H58&amp;H59&amp;H60&amp;H61&amp;H62&amp;H63&amp;H64&amp;H65&amp;H66&amp;H67&amp;H68&amp;"],"</f>
        <v>"MPG":[0.38,0.38,0,0,0.38,0.17,0.88,0.38,0.71,1.5,1,0,0.43,0.38,0,"0"],</v>
      </c>
    </row>
    <row r="32" spans="2:32" ht="14.25" customHeight="1" x14ac:dyDescent="0.45">
      <c r="B32" s="10" t="str">
        <f>I52&amp;":["&amp;I53&amp;I54&amp;I55&amp;I56&amp;I57&amp;I58&amp;I59&amp;I60&amp;I61&amp;I62&amp;I63&amp;I64&amp;I65&amp;I66&amp;I67&amp;I68&amp;"],"</f>
        <v>"TM":[3,3,0,0,3,1,7,3,5,12,7,0,3,3,0,"0"],</v>
      </c>
    </row>
    <row r="33" spans="2:2" ht="14.25" customHeight="1" x14ac:dyDescent="0.45">
      <c r="B33" s="10" t="str">
        <f>J52&amp;":["&amp;J53&amp;J54&amp;J55&amp;J56&amp;J57&amp;J58&amp;J59&amp;J60&amp;J61&amp;J62&amp;J63&amp;J64&amp;J65&amp;J66&amp;J67&amp;J68&amp;"],"</f>
        <v>"TPG":[0,0,0,0,0,0,0,0.38,0.14,0.13,0.14,0,0,0.25,0,"0"],</v>
      </c>
    </row>
    <row r="34" spans="2:2" ht="14.25" customHeight="1" x14ac:dyDescent="0.45">
      <c r="B34" s="10" t="str">
        <f>K52&amp;":["&amp;K53&amp;K54&amp;K55&amp;K56&amp;K57&amp;K58&amp;K59&amp;K60&amp;K61&amp;K62&amp;K63&amp;K64&amp;K65&amp;K66&amp;K67&amp;K68&amp;"],"</f>
        <v>"TT":[0,0,0,0,0,0,0,3,1,1,1,0,0,2,0,"0"],</v>
      </c>
    </row>
    <row r="35" spans="2:2" ht="14.25" customHeight="1" x14ac:dyDescent="0.45">
      <c r="B35" s="10" t="str">
        <f>L52&amp;":["&amp;L53&amp;L54&amp;L55&amp;L56&amp;L57&amp;L58&amp;L59&amp;L60&amp;L61&amp;L62&amp;L63&amp;L64&amp;L65&amp;L66&amp;L67&amp;L68&amp;"],"</f>
        <v>"APG":[0,0,0,0,0,0,0,0,0,0,0,0,0,0,0,"0"],</v>
      </c>
    </row>
    <row r="36" spans="2:2" ht="14.25" customHeight="1" x14ac:dyDescent="0.45">
      <c r="B36" s="10" t="str">
        <f>M52&amp;":["&amp;M53&amp;M54&amp;M55&amp;M56&amp;M57&amp;M58&amp;M59&amp;M60&amp;M61&amp;M62&amp;M63&amp;M64&amp;M65&amp;M66&amp;M67&amp;M68&amp;"],"</f>
        <v>"TA":[0,0,0,0,0,0,0,0,0,0,0,0,0,0,0,"0"],</v>
      </c>
    </row>
    <row r="37" spans="2:2" ht="14.25" customHeight="1" x14ac:dyDescent="0.45">
      <c r="B37" s="10" t="str">
        <f>N52&amp;":["&amp;N53&amp;N54&amp;N55&amp;N56&amp;N57&amp;N58&amp;N59&amp;N60&amp;N61&amp;N62&amp;N63&amp;N64&amp;N65&amp;N66&amp;N67&amp;N68&amp;"],"</f>
        <v>"Missed":[0,0,2,0,0,2,0,0,1,0,1,1,0,0,6,"0"],</v>
      </c>
    </row>
    <row r="38" spans="2:2" ht="14.25" customHeight="1" x14ac:dyDescent="0.45">
      <c r="B38" s="10" t="str">
        <f>O52&amp;":["&amp;O53&amp;O54&amp;O55&amp;O56&amp;O57&amp;O58&amp;O59&amp;O60&amp;O61&amp;O62&amp;O63&amp;O64&amp;O65&amp;O66&amp;O67&amp;O68&amp;"],"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9" spans="2:2" ht="14.25" customHeight="1" x14ac:dyDescent="0.45">
      <c r="B39" s="10" t="str">
        <f>P52&amp;":["&amp;P53&amp;P54&amp;P55&amp;P56&amp;P57&amp;P58&amp;P59&amp;P60&amp;P61&amp;P62&amp;P63&amp;P64&amp;P65&amp;P66&amp;P67&amp;P68&amp;"],"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40" spans="2:2" ht="14.25" customHeight="1" x14ac:dyDescent="0.45">
      <c r="B40" s="10" t="str">
        <f>Q52&amp;":["&amp;Q53&amp;Q54&amp;Q55&amp;Q56&amp;Q57&amp;Q58&amp;Q59&amp;Q60&amp;Q61&amp;Q62&amp;Q63&amp;Q64&amp;Q65&amp;Q66&amp;Q67&amp;Q68&amp;"],"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41" spans="2:2" ht="14.25" customHeight="1" x14ac:dyDescent="0.45">
      <c r="B41" s="10" t="str">
        <f>R52&amp;":["&amp;R53&amp;R54&amp;R55&amp;R56&amp;R57&amp;R58&amp;R59&amp;R60&amp;R61&amp;R62&amp;R63&amp;R64&amp;R65&amp;R66&amp;R67&amp;R68&amp;"],"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2" spans="2:2" ht="14.25" customHeight="1" x14ac:dyDescent="0.45">
      <c r="B42" s="10" t="str">
        <f>S52&amp;":["&amp;S53&amp;S54&amp;S55&amp;S56&amp;S57&amp;S58&amp;S59&amp;S60&amp;S61&amp;S62&amp;S63&amp;S64&amp;S65&amp;S66&amp;S67&amp;S68&amp;"],"</f>
        <v>"AccoladesFive":["","","","All-Defence Team T2","","","","All-2nd-Offence Team T2","All-Defence Team T2","All-Defence Team T2","","All-2nd-Offence Team T2","All-2nd-Defence Team T2","Scoring Champ T1","",""],</v>
      </c>
    </row>
    <row r="43" spans="2:2" ht="14.25" customHeight="1" x14ac:dyDescent="0.45">
      <c r="B43" s="10" t="str">
        <f>T52&amp;":["&amp;T53&amp;T54&amp;T55&amp;T56&amp;T57&amp;T58&amp;T59&amp;T60&amp;T61&amp;T62&amp;T63&amp;T64&amp;T65&amp;T66&amp;T67&amp;T68&amp;"],"</f>
        <v>"AccoladesSix":["","","","Scoring Champ T2","","","","All-2nd-Defence Team T2","Champion T2","","","All-2nd-Defence Team T2","Champion T2","All-Offence Team T2","",""],</v>
      </c>
    </row>
    <row r="44" spans="2:2" ht="14.25" customHeight="1" x14ac:dyDescent="0.45">
      <c r="B44" s="10" t="str">
        <f>U52&amp;":["&amp;U53&amp;U54&amp;U55&amp;U56&amp;U57&amp;U58&amp;U59&amp;U60&amp;U61&amp;U62&amp;U63&amp;U64&amp;U65&amp;U66&amp;U67&amp;U68&amp;"],"</f>
        <v>"AccoladesSeven":["","","","GM","","","","Champion T2","Finals MVP T2","","","","","All-Defence Team T2","",""],</v>
      </c>
    </row>
    <row r="45" spans="2:2" ht="14.25" customHeight="1" x14ac:dyDescent="0.45">
      <c r="B45" s="10" t="str">
        <f>V52&amp;":["&amp;V53&amp;V54&amp;V55&amp;V56&amp;V57&amp;V58&amp;V59&amp;V60&amp;V61&amp;V62&amp;V63&amp;V64&amp;V65&amp;V66&amp;V67&amp;V68&amp;"],"</f>
        <v>"AccoladesEight":[" ","","","","","","","","","","","","","Champion T2","",""],</v>
      </c>
    </row>
    <row r="46" spans="2:2" ht="14.25" customHeight="1" x14ac:dyDescent="0.45">
      <c r="B46" s="10" t="str">
        <f>W52&amp;":["&amp;W53&amp;W54&amp;W55&amp;W56&amp;W57&amp;W58&amp;W59&amp;W60&amp;W61&amp;W62&amp;W63&amp;W64&amp;W65&amp;W66&amp;W67&amp;W68&amp;"],"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7" spans="2:2" ht="14.25" customHeight="1" x14ac:dyDescent="0.45">
      <c r="B47" s="10" t="str">
        <f>X52&amp;":["&amp;X53&amp;X54&amp;X55&amp;X56&amp;X57&amp;X58&amp;X59&amp;X60&amp;X61&amp;X62&amp;X63&amp;X64&amp;X65&amp;X66&amp;X67&amp;X68&amp;"],"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8" spans="2:2" ht="14.25" customHeight="1" x14ac:dyDescent="0.45">
      <c r="B48" s="10" t="str">
        <f>Y52&amp;":["&amp;Y53&amp;Y54&amp;Y55&amp;Y56&amp;Y57&amp;Y58&amp;Y59&amp;Y60&amp;Y61&amp;Y62&amp;Y63&amp;Y64&amp;Y65&amp;Y66&amp;Y67&amp;Y68&amp;"],"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9" spans="2:25" ht="14.25" customHeight="1" x14ac:dyDescent="0.45"/>
    <row r="50" spans="2:25" ht="14.25" customHeight="1" x14ac:dyDescent="0.45"/>
    <row r="51" spans="2:25" ht="14.25" customHeight="1" x14ac:dyDescent="0.45"/>
    <row r="52" spans="2:25" ht="14.25" customHeight="1" x14ac:dyDescent="0.45">
      <c r="B52" s="12" t="str">
        <f>CHAR(34)&amp;B2&amp;CHAR(34)</f>
        <v>"Name"</v>
      </c>
      <c r="C52" s="12" t="str">
        <f>CHAR(34)&amp;C2&amp;CHAR(34)</f>
        <v>"Team"</v>
      </c>
      <c r="D52" s="12" t="str">
        <f>CHAR(34)&amp;"PPG"&amp;CHAR(34)</f>
        <v>"PPG"</v>
      </c>
      <c r="E52" s="12" t="str">
        <f>CHAR(34)&amp;"TP"&amp;CHAR(34)</f>
        <v>"TP"</v>
      </c>
      <c r="F52" s="12" t="str">
        <f>CHAR(34)&amp;"FPG"&amp;CHAR(34)</f>
        <v>"FPG"</v>
      </c>
      <c r="G52" s="12" t="str">
        <f>CHAR(34)&amp;"TF"&amp;CHAR(34)</f>
        <v>"TF"</v>
      </c>
      <c r="H52" s="12" t="str">
        <f>CHAR(34)&amp;"MPG"&amp;CHAR(34)</f>
        <v>"MPG"</v>
      </c>
      <c r="I52" s="12" t="str">
        <f>CHAR(34)&amp;"TM"&amp;CHAR(34)</f>
        <v>"TM"</v>
      </c>
      <c r="J52" s="12" t="str">
        <f>CHAR(34)&amp;"TPG"&amp;CHAR(34)</f>
        <v>"TPG"</v>
      </c>
      <c r="K52" s="12" t="str">
        <f>CHAR(34)&amp;"TT"&amp;CHAR(34)</f>
        <v>"TT"</v>
      </c>
      <c r="L52" s="12" t="str">
        <f>CHAR(34)&amp;"APG"&amp;CHAR(34)</f>
        <v>"APG"</v>
      </c>
      <c r="M52" s="12" t="str">
        <f>CHAR(34)&amp;"TA"&amp;CHAR(34)</f>
        <v>"TA"</v>
      </c>
      <c r="N52" s="12" t="str">
        <f>CHAR(34)&amp;"Missed"&amp;CHAR(34)</f>
        <v>"Missed"</v>
      </c>
      <c r="O52" s="12" t="str">
        <f>CHAR(34)&amp;O2&amp;CHAR(34)</f>
        <v>"AccoladesOne"</v>
      </c>
      <c r="P52" s="12" t="str">
        <f>CHAR(34)&amp;P2&amp;CHAR(34)</f>
        <v>"AccoladesTwo"</v>
      </c>
      <c r="Q52" s="12" t="str">
        <f>CHAR(34)&amp;Q2&amp;CHAR(34)</f>
        <v>"AccoladesThree"</v>
      </c>
      <c r="R52" s="12" t="str">
        <f>CHAR(34)&amp;R2&amp;CHAR(34)</f>
        <v>"AccoladesFour"</v>
      </c>
      <c r="S52" s="12" t="str">
        <f>CHAR(34)&amp;S2&amp;CHAR(34)</f>
        <v>"AccoladesFive"</v>
      </c>
      <c r="T52" s="12" t="str">
        <f>CHAR(34)&amp;T2&amp;CHAR(34)</f>
        <v>"AccoladesSix"</v>
      </c>
      <c r="U52" s="12" t="str">
        <f>CHAR(34)&amp;U2&amp;CHAR(34)</f>
        <v>"AccoladesSeven"</v>
      </c>
      <c r="V52" s="12" t="str">
        <f>CHAR(34)&amp;V2&amp;CHAR(34)</f>
        <v>"AccoladesEight"</v>
      </c>
      <c r="W52" s="12" t="str">
        <f>CHAR(34)&amp;W2&amp;CHAR(34)</f>
        <v>"History"</v>
      </c>
      <c r="X52" s="12" t="str">
        <f>CHAR(34)&amp;X2&amp;CHAR(34)</f>
        <v>"TeamImage"</v>
      </c>
      <c r="Y52" s="12" t="str">
        <f>CHAR(34)&amp;Y2&amp;CHAR(34)</f>
        <v>"PlayerImage"</v>
      </c>
    </row>
    <row r="53" spans="2:25" ht="14.25" customHeight="1" x14ac:dyDescent="0.45">
      <c r="B53" s="12" t="str">
        <f>CHAR(34)&amp;B3&amp;CHAR(34)&amp;","</f>
        <v>"Jasper Collier",</v>
      </c>
      <c r="C53" s="12" t="str">
        <f>CHAR(34)&amp;C3&amp;CHAR(34)&amp;","</f>
        <v>"Choc-Tops",</v>
      </c>
      <c r="D53" s="12" t="str">
        <f>ROUND(D3,2)&amp;","</f>
        <v>0.5,</v>
      </c>
      <c r="E53" s="12" t="str">
        <f>E3&amp;","</f>
        <v>4,</v>
      </c>
      <c r="F53" s="12" t="str">
        <f>ROUND(F3,2)&amp;","</f>
        <v>0.13,</v>
      </c>
      <c r="G53" s="12" t="str">
        <f>G3&amp;","</f>
        <v>1,</v>
      </c>
      <c r="H53" s="12" t="str">
        <f>ROUND(H3,2)&amp;","</f>
        <v>0.38,</v>
      </c>
      <c r="I53" s="12" t="str">
        <f>I3&amp;","</f>
        <v>3,</v>
      </c>
      <c r="J53" s="12" t="str">
        <f>ROUND(J3,2)&amp;","</f>
        <v>0,</v>
      </c>
      <c r="K53" s="12" t="str">
        <f>K3&amp;","</f>
        <v>0,</v>
      </c>
      <c r="L53" s="12" t="str">
        <f>L3&amp;","</f>
        <v>0,</v>
      </c>
      <c r="M53" s="12" t="str">
        <f>M3&amp;","</f>
        <v>0,</v>
      </c>
      <c r="N53" s="12" t="str">
        <f>N3&amp;","</f>
        <v>0,</v>
      </c>
      <c r="O53" s="12" t="str">
        <f>CHAR(34)&amp;O3&amp;CHAR(34)&amp;","</f>
        <v>"",</v>
      </c>
      <c r="P53" s="12" t="str">
        <f>CHAR(34)&amp;P3&amp;CHAR(34)&amp;","</f>
        <v>"",</v>
      </c>
      <c r="Q53" s="12" t="str">
        <f>CHAR(34)&amp;Q3&amp;CHAR(34)&amp;","</f>
        <v>"",</v>
      </c>
      <c r="R53" s="12" t="str">
        <f>CHAR(34)&amp;R3&amp;CHAR(34)&amp;","</f>
        <v>"",</v>
      </c>
      <c r="S53" s="12" t="str">
        <f>CHAR(34)&amp;S3&amp;CHAR(34)&amp;","</f>
        <v>"",</v>
      </c>
      <c r="T53" s="12" t="str">
        <f>CHAR(34)&amp;T3&amp;CHAR(34)&amp;","</f>
        <v>"",</v>
      </c>
      <c r="U53" s="12" t="str">
        <f>CHAR(34)&amp;U3&amp;CHAR(34)&amp;","</f>
        <v>"",</v>
      </c>
      <c r="V53" s="12" t="str">
        <f>CHAR(34)&amp;V3&amp;CHAR(34)&amp;","</f>
        <v>" ",</v>
      </c>
      <c r="W53" s="12" t="str">
        <f>CHAR(34)&amp;W3&amp;CHAR(34)&amp;","</f>
        <v>"Drafted by Choc-Tops",</v>
      </c>
      <c r="X53" s="12" t="str">
        <f>CHAR(34)&amp;X3&amp;CHAR(34)&amp;","</f>
        <v>"../Images/CT_Final.png",</v>
      </c>
      <c r="Y53" s="12" t="str">
        <f>CHAR(34)&amp;Y3&amp;CHAR(34)&amp;","</f>
        <v>"../Images/Players/Jasper.png",</v>
      </c>
    </row>
    <row r="54" spans="2:25" ht="14.25" customHeight="1" x14ac:dyDescent="0.45">
      <c r="B54" s="12" t="str">
        <f>CHAR(34)&amp;B4&amp;CHAR(34)&amp;","</f>
        <v>"Conor Farrington",</v>
      </c>
      <c r="C54" s="12" t="str">
        <f>CHAR(34)&amp;C4&amp;CHAR(34)&amp;","</f>
        <v>"Gentle, Men",</v>
      </c>
      <c r="D54" s="12" t="str">
        <f>ROUND(D4,2)&amp;","</f>
        <v>0.5,</v>
      </c>
      <c r="E54" s="12" t="str">
        <f>E4&amp;","</f>
        <v>4,</v>
      </c>
      <c r="F54" s="12" t="str">
        <f>ROUND(F4,2)&amp;","</f>
        <v>0.13,</v>
      </c>
      <c r="G54" s="12" t="str">
        <f>G4&amp;","</f>
        <v>1,</v>
      </c>
      <c r="H54" s="12" t="str">
        <f>ROUND(H4,2)&amp;","</f>
        <v>0.38,</v>
      </c>
      <c r="I54" s="12" t="str">
        <f>I4&amp;","</f>
        <v>3,</v>
      </c>
      <c r="J54" s="12" t="str">
        <f>ROUND(J4,2)&amp;","</f>
        <v>0,</v>
      </c>
      <c r="K54" s="12" t="str">
        <f>K4&amp;","</f>
        <v>0,</v>
      </c>
      <c r="L54" s="12" t="str">
        <f>L4&amp;","</f>
        <v>0,</v>
      </c>
      <c r="M54" s="12" t="str">
        <f>M4&amp;","</f>
        <v>0,</v>
      </c>
      <c r="N54" s="12" t="str">
        <f>N4&amp;","</f>
        <v>0,</v>
      </c>
      <c r="O54" s="12" t="str">
        <f>CHAR(34)&amp;O4&amp;CHAR(34)&amp;","</f>
        <v>"",</v>
      </c>
      <c r="P54" s="12" t="str">
        <f>CHAR(34)&amp;P4&amp;CHAR(34)&amp;","</f>
        <v>"",</v>
      </c>
      <c r="Q54" s="12" t="str">
        <f>CHAR(34)&amp;Q4&amp;CHAR(34)&amp;","</f>
        <v>"",</v>
      </c>
      <c r="R54" s="12" t="str">
        <f>CHAR(34)&amp;R4&amp;CHAR(34)&amp;","</f>
        <v>"",</v>
      </c>
      <c r="S54" s="12" t="str">
        <f>CHAR(34)&amp;S4&amp;CHAR(34)&amp;","</f>
        <v>"",</v>
      </c>
      <c r="T54" s="12" t="str">
        <f>CHAR(34)&amp;T4&amp;CHAR(34)&amp;","</f>
        <v>"",</v>
      </c>
      <c r="U54" s="12" t="str">
        <f>CHAR(34)&amp;U4&amp;CHAR(34)&amp;","</f>
        <v>"",</v>
      </c>
      <c r="V54" s="12" t="str">
        <f>CHAR(34)&amp;V4&amp;CHAR(34)&amp;","</f>
        <v>"",</v>
      </c>
      <c r="W54" s="12" t="str">
        <f>CHAR(34)&amp;W4&amp;CHAR(34)&amp;","</f>
        <v>"GM of Gentle, Men",</v>
      </c>
      <c r="X54" s="12" t="str">
        <f>CHAR(34)&amp;X4&amp;CHAR(34)&amp;","</f>
        <v>"../Images/GM_Final.png",</v>
      </c>
      <c r="Y54" s="12" t="str">
        <f>CHAR(34)&amp;Y4&amp;CHAR(34)&amp;","</f>
        <v>"../Images/Players/Conor.png",</v>
      </c>
    </row>
    <row r="55" spans="2:25" ht="14.25" customHeight="1" x14ac:dyDescent="0.45">
      <c r="B55" s="12" t="str">
        <f>CHAR(34)&amp;B5&amp;CHAR(34)&amp;","</f>
        <v>"Alexander Galt",</v>
      </c>
      <c r="C55" s="12" t="str">
        <f>CHAR(34)&amp;C5&amp;CHAR(34)&amp;","</f>
        <v>"Choc-Tops",</v>
      </c>
      <c r="D55" s="12" t="str">
        <f>ROUND(D5,2)&amp;","</f>
        <v>2.67,</v>
      </c>
      <c r="E55" s="12" t="str">
        <f>E5&amp;","</f>
        <v>16,</v>
      </c>
      <c r="F55" s="12" t="str">
        <f>ROUND(F5,2)&amp;","</f>
        <v>2.67,</v>
      </c>
      <c r="G55" s="12" t="str">
        <f>G5&amp;","</f>
        <v>16,</v>
      </c>
      <c r="H55" s="12" t="str">
        <f>ROUND(H5,2)&amp;","</f>
        <v>0,</v>
      </c>
      <c r="I55" s="12" t="str">
        <f>I5&amp;","</f>
        <v>0,</v>
      </c>
      <c r="J55" s="12" t="str">
        <f>ROUND(J5,2)&amp;","</f>
        <v>0,</v>
      </c>
      <c r="K55" s="12" t="str">
        <f>K5&amp;","</f>
        <v>0,</v>
      </c>
      <c r="L55" s="12" t="str">
        <f>L5&amp;","</f>
        <v>0,</v>
      </c>
      <c r="M55" s="12" t="str">
        <f>M5&amp;","</f>
        <v>0,</v>
      </c>
      <c r="N55" s="12" t="str">
        <f>N5&amp;","</f>
        <v>2,</v>
      </c>
      <c r="O55" s="12" t="str">
        <f>CHAR(34)&amp;O5&amp;CHAR(34)&amp;","</f>
        <v>"All-Defence Team T1",</v>
      </c>
      <c r="P55" s="12" t="str">
        <f>CHAR(34)&amp;P5&amp;CHAR(34)&amp;","</f>
        <v>"Champion T1",</v>
      </c>
      <c r="Q55" s="12" t="str">
        <f>CHAR(34)&amp;Q5&amp;CHAR(34)&amp;","</f>
        <v>"All-Offence Team T2",</v>
      </c>
      <c r="R55" s="12" t="str">
        <f>CHAR(34)&amp;R5&amp;CHAR(34)&amp;","</f>
        <v>"All-Defence Team T2",</v>
      </c>
      <c r="S55" s="12" t="str">
        <f>CHAR(34)&amp;S5&amp;CHAR(34)&amp;","</f>
        <v>"",</v>
      </c>
      <c r="T55" s="12" t="str">
        <f>CHAR(34)&amp;T5&amp;CHAR(34)&amp;","</f>
        <v>"",</v>
      </c>
      <c r="U55" s="12" t="str">
        <f>CHAR(34)&amp;U5&amp;CHAR(34)&amp;","</f>
        <v>"",</v>
      </c>
      <c r="V55" s="12" t="str">
        <f>CHAR(34)&amp;V5&amp;CHAR(34)&amp;","</f>
        <v>"",</v>
      </c>
      <c r="W55" s="12" t="str">
        <f>CHAR(34)&amp;W5&amp;CHAR(34)&amp;","</f>
        <v>"Drafted by Choc-Tops",</v>
      </c>
      <c r="X55" s="12" t="str">
        <f>CHAR(34)&amp;X5&amp;CHAR(34)&amp;","</f>
        <v>"../Images/CT_Final.png",</v>
      </c>
      <c r="Y55" s="12" t="str">
        <f>CHAR(34)&amp;Y5&amp;CHAR(34)&amp;","</f>
        <v>"../Images/Players/Alex.png",</v>
      </c>
    </row>
    <row r="56" spans="2:25" ht="14.25" customHeight="1" x14ac:dyDescent="0.45">
      <c r="B56" s="12" t="str">
        <f>CHAR(34)&amp;B6&amp;CHAR(34)&amp;","</f>
        <v>"Rudy Hoschke",</v>
      </c>
      <c r="C56" s="12" t="str">
        <f>CHAR(34)&amp;C6&amp;CHAR(34)&amp;","</f>
        <v>"Choc-Tops",</v>
      </c>
      <c r="D56" s="12" t="str">
        <f>ROUND(D6,2)&amp;","</f>
        <v>2.88,</v>
      </c>
      <c r="E56" s="12" t="str">
        <f>E6&amp;","</f>
        <v>23,</v>
      </c>
      <c r="F56" s="12" t="str">
        <f>ROUND(F6,2)&amp;","</f>
        <v>2.88,</v>
      </c>
      <c r="G56" s="12" t="str">
        <f>G6&amp;","</f>
        <v>23,</v>
      </c>
      <c r="H56" s="12" t="str">
        <f>ROUND(H6,2)&amp;","</f>
        <v>0,</v>
      </c>
      <c r="I56" s="12" t="str">
        <f>I6&amp;","</f>
        <v>0,</v>
      </c>
      <c r="J56" s="12" t="str">
        <f>ROUND(J6,2)&amp;","</f>
        <v>0,</v>
      </c>
      <c r="K56" s="12" t="str">
        <f>K6&amp;","</f>
        <v>0,</v>
      </c>
      <c r="L56" s="12" t="str">
        <f>L6&amp;","</f>
        <v>0,</v>
      </c>
      <c r="M56" s="12" t="str">
        <f>M6&amp;","</f>
        <v>0,</v>
      </c>
      <c r="N56" s="12" t="str">
        <f>N6&amp;","</f>
        <v>0,</v>
      </c>
      <c r="O56" s="12" t="str">
        <f>CHAR(34)&amp;O6&amp;CHAR(34)&amp;","</f>
        <v>"All-Offence Team T1",</v>
      </c>
      <c r="P56" s="12" t="str">
        <f>CHAR(34)&amp;P6&amp;CHAR(34)&amp;","</f>
        <v>"All-Defence Team T1",</v>
      </c>
      <c r="Q56" s="12" t="str">
        <f>CHAR(34)&amp;Q6&amp;CHAR(34)&amp;","</f>
        <v>"Champion T1",</v>
      </c>
      <c r="R56" s="12" t="str">
        <f>CHAR(34)&amp;R6&amp;CHAR(34)&amp;","</f>
        <v>"All-Offence Team T2",</v>
      </c>
      <c r="S56" s="12" t="str">
        <f>CHAR(34)&amp;S6&amp;CHAR(34)&amp;","</f>
        <v>"All-Defence Team T2",</v>
      </c>
      <c r="T56" s="12" t="str">
        <f>CHAR(34)&amp;T6&amp;CHAR(34)&amp;","</f>
        <v>"Scoring Champ T2",</v>
      </c>
      <c r="U56" s="12" t="str">
        <f>CHAR(34)&amp;U6&amp;CHAR(34)&amp;","</f>
        <v>"GM",</v>
      </c>
      <c r="V56" s="12" t="str">
        <f>CHAR(34)&amp;V6&amp;CHAR(34)&amp;","</f>
        <v>"",</v>
      </c>
      <c r="W56" s="12" t="str">
        <f>CHAR(34)&amp;W6&amp;CHAR(34)&amp;","</f>
        <v>"Drafted by Choc-Tops",</v>
      </c>
      <c r="X56" s="12" t="str">
        <f>CHAR(34)&amp;X6&amp;CHAR(34)&amp;","</f>
        <v>"../Images/CT_Final.png",</v>
      </c>
      <c r="Y56" s="12" t="str">
        <f>CHAR(34)&amp;Y6&amp;CHAR(34)&amp;","</f>
        <v>"../Images/Players/Rudy.png",</v>
      </c>
    </row>
    <row r="57" spans="2:25" ht="14.25" customHeight="1" x14ac:dyDescent="0.45">
      <c r="B57" s="12" t="str">
        <f>CHAR(34)&amp;B7&amp;CHAR(34)&amp;","</f>
        <v>"Michael Iffland",</v>
      </c>
      <c r="C57" s="12" t="str">
        <f>CHAR(34)&amp;C7&amp;CHAR(34)&amp;","</f>
        <v>"Gentle, Men",</v>
      </c>
      <c r="D57" s="12" t="str">
        <f>ROUND(D7,2)&amp;","</f>
        <v>1.63,</v>
      </c>
      <c r="E57" s="12" t="str">
        <f>E7&amp;","</f>
        <v>13,</v>
      </c>
      <c r="F57" s="12" t="str">
        <f>ROUND(F7,2)&amp;","</f>
        <v>1.25,</v>
      </c>
      <c r="G57" s="12" t="str">
        <f>G7&amp;","</f>
        <v>10,</v>
      </c>
      <c r="H57" s="12" t="str">
        <f>ROUND(H7,2)&amp;","</f>
        <v>0.38,</v>
      </c>
      <c r="I57" s="12" t="str">
        <f>I7&amp;","</f>
        <v>3,</v>
      </c>
      <c r="J57" s="12" t="str">
        <f>ROUND(J7,2)&amp;","</f>
        <v>0,</v>
      </c>
      <c r="K57" s="12" t="str">
        <f>K7&amp;","</f>
        <v>0,</v>
      </c>
      <c r="L57" s="12" t="str">
        <f>L7&amp;","</f>
        <v>0,</v>
      </c>
      <c r="M57" s="12" t="str">
        <f>M7&amp;","</f>
        <v>0,</v>
      </c>
      <c r="N57" s="12" t="str">
        <f>N7&amp;","</f>
        <v>0,</v>
      </c>
      <c r="O57" s="12" t="str">
        <f>CHAR(34)&amp;O7&amp;CHAR(34)&amp;","</f>
        <v>"Playmaker T1",</v>
      </c>
      <c r="P57" s="12" t="str">
        <f>CHAR(34)&amp;P7&amp;CHAR(34)&amp;","</f>
        <v>"Thirdman T1",</v>
      </c>
      <c r="Q57" s="12" t="str">
        <f>CHAR(34)&amp;Q7&amp;CHAR(34)&amp;","</f>
        <v>"All-Offence Team T2",</v>
      </c>
      <c r="R57" s="12" t="str">
        <f>CHAR(34)&amp;R7&amp;CHAR(34)&amp;","</f>
        <v>"All-2nd-Defence Team T2",</v>
      </c>
      <c r="S57" s="12" t="str">
        <f>CHAR(34)&amp;S7&amp;CHAR(34)&amp;","</f>
        <v>"",</v>
      </c>
      <c r="T57" s="12" t="str">
        <f>CHAR(34)&amp;T7&amp;CHAR(34)&amp;","</f>
        <v>"",</v>
      </c>
      <c r="U57" s="12" t="str">
        <f>CHAR(34)&amp;U7&amp;CHAR(34)&amp;","</f>
        <v>"",</v>
      </c>
      <c r="V57" s="12" t="str">
        <f>CHAR(34)&amp;V7&amp;CHAR(34)&amp;","</f>
        <v>"",</v>
      </c>
      <c r="W57" s="12" t="str">
        <f>CHAR(34)&amp;W7&amp;CHAR(34)&amp;","</f>
        <v>"Drafted by Gentle, Men",</v>
      </c>
      <c r="X57" s="12" t="str">
        <f>CHAR(34)&amp;X7&amp;CHAR(34)&amp;","</f>
        <v>"../Images/GM_Final.png",</v>
      </c>
      <c r="Y57" s="12" t="str">
        <f>CHAR(34)&amp;Y7&amp;CHAR(34)&amp;","</f>
        <v>"../Images/Players/Michael.png",</v>
      </c>
    </row>
    <row r="58" spans="2:25" ht="14.25" customHeight="1" x14ac:dyDescent="0.45">
      <c r="B58" s="12" t="str">
        <f>CHAR(34)&amp;B8&amp;CHAR(34)&amp;","</f>
        <v>"Lukas Johnston",</v>
      </c>
      <c r="C58" s="12" t="str">
        <f>CHAR(34)&amp;C8&amp;CHAR(34)&amp;","</f>
        <v>"Gentle, Men",</v>
      </c>
      <c r="D58" s="12" t="str">
        <f>ROUND(D8,2)&amp;","</f>
        <v>1.17,</v>
      </c>
      <c r="E58" s="12" t="str">
        <f>E8&amp;","</f>
        <v>7,</v>
      </c>
      <c r="F58" s="12" t="str">
        <f>ROUND(F8,2)&amp;","</f>
        <v>1,</v>
      </c>
      <c r="G58" s="12" t="str">
        <f>G8&amp;","</f>
        <v>6,</v>
      </c>
      <c r="H58" s="12" t="str">
        <f>ROUND(H8,2)&amp;","</f>
        <v>0.17,</v>
      </c>
      <c r="I58" s="12" t="str">
        <f>I8&amp;","</f>
        <v>1,</v>
      </c>
      <c r="J58" s="12" t="str">
        <f>ROUND(J8,2)&amp;","</f>
        <v>0,</v>
      </c>
      <c r="K58" s="12" t="str">
        <f>K8&amp;","</f>
        <v>0,</v>
      </c>
      <c r="L58" s="12" t="str">
        <f>L8&amp;","</f>
        <v>0,</v>
      </c>
      <c r="M58" s="12" t="str">
        <f>M8&amp;","</f>
        <v>0,</v>
      </c>
      <c r="N58" s="12" t="str">
        <f>N8&amp;","</f>
        <v>2,</v>
      </c>
      <c r="O58" s="12" t="str">
        <f>CHAR(34)&amp;O8&amp;CHAR(34)&amp;","</f>
        <v>"MVP Runner Up T1",</v>
      </c>
      <c r="P58" s="12" t="str">
        <f>CHAR(34)&amp;P8&amp;CHAR(34)&amp;","</f>
        <v>"All-Offence Team T1",</v>
      </c>
      <c r="Q58" s="12" t="str">
        <f>CHAR(34)&amp;Q8&amp;CHAR(34)&amp;","</f>
        <v>"All-2nd-Offence Team T2",</v>
      </c>
      <c r="R58" s="12" t="str">
        <f>CHAR(34)&amp;R8&amp;CHAR(34)&amp;","</f>
        <v>"",</v>
      </c>
      <c r="S58" s="12" t="str">
        <f>CHAR(34)&amp;S8&amp;CHAR(34)&amp;","</f>
        <v>"",</v>
      </c>
      <c r="T58" s="12" t="str">
        <f>CHAR(34)&amp;T8&amp;CHAR(34)&amp;","</f>
        <v>"",</v>
      </c>
      <c r="U58" s="12" t="str">
        <f>CHAR(34)&amp;U8&amp;CHAR(34)&amp;","</f>
        <v>"",</v>
      </c>
      <c r="V58" s="12" t="str">
        <f>CHAR(34)&amp;V8&amp;CHAR(34)&amp;","</f>
        <v>"",</v>
      </c>
      <c r="W58" s="12" t="str">
        <f>CHAR(34)&amp;W8&amp;CHAR(34)&amp;","</f>
        <v>"Drafted by Gentle, Men",</v>
      </c>
      <c r="X58" s="12" t="str">
        <f>CHAR(34)&amp;X8&amp;CHAR(34)&amp;","</f>
        <v>"../Images/GM_Final.png",</v>
      </c>
      <c r="Y58" s="12" t="str">
        <f>CHAR(34)&amp;Y8&amp;CHAR(34)&amp;","</f>
        <v>"../Images/Players/Lukas.png",</v>
      </c>
    </row>
    <row r="59" spans="2:25" ht="14.25" customHeight="1" x14ac:dyDescent="0.45">
      <c r="B59" s="12" t="str">
        <f>CHAR(34)&amp;B9&amp;CHAR(34)&amp;","</f>
        <v>"Sam James",</v>
      </c>
      <c r="C59" s="12" t="str">
        <f>CHAR(34)&amp;C9&amp;CHAR(34)&amp;","</f>
        <v>"Traffic Controllers",</v>
      </c>
      <c r="D59" s="12" t="str">
        <f>ROUND(D9,2)&amp;","</f>
        <v>0.88,</v>
      </c>
      <c r="E59" s="12" t="str">
        <f>E9&amp;","</f>
        <v>7,</v>
      </c>
      <c r="F59" s="12" t="str">
        <f>ROUND(F9,2)&amp;","</f>
        <v>0,</v>
      </c>
      <c r="G59" s="12" t="str">
        <f>G9&amp;","</f>
        <v>0,</v>
      </c>
      <c r="H59" s="12" t="str">
        <f>ROUND(H9,2)&amp;","</f>
        <v>0.88,</v>
      </c>
      <c r="I59" s="12" t="str">
        <f>I9&amp;","</f>
        <v>7,</v>
      </c>
      <c r="J59" s="12" t="str">
        <f>ROUND(J9,2)&amp;","</f>
        <v>0,</v>
      </c>
      <c r="K59" s="12" t="str">
        <f>K9&amp;","</f>
        <v>0,</v>
      </c>
      <c r="L59" s="12" t="str">
        <f>L9&amp;","</f>
        <v>0,</v>
      </c>
      <c r="M59" s="12" t="str">
        <f>M9&amp;","</f>
        <v>0,</v>
      </c>
      <c r="N59" s="12" t="str">
        <f>N9&amp;","</f>
        <v>0,</v>
      </c>
      <c r="O59" s="12" t="str">
        <f>CHAR(34)&amp;O9&amp;CHAR(34)&amp;","</f>
        <v>"Miles Morales",</v>
      </c>
      <c r="P59" s="12" t="str">
        <f>CHAR(34)&amp;P9&amp;CHAR(34)&amp;","</f>
        <v>"Champion T2",</v>
      </c>
      <c r="Q59" s="12" t="str">
        <f>CHAR(34)&amp;Q9&amp;CHAR(34)&amp;","</f>
        <v>"",</v>
      </c>
      <c r="R59" s="12" t="str">
        <f>CHAR(34)&amp;R9&amp;CHAR(34)&amp;","</f>
        <v>"",</v>
      </c>
      <c r="S59" s="12" t="str">
        <f>CHAR(34)&amp;S9&amp;CHAR(34)&amp;","</f>
        <v>"",</v>
      </c>
      <c r="T59" s="12" t="str">
        <f>CHAR(34)&amp;T9&amp;CHAR(34)&amp;","</f>
        <v>"",</v>
      </c>
      <c r="U59" s="12" t="str">
        <f>CHAR(34)&amp;U9&amp;CHAR(34)&amp;","</f>
        <v>"",</v>
      </c>
      <c r="V59" s="12" t="str">
        <f>CHAR(34)&amp;V9&amp;CHAR(34)&amp;","</f>
        <v>"",</v>
      </c>
      <c r="W59" s="12" t="str">
        <f>CHAR(34)&amp;W9&amp;CHAR(34)&amp;","</f>
        <v>"Drafted by Traffic Controllers",</v>
      </c>
      <c r="X59" s="12" t="str">
        <f>CHAR(34)&amp;X9&amp;CHAR(34)&amp;","</f>
        <v>"../Images/TC_Final.png",</v>
      </c>
      <c r="Y59" s="12" t="str">
        <f>CHAR(34)&amp;Y9&amp;CHAR(34)&amp;","</f>
        <v>"../Images/Players/SamJ.png",</v>
      </c>
    </row>
    <row r="60" spans="2:25" ht="14.25" customHeight="1" x14ac:dyDescent="0.45">
      <c r="B60" s="12" t="str">
        <f>CHAR(34)&amp;B10&amp;CHAR(34)&amp;","</f>
        <v>"Clarrie Jones",</v>
      </c>
      <c r="C60" s="12" t="str">
        <f>CHAR(34)&amp;C10&amp;CHAR(34)&amp;","</f>
        <v>"Traffic Controllers",</v>
      </c>
      <c r="D60" s="12" t="str">
        <f>ROUND(D10,2)&amp;","</f>
        <v>1.25,</v>
      </c>
      <c r="E60" s="12" t="str">
        <f>E10&amp;","</f>
        <v>10,</v>
      </c>
      <c r="F60" s="12" t="str">
        <f>ROUND(F10,2)&amp;","</f>
        <v>0.13,</v>
      </c>
      <c r="G60" s="12" t="str">
        <f>G10&amp;","</f>
        <v>1,</v>
      </c>
      <c r="H60" s="12" t="str">
        <f>ROUND(H10,2)&amp;","</f>
        <v>0.38,</v>
      </c>
      <c r="I60" s="12" t="str">
        <f>I10&amp;","</f>
        <v>3,</v>
      </c>
      <c r="J60" s="12" t="str">
        <f>ROUND(J10,2)&amp;","</f>
        <v>0.38,</v>
      </c>
      <c r="K60" s="12" t="str">
        <f>K10&amp;","</f>
        <v>3,</v>
      </c>
      <c r="L60" s="12" t="str">
        <f>L10&amp;","</f>
        <v>0,</v>
      </c>
      <c r="M60" s="12" t="str">
        <f>M10&amp;","</f>
        <v>0,</v>
      </c>
      <c r="N60" s="12" t="str">
        <f>N10&amp;","</f>
        <v>0,</v>
      </c>
      <c r="O60" s="12" t="str">
        <f>CHAR(34)&amp;O10&amp;CHAR(34)&amp;","</f>
        <v>"LTBO Manager",</v>
      </c>
      <c r="P60" s="12" t="str">
        <f>CHAR(34)&amp;P10&amp;CHAR(34)&amp;","</f>
        <v>"Champion T1",</v>
      </c>
      <c r="Q60" s="12" t="str">
        <f>CHAR(34)&amp;Q10&amp;CHAR(34)&amp;","</f>
        <v>"Finals MVP T1",</v>
      </c>
      <c r="R60" s="12" t="str">
        <f>CHAR(34)&amp;R10&amp;CHAR(34)&amp;","</f>
        <v>"Fifthman T2",</v>
      </c>
      <c r="S60" s="12" t="str">
        <f>CHAR(34)&amp;S10&amp;CHAR(34)&amp;","</f>
        <v>"All-2nd-Offence Team T2",</v>
      </c>
      <c r="T60" s="12" t="str">
        <f>CHAR(34)&amp;T10&amp;CHAR(34)&amp;","</f>
        <v>"All-2nd-Defence Team T2",</v>
      </c>
      <c r="U60" s="12" t="str">
        <f>CHAR(34)&amp;U10&amp;CHAR(34)&amp;","</f>
        <v>"Champion T2",</v>
      </c>
      <c r="V60" s="12" t="str">
        <f>CHAR(34)&amp;V10&amp;CHAR(34)&amp;","</f>
        <v>"",</v>
      </c>
      <c r="W60" s="12" t="str">
        <f>CHAR(34)&amp;W10&amp;CHAR(34)&amp;","</f>
        <v>"GM of Traffic Controllers",</v>
      </c>
      <c r="X60" s="12" t="str">
        <f>CHAR(34)&amp;X10&amp;CHAR(34)&amp;","</f>
        <v>"../Images/TC_Final.png",</v>
      </c>
      <c r="Y60" s="12" t="str">
        <f>CHAR(34)&amp;Y10&amp;CHAR(34)&amp;","</f>
        <v>"../Images/Players/Clarrie.png",</v>
      </c>
    </row>
    <row r="61" spans="2:25" ht="14.25" customHeight="1" x14ac:dyDescent="0.45">
      <c r="B61" s="12" t="str">
        <f>CHAR(34)&amp;B11&amp;CHAR(34)&amp;","</f>
        <v>"William Kim",</v>
      </c>
      <c r="C61" s="12" t="str">
        <f>CHAR(34)&amp;C11&amp;CHAR(34)&amp;","</f>
        <v>"Traffic Controllers",</v>
      </c>
      <c r="D61" s="12" t="str">
        <f>ROUND(D11,2)&amp;","</f>
        <v>1.29,</v>
      </c>
      <c r="E61" s="12" t="str">
        <f>E11&amp;","</f>
        <v>9,</v>
      </c>
      <c r="F61" s="12" t="str">
        <f>ROUND(F11,2)&amp;","</f>
        <v>0.29,</v>
      </c>
      <c r="G61" s="12" t="str">
        <f>G11&amp;","</f>
        <v>2,</v>
      </c>
      <c r="H61" s="12" t="str">
        <f>ROUND(H11,2)&amp;","</f>
        <v>0.71,</v>
      </c>
      <c r="I61" s="12" t="str">
        <f>I11&amp;","</f>
        <v>5,</v>
      </c>
      <c r="J61" s="12" t="str">
        <f>ROUND(J11,2)&amp;","</f>
        <v>0.14,</v>
      </c>
      <c r="K61" s="12" t="str">
        <f>K11&amp;","</f>
        <v>1,</v>
      </c>
      <c r="L61" s="12" t="str">
        <f>L11&amp;","</f>
        <v>0,</v>
      </c>
      <c r="M61" s="12" t="str">
        <f>M11&amp;","</f>
        <v>0,</v>
      </c>
      <c r="N61" s="12" t="str">
        <f>N11&amp;","</f>
        <v>1,</v>
      </c>
      <c r="O61" s="12" t="str">
        <f>CHAR(34)&amp;O11&amp;CHAR(34)&amp;","</f>
        <v>"MVP T1",</v>
      </c>
      <c r="P61" s="12" t="str">
        <f>CHAR(34)&amp;P11&amp;CHAR(34)&amp;","</f>
        <v>"All-Offence Team T1",</v>
      </c>
      <c r="Q61" s="12" t="str">
        <f>CHAR(34)&amp;Q11&amp;CHAR(34)&amp;","</f>
        <v>"All-Defence Team T1",</v>
      </c>
      <c r="R61" s="12" t="str">
        <f>CHAR(34)&amp;R11&amp;CHAR(34)&amp;","</f>
        <v>"All-2nd-Offence Team T2",</v>
      </c>
      <c r="S61" s="12" t="str">
        <f>CHAR(34)&amp;S11&amp;CHAR(34)&amp;","</f>
        <v>"All-Defence Team T2",</v>
      </c>
      <c r="T61" s="12" t="str">
        <f>CHAR(34)&amp;T11&amp;CHAR(34)&amp;","</f>
        <v>"Champion T2",</v>
      </c>
      <c r="U61" s="12" t="str">
        <f>CHAR(34)&amp;U11&amp;CHAR(34)&amp;","</f>
        <v>"Finals MVP T2",</v>
      </c>
      <c r="V61" s="12" t="str">
        <f>CHAR(34)&amp;V11&amp;CHAR(34)&amp;","</f>
        <v>"",</v>
      </c>
      <c r="W61" s="12" t="str">
        <f>CHAR(34)&amp;W11&amp;CHAR(34)&amp;","</f>
        <v>"Drafted by Traffic Controllers",</v>
      </c>
      <c r="X61" s="12" t="str">
        <f>CHAR(34)&amp;X11&amp;CHAR(34)&amp;","</f>
        <v>"../Images/TC_Final.png",</v>
      </c>
      <c r="Y61" s="12" t="str">
        <f>CHAR(34)&amp;Y11&amp;CHAR(34)&amp;","</f>
        <v>"../Images/Players/Kimmy.png",</v>
      </c>
    </row>
    <row r="62" spans="2:25" ht="14.25" customHeight="1" x14ac:dyDescent="0.45">
      <c r="B62" s="12" t="str">
        <f>CHAR(34)&amp;B12&amp;CHAR(34)&amp;","</f>
        <v>"Samuel McConaghy",</v>
      </c>
      <c r="C62" s="12" t="str">
        <f>CHAR(34)&amp;C12&amp;CHAR(34)&amp;","</f>
        <v>"Gentle, Men",</v>
      </c>
      <c r="D62" s="12" t="str">
        <f>ROUND(D12,2)&amp;","</f>
        <v>2.63,</v>
      </c>
      <c r="E62" s="12" t="str">
        <f>E12&amp;","</f>
        <v>21,</v>
      </c>
      <c r="F62" s="12" t="str">
        <f>ROUND(F12,2)&amp;","</f>
        <v>0.88,</v>
      </c>
      <c r="G62" s="12" t="str">
        <f>G12&amp;","</f>
        <v>7,</v>
      </c>
      <c r="H62" s="12" t="str">
        <f>ROUND(H12,2)&amp;","</f>
        <v>1.5,</v>
      </c>
      <c r="I62" s="12" t="str">
        <f>I12&amp;","</f>
        <v>12,</v>
      </c>
      <c r="J62" s="12" t="str">
        <f>ROUND(J12,2)&amp;","</f>
        <v>0.13,</v>
      </c>
      <c r="K62" s="12" t="str">
        <f>K12&amp;","</f>
        <v>1,</v>
      </c>
      <c r="L62" s="12" t="str">
        <f>L12&amp;","</f>
        <v>0,</v>
      </c>
      <c r="M62" s="12" t="str">
        <f>M12&amp;","</f>
        <v>0,</v>
      </c>
      <c r="N62" s="12" t="str">
        <f>N12&amp;","</f>
        <v>0,</v>
      </c>
      <c r="O62" s="12" t="str">
        <f>CHAR(34)&amp;O12&amp;CHAR(34)&amp;","</f>
        <v>"GM",</v>
      </c>
      <c r="P62" s="12" t="str">
        <f>CHAR(34)&amp;P12&amp;CHAR(34)&amp;","</f>
        <v>"All-Offence Team T1",</v>
      </c>
      <c r="Q62" s="12" t="str">
        <f>CHAR(34)&amp;Q12&amp;CHAR(34)&amp;","</f>
        <v>"All-Defence Team T1",</v>
      </c>
      <c r="R62" s="12" t="str">
        <f>CHAR(34)&amp;R12&amp;CHAR(34)&amp;","</f>
        <v>"All-Offence Team T2",</v>
      </c>
      <c r="S62" s="12" t="str">
        <f>CHAR(34)&amp;S12&amp;CHAR(34)&amp;","</f>
        <v>"All-Defence Team T2",</v>
      </c>
      <c r="T62" s="12" t="str">
        <f>CHAR(34)&amp;T12&amp;CHAR(34)&amp;","</f>
        <v>"",</v>
      </c>
      <c r="U62" s="12" t="str">
        <f>CHAR(34)&amp;U12&amp;CHAR(34)&amp;","</f>
        <v>"",</v>
      </c>
      <c r="V62" s="12" t="str">
        <f>CHAR(34)&amp;V12&amp;CHAR(34)&amp;","</f>
        <v>"",</v>
      </c>
      <c r="W62" s="12" t="str">
        <f>CHAR(34)&amp;W12&amp;CHAR(34)&amp;","</f>
        <v>"Drafted by Gentle, Men",</v>
      </c>
      <c r="X62" s="12" t="str">
        <f>CHAR(34)&amp;X12&amp;CHAR(34)&amp;","</f>
        <v>"../Images/GM_Final.png",</v>
      </c>
      <c r="Y62" s="12" t="str">
        <f>CHAR(34)&amp;Y12&amp;CHAR(34)&amp;","</f>
        <v>"../Images/Players/SamM.png",</v>
      </c>
    </row>
    <row r="63" spans="2:25" ht="14.25" customHeight="1" x14ac:dyDescent="0.45">
      <c r="B63" s="12" t="str">
        <f>CHAR(34)&amp;B13&amp;CHAR(34)&amp;","</f>
        <v>"Ryan Pattemore",</v>
      </c>
      <c r="C63" s="12" t="str">
        <f>CHAR(34)&amp;C13&amp;CHAR(34)&amp;","</f>
        <v>"Choc-Tops",</v>
      </c>
      <c r="D63" s="12" t="str">
        <f>ROUND(D13,2)&amp;","</f>
        <v>1.29,</v>
      </c>
      <c r="E63" s="12" t="str">
        <f>E13&amp;","</f>
        <v>9,</v>
      </c>
      <c r="F63" s="12" t="str">
        <f>ROUND(F13,2)&amp;","</f>
        <v>0,</v>
      </c>
      <c r="G63" s="12" t="str">
        <f>G13&amp;","</f>
        <v>0,</v>
      </c>
      <c r="H63" s="12" t="str">
        <f>ROUND(H13,2)&amp;","</f>
        <v>1,</v>
      </c>
      <c r="I63" s="12" t="str">
        <f>I13&amp;","</f>
        <v>7,</v>
      </c>
      <c r="J63" s="12" t="str">
        <f>ROUND(J13,2)&amp;","</f>
        <v>0.14,</v>
      </c>
      <c r="K63" s="12" t="str">
        <f>K13&amp;","</f>
        <v>1,</v>
      </c>
      <c r="L63" s="12" t="str">
        <f>L13&amp;","</f>
        <v>0,</v>
      </c>
      <c r="M63" s="12" t="str">
        <f>M13&amp;","</f>
        <v>0,</v>
      </c>
      <c r="N63" s="12" t="str">
        <f>N13&amp;","</f>
        <v>1,</v>
      </c>
      <c r="O63" s="12" t="str">
        <f>CHAR(34)&amp;O13&amp;CHAR(34)&amp;","</f>
        <v>"Perimeter T1",</v>
      </c>
      <c r="P63" s="12" t="str">
        <f>CHAR(34)&amp;P13&amp;CHAR(34)&amp;","</f>
        <v>"Champion T1",</v>
      </c>
      <c r="Q63" s="12" t="str">
        <f>CHAR(34)&amp;Q13&amp;CHAR(34)&amp;","</f>
        <v>"",</v>
      </c>
      <c r="R63" s="12" t="str">
        <f>CHAR(34)&amp;R13&amp;CHAR(34)&amp;","</f>
        <v>"",</v>
      </c>
      <c r="S63" s="12" t="str">
        <f>CHAR(34)&amp;S13&amp;CHAR(34)&amp;","</f>
        <v>"",</v>
      </c>
      <c r="T63" s="12" t="str">
        <f>CHAR(34)&amp;T13&amp;CHAR(34)&amp;","</f>
        <v>"",</v>
      </c>
      <c r="U63" s="12" t="str">
        <f>CHAR(34)&amp;U13&amp;CHAR(34)&amp;","</f>
        <v>"",</v>
      </c>
      <c r="V63" s="12" t="str">
        <f>CHAR(34)&amp;V13&amp;CHAR(34)&amp;","</f>
        <v>"",</v>
      </c>
      <c r="W63" s="12" t="str">
        <f>CHAR(34)&amp;W13&amp;CHAR(34)&amp;","</f>
        <v>"GM of Choc-Tops",</v>
      </c>
      <c r="X63" s="12" t="str">
        <f>CHAR(34)&amp;X13&amp;CHAR(34)&amp;","</f>
        <v>"../Images/CT_Final.png",</v>
      </c>
      <c r="Y63" s="12" t="str">
        <f>CHAR(34)&amp;Y13&amp;CHAR(34)&amp;","</f>
        <v>"../Images/Players/Ryan.png",</v>
      </c>
    </row>
    <row r="64" spans="2:25" ht="14.25" customHeight="1" x14ac:dyDescent="0.45">
      <c r="B64" s="12" t="str">
        <f>CHAR(34)&amp;B14&amp;CHAR(34)&amp;","</f>
        <v>"Nicholas Szogi",</v>
      </c>
      <c r="C64" s="12" t="str">
        <f>CHAR(34)&amp;C14&amp;CHAR(34)&amp;","</f>
        <v>"Traffic Controllers",</v>
      </c>
      <c r="D64" s="12" t="str">
        <f>ROUND(D14,2)&amp;","</f>
        <v>0,</v>
      </c>
      <c r="E64" s="12" t="str">
        <f>E14&amp;","</f>
        <v>0,</v>
      </c>
      <c r="F64" s="12" t="str">
        <f>ROUND(F14,2)&amp;","</f>
        <v>0,</v>
      </c>
      <c r="G64" s="12" t="str">
        <f>G14&amp;","</f>
        <v>0,</v>
      </c>
      <c r="H64" s="12" t="str">
        <f>ROUND(H14,2)&amp;","</f>
        <v>0,</v>
      </c>
      <c r="I64" s="12" t="str">
        <f>I14&amp;","</f>
        <v>0,</v>
      </c>
      <c r="J64" s="12" t="str">
        <f>ROUND(J14,2)&amp;","</f>
        <v>0,</v>
      </c>
      <c r="K64" s="12" t="str">
        <f>K14&amp;","</f>
        <v>0,</v>
      </c>
      <c r="L64" s="12" t="str">
        <f>L14&amp;","</f>
        <v>0,</v>
      </c>
      <c r="M64" s="12" t="str">
        <f>M14&amp;","</f>
        <v>0,</v>
      </c>
      <c r="N64" s="12" t="str">
        <f>N14&amp;","</f>
        <v>1,</v>
      </c>
      <c r="O64" s="12" t="str">
        <f>CHAR(34)&amp;O14&amp;CHAR(34)&amp;","</f>
        <v>"The Biggest Bird",</v>
      </c>
      <c r="P64" s="12" t="str">
        <f>CHAR(34)&amp;P14&amp;CHAR(34)&amp;","</f>
        <v>"Champion T1",</v>
      </c>
      <c r="Q64" s="12" t="str">
        <f>CHAR(34)&amp;Q14&amp;CHAR(34)&amp;","</f>
        <v>"MVP Runner Up T2",</v>
      </c>
      <c r="R64" s="12" t="str">
        <f>CHAR(34)&amp;R14&amp;CHAR(34)&amp;","</f>
        <v>"X-Factor T2",</v>
      </c>
      <c r="S64" s="12" t="str">
        <f>CHAR(34)&amp;S14&amp;CHAR(34)&amp;","</f>
        <v>"All-2nd-Offence Team T2",</v>
      </c>
      <c r="T64" s="12" t="str">
        <f>CHAR(34)&amp;T14&amp;CHAR(34)&amp;","</f>
        <v>"All-2nd-Defence Team T2",</v>
      </c>
      <c r="U64" s="12" t="str">
        <f>CHAR(34)&amp;U14&amp;CHAR(34)&amp;","</f>
        <v>"",</v>
      </c>
      <c r="V64" s="12" t="str">
        <f>CHAR(34)&amp;V14&amp;CHAR(34)&amp;","</f>
        <v>"",</v>
      </c>
      <c r="W64" s="12" t="str">
        <f>CHAR(34)&amp;W14&amp;CHAR(34)&amp;","</f>
        <v>"Drafted by Traffic Controllers",</v>
      </c>
      <c r="X64" s="12" t="str">
        <f>CHAR(34)&amp;X14&amp;CHAR(34)&amp;","</f>
        <v>"../Images/TC_Final.png",</v>
      </c>
      <c r="Y64" s="12" t="str">
        <f>CHAR(34)&amp;Y14&amp;CHAR(34)&amp;","</f>
        <v>"../Images/Players/Nicholas.png",</v>
      </c>
    </row>
    <row r="65" spans="2:25" ht="14.25" customHeight="1" x14ac:dyDescent="0.45">
      <c r="B65" s="12" t="str">
        <f>CHAR(34)&amp;B15&amp;CHAR(34)&amp;","</f>
        <v>"Christopher Tomkinson",</v>
      </c>
      <c r="C65" s="12" t="str">
        <f>CHAR(34)&amp;C15&amp;CHAR(34)&amp;","</f>
        <v>"Choc-Tops",</v>
      </c>
      <c r="D65" s="12" t="str">
        <f>ROUND(D15,2)&amp;","</f>
        <v>1.29,</v>
      </c>
      <c r="E65" s="12" t="str">
        <f>E15&amp;","</f>
        <v>9,</v>
      </c>
      <c r="F65" s="12" t="str">
        <f>ROUND(F15,2)&amp;","</f>
        <v>0.86,</v>
      </c>
      <c r="G65" s="12" t="str">
        <f>G15&amp;","</f>
        <v>6,</v>
      </c>
      <c r="H65" s="12" t="str">
        <f>ROUND(H15,2)&amp;","</f>
        <v>0.43,</v>
      </c>
      <c r="I65" s="12" t="str">
        <f>I15&amp;","</f>
        <v>3,</v>
      </c>
      <c r="J65" s="12" t="str">
        <f>ROUND(J15,2)&amp;","</f>
        <v>0,</v>
      </c>
      <c r="K65" s="12" t="str">
        <f>K15&amp;","</f>
        <v>0,</v>
      </c>
      <c r="L65" s="12" t="str">
        <f>L15&amp;","</f>
        <v>0,</v>
      </c>
      <c r="M65" s="12" t="str">
        <f>M15&amp;","</f>
        <v>0,</v>
      </c>
      <c r="N65" s="12" t="str">
        <f>N15&amp;","</f>
        <v>0,</v>
      </c>
      <c r="O65" s="12" t="str">
        <f>CHAR(34)&amp;O15&amp;CHAR(34)&amp;","</f>
        <v>"MIP T1",</v>
      </c>
      <c r="P65" s="12" t="str">
        <f>CHAR(34)&amp;P15&amp;CHAR(34)&amp;","</f>
        <v>"MIP T2",</v>
      </c>
      <c r="Q65" s="12" t="str">
        <f>CHAR(34)&amp;Q15&amp;CHAR(34)&amp;","</f>
        <v>"MVP T2",</v>
      </c>
      <c r="R65" s="12" t="str">
        <f>CHAR(34)&amp;R15&amp;CHAR(34)&amp;","</f>
        <v>"All-2nd-Offence Team T2",</v>
      </c>
      <c r="S65" s="12" t="str">
        <f>CHAR(34)&amp;S15&amp;CHAR(34)&amp;","</f>
        <v>"All-2nd-Defence Team T2",</v>
      </c>
      <c r="T65" s="12" t="str">
        <f>CHAR(34)&amp;T15&amp;CHAR(34)&amp;","</f>
        <v>"Champion T2",</v>
      </c>
      <c r="U65" s="12" t="str">
        <f>CHAR(34)&amp;U15&amp;CHAR(34)&amp;","</f>
        <v>"",</v>
      </c>
      <c r="V65" s="12" t="str">
        <f>CHAR(34)&amp;V15&amp;CHAR(34)&amp;","</f>
        <v>"",</v>
      </c>
      <c r="W65" s="12" t="str">
        <f>CHAR(34)&amp;W15&amp;CHAR(34)&amp;","</f>
        <v>"Drafted by Choc-Tops",</v>
      </c>
      <c r="X65" s="12" t="str">
        <f>CHAR(34)&amp;X15&amp;CHAR(34)&amp;","</f>
        <v>"../Images/CT_Final.png",</v>
      </c>
      <c r="Y65" s="12" t="str">
        <f>CHAR(34)&amp;Y15&amp;CHAR(34)&amp;","</f>
        <v>"../Images/Players/Chris.png",</v>
      </c>
    </row>
    <row r="66" spans="2:25" ht="14.25" customHeight="1" x14ac:dyDescent="0.45">
      <c r="B66" s="12" t="str">
        <f>CHAR(34)&amp;B16&amp;CHAR(34)&amp;","</f>
        <v>"Angus Walker",</v>
      </c>
      <c r="C66" s="12" t="str">
        <f>CHAR(34)&amp;C16&amp;CHAR(34)&amp;","</f>
        <v>"Traffic Controllers",</v>
      </c>
      <c r="D66" s="12" t="str">
        <f>ROUND(D16,2)&amp;","</f>
        <v>1.25,</v>
      </c>
      <c r="E66" s="12" t="str">
        <f>E16&amp;","</f>
        <v>10,</v>
      </c>
      <c r="F66" s="12" t="str">
        <f>ROUND(F16,2)&amp;","</f>
        <v>0.38,</v>
      </c>
      <c r="G66" s="12" t="str">
        <f>G16&amp;","</f>
        <v>3,</v>
      </c>
      <c r="H66" s="12" t="str">
        <f>ROUND(H16,2)&amp;","</f>
        <v>0.38,</v>
      </c>
      <c r="I66" s="12" t="str">
        <f>I16&amp;","</f>
        <v>3,</v>
      </c>
      <c r="J66" s="12" t="str">
        <f>ROUND(J16,2)&amp;","</f>
        <v>0.25,</v>
      </c>
      <c r="K66" s="12" t="str">
        <f>K16&amp;","</f>
        <v>2,</v>
      </c>
      <c r="L66" s="12" t="str">
        <f>L16&amp;","</f>
        <v>0,</v>
      </c>
      <c r="M66" s="12" t="str">
        <f>M16&amp;","</f>
        <v>0,</v>
      </c>
      <c r="N66" s="12" t="str">
        <f>N16&amp;","</f>
        <v>0,</v>
      </c>
      <c r="O66" s="12" t="str">
        <f>CHAR(34)&amp;O16&amp;CHAR(34)&amp;","</f>
        <v>"LTBO CEO",</v>
      </c>
      <c r="P66" s="12" t="str">
        <f>CHAR(34)&amp;P16&amp;CHAR(34)&amp;","</f>
        <v>"GM",</v>
      </c>
      <c r="Q66" s="12" t="str">
        <f>CHAR(34)&amp;Q16&amp;CHAR(34)&amp;","</f>
        <v>"All-Offence Team T1",</v>
      </c>
      <c r="R66" s="12" t="str">
        <f>CHAR(34)&amp;R16&amp;CHAR(34)&amp;","</f>
        <v>"All-Defence Team T1",</v>
      </c>
      <c r="S66" s="12" t="str">
        <f>CHAR(34)&amp;S16&amp;CHAR(34)&amp;","</f>
        <v>"Scoring Champ T1",</v>
      </c>
      <c r="T66" s="12" t="str">
        <f>CHAR(34)&amp;T16&amp;CHAR(34)&amp;","</f>
        <v>"All-Offence Team T2",</v>
      </c>
      <c r="U66" s="12" t="str">
        <f>CHAR(34)&amp;U16&amp;CHAR(34)&amp;","</f>
        <v>"All-Defence Team T2",</v>
      </c>
      <c r="V66" s="12" t="str">
        <f>CHAR(34)&amp;V16&amp;CHAR(34)&amp;","</f>
        <v>"Champion T2",</v>
      </c>
      <c r="W66" s="12" t="str">
        <f>CHAR(34)&amp;W16&amp;CHAR(34)&amp;","</f>
        <v>"Drafted by Traffic Controllers",</v>
      </c>
      <c r="X66" s="12" t="str">
        <f>CHAR(34)&amp;X16&amp;CHAR(34)&amp;","</f>
        <v>"../Images/TC_Final.png",</v>
      </c>
      <c r="Y66" s="12" t="str">
        <f>CHAR(34)&amp;Y16&amp;CHAR(34)&amp;","</f>
        <v>"../Images/Players/Angus.png",</v>
      </c>
    </row>
    <row r="67" spans="2:25" ht="14.25" customHeight="1" x14ac:dyDescent="0.45">
      <c r="B67" s="12" t="str">
        <f>CHAR(34)&amp;B17&amp;CHAR(34)&amp;","</f>
        <v>"Will Weekes",</v>
      </c>
      <c r="C67" s="12" t="str">
        <f>CHAR(34)&amp;C17&amp;CHAR(34)&amp;","</f>
        <v>"Gentle, Men",</v>
      </c>
      <c r="D67" s="12" t="str">
        <f>ROUND(D17,2)&amp;","</f>
        <v>0.25,</v>
      </c>
      <c r="E67" s="12" t="str">
        <f>E17&amp;","</f>
        <v>2,</v>
      </c>
      <c r="F67" s="12" t="str">
        <f>ROUND(F17,2)&amp;","</f>
        <v>0.25,</v>
      </c>
      <c r="G67" s="12" t="str">
        <f>G17&amp;","</f>
        <v>2,</v>
      </c>
      <c r="H67" s="12" t="str">
        <f>ROUND(H17,2)&amp;","</f>
        <v>0,</v>
      </c>
      <c r="I67" s="12" t="str">
        <f>I17&amp;","</f>
        <v>0,</v>
      </c>
      <c r="J67" s="12" t="str">
        <f>ROUND(J17,2)&amp;","</f>
        <v>0,</v>
      </c>
      <c r="K67" s="12" t="str">
        <f>K17&amp;","</f>
        <v>0,</v>
      </c>
      <c r="L67" s="12" t="str">
        <f>L17&amp;","</f>
        <v>0,</v>
      </c>
      <c r="M67" s="12" t="str">
        <f>M17&amp;","</f>
        <v>0,</v>
      </c>
      <c r="N67" s="12" t="str">
        <f>N17&amp;","</f>
        <v>6,</v>
      </c>
      <c r="O67" s="12" t="str">
        <f>CHAR(34)&amp;O17&amp;CHAR(34)&amp;","</f>
        <v>"Teammate T1",</v>
      </c>
      <c r="P67" s="12" t="str">
        <f>CHAR(34)&amp;P17&amp;CHAR(34)&amp;","</f>
        <v>"Champion T1",</v>
      </c>
      <c r="Q67" s="12" t="str">
        <f>CHAR(34)&amp;Q17&amp;CHAR(34)&amp;","</f>
        <v>"Teammate T2",</v>
      </c>
      <c r="R67" s="12" t="str">
        <f>CHAR(34)&amp;R17&amp;CHAR(34)&amp;","</f>
        <v>"",</v>
      </c>
      <c r="S67" s="12" t="str">
        <f>CHAR(34)&amp;S17&amp;CHAR(34)&amp;","</f>
        <v>"",</v>
      </c>
      <c r="T67" s="12" t="str">
        <f>CHAR(34)&amp;T17&amp;CHAR(34)&amp;","</f>
        <v>"",</v>
      </c>
      <c r="U67" s="12" t="str">
        <f>CHAR(34)&amp;U17&amp;CHAR(34)&amp;","</f>
        <v>"",</v>
      </c>
      <c r="V67" s="12" t="str">
        <f>CHAR(34)&amp;V17&amp;CHAR(34)&amp;","</f>
        <v>"",</v>
      </c>
      <c r="W67" s="12" t="str">
        <f>CHAR(34)&amp;W17&amp;CHAR(34)&amp;","</f>
        <v>"Drafted by Gentle, Men",</v>
      </c>
      <c r="X67" s="12" t="str">
        <f>CHAR(34)&amp;X17&amp;CHAR(34)&amp;","</f>
        <v>"../Images/GM_Final.png",</v>
      </c>
      <c r="Y67" s="12" t="str">
        <f>CHAR(34)&amp;Y17&amp;CHAR(34)&amp;","</f>
        <v>"../Images/Players/Will.png",</v>
      </c>
    </row>
    <row r="68" spans="2:25" ht="14.25" customHeight="1" x14ac:dyDescent="0.45">
      <c r="B68" s="12" t="str">
        <f>CHAR(34)&amp;B18&amp;CHAR(34)</f>
        <v>"Mitch Yue"</v>
      </c>
      <c r="C68" s="12" t="str">
        <f>CHAR(34)&amp;C18&amp;CHAR(34)</f>
        <v>"Gentle, Men"</v>
      </c>
      <c r="D68" s="12" t="str">
        <f>CHAR(34)&amp;D18&amp;CHAR(34)</f>
        <v>"0"</v>
      </c>
      <c r="E68" s="12" t="str">
        <f>CHAR(34)&amp;E18&amp;CHAR(34)</f>
        <v>"0"</v>
      </c>
      <c r="F68" s="12" t="str">
        <f>CHAR(34)&amp;F18&amp;CHAR(34)</f>
        <v>"0"</v>
      </c>
      <c r="G68" s="12" t="str">
        <f>CHAR(34)&amp;G18&amp;CHAR(34)</f>
        <v>"0"</v>
      </c>
      <c r="H68" s="12" t="str">
        <f>CHAR(34)&amp;H18&amp;CHAR(34)</f>
        <v>"0"</v>
      </c>
      <c r="I68" s="12" t="str">
        <f>CHAR(34)&amp;I18&amp;CHAR(34)</f>
        <v>"0"</v>
      </c>
      <c r="J68" s="12" t="str">
        <f>CHAR(34)&amp;J18&amp;CHAR(34)</f>
        <v>"0"</v>
      </c>
      <c r="K68" s="12" t="str">
        <f>CHAR(34)&amp;K18&amp;CHAR(34)</f>
        <v>"0"</v>
      </c>
      <c r="L68" s="12" t="str">
        <f>CHAR(34)&amp;L18&amp;CHAR(34)</f>
        <v>"0"</v>
      </c>
      <c r="M68" s="12" t="str">
        <f>CHAR(34)&amp;M18&amp;CHAR(34)</f>
        <v>"0"</v>
      </c>
      <c r="N68" s="12" t="str">
        <f>CHAR(34)&amp;N18&amp;CHAR(34)</f>
        <v>"0"</v>
      </c>
      <c r="O68" s="12" t="str">
        <f>CHAR(34)&amp;O18&amp;CHAR(34)</f>
        <v>""</v>
      </c>
      <c r="P68" s="12" t="str">
        <f>CHAR(34)&amp;P18&amp;CHAR(34)</f>
        <v>""</v>
      </c>
      <c r="Q68" s="12" t="str">
        <f>CHAR(34)&amp;Q18&amp;CHAR(34)</f>
        <v>""</v>
      </c>
      <c r="R68" s="12" t="str">
        <f>CHAR(34)&amp;R18&amp;CHAR(34)</f>
        <v>""</v>
      </c>
      <c r="S68" s="12" t="str">
        <f>CHAR(34)&amp;S18&amp;CHAR(34)</f>
        <v>""</v>
      </c>
      <c r="T68" s="12" t="str">
        <f>CHAR(34)&amp;T18&amp;CHAR(34)</f>
        <v>""</v>
      </c>
      <c r="U68" s="12" t="str">
        <f>CHAR(34)&amp;U18&amp;CHAR(34)</f>
        <v>""</v>
      </c>
      <c r="V68" s="12" t="str">
        <f>CHAR(34)&amp;V18&amp;CHAR(34)</f>
        <v>""</v>
      </c>
      <c r="W68" s="12" t="str">
        <f>CHAR(34)&amp;W18&amp;CHAR(34)</f>
        <v>"Drafted by Gentle, Men"</v>
      </c>
      <c r="X68" s="12" t="str">
        <f>CHAR(34)&amp;X18&amp;CHAR(34)</f>
        <v>"../Images/GM_Final.png"</v>
      </c>
      <c r="Y68" s="12" t="str">
        <f>CHAR(34)&amp;Y18&amp;CHAR(34)</f>
        <v>""</v>
      </c>
    </row>
    <row r="69" spans="2:25" ht="14.25" customHeight="1" x14ac:dyDescent="0.4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5" ht="14.25" customHeight="1" x14ac:dyDescent="0.45"/>
    <row r="71" spans="2:25" ht="14.25" customHeight="1" x14ac:dyDescent="0.45"/>
    <row r="72" spans="2:25" ht="14.25" customHeight="1" x14ac:dyDescent="0.45"/>
    <row r="73" spans="2:25" ht="14.25" customHeight="1" x14ac:dyDescent="0.45"/>
    <row r="74" spans="2:25" ht="14.25" customHeight="1" x14ac:dyDescent="0.45"/>
    <row r="75" spans="2:25" ht="14.25" customHeight="1" x14ac:dyDescent="0.45">
      <c r="B75" s="14"/>
    </row>
    <row r="76" spans="2:25" ht="14.25" customHeight="1" x14ac:dyDescent="0.45"/>
    <row r="77" spans="2:25" ht="14.25" customHeight="1" x14ac:dyDescent="0.45"/>
    <row r="78" spans="2:25" ht="14.25" customHeight="1" x14ac:dyDescent="0.45"/>
    <row r="79" spans="2:25" ht="14.25" customHeight="1" x14ac:dyDescent="0.45"/>
    <row r="80" spans="2:25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Q6" sqref="Q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220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32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166</v>
      </c>
      <c r="E6" s="126" t="s">
        <v>164</v>
      </c>
      <c r="F6" s="126" t="s">
        <v>210</v>
      </c>
      <c r="G6" s="126" t="s">
        <v>46</v>
      </c>
      <c r="H6" s="126" t="s">
        <v>83</v>
      </c>
      <c r="I6" s="126" t="s">
        <v>212</v>
      </c>
      <c r="J6" s="126" t="s">
        <v>212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166</v>
      </c>
      <c r="E7" s="126" t="s">
        <v>164</v>
      </c>
      <c r="F7" s="126" t="s">
        <v>208</v>
      </c>
      <c r="G7" s="126" t="s">
        <v>52</v>
      </c>
      <c r="H7" s="126" t="s">
        <v>211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166</v>
      </c>
      <c r="E8" s="126" t="s">
        <v>165</v>
      </c>
      <c r="F8" s="126" t="s">
        <v>210</v>
      </c>
      <c r="G8" s="126" t="s">
        <v>52</v>
      </c>
      <c r="H8" s="126" t="s">
        <v>211</v>
      </c>
      <c r="I8" s="126" t="s">
        <v>212</v>
      </c>
      <c r="J8" s="126" t="s">
        <v>212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166</v>
      </c>
      <c r="E9" s="126" t="s">
        <v>165</v>
      </c>
      <c r="F9" s="126" t="s">
        <v>208</v>
      </c>
      <c r="G9" s="126" t="s">
        <v>27</v>
      </c>
      <c r="H9" s="126" t="s">
        <v>211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166</v>
      </c>
      <c r="E10" s="126" t="s">
        <v>164</v>
      </c>
      <c r="F10" s="126" t="s">
        <v>210</v>
      </c>
      <c r="G10" s="126" t="s">
        <v>52</v>
      </c>
      <c r="H10" s="126" t="s">
        <v>83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164</v>
      </c>
      <c r="F11" s="126" t="s">
        <v>208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166</v>
      </c>
      <c r="E12" s="126" t="s">
        <v>165</v>
      </c>
      <c r="F12" s="126" t="s">
        <v>210</v>
      </c>
      <c r="G12" s="126" t="s">
        <v>30</v>
      </c>
      <c r="H12" s="126" t="s">
        <v>211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165</v>
      </c>
      <c r="F13" s="126" t="s">
        <v>208</v>
      </c>
      <c r="G13" s="126" t="s">
        <v>27</v>
      </c>
      <c r="H13" s="126" t="s">
        <v>211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164</v>
      </c>
      <c r="E14" s="126" t="s">
        <v>166</v>
      </c>
      <c r="F14" s="126" t="s">
        <v>210</v>
      </c>
      <c r="G14" s="126" t="s">
        <v>37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166</v>
      </c>
      <c r="E15" s="126" t="s">
        <v>164</v>
      </c>
      <c r="F15" s="127" t="s">
        <v>214</v>
      </c>
      <c r="G15" s="126" t="s">
        <v>27</v>
      </c>
      <c r="H15" s="126" t="s">
        <v>211</v>
      </c>
      <c r="I15" s="126" t="s">
        <v>212</v>
      </c>
      <c r="J15" s="126" t="s">
        <v>212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166</v>
      </c>
      <c r="E16" s="126" t="s">
        <v>164</v>
      </c>
      <c r="F16" s="127" t="s">
        <v>213</v>
      </c>
      <c r="G16" s="126" t="s">
        <v>30</v>
      </c>
      <c r="H16" s="126" t="s">
        <v>211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166</v>
      </c>
      <c r="E17" s="126" t="s">
        <v>165</v>
      </c>
      <c r="F17" s="126" t="s">
        <v>210</v>
      </c>
      <c r="G17" s="126" t="s">
        <v>27</v>
      </c>
      <c r="H17" s="126" t="s">
        <v>211</v>
      </c>
      <c r="I17" s="126" t="s">
        <v>212</v>
      </c>
      <c r="J17" s="126" t="s">
        <v>212</v>
      </c>
      <c r="K17" s="126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165</v>
      </c>
      <c r="E18" s="126" t="s">
        <v>166</v>
      </c>
      <c r="F18" s="127" t="s">
        <v>214</v>
      </c>
      <c r="G18" s="126" t="s">
        <v>55</v>
      </c>
      <c r="H18" s="126" t="s">
        <v>83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165</v>
      </c>
      <c r="F19" s="127" t="s">
        <v>213</v>
      </c>
      <c r="G19" s="126" t="s">
        <v>25</v>
      </c>
      <c r="H19" s="126" t="s">
        <v>211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164</v>
      </c>
      <c r="F20" s="126" t="s">
        <v>210</v>
      </c>
      <c r="G20" s="126" t="s">
        <v>30</v>
      </c>
      <c r="H20" s="126" t="s">
        <v>211</v>
      </c>
      <c r="I20" s="126" t="s">
        <v>212</v>
      </c>
      <c r="J20" s="126" t="s">
        <v>212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166</v>
      </c>
      <c r="E21" s="126" t="s">
        <v>164</v>
      </c>
      <c r="F21" s="126" t="s">
        <v>208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165</v>
      </c>
      <c r="F22" t="s">
        <v>210</v>
      </c>
      <c r="G22" t="s">
        <v>30</v>
      </c>
      <c r="H22" t="s">
        <v>211</v>
      </c>
      <c r="I22" t="s">
        <v>212</v>
      </c>
      <c r="J22" t="s">
        <v>212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165</v>
      </c>
      <c r="F23" t="s">
        <v>208</v>
      </c>
      <c r="G23" t="s">
        <v>30</v>
      </c>
      <c r="H23" t="s">
        <v>211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164</v>
      </c>
      <c r="E24" t="s">
        <v>166</v>
      </c>
      <c r="F24" t="s">
        <v>210</v>
      </c>
      <c r="G24" t="s">
        <v>44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164</v>
      </c>
      <c r="E25" t="s">
        <v>166</v>
      </c>
      <c r="F25" t="s">
        <v>208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37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COUNT(C4:C42)-D45-F45</f>
        <v>16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219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44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164</v>
      </c>
      <c r="E6" s="126" t="s">
        <v>166</v>
      </c>
      <c r="F6" s="126" t="s">
        <v>210</v>
      </c>
      <c r="G6" s="126" t="s">
        <v>44</v>
      </c>
      <c r="H6" s="126" t="s">
        <v>83</v>
      </c>
      <c r="I6" s="126" t="s">
        <v>212</v>
      </c>
      <c r="J6" s="126" t="s">
        <v>212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166</v>
      </c>
      <c r="F7" s="126" t="s">
        <v>208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164</v>
      </c>
      <c r="E8" s="126" t="s">
        <v>165</v>
      </c>
      <c r="F8" s="126" t="s">
        <v>210</v>
      </c>
      <c r="G8" s="126" t="s">
        <v>44</v>
      </c>
      <c r="H8" s="126" t="s">
        <v>211</v>
      </c>
      <c r="I8" s="126" t="s">
        <v>212</v>
      </c>
      <c r="J8" s="126" t="s">
        <v>212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165</v>
      </c>
      <c r="E9" s="126" t="s">
        <v>164</v>
      </c>
      <c r="F9" s="127" t="s">
        <v>214</v>
      </c>
      <c r="G9" s="126" t="s">
        <v>91</v>
      </c>
      <c r="H9" s="126" t="s">
        <v>83</v>
      </c>
      <c r="I9" s="126" t="s">
        <v>212</v>
      </c>
      <c r="J9" s="126" t="s">
        <v>212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165</v>
      </c>
      <c r="E10" s="126" t="s">
        <v>164</v>
      </c>
      <c r="F10" s="127" t="s">
        <v>213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165</v>
      </c>
      <c r="F11" s="126" t="s">
        <v>210</v>
      </c>
      <c r="G11" s="126" t="s">
        <v>30</v>
      </c>
      <c r="H11" s="126" t="s">
        <v>211</v>
      </c>
      <c r="I11" s="126" t="s">
        <v>212</v>
      </c>
      <c r="J11" s="126" t="s">
        <v>212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166</v>
      </c>
      <c r="E12" s="126" t="s">
        <v>165</v>
      </c>
      <c r="F12" s="126" t="s">
        <v>208</v>
      </c>
      <c r="G12" s="126" t="s">
        <v>27</v>
      </c>
      <c r="H12" s="126" t="s">
        <v>211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164</v>
      </c>
      <c r="F13" s="126" t="s">
        <v>210</v>
      </c>
      <c r="G13" s="126" t="s">
        <v>27</v>
      </c>
      <c r="H13" s="126" t="s">
        <v>211</v>
      </c>
      <c r="I13" s="126" t="s">
        <v>212</v>
      </c>
      <c r="J13" s="126" t="s">
        <v>212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164</v>
      </c>
      <c r="E14" s="126" t="s">
        <v>166</v>
      </c>
      <c r="F14" s="127" t="s">
        <v>214</v>
      </c>
      <c r="G14" s="126" t="s">
        <v>37</v>
      </c>
      <c r="H14" s="126" t="s">
        <v>211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164</v>
      </c>
      <c r="E15" s="126" t="s">
        <v>166</v>
      </c>
      <c r="F15" s="127" t="s">
        <v>213</v>
      </c>
      <c r="G15" s="126" t="s">
        <v>185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164</v>
      </c>
      <c r="E16" s="126" t="s">
        <v>165</v>
      </c>
      <c r="F16" s="126" t="s">
        <v>210</v>
      </c>
      <c r="G16" s="126" t="s">
        <v>44</v>
      </c>
      <c r="H16" s="126" t="s">
        <v>211</v>
      </c>
      <c r="I16" s="126" t="s">
        <v>212</v>
      </c>
      <c r="J16" s="126" t="s">
        <v>212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164</v>
      </c>
      <c r="E17" s="126" t="s">
        <v>165</v>
      </c>
      <c r="F17" s="126" t="s">
        <v>208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166</v>
      </c>
      <c r="E18" s="126" t="s">
        <v>164</v>
      </c>
      <c r="F18" s="126" t="s">
        <v>210</v>
      </c>
      <c r="G18" s="126" t="s">
        <v>30</v>
      </c>
      <c r="H18" s="126" t="s">
        <v>211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164</v>
      </c>
      <c r="F19" s="126" t="s">
        <v>208</v>
      </c>
      <c r="G19" s="126" t="s">
        <v>30</v>
      </c>
      <c r="H19" s="126" t="s">
        <v>211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165</v>
      </c>
      <c r="F20" s="126" t="s">
        <v>210</v>
      </c>
      <c r="G20" s="126" t="s">
        <v>46</v>
      </c>
      <c r="H20" s="126" t="s">
        <v>83</v>
      </c>
      <c r="I20" s="126" t="s">
        <v>212</v>
      </c>
      <c r="J20" s="126" t="s">
        <v>212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166</v>
      </c>
      <c r="E21" t="s">
        <v>165</v>
      </c>
      <c r="F21" t="s">
        <v>208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164</v>
      </c>
      <c r="F22" t="s">
        <v>210</v>
      </c>
      <c r="G22" t="s">
        <v>46</v>
      </c>
      <c r="H22" t="s">
        <v>83</v>
      </c>
      <c r="I22" t="s">
        <v>212</v>
      </c>
      <c r="J22" t="s">
        <v>212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164</v>
      </c>
      <c r="F23" t="s">
        <v>208</v>
      </c>
      <c r="G23" t="s">
        <v>30</v>
      </c>
      <c r="H23" t="s">
        <v>211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165</v>
      </c>
      <c r="E24" t="s">
        <v>166</v>
      </c>
      <c r="F24" t="s">
        <v>210</v>
      </c>
      <c r="G24" t="s">
        <v>91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165</v>
      </c>
      <c r="E25" t="s">
        <v>166</v>
      </c>
      <c r="F25" t="s">
        <v>208</v>
      </c>
      <c r="G25" t="s">
        <v>55</v>
      </c>
      <c r="H25" t="s">
        <v>211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44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32</v>
      </c>
      <c r="H27" t="s">
        <v>211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217</v>
      </c>
      <c r="C4" s="126">
        <v>1</v>
      </c>
      <c r="D4" s="126" t="s">
        <v>166</v>
      </c>
      <c r="E4" s="126" t="s">
        <v>164</v>
      </c>
      <c r="F4" s="126" t="s">
        <v>210</v>
      </c>
      <c r="G4" s="126" t="s">
        <v>30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166</v>
      </c>
      <c r="F5" s="126" t="s">
        <v>214</v>
      </c>
      <c r="G5" s="126" t="s">
        <v>32</v>
      </c>
      <c r="H5" s="126" t="s">
        <v>211</v>
      </c>
      <c r="I5" s="126" t="s">
        <v>212</v>
      </c>
      <c r="J5" s="126" t="s">
        <v>212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164</v>
      </c>
      <c r="E6" s="126" t="s">
        <v>166</v>
      </c>
      <c r="F6" s="126" t="s">
        <v>213</v>
      </c>
      <c r="G6" s="126" t="s">
        <v>37</v>
      </c>
      <c r="H6" s="126" t="s">
        <v>211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165</v>
      </c>
      <c r="F7" s="126" t="s">
        <v>210</v>
      </c>
      <c r="G7" s="126" t="s">
        <v>37</v>
      </c>
      <c r="H7" s="126" t="s">
        <v>211</v>
      </c>
      <c r="I7" s="126" t="s">
        <v>212</v>
      </c>
      <c r="J7" s="126" t="s">
        <v>212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165</v>
      </c>
      <c r="E8" s="126" t="s">
        <v>164</v>
      </c>
      <c r="F8" s="126" t="s">
        <v>214</v>
      </c>
      <c r="G8" s="126" t="s">
        <v>91</v>
      </c>
      <c r="H8" s="126" t="s">
        <v>83</v>
      </c>
      <c r="I8" s="126" t="s">
        <v>212</v>
      </c>
      <c r="J8" s="126" t="s">
        <v>212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164</v>
      </c>
      <c r="E9" s="126" t="s">
        <v>165</v>
      </c>
      <c r="F9" s="126" t="s">
        <v>213</v>
      </c>
      <c r="G9" s="126" t="s">
        <v>32</v>
      </c>
      <c r="H9" s="126" t="s">
        <v>211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164</v>
      </c>
      <c r="E10" s="126" t="s">
        <v>166</v>
      </c>
      <c r="F10" s="126" t="s">
        <v>210</v>
      </c>
      <c r="G10" s="126" t="s">
        <v>37</v>
      </c>
      <c r="H10" s="126" t="s">
        <v>211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164</v>
      </c>
      <c r="E11" s="126" t="s">
        <v>166</v>
      </c>
      <c r="F11" s="126" t="s">
        <v>208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165</v>
      </c>
      <c r="E12" s="126" t="s">
        <v>164</v>
      </c>
      <c r="F12" s="126" t="s">
        <v>210</v>
      </c>
      <c r="G12" s="126" t="s">
        <v>41</v>
      </c>
      <c r="H12" s="126" t="s">
        <v>83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165</v>
      </c>
      <c r="E13" s="126" t="s">
        <v>164</v>
      </c>
      <c r="F13" s="126" t="s">
        <v>208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166</v>
      </c>
      <c r="E14" s="126" t="s">
        <v>165</v>
      </c>
      <c r="F14" s="126" t="s">
        <v>210</v>
      </c>
      <c r="G14" s="126" t="s">
        <v>52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166</v>
      </c>
      <c r="E15" s="126" t="s">
        <v>165</v>
      </c>
      <c r="F15" s="126" t="s">
        <v>208</v>
      </c>
      <c r="G15" s="126" t="s">
        <v>30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216</v>
      </c>
      <c r="C4" s="125">
        <v>1</v>
      </c>
      <c r="D4" s="125" t="s">
        <v>166</v>
      </c>
      <c r="E4" s="125" t="s">
        <v>164</v>
      </c>
      <c r="F4" s="125" t="s">
        <v>210</v>
      </c>
      <c r="G4" s="125" t="s">
        <v>52</v>
      </c>
      <c r="H4" s="125" t="s">
        <v>211</v>
      </c>
      <c r="I4" s="125" t="s">
        <v>212</v>
      </c>
      <c r="J4" s="125" t="s">
        <v>212</v>
      </c>
      <c r="K4" s="125">
        <v>1</v>
      </c>
      <c r="M4" s="1" t="s">
        <v>157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164</v>
      </c>
      <c r="E5" s="125" t="s">
        <v>166</v>
      </c>
      <c r="F5" s="125" t="s">
        <v>214</v>
      </c>
      <c r="G5" s="125" t="s">
        <v>44</v>
      </c>
      <c r="H5" s="125" t="s">
        <v>83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166</v>
      </c>
      <c r="E6" s="125" t="s">
        <v>164</v>
      </c>
      <c r="F6" s="125" t="s">
        <v>213</v>
      </c>
      <c r="G6" s="125" t="s">
        <v>30</v>
      </c>
      <c r="H6" s="125" t="s">
        <v>211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166</v>
      </c>
      <c r="E7" s="125" t="s">
        <v>165</v>
      </c>
      <c r="F7" s="125" t="s">
        <v>210</v>
      </c>
      <c r="G7" s="125" t="s">
        <v>52</v>
      </c>
      <c r="H7" s="125" t="s">
        <v>83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166</v>
      </c>
      <c r="E8" s="125" t="s">
        <v>165</v>
      </c>
      <c r="F8" s="125" t="s">
        <v>208</v>
      </c>
      <c r="G8" s="125" t="s">
        <v>30</v>
      </c>
      <c r="H8" s="125" t="s">
        <v>211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164</v>
      </c>
      <c r="E9" s="125" t="s">
        <v>166</v>
      </c>
      <c r="F9" s="125" t="s">
        <v>210</v>
      </c>
      <c r="G9" s="125" t="s">
        <v>44</v>
      </c>
      <c r="H9" s="125" t="s">
        <v>83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166</v>
      </c>
      <c r="E10" s="125" t="s">
        <v>164</v>
      </c>
      <c r="F10" s="125" t="s">
        <v>214</v>
      </c>
      <c r="G10" s="125" t="s">
        <v>27</v>
      </c>
      <c r="H10" s="125" t="s">
        <v>211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164</v>
      </c>
      <c r="E11" s="125" t="s">
        <v>166</v>
      </c>
      <c r="F11" s="125" t="s">
        <v>213</v>
      </c>
      <c r="G11" s="125" t="s">
        <v>37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83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165</v>
      </c>
      <c r="E13" s="125" t="s">
        <v>164</v>
      </c>
      <c r="F13" s="125" t="s">
        <v>213</v>
      </c>
      <c r="G13" s="125" t="s">
        <v>55</v>
      </c>
      <c r="H13" s="125" t="s">
        <v>209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157</v>
      </c>
      <c r="AB3" s="102" t="s">
        <v>35</v>
      </c>
      <c r="AC3" s="1"/>
    </row>
    <row r="4" spans="2:31" ht="14.25" customHeight="1" x14ac:dyDescent="0.5">
      <c r="B4" s="122" t="s">
        <v>205</v>
      </c>
      <c r="C4" s="125">
        <v>1</v>
      </c>
      <c r="D4" s="125" t="s">
        <v>165</v>
      </c>
      <c r="E4" s="125" t="s">
        <v>166</v>
      </c>
      <c r="F4" s="125" t="s">
        <v>208</v>
      </c>
      <c r="G4" s="125" t="s">
        <v>39</v>
      </c>
      <c r="H4" s="125" t="s">
        <v>209</v>
      </c>
      <c r="I4" s="125">
        <v>1</v>
      </c>
      <c r="J4" s="125">
        <v>1</v>
      </c>
      <c r="K4" s="125">
        <v>1</v>
      </c>
      <c r="M4" s="1" t="s">
        <v>157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164</v>
      </c>
      <c r="E5" s="125" t="s">
        <v>165</v>
      </c>
      <c r="F5" s="125" t="s">
        <v>210</v>
      </c>
      <c r="G5" s="125" t="s">
        <v>32</v>
      </c>
      <c r="H5" s="125" t="s">
        <v>211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165</v>
      </c>
      <c r="E6" s="125" t="s">
        <v>164</v>
      </c>
      <c r="F6" s="125" t="s">
        <v>213</v>
      </c>
      <c r="G6" s="125" t="s">
        <v>55</v>
      </c>
      <c r="H6" s="125" t="s">
        <v>209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166</v>
      </c>
      <c r="E7" s="125" t="s">
        <v>165</v>
      </c>
      <c r="F7" s="125" t="s">
        <v>210</v>
      </c>
      <c r="G7" s="125" t="s">
        <v>27</v>
      </c>
      <c r="H7" s="125" t="s">
        <v>211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166</v>
      </c>
      <c r="E8" s="125" t="s">
        <v>165</v>
      </c>
      <c r="F8" s="125" t="s">
        <v>208</v>
      </c>
      <c r="G8" s="125" t="s">
        <v>52</v>
      </c>
      <c r="H8" s="125" t="s">
        <v>211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166</v>
      </c>
      <c r="E9" s="125" t="s">
        <v>164</v>
      </c>
      <c r="F9" s="125" t="s">
        <v>210</v>
      </c>
      <c r="G9" s="125" t="s">
        <v>27</v>
      </c>
      <c r="H9" s="125" t="s">
        <v>211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164</v>
      </c>
      <c r="E10" s="125" t="s">
        <v>166</v>
      </c>
      <c r="F10" s="125" t="s">
        <v>214</v>
      </c>
      <c r="G10" s="125" t="s">
        <v>32</v>
      </c>
      <c r="H10" s="125" t="s">
        <v>83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164</v>
      </c>
      <c r="E11" s="125" t="s">
        <v>166</v>
      </c>
      <c r="F11" s="125" t="s">
        <v>213</v>
      </c>
      <c r="G11" s="125" t="s">
        <v>185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211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164</v>
      </c>
      <c r="E13" s="125" t="s">
        <v>165</v>
      </c>
      <c r="F13" s="125" t="s">
        <v>208</v>
      </c>
      <c r="G13" s="125" t="s">
        <v>32</v>
      </c>
      <c r="H13" s="125" t="s">
        <v>211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166</v>
      </c>
      <c r="E14" s="125" t="s">
        <v>164</v>
      </c>
      <c r="F14" s="125" t="s">
        <v>210</v>
      </c>
      <c r="G14" s="125" t="s">
        <v>27</v>
      </c>
      <c r="H14" s="125" t="s">
        <v>211</v>
      </c>
      <c r="I14" s="125" t="s">
        <v>212</v>
      </c>
      <c r="J14" s="125" t="s">
        <v>212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166</v>
      </c>
      <c r="E15" s="125" t="s">
        <v>164</v>
      </c>
      <c r="F15" s="125" t="s">
        <v>208</v>
      </c>
      <c r="G15" s="125" t="s">
        <v>27</v>
      </c>
      <c r="H15" s="125" t="s">
        <v>211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166</v>
      </c>
      <c r="E16" s="125" t="s">
        <v>165</v>
      </c>
      <c r="F16" s="125" t="s">
        <v>210</v>
      </c>
      <c r="G16" s="125" t="s">
        <v>46</v>
      </c>
      <c r="H16" s="125" t="s">
        <v>83</v>
      </c>
      <c r="I16" s="125" t="s">
        <v>212</v>
      </c>
      <c r="J16" s="125" t="s">
        <v>212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165</v>
      </c>
      <c r="E17" s="125" t="s">
        <v>166</v>
      </c>
      <c r="F17" s="125" t="s">
        <v>214</v>
      </c>
      <c r="G17" s="125" t="s">
        <v>41</v>
      </c>
      <c r="H17" s="125" t="s">
        <v>211</v>
      </c>
      <c r="I17" s="125" t="s">
        <v>212</v>
      </c>
      <c r="J17" s="125" t="s">
        <v>212</v>
      </c>
      <c r="K17" s="125">
        <v>1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166</v>
      </c>
      <c r="E18" s="125" t="s">
        <v>165</v>
      </c>
      <c r="F18" s="125" t="s">
        <v>213</v>
      </c>
      <c r="G18" s="125" t="s">
        <v>27</v>
      </c>
      <c r="H18" s="125" t="s">
        <v>211</v>
      </c>
      <c r="I18" s="125">
        <v>2</v>
      </c>
      <c r="J18" s="125">
        <v>3</v>
      </c>
      <c r="K18" s="125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166</v>
      </c>
      <c r="E19" s="125" t="s">
        <v>164</v>
      </c>
      <c r="F19" s="125" t="s">
        <v>210</v>
      </c>
      <c r="G19" s="125" t="s">
        <v>30</v>
      </c>
      <c r="H19" s="125" t="s">
        <v>211</v>
      </c>
      <c r="I19" s="125" t="s">
        <v>212</v>
      </c>
      <c r="J19" s="125" t="s">
        <v>212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164</v>
      </c>
      <c r="E20" s="125" t="s">
        <v>166</v>
      </c>
      <c r="F20" s="125" t="s">
        <v>214</v>
      </c>
      <c r="G20" s="125" t="s">
        <v>44</v>
      </c>
      <c r="H20" s="125" t="s">
        <v>211</v>
      </c>
      <c r="I20" s="125" t="s">
        <v>212</v>
      </c>
      <c r="J20" s="125" t="s">
        <v>212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166</v>
      </c>
      <c r="E21" s="125" t="s">
        <v>164</v>
      </c>
      <c r="F21" s="125" t="s">
        <v>213</v>
      </c>
      <c r="G21" s="125" t="s">
        <v>30</v>
      </c>
      <c r="H21" s="125" t="s">
        <v>211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1000"/>
  <sheetViews>
    <sheetView topLeftCell="D1" zoomScale="49" workbookViewId="0">
      <selection activeCell="AE49" sqref="AE49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7" ht="14.25" customHeight="1" x14ac:dyDescent="0.45"/>
    <row r="2" spans="1:57" ht="14.25" customHeight="1" x14ac:dyDescent="0.45">
      <c r="B2" s="2" t="s">
        <v>65</v>
      </c>
    </row>
    <row r="3" spans="1:57" ht="14.25" customHeight="1" x14ac:dyDescent="0.45"/>
    <row r="4" spans="1:57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173</v>
      </c>
      <c r="G4" s="70" t="s">
        <v>175</v>
      </c>
      <c r="H4" s="70" t="s">
        <v>179</v>
      </c>
      <c r="I4" s="70" t="s">
        <v>176</v>
      </c>
      <c r="J4" s="70" t="s">
        <v>177</v>
      </c>
      <c r="K4" s="70" t="s">
        <v>180</v>
      </c>
      <c r="L4" s="70" t="s">
        <v>181</v>
      </c>
      <c r="M4" s="70" t="s">
        <v>182</v>
      </c>
      <c r="N4" s="70" t="s">
        <v>183</v>
      </c>
      <c r="O4" s="70" t="s">
        <v>174</v>
      </c>
      <c r="P4" s="70" t="s">
        <v>178</v>
      </c>
      <c r="Q4" s="70" t="s">
        <v>184</v>
      </c>
      <c r="S4" s="2" t="s">
        <v>69</v>
      </c>
      <c r="Z4" t="s">
        <v>113</v>
      </c>
      <c r="AA4" s="78">
        <f>AA6/(20-AA5)</f>
        <v>0.4</v>
      </c>
    </row>
    <row r="5" spans="1:57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12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146</v>
      </c>
      <c r="AA5">
        <v>0</v>
      </c>
      <c r="AR5" s="40"/>
      <c r="AS5" s="40"/>
      <c r="AT5" s="40"/>
    </row>
    <row r="6" spans="1:57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7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14.125</v>
      </c>
      <c r="T6" s="110">
        <f>AVERAGE(C5:C40)</f>
        <v>4.375</v>
      </c>
      <c r="U6" s="110">
        <f>AVERAGE(D5:D40)</f>
        <v>8.75</v>
      </c>
      <c r="V6" s="110">
        <f>AVERAGE(E5:E40)</f>
        <v>1</v>
      </c>
      <c r="Z6" s="48" t="s">
        <v>134</v>
      </c>
      <c r="AA6" s="6">
        <f>AA47+AA67+AA27+AN47+AL67+AA87+AL27</f>
        <v>8</v>
      </c>
      <c r="AK6" s="10"/>
      <c r="AN6" s="10"/>
      <c r="AO6" s="10"/>
      <c r="AQ6" s="29"/>
      <c r="AT6" s="40"/>
      <c r="AU6" s="40"/>
      <c r="AV6" s="40"/>
      <c r="AX6" s="13"/>
    </row>
    <row r="7" spans="1:57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8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0.30973451327433627</v>
      </c>
      <c r="U7" s="4">
        <f>U6/$S$6</f>
        <v>0.61946902654867253</v>
      </c>
      <c r="V7" s="4">
        <f>V6/$S$6</f>
        <v>7.0796460176991149E-2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24" t="s">
        <v>237</v>
      </c>
      <c r="AJ7" s="24" t="s">
        <v>239</v>
      </c>
      <c r="AK7" s="18" t="s">
        <v>5</v>
      </c>
      <c r="AL7" s="24" t="s">
        <v>96</v>
      </c>
      <c r="AM7" s="41"/>
      <c r="AP7" s="41"/>
      <c r="AQ7" s="41"/>
      <c r="AR7" s="10"/>
      <c r="AS7" s="10"/>
      <c r="AT7" s="20"/>
      <c r="AU7" s="83"/>
      <c r="AV7" s="84"/>
      <c r="AW7" s="39"/>
      <c r="AX7" s="89"/>
      <c r="AY7" s="91"/>
      <c r="AZ7" s="88"/>
      <c r="BA7" s="88"/>
      <c r="BB7" s="88"/>
      <c r="BC7" s="88"/>
      <c r="BD7" s="88"/>
      <c r="BE7" s="88"/>
    </row>
    <row r="8" spans="1:57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17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>SUM(AA29,AA49,AN49,AA69,AL69,AA89,AL29)</f>
        <v>4</v>
      </c>
      <c r="AB8" s="96">
        <f>IF($AA$6-Table1[[#This Row],[Missed Games]]=0, 0,Table1[[#This Row],[Points]]/($AA$6-Table1[[#This Row],[Missed Games]]))</f>
        <v>0.5</v>
      </c>
      <c r="AC8" s="97">
        <f>SUM(AB29,AB49,AO49,AB69,AM69,AB89,AM29)</f>
        <v>1</v>
      </c>
      <c r="AD8" s="94">
        <f>IF($AA$6-Table1[[#This Row],[Missed Games]]=0, 0,Table1[[#This Row],[Finishes]]/($AA$6-Table1[[#This Row],[Missed Games]]))</f>
        <v>0.125</v>
      </c>
      <c r="AE8" s="97">
        <f>SUM(AC29,AC49,AP49,AC69,AN69,AC89,AN29)</f>
        <v>3</v>
      </c>
      <c r="AF8" s="94">
        <f>IF($AA$6-Table1[[#This Row],[Missed Games]]=0, 0,Table1[[#This Row],[Midranges]]/($AA$6-Table1[[#This Row],[Missed Games]]))</f>
        <v>0.375</v>
      </c>
      <c r="AG8" s="97">
        <f>SUM(AD29,AD49,AQ49,AD69,AO69,AD89,AO29)</f>
        <v>0</v>
      </c>
      <c r="AH8" s="94">
        <f>IF($AA$6-Table1[[#This Row],[Missed Games]]=0, 0,Table1[[#This Row],[Threes]]/($AA$6-Table1[[#This Row],[Missed Games]]))</f>
        <v>0</v>
      </c>
      <c r="AI8" s="97">
        <f t="shared" ref="AI8:AI23" si="0">AE49+AR49+AE69+AR69</f>
        <v>0</v>
      </c>
      <c r="AJ8" s="94">
        <f>IF($AA$6-(Table1[[#This Row],[Missed Games]]+7-AI29-AT29)=0, 0,Table1[[#This Row],[Assists]]/($AA$6-Table1[[#This Row],[Missed Games]]-7+AI29+AT29))</f>
        <v>0</v>
      </c>
      <c r="AK8" s="94" t="str">
        <f>SfW!C3</f>
        <v>Choc-Tops</v>
      </c>
      <c r="AL8" s="98">
        <f>SUM(AI29,AK49,AV49,AI69,AT69,AI89,AT29)</f>
        <v>0</v>
      </c>
      <c r="AM8" s="42"/>
      <c r="AP8" s="77"/>
      <c r="AQ8" s="76"/>
      <c r="AR8" s="76"/>
      <c r="AS8" s="23"/>
      <c r="AT8" s="13"/>
      <c r="AU8" s="20"/>
      <c r="AV8" s="79"/>
      <c r="AW8" s="85"/>
      <c r="AX8" s="90"/>
      <c r="AY8" s="20"/>
    </row>
    <row r="9" spans="1:57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16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>SUM(AA30,AA50,AN50,AA70,AL70,AA90,AL30)</f>
        <v>4</v>
      </c>
      <c r="AB9" s="96">
        <f>IF($AA$6-Table1[[#This Row],[Missed Games]]=0, 0,Table1[[#This Row],[Points]]/($AA$6-Table1[[#This Row],[Missed Games]]))</f>
        <v>0.5</v>
      </c>
      <c r="AC9" s="97">
        <f>SUM(AB30,AB50,AO50,AB70,AM70,AB90,AM30)</f>
        <v>1</v>
      </c>
      <c r="AD9" s="94">
        <f>IF($AA$6-Table1[[#This Row],[Missed Games]]=0, 0,Table1[[#This Row],[Finishes]]/($AA$6-Table1[[#This Row],[Missed Games]]))</f>
        <v>0.125</v>
      </c>
      <c r="AE9" s="97">
        <f>SUM(AC30,AC50,AP50,AC70,AN70,AC90,AN30)</f>
        <v>3</v>
      </c>
      <c r="AF9" s="94">
        <f>IF($AA$6-Table1[[#This Row],[Missed Games]]=0, 0,Table1[[#This Row],[Midranges]]/($AA$6-Table1[[#This Row],[Missed Games]]))</f>
        <v>0.375</v>
      </c>
      <c r="AG9" s="97">
        <f>SUM(AD30,AD50,AQ50,AD70,AO70,AD90,AO30)</f>
        <v>0</v>
      </c>
      <c r="AH9" s="94">
        <f>IF($AA$6-Table1[[#This Row],[Missed Games]]=0, 0,Table1[[#This Row],[Threes]]/($AA$6-Table1[[#This Row],[Missed Games]]))</f>
        <v>0</v>
      </c>
      <c r="AI9" s="97">
        <f t="shared" si="0"/>
        <v>0</v>
      </c>
      <c r="AJ9" s="94">
        <f>IF($AA$6-(Table1[[#This Row],[Missed Games]]+7-AI30-AT30)=0, 0,Table1[[#This Row],[Assists]]/($AA$6-Table1[[#This Row],[Missed Games]]-7+AI30+AT30))</f>
        <v>0</v>
      </c>
      <c r="AK9" s="94" t="str">
        <f>SfW!C4</f>
        <v>Gentle, Men</v>
      </c>
      <c r="AL9" s="98">
        <f>SUM(AI30,AK50,AV50,AI70,AT70,AI90,AT30)</f>
        <v>0</v>
      </c>
      <c r="AM9" s="42"/>
      <c r="AP9" s="77"/>
      <c r="AQ9" s="76"/>
      <c r="AR9" s="76"/>
      <c r="AS9" s="80"/>
      <c r="AT9" s="13"/>
      <c r="AU9" s="20"/>
      <c r="AV9" s="79"/>
      <c r="AW9" s="85"/>
      <c r="AX9" s="90"/>
      <c r="AY9" s="20"/>
    </row>
    <row r="10" spans="1:57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16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>SUM(AA31,AA51,AN51,AA71,AL71,AA91,AL31)</f>
        <v>16</v>
      </c>
      <c r="AB10" s="45">
        <f>IF($AA$6-Table1[[#This Row],[Missed Games]]=0, 0,Table1[[#This Row],[Points]]/($AA$6-Table1[[#This Row],[Missed Games]]))</f>
        <v>2.6666666666666665</v>
      </c>
      <c r="AC10" s="46">
        <f>SUM(AB31,AB51,AO51,AB71,AM71,AB91,AM31)</f>
        <v>16</v>
      </c>
      <c r="AD10" s="43">
        <f>IF($AA$6-Table1[[#This Row],[Missed Games]]=0, 0,Table1[[#This Row],[Finishes]]/($AA$6-Table1[[#This Row],[Missed Games]]))</f>
        <v>2.6666666666666665</v>
      </c>
      <c r="AE10" s="46">
        <f>SUM(AC31,AC51,AP51,AC71,AN71,AC91,AN31)</f>
        <v>0</v>
      </c>
      <c r="AF10" s="43">
        <f>IF($AA$6-Table1[[#This Row],[Missed Games]]=0, 0,Table1[[#This Row],[Midranges]]/($AA$6-Table1[[#This Row],[Missed Games]]))</f>
        <v>0</v>
      </c>
      <c r="AG10" s="46">
        <f>SUM(AD31,AD51,AQ51,AD71,AO71,AD91,AO31)</f>
        <v>0</v>
      </c>
      <c r="AH10" s="43">
        <f>IF($AA$6-Table1[[#This Row],[Missed Games]]=0, 0,Table1[[#This Row],[Threes]]/($AA$6-Table1[[#This Row],[Missed Games]]))</f>
        <v>0</v>
      </c>
      <c r="AI10" s="46">
        <f t="shared" si="0"/>
        <v>0</v>
      </c>
      <c r="AJ10" s="43">
        <f>IF($AA$6-(Table1[[#This Row],[Missed Games]]+7-AI31-AT31)=0, 0,Table1[[#This Row],[Assists]]/($AA$6-Table1[[#This Row],[Missed Games]]-7+AI31+AT31))</f>
        <v>0</v>
      </c>
      <c r="AK10" s="43" t="str">
        <f>SfW!C5</f>
        <v>Choc-Tops</v>
      </c>
      <c r="AL10" s="47">
        <f>SUM(AI31,AK51,AV51,AI71,AT71,AI91,AT31)</f>
        <v>2</v>
      </c>
      <c r="AM10" s="42"/>
      <c r="AP10" s="77"/>
      <c r="AQ10" s="76"/>
      <c r="AR10" s="76"/>
      <c r="AS10" s="23"/>
      <c r="AT10" s="13"/>
      <c r="AU10" s="20"/>
      <c r="AV10" s="79"/>
      <c r="AW10" s="85"/>
      <c r="AX10" s="90"/>
      <c r="AY10" s="20"/>
    </row>
    <row r="11" spans="1:57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-6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>SUM(AA32,AA52,AN52,AA72,AL72,AA92,AL32)</f>
        <v>23</v>
      </c>
      <c r="AB11" s="45">
        <f>IF($AA$6-Table1[[#This Row],[Missed Games]]=0, 0,Table1[[#This Row],[Points]]/($AA$6-Table1[[#This Row],[Missed Games]]))</f>
        <v>2.875</v>
      </c>
      <c r="AC11" s="46">
        <f>SUM(AB32,AB52,AO52,AB72,AM72,AB92,AM32)</f>
        <v>23</v>
      </c>
      <c r="AD11" s="43">
        <f>IF($AA$6-Table1[[#This Row],[Missed Games]]=0, 0,Table1[[#This Row],[Finishes]]/($AA$6-Table1[[#This Row],[Missed Games]]))</f>
        <v>2.875</v>
      </c>
      <c r="AE11" s="46">
        <f>SUM(AC32,AC52,AP52,AC72,AN72,AC92,AN32)</f>
        <v>0</v>
      </c>
      <c r="AF11" s="43">
        <f>IF($AA$6-Table1[[#This Row],[Missed Games]]=0, 0,Table1[[#This Row],[Midranges]]/($AA$6-Table1[[#This Row],[Missed Games]]))</f>
        <v>0</v>
      </c>
      <c r="AG11" s="46">
        <f>SUM(AD32,AD52,AQ52,AD72,AO72,AD92,AO32)</f>
        <v>0</v>
      </c>
      <c r="AH11" s="43">
        <f>IF($AA$6-Table1[[#This Row],[Missed Games]]=0, 0,Table1[[#This Row],[Threes]]/($AA$6-Table1[[#This Row],[Missed Games]]))</f>
        <v>0</v>
      </c>
      <c r="AI11" s="46">
        <f t="shared" si="0"/>
        <v>0</v>
      </c>
      <c r="AJ11" s="43">
        <f>IF($AA$6-(Table1[[#This Row],[Missed Games]]+7-AI32-AT32)=0, 0,Table1[[#This Row],[Assists]]/($AA$6-Table1[[#This Row],[Missed Games]]-7+AI32+AT32))</f>
        <v>0</v>
      </c>
      <c r="AK11" s="43" t="str">
        <f>SfW!C6</f>
        <v>Choc-Tops</v>
      </c>
      <c r="AL11" s="47">
        <f>SUM(AI32,AK52,AV52,AI72,AT72,AI92,AT32)</f>
        <v>0</v>
      </c>
      <c r="AM11" s="42"/>
      <c r="AP11" s="77"/>
      <c r="AQ11" s="76"/>
      <c r="AR11" s="76"/>
      <c r="AS11" s="23"/>
      <c r="AT11" s="13"/>
      <c r="AU11" s="20"/>
      <c r="AV11" s="79"/>
      <c r="AW11" s="85"/>
      <c r="AX11" s="90"/>
      <c r="AY11" s="20"/>
    </row>
    <row r="12" spans="1:57" ht="14.25" customHeight="1" x14ac:dyDescent="0.45">
      <c r="A12" s="50"/>
      <c r="B12" s="73" t="str">
        <f>'0502'!C45</f>
        <v>5 February</v>
      </c>
      <c r="C12" s="73">
        <f>'0502'!D45</f>
        <v>0</v>
      </c>
      <c r="D12" s="73">
        <f>'0502'!E45</f>
        <v>0</v>
      </c>
      <c r="E12" s="73">
        <f>'0502'!F45</f>
        <v>0</v>
      </c>
      <c r="F12" s="73">
        <f>'0502'!G45</f>
        <v>0</v>
      </c>
      <c r="G12" s="73">
        <f>'0502'!H45</f>
        <v>0</v>
      </c>
      <c r="H12" s="73">
        <f>'0502'!I45</f>
        <v>0</v>
      </c>
      <c r="I12" s="73">
        <f>'0502'!J45</f>
        <v>0</v>
      </c>
      <c r="J12" s="73">
        <f>'0502'!K45</f>
        <v>0</v>
      </c>
      <c r="K12" s="73">
        <f>'0502'!L45</f>
        <v>0</v>
      </c>
      <c r="L12" s="73">
        <f>'0502'!M45</f>
        <v>0</v>
      </c>
      <c r="M12" s="73">
        <f>'0502'!N45</f>
        <v>0</v>
      </c>
      <c r="N12" s="73">
        <f>'0502'!O45</f>
        <v>0</v>
      </c>
      <c r="O12" s="73">
        <f>'0502'!P45</f>
        <v>3</v>
      </c>
      <c r="P12" s="73">
        <f>'0502'!Q45</f>
        <v>1</v>
      </c>
      <c r="Q12" s="73">
        <f>'0502'!R45</f>
        <v>2</v>
      </c>
      <c r="Z12" s="94" t="str">
        <f>SfW!B7</f>
        <v>Michael Iffland</v>
      </c>
      <c r="AA12" s="44">
        <f>SUM(AA33,AA53,AN53,AA73,AL73,AA93,AL33)</f>
        <v>13</v>
      </c>
      <c r="AB12" s="45">
        <f>IF($AA$6-Table1[[#This Row],[Missed Games]]=0, 0,Table1[[#This Row],[Points]]/($AA$6-Table1[[#This Row],[Missed Games]]))</f>
        <v>1.625</v>
      </c>
      <c r="AC12" s="46">
        <f>SUM(AB33,AB53,AO53,AB73,AM73,AB93,AM33)</f>
        <v>10</v>
      </c>
      <c r="AD12" s="43">
        <f>IF($AA$6-Table1[[#This Row],[Missed Games]]=0, 0,Table1[[#This Row],[Finishes]]/($AA$6-Table1[[#This Row],[Missed Games]]))</f>
        <v>1.25</v>
      </c>
      <c r="AE12" s="46">
        <f>SUM(AC33,AC53,AP53,AC73,AN73,AC93,AN33)</f>
        <v>3</v>
      </c>
      <c r="AF12" s="43">
        <f>IF($AA$6-Table1[[#This Row],[Missed Games]]=0, 0,Table1[[#This Row],[Midranges]]/($AA$6-Table1[[#This Row],[Missed Games]]))</f>
        <v>0.375</v>
      </c>
      <c r="AG12" s="46">
        <f>SUM(AD33,AD53,AQ53,AD73,AO73,AD93,AO33)</f>
        <v>0</v>
      </c>
      <c r="AH12" s="43">
        <f>IF($AA$6-Table1[[#This Row],[Missed Games]]=0, 0,Table1[[#This Row],[Threes]]/($AA$6-Table1[[#This Row],[Missed Games]]))</f>
        <v>0</v>
      </c>
      <c r="AI12" s="46">
        <f t="shared" si="0"/>
        <v>0</v>
      </c>
      <c r="AJ12" s="43">
        <f>IF($AA$6-(Table1[[#This Row],[Missed Games]]+7-AI33-AT33)=0, 0,Table1[[#This Row],[Assists]]/($AA$6-Table1[[#This Row],[Missed Games]]-7+AI33+AT33))</f>
        <v>0</v>
      </c>
      <c r="AK12" s="43" t="str">
        <f>SfW!C7</f>
        <v>Gentle, Men</v>
      </c>
      <c r="AL12" s="47">
        <f>SUM(AI33,AK53,AV53,AI73,AT73,AI93,AT33)</f>
        <v>0</v>
      </c>
      <c r="AM12" s="42"/>
      <c r="AP12" s="42"/>
      <c r="AQ12" s="42"/>
      <c r="AS12" s="23"/>
      <c r="AT12" s="13"/>
      <c r="AU12" s="20"/>
      <c r="AV12" s="79"/>
      <c r="AW12" s="85"/>
      <c r="AX12" s="90"/>
      <c r="AY12" s="20"/>
    </row>
    <row r="13" spans="1:57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>SUM(AA34,AA54,AN54,AA74,AL74,AA94,AL34)</f>
        <v>7</v>
      </c>
      <c r="AB13" s="96">
        <f>IF($AA$6-Table1[[#This Row],[Missed Games]]=0, 0,Table1[[#This Row],[Points]]/($AA$6-Table1[[#This Row],[Missed Games]]))</f>
        <v>1.1666666666666667</v>
      </c>
      <c r="AC13" s="97">
        <f>SUM(AB34,AB54,AO54,AB74,AM74,AB94,AM34)</f>
        <v>6</v>
      </c>
      <c r="AD13" s="94">
        <f>IF($AA$6-Table1[[#This Row],[Missed Games]]=0, 0,Table1[[#This Row],[Finishes]]/($AA$6-Table1[[#This Row],[Missed Games]]))</f>
        <v>1</v>
      </c>
      <c r="AE13" s="97">
        <f>SUM(AC34,AC54,AP54,AC74,AN74,AC94,AN34)</f>
        <v>1</v>
      </c>
      <c r="AF13" s="94">
        <f>IF($AA$6-Table1[[#This Row],[Missed Games]]=0, 0,Table1[[#This Row],[Midranges]]/($AA$6-Table1[[#This Row],[Missed Games]]))</f>
        <v>0.16666666666666666</v>
      </c>
      <c r="AG13" s="97">
        <f>SUM(AD34,AD54,AQ54,AD74,AO74,AD94,AO34)</f>
        <v>0</v>
      </c>
      <c r="AH13" s="94">
        <f>IF($AA$6-Table1[[#This Row],[Missed Games]]=0, 0,Table1[[#This Row],[Threes]]/($AA$6-Table1[[#This Row],[Missed Games]]))</f>
        <v>0</v>
      </c>
      <c r="AI13" s="97">
        <f t="shared" si="0"/>
        <v>0</v>
      </c>
      <c r="AJ13" s="94">
        <f>IF($AA$6-(Table1[[#This Row],[Missed Games]]+7-AI34-AT34)=0, 0,Table1[[#This Row],[Assists]]/($AA$6-Table1[[#This Row],[Missed Games]]-7+AI34+AT34))</f>
        <v>0</v>
      </c>
      <c r="AK13" s="94" t="str">
        <f>SfW!C8</f>
        <v>Gentle, Men</v>
      </c>
      <c r="AL13" s="98">
        <f>SUM(AI34,AK54,AV54,AI74,AT74,AI94,AT34)</f>
        <v>2</v>
      </c>
      <c r="AM13" s="42"/>
      <c r="AP13" s="42"/>
      <c r="AQ13" s="42"/>
      <c r="AS13" s="23"/>
      <c r="AT13" s="13"/>
      <c r="AU13" s="20"/>
      <c r="AV13" s="79"/>
      <c r="AW13" s="85"/>
      <c r="AX13" s="90"/>
      <c r="AY13" s="20"/>
    </row>
    <row r="14" spans="1:57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>SUM(AA35,AA55,AN55,AA75,AL75,AA95,AL35)</f>
        <v>7</v>
      </c>
      <c r="AB14" s="96">
        <f>IF($AA$6-Table1[[#This Row],[Missed Games]]=0, 0,Table1[[#This Row],[Points]]/($AA$6-Table1[[#This Row],[Missed Games]]))</f>
        <v>0.875</v>
      </c>
      <c r="AC14" s="97">
        <f>SUM(AB35,AB55,AO55,AB75,AM75,AB95,AM35)</f>
        <v>0</v>
      </c>
      <c r="AD14" s="94">
        <f>IF($AA$6-Table1[[#This Row],[Missed Games]]=0, 0,Table1[[#This Row],[Finishes]]/($AA$6-Table1[[#This Row],[Missed Games]]))</f>
        <v>0</v>
      </c>
      <c r="AE14" s="97">
        <f>SUM(AC35,AC55,AP55,AC75,AN75,AC95,AN35)</f>
        <v>7</v>
      </c>
      <c r="AF14" s="94">
        <f>IF($AA$6-Table1[[#This Row],[Missed Games]]=0, 0,Table1[[#This Row],[Midranges]]/($AA$6-Table1[[#This Row],[Missed Games]]))</f>
        <v>0.875</v>
      </c>
      <c r="AG14" s="97">
        <f>SUM(AD35,AD55,AQ55,AD75,AO75,AD95,AO35)</f>
        <v>0</v>
      </c>
      <c r="AH14" s="94">
        <f>IF($AA$6-Table1[[#This Row],[Missed Games]]=0, 0,Table1[[#This Row],[Threes]]/($AA$6-Table1[[#This Row],[Missed Games]]))</f>
        <v>0</v>
      </c>
      <c r="AI14" s="97">
        <f t="shared" si="0"/>
        <v>0</v>
      </c>
      <c r="AJ14" s="94">
        <f>IF($AA$6-(Table1[[#This Row],[Missed Games]]+7-AI35-AT35)=0, 0,Table1[[#This Row],[Assists]]/($AA$6-Table1[[#This Row],[Missed Games]]-7+AI35+AT35))</f>
        <v>0</v>
      </c>
      <c r="AK14" s="94" t="str">
        <f>SfW!C9</f>
        <v>Traffic Controllers</v>
      </c>
      <c r="AL14" s="98">
        <f>SUM(AI35,AK55,AV55,AI75,AT75,AI95,AT35)</f>
        <v>0</v>
      </c>
      <c r="AM14" s="42"/>
      <c r="AP14" s="42"/>
      <c r="AQ14" s="42"/>
      <c r="AS14" s="23"/>
      <c r="AT14" s="13"/>
      <c r="AU14" s="20"/>
      <c r="AV14" s="79"/>
      <c r="AW14" s="85"/>
      <c r="AX14" s="90"/>
      <c r="AY14" s="20"/>
    </row>
    <row r="15" spans="1:57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>SUM(AA36,AA56,AN56,AA76,AL76,AA96,AL36)</f>
        <v>10</v>
      </c>
      <c r="AB15" s="96">
        <f>IF($AA$6-Table1[[#This Row],[Missed Games]]=0, 0,Table1[[#This Row],[Points]]/($AA$6-Table1[[#This Row],[Missed Games]]))</f>
        <v>1.25</v>
      </c>
      <c r="AC15" s="97">
        <f>SUM(AB36,AB56,AO56,AB76,AM76,AB96,AM36)</f>
        <v>1</v>
      </c>
      <c r="AD15" s="94">
        <f>IF($AA$6-Table1[[#This Row],[Missed Games]]=0, 0,Table1[[#This Row],[Finishes]]/($AA$6-Table1[[#This Row],[Missed Games]]))</f>
        <v>0.125</v>
      </c>
      <c r="AE15" s="97">
        <f>SUM(AC36,AC56,AP56,AC76,AN76,AC96,AN36)</f>
        <v>3</v>
      </c>
      <c r="AF15" s="94">
        <f>IF($AA$6-Table1[[#This Row],[Missed Games]]=0, 0,Table1[[#This Row],[Midranges]]/($AA$6-Table1[[#This Row],[Missed Games]]))</f>
        <v>0.375</v>
      </c>
      <c r="AG15" s="97">
        <f>SUM(AD36,AD56,AQ56,AD76,AO76,AD96,AO36)</f>
        <v>3</v>
      </c>
      <c r="AH15" s="94">
        <f>IF($AA$6-Table1[[#This Row],[Missed Games]]=0, 0,Table1[[#This Row],[Threes]]/($AA$6-Table1[[#This Row],[Missed Games]]))</f>
        <v>0.375</v>
      </c>
      <c r="AI15" s="97">
        <f t="shared" si="0"/>
        <v>0</v>
      </c>
      <c r="AJ15" s="94">
        <f>IF($AA$6-(Table1[[#This Row],[Missed Games]]+7-AI36-AT36)=0, 0,Table1[[#This Row],[Assists]]/($AA$6-Table1[[#This Row],[Missed Games]]-7+AI36+AT36))</f>
        <v>0</v>
      </c>
      <c r="AK15" s="94" t="str">
        <f>SfW!C10</f>
        <v>Traffic Controllers</v>
      </c>
      <c r="AL15" s="98">
        <f>SUM(AI36,AK56,AV56,AI76,AT76,AI96,AT36)</f>
        <v>0</v>
      </c>
      <c r="AM15" s="42"/>
      <c r="AP15" s="42"/>
      <c r="AQ15" s="42"/>
      <c r="AS15" s="23"/>
      <c r="AT15" s="13"/>
      <c r="AU15" s="20"/>
      <c r="AV15" s="79"/>
      <c r="AW15" s="85"/>
      <c r="AX15" s="90"/>
      <c r="AY15" s="20"/>
    </row>
    <row r="16" spans="1:57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>SUM(AA37,AA57,AN57,AA77,AL77,AA97,AL37)</f>
        <v>9</v>
      </c>
      <c r="AB16" s="45">
        <f>IF($AA$6-Table1[[#This Row],[Missed Games]]=0, 0,Table1[[#This Row],[Points]]/($AA$6-Table1[[#This Row],[Missed Games]]))</f>
        <v>1.2857142857142858</v>
      </c>
      <c r="AC16" s="46">
        <f>SUM(AB37,AB57,AO57,AB77,AM77,AB97,AM37)</f>
        <v>2</v>
      </c>
      <c r="AD16" s="43">
        <f>IF($AA$6-Table1[[#This Row],[Missed Games]]=0, 0,Table1[[#This Row],[Finishes]]/($AA$6-Table1[[#This Row],[Missed Games]]))</f>
        <v>0.2857142857142857</v>
      </c>
      <c r="AE16" s="46">
        <f>SUM(AC37,AC57,AP57,AC77,AN77,AC97,AN37)</f>
        <v>5</v>
      </c>
      <c r="AF16" s="43">
        <f>IF($AA$6-Table1[[#This Row],[Missed Games]]=0, 0,Table1[[#This Row],[Midranges]]/($AA$6-Table1[[#This Row],[Missed Games]]))</f>
        <v>0.7142857142857143</v>
      </c>
      <c r="AG16" s="46">
        <f>SUM(AD37,AD57,AQ57,AD77,AO77,AD97,AO37)</f>
        <v>1</v>
      </c>
      <c r="AH16" s="43">
        <f>IF($AA$6-Table1[[#This Row],[Missed Games]]=0, 0,Table1[[#This Row],[Threes]]/($AA$6-Table1[[#This Row],[Missed Games]]))</f>
        <v>0.14285714285714285</v>
      </c>
      <c r="AI16" s="46">
        <f t="shared" si="0"/>
        <v>0</v>
      </c>
      <c r="AJ16" s="43">
        <f>IF($AA$6-(Table1[[#This Row],[Missed Games]]+7-AI37-AT37)=0, 0,Table1[[#This Row],[Assists]]/($AA$6-Table1[[#This Row],[Missed Games]]-7+AI37+AT37))</f>
        <v>0</v>
      </c>
      <c r="AK16" s="43" t="str">
        <f>SfW!C11</f>
        <v>Traffic Controllers</v>
      </c>
      <c r="AL16" s="47">
        <f>SUM(AI37,AK57,AV57,AI77,AT77,AI97,AT37)</f>
        <v>1</v>
      </c>
      <c r="AM16" s="42"/>
      <c r="AP16" s="42"/>
      <c r="AQ16" s="42"/>
      <c r="AS16" s="23"/>
      <c r="AT16" s="13"/>
      <c r="AU16" s="20"/>
      <c r="AV16" s="79"/>
      <c r="AW16" s="85"/>
      <c r="AX16" s="90"/>
      <c r="AY16" s="20"/>
    </row>
    <row r="17" spans="2:51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>SUM(AA38,AA58,AN58,AA78,AL78,AA98,AL38)</f>
        <v>21</v>
      </c>
      <c r="AB17" s="45">
        <f>IF($AA$6-Table1[[#This Row],[Missed Games]]=0, 0,Table1[[#This Row],[Points]]/($AA$6-Table1[[#This Row],[Missed Games]]))</f>
        <v>2.625</v>
      </c>
      <c r="AC17" s="46">
        <f>SUM(AB38,AB58,AO58,AB78,AM78,AB98,AM38)</f>
        <v>7</v>
      </c>
      <c r="AD17" s="43">
        <f>IF($AA$6-Table1[[#This Row],[Missed Games]]=0, 0,Table1[[#This Row],[Finishes]]/($AA$6-Table1[[#This Row],[Missed Games]]))</f>
        <v>0.875</v>
      </c>
      <c r="AE17" s="46">
        <f>SUM(AC38,AC58,AP58,AC78,AN78,AC98,AN38)</f>
        <v>12</v>
      </c>
      <c r="AF17" s="43">
        <f>IF($AA$6-Table1[[#This Row],[Missed Games]]=0, 0,Table1[[#This Row],[Midranges]]/($AA$6-Table1[[#This Row],[Missed Games]]))</f>
        <v>1.5</v>
      </c>
      <c r="AG17" s="46">
        <f>SUM(AD38,AD58,AQ58,AD78,AO78,AD98,AO38)</f>
        <v>1</v>
      </c>
      <c r="AH17" s="43">
        <f>IF($AA$6-Table1[[#This Row],[Missed Games]]=0, 0,Table1[[#This Row],[Threes]]/($AA$6-Table1[[#This Row],[Missed Games]]))</f>
        <v>0.125</v>
      </c>
      <c r="AI17" s="46">
        <f t="shared" si="0"/>
        <v>0</v>
      </c>
      <c r="AJ17" s="43">
        <f>IF($AA$6-(Table1[[#This Row],[Missed Games]]+7-AI38-AT38)=0, 0,Table1[[#This Row],[Assists]]/($AA$6-Table1[[#This Row],[Missed Games]]-7+AI38+AT38))</f>
        <v>0</v>
      </c>
      <c r="AK17" s="43" t="str">
        <f>SfW!C12</f>
        <v>Gentle, Men</v>
      </c>
      <c r="AL17" s="47">
        <f>SUM(AI38,AK58,AV58,AI78,AT78,AI98,AT38)</f>
        <v>0</v>
      </c>
      <c r="AM17" s="42"/>
      <c r="AP17" s="42"/>
      <c r="AQ17" s="42"/>
      <c r="AS17" s="23"/>
      <c r="AT17" s="13"/>
      <c r="AU17" s="20"/>
      <c r="AV17" s="79"/>
      <c r="AW17" s="85"/>
      <c r="AX17" s="90"/>
      <c r="AY17" s="20"/>
    </row>
    <row r="18" spans="2:51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>SUM(AA39,AA59,AN59,AA79,AL79,AA99,AL39)</f>
        <v>9</v>
      </c>
      <c r="AB18" s="96">
        <f>IF($AA$6-Table1[[#This Row],[Missed Games]]=0, 0,Table1[[#This Row],[Points]]/($AA$6-Table1[[#This Row],[Missed Games]]))</f>
        <v>1.2857142857142858</v>
      </c>
      <c r="AC18" s="97">
        <f>SUM(AB39,AB59,AO59,AB79,AM79,AB99,AM39)</f>
        <v>0</v>
      </c>
      <c r="AD18" s="94">
        <f>IF($AA$6-Table1[[#This Row],[Missed Games]]=0, 0,Table1[[#This Row],[Finishes]]/($AA$6-Table1[[#This Row],[Missed Games]]))</f>
        <v>0</v>
      </c>
      <c r="AE18" s="97">
        <f>SUM(AC39,AC59,AP59,AC79,AN79,AC99,AN39)</f>
        <v>7</v>
      </c>
      <c r="AF18" s="94">
        <f>IF($AA$6-Table1[[#This Row],[Missed Games]]=0, 0,Table1[[#This Row],[Midranges]]/($AA$6-Table1[[#This Row],[Missed Games]]))</f>
        <v>1</v>
      </c>
      <c r="AG18" s="97">
        <f>SUM(AD39,AD59,AQ59,AD79,AO79,AD99,AO39)</f>
        <v>1</v>
      </c>
      <c r="AH18" s="94">
        <f>IF($AA$6-Table1[[#This Row],[Missed Games]]=0, 0,Table1[[#This Row],[Threes]]/($AA$6-Table1[[#This Row],[Missed Games]]))</f>
        <v>0.14285714285714285</v>
      </c>
      <c r="AI18" s="97">
        <f t="shared" si="0"/>
        <v>0</v>
      </c>
      <c r="AJ18" s="94">
        <f>IF($AA$6-(Table1[[#This Row],[Missed Games]]+7-AI39-AT39)=0, 0,Table1[[#This Row],[Assists]]/($AA$6-Table1[[#This Row],[Missed Games]]-7+AI39+AT39))</f>
        <v>0</v>
      </c>
      <c r="AK18" s="43" t="str">
        <f>SfW!C13</f>
        <v>Choc-Tops</v>
      </c>
      <c r="AL18" s="98">
        <f>SUM(AI39,AK59,AV59,AI79,AT79,AI99,AT39)</f>
        <v>1</v>
      </c>
      <c r="AM18" s="42"/>
      <c r="AP18" s="42"/>
      <c r="AQ18" s="42"/>
      <c r="AS18" s="23"/>
      <c r="AT18" s="13"/>
      <c r="AU18" s="20"/>
      <c r="AV18" s="79"/>
      <c r="AW18" s="85"/>
      <c r="AX18" s="90"/>
      <c r="AY18" s="20"/>
    </row>
    <row r="19" spans="2:51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>SUM(AA40,AA60,AN60,AA80,AL80,AA100,AL40)</f>
        <v>0</v>
      </c>
      <c r="AB19" s="96">
        <f>IF($AA$6-Table1[[#This Row],[Missed Games]]=0, 0,Table1[[#This Row],[Points]]/($AA$6-Table1[[#This Row],[Missed Games]]))</f>
        <v>0</v>
      </c>
      <c r="AC19" s="97">
        <f>SUM(AB40,AB60,AO60,AB80,AM80,AB100,AM40)</f>
        <v>0</v>
      </c>
      <c r="AD19" s="94">
        <f>IF($AA$6-Table1[[#This Row],[Missed Games]]=0, 0,Table1[[#This Row],[Finishes]]/($AA$6-Table1[[#This Row],[Missed Games]]))</f>
        <v>0</v>
      </c>
      <c r="AE19" s="97">
        <f>SUM(AC40,AC60,AP60,AC80,AN80,AC100,AN40)</f>
        <v>0</v>
      </c>
      <c r="AF19" s="94">
        <f>IF($AA$6-Table1[[#This Row],[Missed Games]]=0, 0,Table1[[#This Row],[Midranges]]/($AA$6-Table1[[#This Row],[Missed Games]]))</f>
        <v>0</v>
      </c>
      <c r="AG19" s="97">
        <f>SUM(AD40,AD60,AQ60,AD80,AO80,AD100,AO40)</f>
        <v>0</v>
      </c>
      <c r="AH19" s="94">
        <f>IF($AA$6-Table1[[#This Row],[Missed Games]]=0, 0,Table1[[#This Row],[Threes]]/($AA$6-Table1[[#This Row],[Missed Games]]))</f>
        <v>0</v>
      </c>
      <c r="AI19" s="97">
        <f t="shared" si="0"/>
        <v>0</v>
      </c>
      <c r="AJ19" s="94">
        <f>IF($AA$6-(Table1[[#This Row],[Missed Games]]+7-AI40-AT40)=0, 0,Table1[[#This Row],[Assists]]/($AA$6-Table1[[#This Row],[Missed Games]]-7+AI40+AT40))</f>
        <v>0</v>
      </c>
      <c r="AK19" s="43" t="str">
        <f>SfW!C14</f>
        <v>Traffic Controllers</v>
      </c>
      <c r="AL19" s="98">
        <f>SUM(AI40,AK60,AV60,AI80,AT80,AI100,AT40)</f>
        <v>7</v>
      </c>
      <c r="AM19" s="42"/>
      <c r="AP19" s="42"/>
      <c r="AQ19" s="42"/>
      <c r="AS19" s="23"/>
      <c r="AT19" s="13"/>
      <c r="AU19" s="20"/>
      <c r="AV19" s="79"/>
      <c r="AW19" s="85"/>
      <c r="AX19" s="90"/>
      <c r="AY19" s="25"/>
    </row>
    <row r="20" spans="2:51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>SUM(AA41,AA61,AN61,AA81,AL81,AA101,AL41)</f>
        <v>9</v>
      </c>
      <c r="AB20" s="96">
        <f>IF($AA$6-Table1[[#This Row],[Missed Games]]=0, 0,Table1[[#This Row],[Points]]/($AA$6-Table1[[#This Row],[Missed Games]]))</f>
        <v>1.2857142857142858</v>
      </c>
      <c r="AC20" s="97">
        <f>SUM(AB41,AB61,AO61,AB81,AM81,AB101,AM41)</f>
        <v>6</v>
      </c>
      <c r="AD20" s="94">
        <f>IF($AA$6-Table1[[#This Row],[Missed Games]]=0, 0,Table1[[#This Row],[Finishes]]/($AA$6-Table1[[#This Row],[Missed Games]]))</f>
        <v>0.8571428571428571</v>
      </c>
      <c r="AE20" s="97">
        <f>SUM(AC41,AC61,AP61,AC81,AN81,AC101,AN41)</f>
        <v>3</v>
      </c>
      <c r="AF20" s="94">
        <f>IF($AA$6-Table1[[#This Row],[Missed Games]]=0, 0,Table1[[#This Row],[Midranges]]/($AA$6-Table1[[#This Row],[Missed Games]]))</f>
        <v>0.42857142857142855</v>
      </c>
      <c r="AG20" s="97">
        <f>SUM(AD41,AD61,AQ61,AD81,AO81,AD101,AO41)</f>
        <v>0</v>
      </c>
      <c r="AH20" s="94">
        <f>IF($AA$6-Table1[[#This Row],[Missed Games]]=0, 0,Table1[[#This Row],[Threes]]/($AA$6-Table1[[#This Row],[Missed Games]]))</f>
        <v>0</v>
      </c>
      <c r="AI20" s="97">
        <f t="shared" si="0"/>
        <v>0</v>
      </c>
      <c r="AJ20" s="94">
        <f>IF($AA$6-(Table1[[#This Row],[Missed Games]]+7-AI41-AT41)=0, 0,Table1[[#This Row],[Assists]]/($AA$6-Table1[[#This Row],[Missed Games]]-7+AI41+AT41))</f>
        <v>0</v>
      </c>
      <c r="AK20" s="43" t="str">
        <f>SfW!C15</f>
        <v>Choc-Tops</v>
      </c>
      <c r="AL20" s="98">
        <f>SUM(AI41,AK61,AV61,AI81,AT81,AI101,AT41)</f>
        <v>1</v>
      </c>
      <c r="AM20" s="42"/>
      <c r="AP20" s="42"/>
      <c r="AQ20" s="42"/>
      <c r="AS20" s="23"/>
      <c r="AT20" s="13"/>
      <c r="AU20" s="20"/>
      <c r="AV20" s="79"/>
      <c r="AW20" s="85"/>
      <c r="AX20" s="90"/>
      <c r="AY20" s="20"/>
    </row>
    <row r="21" spans="2:51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>SUM(AA42,AA62,AN62,AA82,AL82,AA102,AL42)</f>
        <v>10</v>
      </c>
      <c r="AB21" s="96">
        <f>IF($AA$6-Table1[[#This Row],[Missed Games]]=0, 0,Table1[[#This Row],[Points]]/($AA$6-Table1[[#This Row],[Missed Games]]))</f>
        <v>1.25</v>
      </c>
      <c r="AC21" s="97">
        <f>SUM(AB42,AB62,AO62,AB82,AM82,AB102,AM42)</f>
        <v>3</v>
      </c>
      <c r="AD21" s="94">
        <f>IF($AA$6-Table1[[#This Row],[Missed Games]]=0, 0,Table1[[#This Row],[Finishes]]/($AA$6-Table1[[#This Row],[Missed Games]]))</f>
        <v>0.375</v>
      </c>
      <c r="AE21" s="97">
        <f>SUM(AC42,AC62,AP62,AC82,AN82,AC102,AN42)</f>
        <v>3</v>
      </c>
      <c r="AF21" s="94">
        <f>IF($AA$6-Table1[[#This Row],[Missed Games]]=0, 0,Table1[[#This Row],[Midranges]]/($AA$6-Table1[[#This Row],[Missed Games]]))</f>
        <v>0.375</v>
      </c>
      <c r="AG21" s="97">
        <f>SUM(AD42,AD62,AQ62,AD82,AO82,AD102,AO42)</f>
        <v>2</v>
      </c>
      <c r="AH21" s="94">
        <f>IF($AA$6-Table1[[#This Row],[Missed Games]]=0, 0,Table1[[#This Row],[Threes]]/($AA$6-Table1[[#This Row],[Missed Games]]))</f>
        <v>0.25</v>
      </c>
      <c r="AI21" s="97">
        <f t="shared" si="0"/>
        <v>0</v>
      </c>
      <c r="AJ21" s="94">
        <f>IF($AA$6-(Table1[[#This Row],[Missed Games]]+7-AI42-AT42)=0, 0,Table1[[#This Row],[Assists]]/($AA$6-Table1[[#This Row],[Missed Games]]-7+AI42+AT42))</f>
        <v>0</v>
      </c>
      <c r="AK21" s="43" t="str">
        <f>SfW!C16</f>
        <v>Traffic Controllers</v>
      </c>
      <c r="AL21" s="98">
        <f>SUM(AI42,AK62,AV62,AI82,AT82,AI102,AT42)</f>
        <v>0</v>
      </c>
      <c r="AM21" s="42"/>
      <c r="AP21" s="42"/>
      <c r="AQ21" s="42"/>
      <c r="AS21" s="23"/>
      <c r="AT21" s="13"/>
      <c r="AU21" s="20"/>
      <c r="AV21" s="79"/>
      <c r="AW21" s="85"/>
      <c r="AX21" s="90"/>
      <c r="AY21" s="20"/>
    </row>
    <row r="22" spans="2:51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>SUM(AA43,AA63,AN63,AA83,AL83,AA103,AL43)</f>
        <v>2</v>
      </c>
      <c r="AB22" s="45">
        <f>IF($AA$6-Table1[[#This Row],[Missed Games]]=0, 0,Table1[[#This Row],[Points]]/($AA$6-Table1[[#This Row],[Missed Games]]))</f>
        <v>0.25</v>
      </c>
      <c r="AC22" s="46">
        <f>SUM(AB43,AB63,AO63,AB83,AM83,AB103,AM43)</f>
        <v>2</v>
      </c>
      <c r="AD22" s="71">
        <f>IF($AA$6-Table1[[#This Row],[Missed Games]]=0, 0,Table1[[#This Row],[Finishes]]/($AA$6-Table1[[#This Row],[Missed Games]]))</f>
        <v>0.25</v>
      </c>
      <c r="AE22" s="46">
        <f>SUM(AC43,AC63,AP63,AC83,AN83,AC103,AN43)</f>
        <v>0</v>
      </c>
      <c r="AF22" s="71">
        <f>IF($AA$6-Table1[[#This Row],[Missed Games]]=0, 0,Table1[[#This Row],[Midranges]]/($AA$6-Table1[[#This Row],[Missed Games]]))</f>
        <v>0</v>
      </c>
      <c r="AG22" s="46">
        <f>SUM(AD43,AD63,AQ63,AD83,AO83,AD103,AO43)</f>
        <v>0</v>
      </c>
      <c r="AH22" s="71">
        <f>IF($AA$6-Table1[[#This Row],[Missed Games]]=0, 0,Table1[[#This Row],[Threes]]/($AA$6-Table1[[#This Row],[Missed Games]]))</f>
        <v>0</v>
      </c>
      <c r="AI22" s="135">
        <f t="shared" si="0"/>
        <v>0</v>
      </c>
      <c r="AJ22" s="71">
        <f>IF($AA$6-(Table1[[#This Row],[Missed Games]]+7-AI43-AT43)=0, 0,Table1[[#This Row],[Assists]]/($AA$6-Table1[[#This Row],[Missed Games]]-7+AI43+AT43))</f>
        <v>0</v>
      </c>
      <c r="AK22" s="43" t="str">
        <f>SfW!C17</f>
        <v>Gentle, Men</v>
      </c>
      <c r="AL22" s="47">
        <f>SUM(AI43,AK63,AV63,AI83,AT83,AI103,AT43)</f>
        <v>0</v>
      </c>
      <c r="AM22" s="42"/>
      <c r="AP22" s="42"/>
      <c r="AQ22" s="42"/>
      <c r="AS22" s="23"/>
      <c r="AT22" s="13"/>
      <c r="AU22" s="20"/>
      <c r="AV22" s="79"/>
      <c r="AW22" s="85"/>
      <c r="AX22" s="90"/>
      <c r="AY22" s="20"/>
    </row>
    <row r="23" spans="2:51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>SUM(AA44,AA64,AN64,AA84,AL84,AA104,AL44)</f>
        <v>0</v>
      </c>
      <c r="AB23" s="100">
        <f>IF($AA$6-Table1[[#This Row],[Missed Games]]=0, 0,Table1[[#This Row],[Points]]/($AA$6-Table1[[#This Row],[Missed Games]]))</f>
        <v>0</v>
      </c>
      <c r="AC23" s="97">
        <f>SUM(AB44,AB64,AO64,AB84,AM84,AB104,AM44)</f>
        <v>0</v>
      </c>
      <c r="AD23" s="99">
        <f>IF($AA$6-Table1[[#This Row],[Missed Games]]=0, 0,Table1[[#This Row],[Finishes]]/($AA$6-Table1[[#This Row],[Missed Games]]))</f>
        <v>0</v>
      </c>
      <c r="AE23" s="97">
        <f>SUM(AC44,AC64,AP64,AC84,AN84,AC104,AN44)</f>
        <v>0</v>
      </c>
      <c r="AF23" s="99">
        <f>IF($AA$6-Table1[[#This Row],[Missed Games]]=0, 0,Table1[[#This Row],[Midranges]]/($AA$6-Table1[[#This Row],[Missed Games]]))</f>
        <v>0</v>
      </c>
      <c r="AG23" s="97">
        <f>SUM(AD44,AD64,AQ64,AD84,AO84,AD104,AO44)</f>
        <v>0</v>
      </c>
      <c r="AH23" s="99">
        <f>IF($AA$6-Table1[[#This Row],[Missed Games]]=0, 0,Table1[[#This Row],[Threes]]/($AA$6-Table1[[#This Row],[Missed Games]]))</f>
        <v>0</v>
      </c>
      <c r="AI23" s="136">
        <f t="shared" si="0"/>
        <v>0</v>
      </c>
      <c r="AJ23" s="99">
        <f>IF($AA$6-(Table1[[#This Row],[Missed Games]]+7-AI44-AT44)=0, 0,Table1[[#This Row],[Assists]]/($AA$6-Table1[[#This Row],[Missed Games]]-7+AI44+AT44))</f>
        <v>0</v>
      </c>
      <c r="AK23" s="43" t="str">
        <f>SfW!C18</f>
        <v>Gentle, Men</v>
      </c>
      <c r="AL23" s="98">
        <f>SUM(AI44,AK64,AV64,AI84,AT84,AI104,AT44)</f>
        <v>6</v>
      </c>
      <c r="AM23" s="42"/>
      <c r="AP23" s="42"/>
      <c r="AQ23" s="42"/>
      <c r="AS23" s="23"/>
      <c r="AT23" s="13"/>
      <c r="AU23" s="20"/>
      <c r="AV23" s="79"/>
      <c r="AW23" s="85"/>
      <c r="AX23" s="90"/>
      <c r="AY23" s="20"/>
    </row>
    <row r="24" spans="2:51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N24" s="30"/>
      <c r="AP24" s="3"/>
      <c r="AR24" s="13"/>
      <c r="AS24" s="20"/>
      <c r="AT24" s="79"/>
      <c r="AU24" s="85"/>
      <c r="AV24" s="90"/>
      <c r="AW24" s="20"/>
    </row>
    <row r="25" spans="2:51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R25" s="12"/>
      <c r="AS25" s="20"/>
    </row>
    <row r="26" spans="2:51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51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51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51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51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51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51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50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50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50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50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50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50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50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50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147</v>
      </c>
      <c r="V40" t="s">
        <v>148</v>
      </c>
      <c r="W40" t="s">
        <v>149</v>
      </c>
      <c r="X40" t="s">
        <v>151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50" ht="14.25" customHeight="1" x14ac:dyDescent="0.45">
      <c r="R41" s="10" t="s">
        <v>156</v>
      </c>
      <c r="S41">
        <f>'Statistics CT'!H3</f>
        <v>20</v>
      </c>
      <c r="T41" s="78">
        <f>S41/SUM(S41:S43)</f>
        <v>0.41666666666666669</v>
      </c>
      <c r="U41" s="81">
        <v>0.32188841201716739</v>
      </c>
      <c r="V41" s="30">
        <v>0.36899999999999999</v>
      </c>
      <c r="W41">
        <f>T41*(6*(20-AA$5))</f>
        <v>50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50" ht="14.25" customHeight="1" x14ac:dyDescent="0.45">
      <c r="R42" s="10" t="s">
        <v>157</v>
      </c>
      <c r="S42">
        <f>'Statistics TC'!H3</f>
        <v>12.5</v>
      </c>
      <c r="T42" s="81">
        <f>S42/SUM(S41:S43)</f>
        <v>0.26041666666666669</v>
      </c>
      <c r="U42" s="81">
        <v>0.35193133047210301</v>
      </c>
      <c r="V42" s="30">
        <v>0.26200000000000001</v>
      </c>
      <c r="W42">
        <f t="shared" ref="W42:W43" si="1">T42*(6*(20-AA$5))</f>
        <v>31.250000000000004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50" ht="14.25" customHeight="1" x14ac:dyDescent="0.45">
      <c r="R43" s="10" t="s">
        <v>35</v>
      </c>
      <c r="S43">
        <f>'Statistics GM'!G3</f>
        <v>15.5</v>
      </c>
      <c r="T43" s="81">
        <f>S43/SUM(S41:S43)</f>
        <v>0.32291666666666669</v>
      </c>
      <c r="U43" s="81">
        <v>0.3261802575107296</v>
      </c>
      <c r="V43" s="30">
        <v>0.36899999999999999</v>
      </c>
      <c r="W43">
        <f t="shared" si="1"/>
        <v>38.75</v>
      </c>
      <c r="X43" s="13">
        <f>((MIN(U41:U43)+MIN(V41:V43))/2)*6*(20-AA5)</f>
        <v>35.033304721030049</v>
      </c>
      <c r="Y43" s="82">
        <v>3</v>
      </c>
      <c r="Z43" t="s">
        <v>185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185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50" ht="14.25" customHeight="1" x14ac:dyDescent="0.45">
      <c r="Z44" t="s">
        <v>199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199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50" ht="14.25" customHeight="1" x14ac:dyDescent="0.45">
      <c r="T45" t="s">
        <v>150</v>
      </c>
      <c r="W45">
        <f>(20-AA6-AA5)*2</f>
        <v>24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50" ht="14.25" customHeight="1" x14ac:dyDescent="0.45">
      <c r="T46" t="s">
        <v>152</v>
      </c>
      <c r="W46">
        <f>(W45-(MAX(S41:S43)-MIN(S41:S43)))/2</f>
        <v>8.25</v>
      </c>
      <c r="AA46" s="1"/>
      <c r="AB46" s="1"/>
      <c r="AC46" s="1"/>
      <c r="AK46" s="1"/>
      <c r="AL46" s="1"/>
    </row>
    <row r="47" spans="2:50" ht="14.25" customHeight="1" x14ac:dyDescent="0.45">
      <c r="Z47" s="1" t="s">
        <v>218</v>
      </c>
      <c r="AA47" s="1">
        <v>1</v>
      </c>
      <c r="AI47" s="2"/>
      <c r="AM47" s="1" t="s">
        <v>111</v>
      </c>
      <c r="AN47" s="1">
        <v>0</v>
      </c>
      <c r="AV47" s="2"/>
    </row>
    <row r="48" spans="2:50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237</v>
      </c>
      <c r="AF48" s="21" t="s">
        <v>100</v>
      </c>
      <c r="AG48" s="21" t="s">
        <v>98</v>
      </c>
      <c r="AH48" s="10" t="s">
        <v>99</v>
      </c>
      <c r="AI48" s="21" t="s">
        <v>133</v>
      </c>
      <c r="AJ48" s="21" t="s">
        <v>240</v>
      </c>
      <c r="AK48" s="2" t="s">
        <v>96</v>
      </c>
      <c r="AM48" s="10" t="s">
        <v>73</v>
      </c>
      <c r="AN48" s="10" t="s">
        <v>0</v>
      </c>
      <c r="AO48" s="10" t="s">
        <v>1</v>
      </c>
      <c r="AP48" s="10" t="s">
        <v>2</v>
      </c>
      <c r="AQ48" s="21" t="s">
        <v>3</v>
      </c>
      <c r="AR48" s="21" t="s">
        <v>237</v>
      </c>
      <c r="AS48" s="21" t="s">
        <v>100</v>
      </c>
      <c r="AT48" s="21" t="s">
        <v>98</v>
      </c>
      <c r="AU48" s="10" t="s">
        <v>99</v>
      </c>
      <c r="AV48" s="21" t="s">
        <v>133</v>
      </c>
      <c r="AW48" s="21" t="s">
        <v>240</v>
      </c>
      <c r="AX48" s="2" t="s">
        <v>96</v>
      </c>
    </row>
    <row r="49" spans="19:50" ht="14.25" customHeight="1" x14ac:dyDescent="0.45">
      <c r="T49" s="10" t="s">
        <v>1</v>
      </c>
      <c r="U49" s="13">
        <f>SUM(Table1[Finishes])</f>
        <v>78</v>
      </c>
      <c r="V49" s="12">
        <f>U49/AA6</f>
        <v>9.75</v>
      </c>
      <c r="W49" s="20">
        <f>U49/SUM($U$49:$U$51)</f>
        <v>0.57352941176470584</v>
      </c>
      <c r="Z49" s="1" t="s">
        <v>25</v>
      </c>
      <c r="AA49" s="22">
        <f>'0502'!U3</f>
        <v>0</v>
      </c>
      <c r="AB49" s="22">
        <f>'0502'!V3</f>
        <v>0</v>
      </c>
      <c r="AC49" s="22">
        <f>'0502'!W3</f>
        <v>0</v>
      </c>
      <c r="AD49" s="22">
        <f>'0502'!X3</f>
        <v>0</v>
      </c>
      <c r="AE49" s="22">
        <f>'0502'!Y3</f>
        <v>0</v>
      </c>
      <c r="AF49" s="87">
        <f>Table21123[[#This Row],[Points]]/($AA$47-$AK49)</f>
        <v>0</v>
      </c>
      <c r="AG49" s="87">
        <f>Table21123[[#This Row],[Finishes]]/($AA$47-$AK49)</f>
        <v>0</v>
      </c>
      <c r="AH49" s="87">
        <f>Table21123[[#This Row],[Midranges]]/($AA$47-$AK49)</f>
        <v>0</v>
      </c>
      <c r="AI49" s="87">
        <f>Table21123[[#This Row],[Threes]]/($AA$47-$AK49)</f>
        <v>0</v>
      </c>
      <c r="AJ49" s="87">
        <f>Table21123[[#This Row],[Assists]]/($AA$47-$AK49)</f>
        <v>0</v>
      </c>
      <c r="AK49" s="22">
        <f>COUNTIF('0502'!X3,TRUE)</f>
        <v>0</v>
      </c>
      <c r="AM49" s="1" t="s">
        <v>25</v>
      </c>
      <c r="AN49" s="22"/>
      <c r="AO49" s="22"/>
      <c r="AP49" s="22"/>
      <c r="AQ49" s="22"/>
      <c r="AR49" s="22"/>
      <c r="AS49" s="87">
        <f>Table211235[[#This Row],[Points]]/($AA$47-$AK49)</f>
        <v>0</v>
      </c>
      <c r="AT49" s="87">
        <f>Table211235[[#This Row],[Finishes]]/($AA$47-$AK49)</f>
        <v>0</v>
      </c>
      <c r="AU49" s="87">
        <f>Table211235[[#This Row],[Midranges]]/($AA$47-$AK49)</f>
        <v>0</v>
      </c>
      <c r="AV49" s="87">
        <f>Table211235[[#This Row],[Threes]]/($AA$47-$AK49)</f>
        <v>0</v>
      </c>
      <c r="AW49" s="87">
        <f>Table211235[[#This Row],[Assists]]/($AA$47-$AK49)</f>
        <v>0</v>
      </c>
      <c r="AX49" s="22"/>
    </row>
    <row r="50" spans="19:50" ht="14.25" customHeight="1" x14ac:dyDescent="0.45">
      <c r="T50" s="10" t="s">
        <v>2</v>
      </c>
      <c r="U50" s="13">
        <f>SUM(Table1[Midranges])</f>
        <v>50</v>
      </c>
      <c r="V50" s="12">
        <f>U50/AA6</f>
        <v>6.25</v>
      </c>
      <c r="W50" s="20">
        <f>U50/SUM($U$49:$U$51)</f>
        <v>0.36764705882352944</v>
      </c>
      <c r="Z50" s="1" t="s">
        <v>26</v>
      </c>
      <c r="AA50" s="22">
        <f>'0502'!U4</f>
        <v>0</v>
      </c>
      <c r="AB50" s="22">
        <f>'0502'!V4</f>
        <v>0</v>
      </c>
      <c r="AC50" s="22">
        <f>'0502'!W4</f>
        <v>0</v>
      </c>
      <c r="AD50" s="22">
        <f>'0502'!X4</f>
        <v>0</v>
      </c>
      <c r="AE50" s="22">
        <f>'0502'!Y4</f>
        <v>0</v>
      </c>
      <c r="AF50" s="87">
        <f>Table21123[[#This Row],[Points]]/($AA$47-$AK50)</f>
        <v>0</v>
      </c>
      <c r="AG50" s="87">
        <f>Table21123[[#This Row],[Finishes]]/($AA$47-$AK50)</f>
        <v>0</v>
      </c>
      <c r="AH50" s="87">
        <f>Table21123[[#This Row],[Midranges]]/($AA$47-$AK50)</f>
        <v>0</v>
      </c>
      <c r="AI50" s="87">
        <f>Table21123[[#This Row],[Threes]]/($AA$47-$AK50)</f>
        <v>0</v>
      </c>
      <c r="AJ50" s="87">
        <f>Table21123[[#This Row],[Assists]]/($AA$47-$AK50)</f>
        <v>0</v>
      </c>
      <c r="AK50" s="22">
        <f>COUNTIF('0502'!X4,TRUE)</f>
        <v>0</v>
      </c>
      <c r="AM50" s="1" t="s">
        <v>26</v>
      </c>
      <c r="AN50" s="22"/>
      <c r="AO50" s="22"/>
      <c r="AP50" s="22"/>
      <c r="AQ50" s="22"/>
      <c r="AR50" s="22"/>
      <c r="AS50" s="87">
        <f>Table211235[[#This Row],[Points]]/($AA$47-$AK50)</f>
        <v>0</v>
      </c>
      <c r="AT50" s="87">
        <f>Table211235[[#This Row],[Finishes]]/($AA$47-$AK50)</f>
        <v>0</v>
      </c>
      <c r="AU50" s="87">
        <f>Table211235[[#This Row],[Midranges]]/($AA$47-$AK50)</f>
        <v>0</v>
      </c>
      <c r="AV50" s="87">
        <f>Table211235[[#This Row],[Threes]]/($AA$47-$AK50)</f>
        <v>0</v>
      </c>
      <c r="AW50" s="87">
        <f>Table211235[[#This Row],[Assists]]/($AA$47-$AK50)</f>
        <v>0</v>
      </c>
      <c r="AX50" s="22"/>
    </row>
    <row r="51" spans="19:50" ht="14.25" customHeight="1" x14ac:dyDescent="0.45">
      <c r="T51" s="10" t="s">
        <v>3</v>
      </c>
      <c r="U51" s="13">
        <f>SUM(Table1[Threes])</f>
        <v>8</v>
      </c>
      <c r="V51" s="12">
        <f>U51/AA6</f>
        <v>1</v>
      </c>
      <c r="W51" s="20">
        <f>U51/SUM($U$49:$U$51)</f>
        <v>5.8823529411764705E-2</v>
      </c>
      <c r="Z51" s="1" t="s">
        <v>27</v>
      </c>
      <c r="AA51" s="22">
        <f>'0502'!U5</f>
        <v>0</v>
      </c>
      <c r="AB51" s="22">
        <f>'0502'!V5</f>
        <v>0</v>
      </c>
      <c r="AC51" s="22">
        <f>'0502'!W5</f>
        <v>0</v>
      </c>
      <c r="AD51" s="22">
        <f>'0502'!X5</f>
        <v>0</v>
      </c>
      <c r="AE51" s="22">
        <f>'0502'!Y5</f>
        <v>0</v>
      </c>
      <c r="AF51" s="87">
        <f>Table21123[[#This Row],[Points]]/($AA$47-$AK51)</f>
        <v>0</v>
      </c>
      <c r="AG51" s="87">
        <f>Table21123[[#This Row],[Finishes]]/($AA$47-$AK51)</f>
        <v>0</v>
      </c>
      <c r="AH51" s="87">
        <f>Table21123[[#This Row],[Midranges]]/($AA$47-$AK51)</f>
        <v>0</v>
      </c>
      <c r="AI51" s="87">
        <f>Table21123[[#This Row],[Threes]]/($AA$47-$AK51)</f>
        <v>0</v>
      </c>
      <c r="AJ51" s="87">
        <f>Table21123[[#This Row],[Assists]]/($AA$47-$AK51)</f>
        <v>0</v>
      </c>
      <c r="AK51" s="22">
        <f>COUNTIF('0502'!X5,TRUE)</f>
        <v>0</v>
      </c>
      <c r="AM51" s="1" t="s">
        <v>27</v>
      </c>
      <c r="AN51" s="22"/>
      <c r="AO51" s="22"/>
      <c r="AP51" s="22"/>
      <c r="AQ51" s="22"/>
      <c r="AR51" s="22"/>
      <c r="AS51" s="87">
        <f>Table211235[[#This Row],[Points]]/($AA$47-$AK51)</f>
        <v>0</v>
      </c>
      <c r="AT51" s="87">
        <f>Table211235[[#This Row],[Finishes]]/($AA$47-$AK51)</f>
        <v>0</v>
      </c>
      <c r="AU51" s="87">
        <f>Table211235[[#This Row],[Midranges]]/($AA$47-$AK51)</f>
        <v>0</v>
      </c>
      <c r="AV51" s="87">
        <f>Table211235[[#This Row],[Threes]]/($AA$47-$AK51)</f>
        <v>0</v>
      </c>
      <c r="AW51" s="87">
        <f>Table211235[[#This Row],[Assists]]/($AA$47-$AK51)</f>
        <v>0</v>
      </c>
      <c r="AX51" s="22"/>
    </row>
    <row r="52" spans="19:50" ht="14.25" customHeight="1" x14ac:dyDescent="0.45">
      <c r="Z52" s="1" t="s">
        <v>30</v>
      </c>
      <c r="AA52" s="22">
        <f>'0502'!U6</f>
        <v>0</v>
      </c>
      <c r="AB52" s="22">
        <f>'0502'!V6</f>
        <v>0</v>
      </c>
      <c r="AC52" s="22">
        <f>'0502'!W6</f>
        <v>0</v>
      </c>
      <c r="AD52" s="22">
        <f>'0502'!X6</f>
        <v>0</v>
      </c>
      <c r="AE52" s="22">
        <f>'0502'!Y6</f>
        <v>0</v>
      </c>
      <c r="AF52" s="87">
        <f>Table21123[[#This Row],[Points]]/($AA$47-$AK52)</f>
        <v>0</v>
      </c>
      <c r="AG52" s="87">
        <f>Table21123[[#This Row],[Finishes]]/($AA$47-$AK52)</f>
        <v>0</v>
      </c>
      <c r="AH52" s="87">
        <f>Table21123[[#This Row],[Midranges]]/($AA$47-$AK52)</f>
        <v>0</v>
      </c>
      <c r="AI52" s="87">
        <f>Table21123[[#This Row],[Threes]]/($AA$47-$AK52)</f>
        <v>0</v>
      </c>
      <c r="AJ52" s="87">
        <f>Table21123[[#This Row],[Assists]]/($AA$47-$AK52)</f>
        <v>0</v>
      </c>
      <c r="AK52" s="22">
        <f>COUNTIF('0502'!X6,TRUE)</f>
        <v>0</v>
      </c>
      <c r="AM52" s="1" t="s">
        <v>30</v>
      </c>
      <c r="AN52" s="22"/>
      <c r="AO52" s="22"/>
      <c r="AP52" s="22"/>
      <c r="AQ52" s="22"/>
      <c r="AR52" s="22"/>
      <c r="AS52" s="87">
        <f>Table211235[[#This Row],[Points]]/($AA$47-$AK52)</f>
        <v>0</v>
      </c>
      <c r="AT52" s="87">
        <f>Table211235[[#This Row],[Finishes]]/($AA$47-$AK52)</f>
        <v>0</v>
      </c>
      <c r="AU52" s="87">
        <f>Table211235[[#This Row],[Midranges]]/($AA$47-$AK52)</f>
        <v>0</v>
      </c>
      <c r="AV52" s="87">
        <f>Table211235[[#This Row],[Threes]]/($AA$47-$AK52)</f>
        <v>0</v>
      </c>
      <c r="AW52" s="87">
        <f>Table211235[[#This Row],[Assists]]/($AA$47-$AK52)</f>
        <v>0</v>
      </c>
      <c r="AX52" s="22"/>
    </row>
    <row r="53" spans="19:50" ht="14.25" customHeight="1" x14ac:dyDescent="0.45">
      <c r="T53" s="10" t="s">
        <v>104</v>
      </c>
      <c r="Z53" s="1" t="s">
        <v>32</v>
      </c>
      <c r="AA53" s="22">
        <f>'0502'!U7</f>
        <v>0</v>
      </c>
      <c r="AB53" s="22">
        <f>'0502'!V7</f>
        <v>0</v>
      </c>
      <c r="AC53" s="22">
        <f>'0502'!W7</f>
        <v>0</v>
      </c>
      <c r="AD53" s="22">
        <f>'0502'!X7</f>
        <v>0</v>
      </c>
      <c r="AE53" s="22">
        <f>'0502'!Y7</f>
        <v>0</v>
      </c>
      <c r="AF53" s="87">
        <f>Table21123[[#This Row],[Points]]/($AA$47-$AK53)</f>
        <v>0</v>
      </c>
      <c r="AG53" s="87">
        <f>Table21123[[#This Row],[Finishes]]/($AA$47-$AK53)</f>
        <v>0</v>
      </c>
      <c r="AH53" s="87">
        <f>Table21123[[#This Row],[Midranges]]/($AA$47-$AK53)</f>
        <v>0</v>
      </c>
      <c r="AI53" s="87">
        <f>Table21123[[#This Row],[Threes]]/($AA$47-$AK53)</f>
        <v>0</v>
      </c>
      <c r="AJ53" s="87">
        <f>Table21123[[#This Row],[Assists]]/($AA$47-$AK53)</f>
        <v>0</v>
      </c>
      <c r="AK53" s="22">
        <f>COUNTIF('0502'!X7,TRUE)</f>
        <v>0</v>
      </c>
      <c r="AM53" s="1" t="s">
        <v>32</v>
      </c>
      <c r="AN53" s="22"/>
      <c r="AO53" s="22"/>
      <c r="AP53" s="22"/>
      <c r="AQ53" s="22"/>
      <c r="AR53" s="22"/>
      <c r="AS53" s="87">
        <f>Table211235[[#This Row],[Points]]/($AA$47-$AK53)</f>
        <v>0</v>
      </c>
      <c r="AT53" s="87">
        <f>Table211235[[#This Row],[Finishes]]/($AA$47-$AK53)</f>
        <v>0</v>
      </c>
      <c r="AU53" s="87">
        <f>Table211235[[#This Row],[Midranges]]/($AA$47-$AK53)</f>
        <v>0</v>
      </c>
      <c r="AV53" s="87">
        <f>Table211235[[#This Row],[Threes]]/($AA$47-$AK53)</f>
        <v>0</v>
      </c>
      <c r="AW53" s="87">
        <f>Table211235[[#This Row],[Assists]]/($AA$47-$AK53)</f>
        <v>0</v>
      </c>
      <c r="AX53" s="22"/>
    </row>
    <row r="54" spans="19:50" ht="14.25" customHeight="1" x14ac:dyDescent="0.45">
      <c r="T54" s="10" t="s">
        <v>156</v>
      </c>
      <c r="U54" s="10" t="s">
        <v>157</v>
      </c>
      <c r="V54" s="10" t="s">
        <v>35</v>
      </c>
      <c r="Z54" s="1" t="s">
        <v>37</v>
      </c>
      <c r="AA54" s="22">
        <f>'0502'!U8</f>
        <v>0</v>
      </c>
      <c r="AB54" s="22">
        <f>'0502'!V8</f>
        <v>0</v>
      </c>
      <c r="AC54" s="22">
        <f>'0502'!W8</f>
        <v>0</v>
      </c>
      <c r="AD54" s="22">
        <f>'0502'!X8</f>
        <v>0</v>
      </c>
      <c r="AE54" s="22">
        <f>'0502'!Y8</f>
        <v>0</v>
      </c>
      <c r="AF54" s="87">
        <f>Table21123[[#This Row],[Points]]/($AA$47-$AK54)</f>
        <v>0</v>
      </c>
      <c r="AG54" s="87">
        <f>Table21123[[#This Row],[Finishes]]/($AA$47-$AK54)</f>
        <v>0</v>
      </c>
      <c r="AH54" s="87">
        <f>Table21123[[#This Row],[Midranges]]/($AA$47-$AK54)</f>
        <v>0</v>
      </c>
      <c r="AI54" s="87">
        <f>Table21123[[#This Row],[Threes]]/($AA$47-$AK54)</f>
        <v>0</v>
      </c>
      <c r="AJ54" s="87">
        <f>Table21123[[#This Row],[Assists]]/($AA$47-$AK54)</f>
        <v>0</v>
      </c>
      <c r="AK54" s="22">
        <f>COUNTIF('0502'!X8,TRUE)</f>
        <v>0</v>
      </c>
      <c r="AM54" s="1" t="s">
        <v>37</v>
      </c>
      <c r="AN54" s="22"/>
      <c r="AO54" s="22"/>
      <c r="AP54" s="22"/>
      <c r="AQ54" s="22"/>
      <c r="AR54" s="22"/>
      <c r="AS54" s="87">
        <f>Table211235[[#This Row],[Points]]/($AA$47-$AK54)</f>
        <v>0</v>
      </c>
      <c r="AT54" s="87">
        <f>Table211235[[#This Row],[Finishes]]/($AA$47-$AK54)</f>
        <v>0</v>
      </c>
      <c r="AU54" s="87">
        <f>Table211235[[#This Row],[Midranges]]/($AA$47-$AK54)</f>
        <v>0</v>
      </c>
      <c r="AV54" s="87">
        <f>Table211235[[#This Row],[Threes]]/($AA$47-$AK54)</f>
        <v>0</v>
      </c>
      <c r="AW54" s="87">
        <f>Table211235[[#This Row],[Assists]]/($AA$47-$AK54)</f>
        <v>0</v>
      </c>
      <c r="AX54" s="22"/>
    </row>
    <row r="55" spans="19:50" ht="14.25" customHeight="1" x14ac:dyDescent="0.45">
      <c r="S55" s="10" t="s">
        <v>158</v>
      </c>
      <c r="T55" s="27" t="s">
        <v>105</v>
      </c>
      <c r="U55" s="25">
        <f>'Statistics CT'!J42</f>
        <v>0.7142857142857143</v>
      </c>
      <c r="V55" s="25">
        <f>'Statistics CT'!M42</f>
        <v>0.54166666666666663</v>
      </c>
      <c r="W55" s="25">
        <f>AVERAGE(U55:V55)</f>
        <v>0.62797619047619047</v>
      </c>
      <c r="Z55" t="s">
        <v>91</v>
      </c>
      <c r="AA55" s="22">
        <f>'0502'!U9</f>
        <v>0</v>
      </c>
      <c r="AB55" s="22">
        <f>'0502'!V9</f>
        <v>0</v>
      </c>
      <c r="AC55" s="22">
        <f>'0502'!W9</f>
        <v>0</v>
      </c>
      <c r="AD55" s="22">
        <f>'0502'!X9</f>
        <v>0</v>
      </c>
      <c r="AE55" s="22">
        <f>'0502'!Y9</f>
        <v>0</v>
      </c>
      <c r="AF55" s="87">
        <f>Table21123[[#This Row],[Points]]/($AA$47-$AK55)</f>
        <v>0</v>
      </c>
      <c r="AG55" s="87">
        <f>Table21123[[#This Row],[Finishes]]/($AA$47-$AK55)</f>
        <v>0</v>
      </c>
      <c r="AH55" s="87">
        <f>Table21123[[#This Row],[Midranges]]/($AA$47-$AK55)</f>
        <v>0</v>
      </c>
      <c r="AI55" s="87">
        <f>Table21123[[#This Row],[Threes]]/($AA$47-$AK55)</f>
        <v>0</v>
      </c>
      <c r="AJ55" s="87">
        <f>Table21123[[#This Row],[Assists]]/($AA$47-$AK55)</f>
        <v>0</v>
      </c>
      <c r="AK55" s="22">
        <f>COUNTIF('0502'!X9,TRUE)</f>
        <v>0</v>
      </c>
      <c r="AM55" t="s">
        <v>91</v>
      </c>
      <c r="AN55" s="22"/>
      <c r="AO55" s="22"/>
      <c r="AP55" s="22"/>
      <c r="AQ55" s="22"/>
      <c r="AR55" s="22"/>
      <c r="AS55" s="87">
        <f>Table211235[[#This Row],[Points]]/($AA$47-$AK55)</f>
        <v>0</v>
      </c>
      <c r="AT55" s="87">
        <f>Table211235[[#This Row],[Finishes]]/($AA$47-$AK55)</f>
        <v>0</v>
      </c>
      <c r="AU55" s="87">
        <f>Table211235[[#This Row],[Midranges]]/($AA$47-$AK55)</f>
        <v>0</v>
      </c>
      <c r="AV55" s="87">
        <f>Table211235[[#This Row],[Threes]]/($AA$47-$AK55)</f>
        <v>0</v>
      </c>
      <c r="AW55" s="87">
        <f>Table211235[[#This Row],[Assists]]/($AA$47-$AK55)</f>
        <v>0</v>
      </c>
      <c r="AX55" s="22"/>
    </row>
    <row r="56" spans="19:50" ht="14.25" customHeight="1" x14ac:dyDescent="0.45">
      <c r="S56" s="10" t="s">
        <v>159</v>
      </c>
      <c r="T56" s="25">
        <f>1-'Statistics CT'!J42</f>
        <v>0.2857142857142857</v>
      </c>
      <c r="U56" s="27" t="s">
        <v>105</v>
      </c>
      <c r="V56" s="25">
        <f>'Statistics TC'!J42</f>
        <v>0.47058823529411764</v>
      </c>
      <c r="W56" s="25">
        <f>AVERAGE(T56:V56)</f>
        <v>0.37815126050420167</v>
      </c>
      <c r="Z56" s="1" t="s">
        <v>39</v>
      </c>
      <c r="AA56" s="22">
        <f>'0502'!U10</f>
        <v>0</v>
      </c>
      <c r="AB56" s="22">
        <f>'0502'!V10</f>
        <v>0</v>
      </c>
      <c r="AC56" s="22">
        <f>'0502'!W10</f>
        <v>0</v>
      </c>
      <c r="AD56" s="22">
        <f>'0502'!X10</f>
        <v>0</v>
      </c>
      <c r="AE56" s="22">
        <f>'0502'!Y10</f>
        <v>0</v>
      </c>
      <c r="AF56" s="87">
        <f>Table21123[[#This Row],[Points]]/($AA$47-$AK56)</f>
        <v>0</v>
      </c>
      <c r="AG56" s="87">
        <f>Table21123[[#This Row],[Finishes]]/($AA$47-$AK56)</f>
        <v>0</v>
      </c>
      <c r="AH56" s="87">
        <f>Table21123[[#This Row],[Midranges]]/($AA$47-$AK56)</f>
        <v>0</v>
      </c>
      <c r="AI56" s="87">
        <f>Table21123[[#This Row],[Threes]]/($AA$47-$AK56)</f>
        <v>0</v>
      </c>
      <c r="AJ56" s="87">
        <f>Table21123[[#This Row],[Assists]]/($AA$47-$AK56)</f>
        <v>0</v>
      </c>
      <c r="AK56" s="22">
        <f>COUNTIF('0502'!X10,TRUE)</f>
        <v>0</v>
      </c>
      <c r="AM56" s="1" t="s">
        <v>39</v>
      </c>
      <c r="AN56" s="22"/>
      <c r="AO56" s="22"/>
      <c r="AP56" s="22"/>
      <c r="AQ56" s="22"/>
      <c r="AR56" s="22"/>
      <c r="AS56" s="87">
        <f>Table211235[[#This Row],[Points]]/($AA$47-$AK56)</f>
        <v>0</v>
      </c>
      <c r="AT56" s="87">
        <f>Table211235[[#This Row],[Finishes]]/($AA$47-$AK56)</f>
        <v>0</v>
      </c>
      <c r="AU56" s="87">
        <f>Table211235[[#This Row],[Midranges]]/($AA$47-$AK56)</f>
        <v>0</v>
      </c>
      <c r="AV56" s="87">
        <f>Table211235[[#This Row],[Threes]]/($AA$47-$AK56)</f>
        <v>0</v>
      </c>
      <c r="AW56" s="87">
        <f>Table211235[[#This Row],[Assists]]/($AA$47-$AK56)</f>
        <v>0</v>
      </c>
      <c r="AX56" s="22"/>
    </row>
    <row r="57" spans="19:50" ht="14.25" customHeight="1" x14ac:dyDescent="0.45">
      <c r="S57" s="10" t="s">
        <v>160</v>
      </c>
      <c r="T57" s="25">
        <f>1-V55</f>
        <v>0.45833333333333337</v>
      </c>
      <c r="U57" s="25">
        <f>1-V56</f>
        <v>0.52941176470588236</v>
      </c>
      <c r="V57" s="27" t="s">
        <v>105</v>
      </c>
      <c r="W57" s="25">
        <f>AVERAGE(T57:V57)</f>
        <v>0.49387254901960786</v>
      </c>
      <c r="Z57" s="1" t="s">
        <v>41</v>
      </c>
      <c r="AA57" s="22">
        <f>'0502'!U11</f>
        <v>0</v>
      </c>
      <c r="AB57" s="22">
        <f>'0502'!V11</f>
        <v>0</v>
      </c>
      <c r="AC57" s="22">
        <f>'0502'!W11</f>
        <v>0</v>
      </c>
      <c r="AD57" s="22">
        <f>'0502'!X11</f>
        <v>0</v>
      </c>
      <c r="AE57" s="22">
        <f>'0502'!Y11</f>
        <v>0</v>
      </c>
      <c r="AF57" s="87">
        <f>Table21123[[#This Row],[Points]]/($AA$47-$AK57)</f>
        <v>0</v>
      </c>
      <c r="AG57" s="87">
        <f>Table21123[[#This Row],[Finishes]]/($AA$47-$AK57)</f>
        <v>0</v>
      </c>
      <c r="AH57" s="87">
        <f>Table21123[[#This Row],[Midranges]]/($AA$47-$AK57)</f>
        <v>0</v>
      </c>
      <c r="AI57" s="87">
        <f>Table21123[[#This Row],[Threes]]/($AA$47-$AK57)</f>
        <v>0</v>
      </c>
      <c r="AJ57" s="87">
        <f>Table21123[[#This Row],[Assists]]/($AA$47-$AK57)</f>
        <v>0</v>
      </c>
      <c r="AK57" s="22">
        <f>COUNTIF('0502'!X11,TRUE)</f>
        <v>0</v>
      </c>
      <c r="AM57" s="1" t="s">
        <v>41</v>
      </c>
      <c r="AN57" s="22"/>
      <c r="AO57" s="22"/>
      <c r="AP57" s="22"/>
      <c r="AQ57" s="22"/>
      <c r="AR57" s="22"/>
      <c r="AS57" s="87">
        <f>Table211235[[#This Row],[Points]]/($AA$47-$AK57)</f>
        <v>0</v>
      </c>
      <c r="AT57" s="87">
        <f>Table211235[[#This Row],[Finishes]]/($AA$47-$AK57)</f>
        <v>0</v>
      </c>
      <c r="AU57" s="87">
        <f>Table211235[[#This Row],[Midranges]]/($AA$47-$AK57)</f>
        <v>0</v>
      </c>
      <c r="AV57" s="87">
        <f>Table211235[[#This Row],[Threes]]/($AA$47-$AK57)</f>
        <v>0</v>
      </c>
      <c r="AW57" s="87">
        <f>Table211235[[#This Row],[Assists]]/($AA$47-$AK57)</f>
        <v>0</v>
      </c>
      <c r="AX57" s="22"/>
    </row>
    <row r="58" spans="19:50" ht="14.25" customHeight="1" x14ac:dyDescent="0.45">
      <c r="V58" s="28"/>
      <c r="W58" s="74"/>
      <c r="Z58" s="1" t="s">
        <v>44</v>
      </c>
      <c r="AA58" s="22">
        <f>'0502'!U12</f>
        <v>0</v>
      </c>
      <c r="AB58" s="22">
        <f>'0502'!V12</f>
        <v>0</v>
      </c>
      <c r="AC58" s="22">
        <f>'0502'!W12</f>
        <v>0</v>
      </c>
      <c r="AD58" s="22">
        <f>'0502'!X12</f>
        <v>0</v>
      </c>
      <c r="AE58" s="22">
        <f>'0502'!Y12</f>
        <v>0</v>
      </c>
      <c r="AF58" s="87">
        <f>Table21123[[#This Row],[Points]]/($AA$47-$AK58)</f>
        <v>0</v>
      </c>
      <c r="AG58" s="87">
        <f>Table21123[[#This Row],[Finishes]]/($AA$47-$AK58)</f>
        <v>0</v>
      </c>
      <c r="AH58" s="87">
        <f>Table21123[[#This Row],[Midranges]]/($AA$47-$AK58)</f>
        <v>0</v>
      </c>
      <c r="AI58" s="87">
        <f>Table21123[[#This Row],[Threes]]/($AA$47-$AK58)</f>
        <v>0</v>
      </c>
      <c r="AJ58" s="87">
        <f>Table21123[[#This Row],[Assists]]/($AA$47-$AK58)</f>
        <v>0</v>
      </c>
      <c r="AK58" s="22">
        <f>COUNTIF('0502'!X12,TRUE)</f>
        <v>0</v>
      </c>
      <c r="AM58" s="1" t="s">
        <v>44</v>
      </c>
      <c r="AN58" s="22"/>
      <c r="AO58" s="22"/>
      <c r="AP58" s="22"/>
      <c r="AQ58" s="22"/>
      <c r="AR58" s="22"/>
      <c r="AS58" s="87">
        <f>Table211235[[#This Row],[Points]]/($AA$47-$AK58)</f>
        <v>0</v>
      </c>
      <c r="AT58" s="87">
        <f>Table211235[[#This Row],[Finishes]]/($AA$47-$AK58)</f>
        <v>0</v>
      </c>
      <c r="AU58" s="87">
        <f>Table211235[[#This Row],[Midranges]]/($AA$47-$AK58)</f>
        <v>0</v>
      </c>
      <c r="AV58" s="87">
        <f>Table211235[[#This Row],[Threes]]/($AA$47-$AK58)</f>
        <v>0</v>
      </c>
      <c r="AW58" s="87">
        <f>Table211235[[#This Row],[Assists]]/($AA$47-$AK58)</f>
        <v>0</v>
      </c>
      <c r="AX58" s="22"/>
    </row>
    <row r="59" spans="19:50" ht="14.25" customHeight="1" x14ac:dyDescent="0.45">
      <c r="Z59" s="1" t="s">
        <v>46</v>
      </c>
      <c r="AA59" s="22">
        <f>'0502'!U13</f>
        <v>0</v>
      </c>
      <c r="AB59" s="22">
        <f>'0502'!V13</f>
        <v>0</v>
      </c>
      <c r="AC59" s="22">
        <f>'0502'!W13</f>
        <v>0</v>
      </c>
      <c r="AD59" s="22">
        <f>'0502'!X13</f>
        <v>0</v>
      </c>
      <c r="AE59" s="22">
        <f>'0502'!Y13</f>
        <v>0</v>
      </c>
      <c r="AF59" s="87">
        <f>Table21123[[#This Row],[Points]]/($AA$47-$AK59)</f>
        <v>0</v>
      </c>
      <c r="AG59" s="87">
        <f>Table21123[[#This Row],[Finishes]]/($AA$47-$AK59)</f>
        <v>0</v>
      </c>
      <c r="AH59" s="87">
        <f>Table21123[[#This Row],[Midranges]]/($AA$47-$AK59)</f>
        <v>0</v>
      </c>
      <c r="AI59" s="87">
        <f>Table21123[[#This Row],[Threes]]/($AA$47-$AK59)</f>
        <v>0</v>
      </c>
      <c r="AJ59" s="87">
        <f>Table21123[[#This Row],[Assists]]/($AA$47-$AK59)</f>
        <v>0</v>
      </c>
      <c r="AK59" s="22">
        <f>COUNTIF('0502'!X13,TRUE)</f>
        <v>0</v>
      </c>
      <c r="AM59" s="1" t="s">
        <v>46</v>
      </c>
      <c r="AN59" s="22"/>
      <c r="AO59" s="22"/>
      <c r="AP59" s="22"/>
      <c r="AQ59" s="22"/>
      <c r="AR59" s="22"/>
      <c r="AS59" s="87">
        <f>Table211235[[#This Row],[Points]]/($AA$47-$AK59)</f>
        <v>0</v>
      </c>
      <c r="AT59" s="87">
        <f>Table211235[[#This Row],[Finishes]]/($AA$47-$AK59)</f>
        <v>0</v>
      </c>
      <c r="AU59" s="87">
        <f>Table211235[[#This Row],[Midranges]]/($AA$47-$AK59)</f>
        <v>0</v>
      </c>
      <c r="AV59" s="87">
        <f>Table211235[[#This Row],[Threes]]/($AA$47-$AK59)</f>
        <v>0</v>
      </c>
      <c r="AW59" s="87">
        <f>Table211235[[#This Row],[Assists]]/($AA$47-$AK59)</f>
        <v>0</v>
      </c>
      <c r="AX59" s="22"/>
    </row>
    <row r="60" spans="19:50" ht="14.25" customHeight="1" x14ac:dyDescent="0.45">
      <c r="Z60" t="s">
        <v>49</v>
      </c>
      <c r="AA60" s="22">
        <f>'0502'!U14</f>
        <v>0</v>
      </c>
      <c r="AB60" s="22">
        <f>'0502'!V14</f>
        <v>0</v>
      </c>
      <c r="AC60" s="22">
        <f>'0502'!W14</f>
        <v>0</v>
      </c>
      <c r="AD60" s="22">
        <f>'0502'!X14</f>
        <v>0</v>
      </c>
      <c r="AE60" s="22">
        <f>'0502'!Y14</f>
        <v>0</v>
      </c>
      <c r="AF60" s="87">
        <f>Table21123[[#This Row],[Points]]/($AA$47-$AK60)</f>
        <v>0</v>
      </c>
      <c r="AG60" s="87">
        <f>Table21123[[#This Row],[Finishes]]/($AA$47-$AK60)</f>
        <v>0</v>
      </c>
      <c r="AH60" s="87">
        <f>Table21123[[#This Row],[Midranges]]/($AA$47-$AK60)</f>
        <v>0</v>
      </c>
      <c r="AI60" s="87">
        <f>Table21123[[#This Row],[Threes]]/($AA$47-$AK60)</f>
        <v>0</v>
      </c>
      <c r="AJ60" s="87">
        <f>Table21123[[#This Row],[Assists]]/($AA$47-$AK60)</f>
        <v>0</v>
      </c>
      <c r="AK60" s="22">
        <f>COUNTIF('0502'!X14,TRUE)</f>
        <v>0</v>
      </c>
      <c r="AM60" t="s">
        <v>49</v>
      </c>
      <c r="AN60" s="22"/>
      <c r="AO60" s="22"/>
      <c r="AP60" s="22"/>
      <c r="AQ60" s="22"/>
      <c r="AR60" s="22"/>
      <c r="AS60" s="87">
        <f>Table211235[[#This Row],[Points]]/($AA$47-$AK60)</f>
        <v>0</v>
      </c>
      <c r="AT60" s="87">
        <f>Table211235[[#This Row],[Finishes]]/($AA$47-$AK60)</f>
        <v>0</v>
      </c>
      <c r="AU60" s="87">
        <f>Table211235[[#This Row],[Midranges]]/($AA$47-$AK60)</f>
        <v>0</v>
      </c>
      <c r="AV60" s="87">
        <f>Table211235[[#This Row],[Threes]]/($AA$47-$AK60)</f>
        <v>0</v>
      </c>
      <c r="AW60" s="87">
        <f>Table211235[[#This Row],[Assists]]/($AA$47-$AK60)</f>
        <v>0</v>
      </c>
      <c r="AX60" s="22"/>
    </row>
    <row r="61" spans="19:50" ht="14.25" customHeight="1" x14ac:dyDescent="0.45">
      <c r="Z61" t="s">
        <v>52</v>
      </c>
      <c r="AA61" s="22">
        <f>'0502'!U15</f>
        <v>0</v>
      </c>
      <c r="AB61" s="22">
        <f>'0502'!V15</f>
        <v>0</v>
      </c>
      <c r="AC61" s="22">
        <f>'0502'!W15</f>
        <v>0</v>
      </c>
      <c r="AD61" s="22">
        <f>'0502'!X15</f>
        <v>0</v>
      </c>
      <c r="AE61" s="22">
        <f>'0502'!Y15</f>
        <v>0</v>
      </c>
      <c r="AF61" s="87">
        <f>Table21123[[#This Row],[Points]]/($AA$47-$AK61)</f>
        <v>0</v>
      </c>
      <c r="AG61" s="87">
        <f>Table21123[[#This Row],[Finishes]]/($AA$47-$AK61)</f>
        <v>0</v>
      </c>
      <c r="AH61" s="87">
        <f>Table21123[[#This Row],[Midranges]]/($AA$47-$AK61)</f>
        <v>0</v>
      </c>
      <c r="AI61" s="87">
        <f>Table21123[[#This Row],[Threes]]/($AA$47-$AK61)</f>
        <v>0</v>
      </c>
      <c r="AJ61" s="87">
        <f>Table21123[[#This Row],[Assists]]/($AA$47-$AK61)</f>
        <v>0</v>
      </c>
      <c r="AK61" s="22">
        <f>COUNTIF('0502'!X15,TRUE)</f>
        <v>0</v>
      </c>
      <c r="AM61" t="s">
        <v>52</v>
      </c>
      <c r="AN61" s="22"/>
      <c r="AO61" s="22"/>
      <c r="AP61" s="22"/>
      <c r="AQ61" s="22"/>
      <c r="AR61" s="22"/>
      <c r="AS61" s="87">
        <f>Table211235[[#This Row],[Points]]/($AA$47-$AK61)</f>
        <v>0</v>
      </c>
      <c r="AT61" s="87">
        <f>Table211235[[#This Row],[Finishes]]/($AA$47-$AK61)</f>
        <v>0</v>
      </c>
      <c r="AU61" s="87">
        <f>Table211235[[#This Row],[Midranges]]/($AA$47-$AK61)</f>
        <v>0</v>
      </c>
      <c r="AV61" s="87">
        <f>Table211235[[#This Row],[Threes]]/($AA$47-$AK61)</f>
        <v>0</v>
      </c>
      <c r="AW61" s="87">
        <f>Table211235[[#This Row],[Assists]]/($AA$47-$AK61)</f>
        <v>0</v>
      </c>
      <c r="AX61" s="22"/>
    </row>
    <row r="62" spans="19:50" ht="14.25" customHeight="1" x14ac:dyDescent="0.45">
      <c r="Z62" t="s">
        <v>55</v>
      </c>
      <c r="AA62" s="22">
        <f>'0502'!U16</f>
        <v>0</v>
      </c>
      <c r="AB62" s="22">
        <f>'0502'!V16</f>
        <v>0</v>
      </c>
      <c r="AC62" s="22">
        <f>'0502'!W16</f>
        <v>0</v>
      </c>
      <c r="AD62" s="22">
        <f>'0502'!X16</f>
        <v>0</v>
      </c>
      <c r="AE62" s="22">
        <f>'0502'!Y16</f>
        <v>0</v>
      </c>
      <c r="AF62" s="87">
        <f>Table21123[[#This Row],[Points]]/($AA$47-$AK62)</f>
        <v>0</v>
      </c>
      <c r="AG62" s="87">
        <f>Table21123[[#This Row],[Finishes]]/($AA$47-$AK62)</f>
        <v>0</v>
      </c>
      <c r="AH62" s="87">
        <f>Table21123[[#This Row],[Midranges]]/($AA$47-$AK62)</f>
        <v>0</v>
      </c>
      <c r="AI62" s="87">
        <f>Table21123[[#This Row],[Threes]]/($AA$47-$AK62)</f>
        <v>0</v>
      </c>
      <c r="AJ62" s="87">
        <f>Table21123[[#This Row],[Assists]]/($AA$47-$AK62)</f>
        <v>0</v>
      </c>
      <c r="AK62" s="22">
        <f>COUNTIF('0502'!X16,TRUE)</f>
        <v>0</v>
      </c>
      <c r="AM62" t="s">
        <v>55</v>
      </c>
      <c r="AN62" s="22"/>
      <c r="AO62" s="22"/>
      <c r="AP62" s="22"/>
      <c r="AQ62" s="22"/>
      <c r="AR62" s="22"/>
      <c r="AS62" s="87">
        <f>Table211235[[#This Row],[Points]]/($AA$47-$AK62)</f>
        <v>0</v>
      </c>
      <c r="AT62" s="87">
        <f>Table211235[[#This Row],[Finishes]]/($AA$47-$AK62)</f>
        <v>0</v>
      </c>
      <c r="AU62" s="87">
        <f>Table211235[[#This Row],[Midranges]]/($AA$47-$AK62)</f>
        <v>0</v>
      </c>
      <c r="AV62" s="87">
        <f>Table211235[[#This Row],[Threes]]/($AA$47-$AK62)</f>
        <v>0</v>
      </c>
      <c r="AW62" s="87">
        <f>Table211235[[#This Row],[Assists]]/($AA$47-$AK62)</f>
        <v>0</v>
      </c>
      <c r="AX62" s="22"/>
    </row>
    <row r="63" spans="19:50" ht="14.25" customHeight="1" x14ac:dyDescent="0.45">
      <c r="Z63" t="s">
        <v>185</v>
      </c>
      <c r="AA63" s="22">
        <f>'0502'!U17</f>
        <v>0</v>
      </c>
      <c r="AB63" s="22">
        <f>'0502'!V17</f>
        <v>0</v>
      </c>
      <c r="AC63" s="22">
        <f>'0502'!W17</f>
        <v>0</v>
      </c>
      <c r="AD63" s="22">
        <f>'0502'!X17</f>
        <v>0</v>
      </c>
      <c r="AE63" s="22">
        <f>'0502'!Y17</f>
        <v>0</v>
      </c>
      <c r="AF63" s="87">
        <f>Table21123[[#This Row],[Points]]/($AA$47-$AK63)</f>
        <v>0</v>
      </c>
      <c r="AG63" s="87">
        <f>Table21123[[#This Row],[Finishes]]/($AA$47-$AK63)</f>
        <v>0</v>
      </c>
      <c r="AH63" s="87">
        <f>Table21123[[#This Row],[Midranges]]/($AA$47-$AK63)</f>
        <v>0</v>
      </c>
      <c r="AI63" s="87">
        <f>Table21123[[#This Row],[Threes]]/($AA$47-$AK63)</f>
        <v>0</v>
      </c>
      <c r="AJ63" s="87">
        <f>Table21123[[#This Row],[Assists]]/($AA$47-$AK63)</f>
        <v>0</v>
      </c>
      <c r="AK63" s="22">
        <f>COUNTIF('0502'!X17,TRUE)</f>
        <v>0</v>
      </c>
      <c r="AM63" t="s">
        <v>185</v>
      </c>
      <c r="AN63" s="22"/>
      <c r="AO63" s="22"/>
      <c r="AP63" s="22"/>
      <c r="AQ63" s="22"/>
      <c r="AR63" s="22"/>
      <c r="AS63" s="87">
        <f>Table211235[[#This Row],[Points]]/($AA$47-$AK63)</f>
        <v>0</v>
      </c>
      <c r="AT63" s="87">
        <f>Table211235[[#This Row],[Finishes]]/($AA$47-$AK63)</f>
        <v>0</v>
      </c>
      <c r="AU63" s="87">
        <f>Table211235[[#This Row],[Midranges]]/($AA$47-$AK63)</f>
        <v>0</v>
      </c>
      <c r="AV63" s="87">
        <f>Table211235[[#This Row],[Threes]]/($AA$47-$AK63)</f>
        <v>0</v>
      </c>
      <c r="AW63" s="87">
        <f>Table211235[[#This Row],[Assists]]/($AA$47-$AK63)</f>
        <v>0</v>
      </c>
      <c r="AX63" s="22"/>
    </row>
    <row r="64" spans="19:50" ht="14.25" customHeight="1" x14ac:dyDescent="0.45">
      <c r="Z64" t="s">
        <v>199</v>
      </c>
      <c r="AA64" s="22">
        <f>'0502'!U18</f>
        <v>0</v>
      </c>
      <c r="AB64" s="22">
        <f>'0502'!V18</f>
        <v>0</v>
      </c>
      <c r="AC64" s="22">
        <f>'0502'!W18</f>
        <v>0</v>
      </c>
      <c r="AD64" s="22">
        <f>'0502'!X18</f>
        <v>0</v>
      </c>
      <c r="AE64" s="22">
        <f>'0502'!Y18</f>
        <v>0</v>
      </c>
      <c r="AF64" s="87">
        <f>Table21123[[#This Row],[Points]]/($AA$47-$AK64)</f>
        <v>0</v>
      </c>
      <c r="AG64" s="87">
        <f>Table21123[[#This Row],[Finishes]]/($AA$47-$AK64)</f>
        <v>0</v>
      </c>
      <c r="AH64" s="87">
        <f>Table21123[[#This Row],[Midranges]]/($AA$47-$AK64)</f>
        <v>0</v>
      </c>
      <c r="AI64" s="87">
        <f>Table21123[[#This Row],[Threes]]/($AA$47-$AK64)</f>
        <v>0</v>
      </c>
      <c r="AJ64" s="87">
        <f>Table21123[[#This Row],[Assists]]/($AA$47-$AK64)</f>
        <v>0</v>
      </c>
      <c r="AK64" s="22">
        <f>COUNTIF('0502'!X18,TRUE)</f>
        <v>0</v>
      </c>
      <c r="AM64" t="s">
        <v>199</v>
      </c>
      <c r="AN64" s="22"/>
      <c r="AO64" s="22"/>
      <c r="AP64" s="22"/>
      <c r="AQ64" s="22"/>
      <c r="AR64" s="22"/>
      <c r="AS64" s="87">
        <f>Table211235[[#This Row],[Points]]/($AA$47-$AK64)</f>
        <v>0</v>
      </c>
      <c r="AT64" s="87">
        <f>Table211235[[#This Row],[Finishes]]/($AA$47-$AK64)</f>
        <v>0</v>
      </c>
      <c r="AU64" s="87">
        <f>Table211235[[#This Row],[Midranges]]/($AA$47-$AK64)</f>
        <v>0</v>
      </c>
      <c r="AV64" s="87">
        <f>Table211235[[#This Row],[Threes]]/($AA$47-$AK64)</f>
        <v>0</v>
      </c>
      <c r="AW64" s="87">
        <f>Table211235[[#This Row],[Assists]]/($AA$47-$AK64)</f>
        <v>0</v>
      </c>
      <c r="AX64" s="22"/>
    </row>
    <row r="65" spans="18:50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50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50" ht="14.25" customHeight="1" x14ac:dyDescent="0.45">
      <c r="Z67" s="1" t="s">
        <v>115</v>
      </c>
      <c r="AA67" s="1">
        <v>0</v>
      </c>
      <c r="AI67" s="2"/>
      <c r="AL67" s="1"/>
      <c r="AM67" s="1" t="s">
        <v>207</v>
      </c>
      <c r="AN67" s="1">
        <v>0</v>
      </c>
      <c r="AV67" s="2"/>
    </row>
    <row r="68" spans="18:50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237</v>
      </c>
      <c r="AF68" s="21" t="s">
        <v>100</v>
      </c>
      <c r="AG68" s="21" t="s">
        <v>98</v>
      </c>
      <c r="AH68" s="10" t="s">
        <v>99</v>
      </c>
      <c r="AI68" s="21" t="s">
        <v>133</v>
      </c>
      <c r="AJ68" s="21" t="s">
        <v>240</v>
      </c>
      <c r="AK68" s="2" t="s">
        <v>96</v>
      </c>
      <c r="AL68" s="10"/>
      <c r="AM68" s="10" t="s">
        <v>73</v>
      </c>
      <c r="AN68" s="10" t="s">
        <v>0</v>
      </c>
      <c r="AO68" s="10" t="s">
        <v>1</v>
      </c>
      <c r="AP68" s="10" t="s">
        <v>2</v>
      </c>
      <c r="AQ68" s="21" t="s">
        <v>3</v>
      </c>
      <c r="AR68" s="21" t="s">
        <v>237</v>
      </c>
      <c r="AS68" s="21" t="s">
        <v>100</v>
      </c>
      <c r="AT68" s="21" t="s">
        <v>98</v>
      </c>
      <c r="AU68" s="10" t="s">
        <v>99</v>
      </c>
      <c r="AV68" s="21" t="s">
        <v>133</v>
      </c>
      <c r="AW68" s="21" t="s">
        <v>240</v>
      </c>
      <c r="AX68" s="2" t="s">
        <v>96</v>
      </c>
    </row>
    <row r="69" spans="18:50" ht="14.25" customHeight="1" x14ac:dyDescent="0.45">
      <c r="Z69" s="1" t="s">
        <v>25</v>
      </c>
      <c r="AA69" s="22"/>
      <c r="AB69" s="22"/>
      <c r="AC69" s="22"/>
      <c r="AD69" s="22"/>
      <c r="AE69" s="22"/>
      <c r="AF69" s="87">
        <f>Table2112356[[#This Row],[Points]]/($AA$47-$AK69)</f>
        <v>0</v>
      </c>
      <c r="AG69" s="87">
        <f>Table2112356[[#This Row],[Finishes]]/($AA$47-$AK69)</f>
        <v>0</v>
      </c>
      <c r="AH69" s="87">
        <f>Table2112356[[#This Row],[Midranges]]/($AA$47-$AK69)</f>
        <v>0</v>
      </c>
      <c r="AI69" s="87">
        <f>Table2112356[[#This Row],[Threes]]/($AA$47-$AK69)</f>
        <v>0</v>
      </c>
      <c r="AJ69" s="87">
        <f>Table2112356[[#This Row],[Assists]]/($AA$47-$AK69)</f>
        <v>0</v>
      </c>
      <c r="AK69" s="22"/>
      <c r="AL69" s="22"/>
      <c r="AM69" s="1" t="s">
        <v>25</v>
      </c>
      <c r="AN69" s="22"/>
      <c r="AO69" s="22"/>
      <c r="AP69" s="22"/>
      <c r="AQ69" s="22"/>
      <c r="AR69" s="22"/>
      <c r="AS69" s="87">
        <f>Table2112357[[#This Row],[Points]]/($AA$47-$AK69)</f>
        <v>0</v>
      </c>
      <c r="AT69" s="87">
        <f>Table2112357[[#This Row],[Finishes]]/($AA$47-$AK69)</f>
        <v>0</v>
      </c>
      <c r="AU69" s="87">
        <f>Table2112357[[#This Row],[Midranges]]/($AA$47-$AK69)</f>
        <v>0</v>
      </c>
      <c r="AV69" s="87">
        <f>Table2112357[[#This Row],[Threes]]/($AA$47-$AK69)</f>
        <v>0</v>
      </c>
      <c r="AW69" s="87">
        <f>Table2112357[[#This Row],[Assists]]/($AA$47-$AK69)</f>
        <v>0</v>
      </c>
      <c r="AX69" s="22"/>
    </row>
    <row r="70" spans="18:50" ht="14.25" customHeight="1" x14ac:dyDescent="0.45">
      <c r="Z70" s="1" t="s">
        <v>26</v>
      </c>
      <c r="AA70" s="22"/>
      <c r="AB70" s="22"/>
      <c r="AC70" s="22"/>
      <c r="AD70" s="22"/>
      <c r="AE70" s="22"/>
      <c r="AF70" s="87">
        <f>Table2112356[[#This Row],[Points]]/($AA$47-$AK70)</f>
        <v>0</v>
      </c>
      <c r="AG70" s="87">
        <f>Table2112356[[#This Row],[Finishes]]/($AA$47-$AK70)</f>
        <v>0</v>
      </c>
      <c r="AH70" s="87">
        <f>Table2112356[[#This Row],[Midranges]]/($AA$47-$AK70)</f>
        <v>0</v>
      </c>
      <c r="AI70" s="87">
        <f>Table2112356[[#This Row],[Threes]]/($AA$47-$AK70)</f>
        <v>0</v>
      </c>
      <c r="AJ70" s="87">
        <f>Table2112356[[#This Row],[Assists]]/($AA$47-$AK70)</f>
        <v>0</v>
      </c>
      <c r="AK70" s="22"/>
      <c r="AL70" s="22"/>
      <c r="AM70" s="1" t="s">
        <v>26</v>
      </c>
      <c r="AN70" s="22"/>
      <c r="AO70" s="22"/>
      <c r="AP70" s="22"/>
      <c r="AQ70" s="22"/>
      <c r="AR70" s="22"/>
      <c r="AS70" s="87">
        <f>Table2112357[[#This Row],[Points]]/($AA$47-$AK70)</f>
        <v>0</v>
      </c>
      <c r="AT70" s="87">
        <f>Table2112357[[#This Row],[Finishes]]/($AA$47-$AK70)</f>
        <v>0</v>
      </c>
      <c r="AU70" s="87">
        <f>Table2112357[[#This Row],[Midranges]]/($AA$47-$AK70)</f>
        <v>0</v>
      </c>
      <c r="AV70" s="87">
        <f>Table2112357[[#This Row],[Threes]]/($AA$47-$AK70)</f>
        <v>0</v>
      </c>
      <c r="AW70" s="87">
        <f>Table2112357[[#This Row],[Assists]]/($AA$47-$AK70)</f>
        <v>0</v>
      </c>
      <c r="AX70" s="22"/>
    </row>
    <row r="71" spans="18:50" ht="14.25" customHeight="1" x14ac:dyDescent="0.45">
      <c r="Z71" s="1" t="s">
        <v>27</v>
      </c>
      <c r="AA71" s="22"/>
      <c r="AB71" s="22"/>
      <c r="AC71" s="22"/>
      <c r="AD71" s="22"/>
      <c r="AE71" s="22"/>
      <c r="AF71" s="87">
        <f>Table2112356[[#This Row],[Points]]/($AA$47-$AK71)</f>
        <v>0</v>
      </c>
      <c r="AG71" s="87">
        <f>Table2112356[[#This Row],[Finishes]]/($AA$47-$AK71)</f>
        <v>0</v>
      </c>
      <c r="AH71" s="87">
        <f>Table2112356[[#This Row],[Midranges]]/($AA$47-$AK71)</f>
        <v>0</v>
      </c>
      <c r="AI71" s="87">
        <f>Table2112356[[#This Row],[Threes]]/($AA$47-$AK71)</f>
        <v>0</v>
      </c>
      <c r="AJ71" s="87">
        <f>Table2112356[[#This Row],[Assists]]/($AA$47-$AK71)</f>
        <v>0</v>
      </c>
      <c r="AK71" s="22"/>
      <c r="AL71" s="22"/>
      <c r="AM71" s="1" t="s">
        <v>27</v>
      </c>
      <c r="AN71" s="22"/>
      <c r="AO71" s="22"/>
      <c r="AP71" s="22"/>
      <c r="AQ71" s="22"/>
      <c r="AR71" s="22"/>
      <c r="AS71" s="87">
        <f>Table2112357[[#This Row],[Points]]/($AA$47-$AK71)</f>
        <v>0</v>
      </c>
      <c r="AT71" s="87">
        <f>Table2112357[[#This Row],[Finishes]]/($AA$47-$AK71)</f>
        <v>0</v>
      </c>
      <c r="AU71" s="87">
        <f>Table2112357[[#This Row],[Midranges]]/($AA$47-$AK71)</f>
        <v>0</v>
      </c>
      <c r="AV71" s="87">
        <f>Table2112357[[#This Row],[Threes]]/($AA$47-$AK71)</f>
        <v>0</v>
      </c>
      <c r="AW71" s="87">
        <f>Table2112357[[#This Row],[Assists]]/($AA$47-$AK71)</f>
        <v>0</v>
      </c>
      <c r="AX71" s="22"/>
    </row>
    <row r="72" spans="18:50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87">
        <f>Table2112356[[#This Row],[Points]]/($AA$47-$AK72)</f>
        <v>0</v>
      </c>
      <c r="AG72" s="87">
        <f>Table2112356[[#This Row],[Finishes]]/($AA$47-$AK72)</f>
        <v>0</v>
      </c>
      <c r="AH72" s="87">
        <f>Table2112356[[#This Row],[Midranges]]/($AA$47-$AK72)</f>
        <v>0</v>
      </c>
      <c r="AI72" s="87">
        <f>Table2112356[[#This Row],[Threes]]/($AA$47-$AK72)</f>
        <v>0</v>
      </c>
      <c r="AJ72" s="87">
        <f>Table2112356[[#This Row],[Assists]]/($AA$47-$AK72)</f>
        <v>0</v>
      </c>
      <c r="AK72" s="22"/>
      <c r="AL72" s="22"/>
      <c r="AM72" s="1" t="s">
        <v>30</v>
      </c>
      <c r="AN72" s="22"/>
      <c r="AO72" s="22"/>
      <c r="AP72" s="22"/>
      <c r="AQ72" s="22"/>
      <c r="AR72" s="22"/>
      <c r="AS72" s="87">
        <f>Table2112357[[#This Row],[Points]]/($AA$47-$AK72)</f>
        <v>0</v>
      </c>
      <c r="AT72" s="87">
        <f>Table2112357[[#This Row],[Finishes]]/($AA$47-$AK72)</f>
        <v>0</v>
      </c>
      <c r="AU72" s="87">
        <f>Table2112357[[#This Row],[Midranges]]/($AA$47-$AK72)</f>
        <v>0</v>
      </c>
      <c r="AV72" s="87">
        <f>Table2112357[[#This Row],[Threes]]/($AA$47-$AK72)</f>
        <v>0</v>
      </c>
      <c r="AW72" s="87">
        <f>Table2112357[[#This Row],[Assists]]/($AA$47-$AK72)</f>
        <v>0</v>
      </c>
      <c r="AX72" s="22"/>
    </row>
    <row r="73" spans="18:50" ht="14.25" customHeight="1" x14ac:dyDescent="0.45">
      <c r="Z73" s="1" t="s">
        <v>32</v>
      </c>
      <c r="AA73" s="22"/>
      <c r="AB73" s="22"/>
      <c r="AC73" s="22"/>
      <c r="AD73" s="22"/>
      <c r="AE73" s="22"/>
      <c r="AF73" s="87">
        <f>Table2112356[[#This Row],[Points]]/($AA$47-$AK73)</f>
        <v>0</v>
      </c>
      <c r="AG73" s="87">
        <f>Table2112356[[#This Row],[Finishes]]/($AA$47-$AK73)</f>
        <v>0</v>
      </c>
      <c r="AH73" s="87">
        <f>Table2112356[[#This Row],[Midranges]]/($AA$47-$AK73)</f>
        <v>0</v>
      </c>
      <c r="AI73" s="87">
        <f>Table2112356[[#This Row],[Threes]]/($AA$47-$AK73)</f>
        <v>0</v>
      </c>
      <c r="AJ73" s="87">
        <f>Table2112356[[#This Row],[Assists]]/($AA$47-$AK73)</f>
        <v>0</v>
      </c>
      <c r="AK73" s="22"/>
      <c r="AL73" s="22"/>
      <c r="AM73" s="1" t="s">
        <v>32</v>
      </c>
      <c r="AN73" s="22"/>
      <c r="AO73" s="22"/>
      <c r="AP73" s="22"/>
      <c r="AQ73" s="22"/>
      <c r="AR73" s="22"/>
      <c r="AS73" s="87">
        <f>Table2112357[[#This Row],[Points]]/($AA$47-$AK73)</f>
        <v>0</v>
      </c>
      <c r="AT73" s="87">
        <f>Table2112357[[#This Row],[Finishes]]/($AA$47-$AK73)</f>
        <v>0</v>
      </c>
      <c r="AU73" s="87">
        <f>Table2112357[[#This Row],[Midranges]]/($AA$47-$AK73)</f>
        <v>0</v>
      </c>
      <c r="AV73" s="87">
        <f>Table2112357[[#This Row],[Threes]]/($AA$47-$AK73)</f>
        <v>0</v>
      </c>
      <c r="AW73" s="87">
        <f>Table2112357[[#This Row],[Assists]]/($AA$47-$AK73)</f>
        <v>0</v>
      </c>
      <c r="AX73" s="22"/>
    </row>
    <row r="74" spans="18:50" ht="14.25" customHeight="1" x14ac:dyDescent="0.45">
      <c r="Z74" s="1" t="s">
        <v>37</v>
      </c>
      <c r="AA74" s="22"/>
      <c r="AB74" s="22"/>
      <c r="AC74" s="22"/>
      <c r="AD74" s="22"/>
      <c r="AE74" s="22"/>
      <c r="AF74" s="87">
        <f>Table2112356[[#This Row],[Points]]/($AA$47-$AK74)</f>
        <v>0</v>
      </c>
      <c r="AG74" s="87">
        <f>Table2112356[[#This Row],[Finishes]]/($AA$47-$AK74)</f>
        <v>0</v>
      </c>
      <c r="AH74" s="87">
        <f>Table2112356[[#This Row],[Midranges]]/($AA$47-$AK74)</f>
        <v>0</v>
      </c>
      <c r="AI74" s="87">
        <f>Table2112356[[#This Row],[Threes]]/($AA$47-$AK74)</f>
        <v>0</v>
      </c>
      <c r="AJ74" s="87">
        <f>Table2112356[[#This Row],[Assists]]/($AA$47-$AK74)</f>
        <v>0</v>
      </c>
      <c r="AK74" s="22"/>
      <c r="AL74" s="22"/>
      <c r="AM74" s="1" t="s">
        <v>37</v>
      </c>
      <c r="AN74" s="22"/>
      <c r="AO74" s="22"/>
      <c r="AP74" s="22"/>
      <c r="AQ74" s="22"/>
      <c r="AR74" s="22"/>
      <c r="AS74" s="87">
        <f>Table2112357[[#This Row],[Points]]/($AA$47-$AK74)</f>
        <v>0</v>
      </c>
      <c r="AT74" s="87">
        <f>Table2112357[[#This Row],[Finishes]]/($AA$47-$AK74)</f>
        <v>0</v>
      </c>
      <c r="AU74" s="87">
        <f>Table2112357[[#This Row],[Midranges]]/($AA$47-$AK74)</f>
        <v>0</v>
      </c>
      <c r="AV74" s="87">
        <f>Table2112357[[#This Row],[Threes]]/($AA$47-$AK74)</f>
        <v>0</v>
      </c>
      <c r="AW74" s="87">
        <f>Table2112357[[#This Row],[Assists]]/($AA$47-$AK74)</f>
        <v>0</v>
      </c>
      <c r="AX74" s="22"/>
    </row>
    <row r="75" spans="18:50" ht="14.25" customHeight="1" x14ac:dyDescent="0.45">
      <c r="Z75" t="s">
        <v>91</v>
      </c>
      <c r="AA75" s="22"/>
      <c r="AB75" s="22"/>
      <c r="AC75" s="22"/>
      <c r="AD75" s="22"/>
      <c r="AE75" s="22"/>
      <c r="AF75" s="87">
        <f>Table2112356[[#This Row],[Points]]/($AA$47-$AK75)</f>
        <v>0</v>
      </c>
      <c r="AG75" s="87">
        <f>Table2112356[[#This Row],[Finishes]]/($AA$47-$AK75)</f>
        <v>0</v>
      </c>
      <c r="AH75" s="87">
        <f>Table2112356[[#This Row],[Midranges]]/($AA$47-$AK75)</f>
        <v>0</v>
      </c>
      <c r="AI75" s="87">
        <f>Table2112356[[#This Row],[Threes]]/($AA$47-$AK75)</f>
        <v>0</v>
      </c>
      <c r="AJ75" s="87">
        <f>Table2112356[[#This Row],[Assists]]/($AA$47-$AK75)</f>
        <v>0</v>
      </c>
      <c r="AK75" s="22"/>
      <c r="AL75" s="22"/>
      <c r="AM75" t="s">
        <v>91</v>
      </c>
      <c r="AN75" s="22"/>
      <c r="AO75" s="22"/>
      <c r="AP75" s="22"/>
      <c r="AQ75" s="22"/>
      <c r="AR75" s="22"/>
      <c r="AS75" s="87">
        <f>Table2112357[[#This Row],[Points]]/($AA$47-$AK75)</f>
        <v>0</v>
      </c>
      <c r="AT75" s="87">
        <f>Table2112357[[#This Row],[Finishes]]/($AA$47-$AK75)</f>
        <v>0</v>
      </c>
      <c r="AU75" s="87">
        <f>Table2112357[[#This Row],[Midranges]]/($AA$47-$AK75)</f>
        <v>0</v>
      </c>
      <c r="AV75" s="87">
        <f>Table2112357[[#This Row],[Threes]]/($AA$47-$AK75)</f>
        <v>0</v>
      </c>
      <c r="AW75" s="87">
        <f>Table2112357[[#This Row],[Assists]]/($AA$47-$AK75)</f>
        <v>0</v>
      </c>
      <c r="AX75" s="22"/>
    </row>
    <row r="76" spans="18:50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87">
        <f>Table2112356[[#This Row],[Points]]/($AA$47-$AK76)</f>
        <v>0</v>
      </c>
      <c r="AG76" s="87">
        <f>Table2112356[[#This Row],[Finishes]]/($AA$47-$AK76)</f>
        <v>0</v>
      </c>
      <c r="AH76" s="87">
        <f>Table2112356[[#This Row],[Midranges]]/($AA$47-$AK76)</f>
        <v>0</v>
      </c>
      <c r="AI76" s="87">
        <f>Table2112356[[#This Row],[Threes]]/($AA$47-$AK76)</f>
        <v>0</v>
      </c>
      <c r="AJ76" s="87">
        <f>Table2112356[[#This Row],[Assists]]/($AA$47-$AK76)</f>
        <v>0</v>
      </c>
      <c r="AK76" s="22"/>
      <c r="AL76" s="22"/>
      <c r="AM76" s="1" t="s">
        <v>39</v>
      </c>
      <c r="AN76" s="22"/>
      <c r="AO76" s="22"/>
      <c r="AP76" s="22"/>
      <c r="AQ76" s="22"/>
      <c r="AR76" s="22"/>
      <c r="AS76" s="87">
        <f>Table2112357[[#This Row],[Points]]/($AA$47-$AK76)</f>
        <v>0</v>
      </c>
      <c r="AT76" s="87">
        <f>Table2112357[[#This Row],[Finishes]]/($AA$47-$AK76)</f>
        <v>0</v>
      </c>
      <c r="AU76" s="87">
        <f>Table2112357[[#This Row],[Midranges]]/($AA$47-$AK76)</f>
        <v>0</v>
      </c>
      <c r="AV76" s="87">
        <f>Table2112357[[#This Row],[Threes]]/($AA$47-$AK76)</f>
        <v>0</v>
      </c>
      <c r="AW76" s="87">
        <f>Table2112357[[#This Row],[Assists]]/($AA$47-$AK76)</f>
        <v>0</v>
      </c>
      <c r="AX76" s="22"/>
    </row>
    <row r="77" spans="18:50" ht="14.25" customHeight="1" x14ac:dyDescent="0.45">
      <c r="S77" s="31" t="s">
        <v>63</v>
      </c>
      <c r="T77" t="s">
        <v>156</v>
      </c>
      <c r="U77" t="s">
        <v>35</v>
      </c>
      <c r="V77" t="s">
        <v>157</v>
      </c>
      <c r="Z77" s="1" t="s">
        <v>41</v>
      </c>
      <c r="AA77" s="22"/>
      <c r="AB77" s="22"/>
      <c r="AC77" s="22"/>
      <c r="AD77" s="22"/>
      <c r="AE77" s="22"/>
      <c r="AF77" s="87">
        <f>Table2112356[[#This Row],[Points]]/($AA$47-$AK77)</f>
        <v>0</v>
      </c>
      <c r="AG77" s="87">
        <f>Table2112356[[#This Row],[Finishes]]/($AA$47-$AK77)</f>
        <v>0</v>
      </c>
      <c r="AH77" s="87">
        <f>Table2112356[[#This Row],[Midranges]]/($AA$47-$AK77)</f>
        <v>0</v>
      </c>
      <c r="AI77" s="87">
        <f>Table2112356[[#This Row],[Threes]]/($AA$47-$AK77)</f>
        <v>0</v>
      </c>
      <c r="AJ77" s="87">
        <f>Table2112356[[#This Row],[Assists]]/($AA$47-$AK77)</f>
        <v>0</v>
      </c>
      <c r="AK77" s="22"/>
      <c r="AL77" s="22"/>
      <c r="AM77" s="1" t="s">
        <v>41</v>
      </c>
      <c r="AN77" s="22"/>
      <c r="AO77" s="22"/>
      <c r="AP77" s="22"/>
      <c r="AQ77" s="22"/>
      <c r="AR77" s="22"/>
      <c r="AS77" s="87">
        <f>Table2112357[[#This Row],[Points]]/($AA$47-$AK77)</f>
        <v>0</v>
      </c>
      <c r="AT77" s="87">
        <f>Table2112357[[#This Row],[Finishes]]/($AA$47-$AK77)</f>
        <v>0</v>
      </c>
      <c r="AU77" s="87">
        <f>Table2112357[[#This Row],[Midranges]]/($AA$47-$AK77)</f>
        <v>0</v>
      </c>
      <c r="AV77" s="87">
        <f>Table2112357[[#This Row],[Threes]]/($AA$47-$AK77)</f>
        <v>0</v>
      </c>
      <c r="AW77" s="87">
        <f>Table2112357[[#This Row],[Assists]]/($AA$47-$AK77)</f>
        <v>0</v>
      </c>
      <c r="AX77" s="22"/>
    </row>
    <row r="78" spans="18:50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87">
        <f>Table2112356[[#This Row],[Points]]/($AA$47-$AK78)</f>
        <v>0</v>
      </c>
      <c r="AG78" s="87">
        <f>Table2112356[[#This Row],[Finishes]]/($AA$47-$AK78)</f>
        <v>0</v>
      </c>
      <c r="AH78" s="87">
        <f>Table2112356[[#This Row],[Midranges]]/($AA$47-$AK78)</f>
        <v>0</v>
      </c>
      <c r="AI78" s="87">
        <f>Table2112356[[#This Row],[Threes]]/($AA$47-$AK78)</f>
        <v>0</v>
      </c>
      <c r="AJ78" s="87">
        <f>Table2112356[[#This Row],[Assists]]/($AA$47-$AK78)</f>
        <v>0</v>
      </c>
      <c r="AK78" s="22"/>
      <c r="AL78" s="22"/>
      <c r="AM78" s="1" t="s">
        <v>44</v>
      </c>
      <c r="AN78" s="22"/>
      <c r="AO78" s="22"/>
      <c r="AP78" s="22"/>
      <c r="AQ78" s="22"/>
      <c r="AR78" s="22"/>
      <c r="AS78" s="87">
        <f>Table2112357[[#This Row],[Points]]/($AA$47-$AK78)</f>
        <v>0</v>
      </c>
      <c r="AT78" s="87">
        <f>Table2112357[[#This Row],[Finishes]]/($AA$47-$AK78)</f>
        <v>0</v>
      </c>
      <c r="AU78" s="87">
        <f>Table2112357[[#This Row],[Midranges]]/($AA$47-$AK78)</f>
        <v>0</v>
      </c>
      <c r="AV78" s="87">
        <f>Table2112357[[#This Row],[Threes]]/($AA$47-$AK78)</f>
        <v>0</v>
      </c>
      <c r="AW78" s="87">
        <f>Table2112357[[#This Row],[Assists]]/($AA$47-$AK78)</f>
        <v>0</v>
      </c>
      <c r="AX78" s="22"/>
    </row>
    <row r="79" spans="18:50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87">
        <f>Table2112356[[#This Row],[Points]]/($AA$47-$AK79)</f>
        <v>0</v>
      </c>
      <c r="AG79" s="87">
        <f>Table2112356[[#This Row],[Finishes]]/($AA$47-$AK79)</f>
        <v>0</v>
      </c>
      <c r="AH79" s="87">
        <f>Table2112356[[#This Row],[Midranges]]/($AA$47-$AK79)</f>
        <v>0</v>
      </c>
      <c r="AI79" s="87">
        <f>Table2112356[[#This Row],[Threes]]/($AA$47-$AK79)</f>
        <v>0</v>
      </c>
      <c r="AJ79" s="87">
        <f>Table2112356[[#This Row],[Assists]]/($AA$47-$AK79)</f>
        <v>0</v>
      </c>
      <c r="AK79" s="22"/>
      <c r="AL79" s="22"/>
      <c r="AM79" s="1" t="s">
        <v>46</v>
      </c>
      <c r="AN79" s="22"/>
      <c r="AO79" s="22"/>
      <c r="AP79" s="22"/>
      <c r="AQ79" s="22"/>
      <c r="AR79" s="22"/>
      <c r="AS79" s="87">
        <f>Table2112357[[#This Row],[Points]]/($AA$47-$AK79)</f>
        <v>0</v>
      </c>
      <c r="AT79" s="87">
        <f>Table2112357[[#This Row],[Finishes]]/($AA$47-$AK79)</f>
        <v>0</v>
      </c>
      <c r="AU79" s="87">
        <f>Table2112357[[#This Row],[Midranges]]/($AA$47-$AK79)</f>
        <v>0</v>
      </c>
      <c r="AV79" s="87">
        <f>Table2112357[[#This Row],[Threes]]/($AA$47-$AK79)</f>
        <v>0</v>
      </c>
      <c r="AW79" s="87">
        <f>Table2112357[[#This Row],[Assists]]/($AA$47-$AK79)</f>
        <v>0</v>
      </c>
      <c r="AX79" s="22"/>
    </row>
    <row r="80" spans="18:50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87">
        <f>Table2112356[[#This Row],[Points]]/($AA$47-$AK80)</f>
        <v>0</v>
      </c>
      <c r="AG80" s="87">
        <f>Table2112356[[#This Row],[Finishes]]/($AA$47-$AK80)</f>
        <v>0</v>
      </c>
      <c r="AH80" s="87">
        <f>Table2112356[[#This Row],[Midranges]]/($AA$47-$AK80)</f>
        <v>0</v>
      </c>
      <c r="AI80" s="87">
        <f>Table2112356[[#This Row],[Threes]]/($AA$47-$AK80)</f>
        <v>0</v>
      </c>
      <c r="AJ80" s="87">
        <f>Table2112356[[#This Row],[Assists]]/($AA$47-$AK80)</f>
        <v>0</v>
      </c>
      <c r="AK80" s="22"/>
      <c r="AL80" s="22"/>
      <c r="AM80" t="s">
        <v>49</v>
      </c>
      <c r="AN80" s="22"/>
      <c r="AO80" s="22"/>
      <c r="AP80" s="22"/>
      <c r="AQ80" s="22"/>
      <c r="AR80" s="22"/>
      <c r="AS80" s="87">
        <f>Table2112357[[#This Row],[Points]]/($AA$47-$AK80)</f>
        <v>0</v>
      </c>
      <c r="AT80" s="87">
        <f>Table2112357[[#This Row],[Finishes]]/($AA$47-$AK80)</f>
        <v>0</v>
      </c>
      <c r="AU80" s="87">
        <f>Table2112357[[#This Row],[Midranges]]/($AA$47-$AK80)</f>
        <v>0</v>
      </c>
      <c r="AV80" s="87">
        <f>Table2112357[[#This Row],[Threes]]/($AA$47-$AK80)</f>
        <v>0</v>
      </c>
      <c r="AW80" s="87">
        <f>Table2112357[[#This Row],[Assists]]/($AA$47-$AK80)</f>
        <v>0</v>
      </c>
      <c r="AX80" s="22"/>
    </row>
    <row r="81" spans="18:50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87">
        <f>Table2112356[[#This Row],[Points]]/($AA$47-$AK81)</f>
        <v>0</v>
      </c>
      <c r="AG81" s="87">
        <f>Table2112356[[#This Row],[Finishes]]/($AA$47-$AK81)</f>
        <v>0</v>
      </c>
      <c r="AH81" s="87">
        <f>Table2112356[[#This Row],[Midranges]]/($AA$47-$AK81)</f>
        <v>0</v>
      </c>
      <c r="AI81" s="87">
        <f>Table2112356[[#This Row],[Threes]]/($AA$47-$AK81)</f>
        <v>0</v>
      </c>
      <c r="AJ81" s="87">
        <f>Table2112356[[#This Row],[Assists]]/($AA$47-$AK81)</f>
        <v>0</v>
      </c>
      <c r="AK81" s="22"/>
      <c r="AL81" s="22"/>
      <c r="AM81" t="s">
        <v>52</v>
      </c>
      <c r="AN81" s="22"/>
      <c r="AO81" s="22"/>
      <c r="AP81" s="22"/>
      <c r="AQ81" s="22"/>
      <c r="AR81" s="22"/>
      <c r="AS81" s="87">
        <f>Table2112357[[#This Row],[Points]]/($AA$47-$AK81)</f>
        <v>0</v>
      </c>
      <c r="AT81" s="87">
        <f>Table2112357[[#This Row],[Finishes]]/($AA$47-$AK81)</f>
        <v>0</v>
      </c>
      <c r="AU81" s="87">
        <f>Table2112357[[#This Row],[Midranges]]/($AA$47-$AK81)</f>
        <v>0</v>
      </c>
      <c r="AV81" s="87">
        <f>Table2112357[[#This Row],[Threes]]/($AA$47-$AK81)</f>
        <v>0</v>
      </c>
      <c r="AW81" s="87">
        <f>Table2112357[[#This Row],[Assists]]/($AA$47-$AK81)</f>
        <v>0</v>
      </c>
      <c r="AX81" s="22"/>
    </row>
    <row r="82" spans="18:50" ht="14.25" customHeight="1" x14ac:dyDescent="0.45">
      <c r="R82">
        <v>5</v>
      </c>
      <c r="S82" s="32" t="str">
        <f>'Statistics CT'!A11</f>
        <v>5 February</v>
      </c>
      <c r="T82">
        <f>T81+'Statistics CT'!D11</f>
        <v>12</v>
      </c>
      <c r="U82">
        <f>U81+'Statistics TC'!D11</f>
        <v>8</v>
      </c>
      <c r="V82">
        <f>V81+'Statistics GM'!D11</f>
        <v>10</v>
      </c>
      <c r="Z82" t="s">
        <v>55</v>
      </c>
      <c r="AA82" s="22"/>
      <c r="AB82" s="22"/>
      <c r="AC82" s="22"/>
      <c r="AD82" s="22"/>
      <c r="AE82" s="22"/>
      <c r="AF82" s="87">
        <f>Table2112356[[#This Row],[Points]]/($AA$47-$AK82)</f>
        <v>0</v>
      </c>
      <c r="AG82" s="87">
        <f>Table2112356[[#This Row],[Finishes]]/($AA$47-$AK82)</f>
        <v>0</v>
      </c>
      <c r="AH82" s="87">
        <f>Table2112356[[#This Row],[Midranges]]/($AA$47-$AK82)</f>
        <v>0</v>
      </c>
      <c r="AI82" s="87">
        <f>Table2112356[[#This Row],[Threes]]/($AA$47-$AK82)</f>
        <v>0</v>
      </c>
      <c r="AJ82" s="87">
        <f>Table2112356[[#This Row],[Assists]]/($AA$47-$AK82)</f>
        <v>0</v>
      </c>
      <c r="AK82" s="22"/>
      <c r="AL82" s="22"/>
      <c r="AM82" t="s">
        <v>55</v>
      </c>
      <c r="AN82" s="22"/>
      <c r="AO82" s="22"/>
      <c r="AP82" s="22"/>
      <c r="AQ82" s="22"/>
      <c r="AR82" s="22"/>
      <c r="AS82" s="87">
        <f>Table2112357[[#This Row],[Points]]/($AA$47-$AK82)</f>
        <v>0</v>
      </c>
      <c r="AT82" s="87">
        <f>Table2112357[[#This Row],[Finishes]]/($AA$47-$AK82)</f>
        <v>0</v>
      </c>
      <c r="AU82" s="87">
        <f>Table2112357[[#This Row],[Midranges]]/($AA$47-$AK82)</f>
        <v>0</v>
      </c>
      <c r="AV82" s="87">
        <f>Table2112357[[#This Row],[Threes]]/($AA$47-$AK82)</f>
        <v>0</v>
      </c>
      <c r="AW82" s="87">
        <f>Table2112357[[#This Row],[Assists]]/($AA$47-$AK82)</f>
        <v>0</v>
      </c>
      <c r="AX82" s="22"/>
    </row>
    <row r="83" spans="18:50" ht="14.25" customHeight="1" x14ac:dyDescent="0.45">
      <c r="R83">
        <v>6</v>
      </c>
      <c r="S83" s="32">
        <f>'Statistics CT'!A12</f>
        <v>0</v>
      </c>
      <c r="T83">
        <f>T82+'Statistics CT'!D12</f>
        <v>12</v>
      </c>
      <c r="U83">
        <f>U82+'Statistics TC'!D12</f>
        <v>8</v>
      </c>
      <c r="V83">
        <f>V82+'Statistics GM'!D12</f>
        <v>10</v>
      </c>
      <c r="Z83" t="s">
        <v>185</v>
      </c>
      <c r="AA83" s="22"/>
      <c r="AB83" s="22"/>
      <c r="AC83" s="22"/>
      <c r="AD83" s="22"/>
      <c r="AE83" s="22"/>
      <c r="AF83" s="87">
        <f>Table2112356[[#This Row],[Points]]/($AA$47-$AK83)</f>
        <v>0</v>
      </c>
      <c r="AG83" s="87">
        <f>Table2112356[[#This Row],[Finishes]]/($AA$47-$AK83)</f>
        <v>0</v>
      </c>
      <c r="AH83" s="87">
        <f>Table2112356[[#This Row],[Midranges]]/($AA$47-$AK83)</f>
        <v>0</v>
      </c>
      <c r="AI83" s="87">
        <f>Table2112356[[#This Row],[Threes]]/($AA$47-$AK83)</f>
        <v>0</v>
      </c>
      <c r="AJ83" s="87">
        <f>Table2112356[[#This Row],[Assists]]/($AA$47-$AK83)</f>
        <v>0</v>
      </c>
      <c r="AK83" s="22"/>
      <c r="AL83" s="22"/>
      <c r="AM83" t="s">
        <v>185</v>
      </c>
      <c r="AN83" s="22"/>
      <c r="AO83" s="22"/>
      <c r="AP83" s="22"/>
      <c r="AQ83" s="22"/>
      <c r="AR83" s="22"/>
      <c r="AS83" s="87">
        <f>Table2112357[[#This Row],[Points]]/($AA$47-$AK83)</f>
        <v>0</v>
      </c>
      <c r="AT83" s="87">
        <f>Table2112357[[#This Row],[Finishes]]/($AA$47-$AK83)</f>
        <v>0</v>
      </c>
      <c r="AU83" s="87">
        <f>Table2112357[[#This Row],[Midranges]]/($AA$47-$AK83)</f>
        <v>0</v>
      </c>
      <c r="AV83" s="87">
        <f>Table2112357[[#This Row],[Threes]]/($AA$47-$AK83)</f>
        <v>0</v>
      </c>
      <c r="AW83" s="87">
        <f>Table2112357[[#This Row],[Assists]]/($AA$47-$AK83)</f>
        <v>0</v>
      </c>
      <c r="AX83" s="22"/>
    </row>
    <row r="84" spans="18:50" ht="14.25" customHeight="1" x14ac:dyDescent="0.45">
      <c r="R84">
        <v>7</v>
      </c>
      <c r="S84" s="32">
        <f>'Statistics CT'!A13</f>
        <v>0</v>
      </c>
      <c r="T84">
        <f>T83+'Statistics CT'!D13</f>
        <v>12</v>
      </c>
      <c r="U84">
        <f>U83+'Statistics TC'!D13</f>
        <v>8</v>
      </c>
      <c r="V84">
        <f>V83+'Statistics GM'!D13</f>
        <v>10</v>
      </c>
      <c r="Z84" t="s">
        <v>199</v>
      </c>
      <c r="AA84" s="22"/>
      <c r="AB84" s="22"/>
      <c r="AC84" s="22"/>
      <c r="AD84" s="22"/>
      <c r="AE84" s="22"/>
      <c r="AF84" s="87">
        <f>Table2112356[[#This Row],[Points]]/($AA$47-$AK84)</f>
        <v>0</v>
      </c>
      <c r="AG84" s="87">
        <f>Table2112356[[#This Row],[Finishes]]/($AA$47-$AK84)</f>
        <v>0</v>
      </c>
      <c r="AH84" s="87">
        <f>Table2112356[[#This Row],[Midranges]]/($AA$47-$AK84)</f>
        <v>0</v>
      </c>
      <c r="AI84" s="87">
        <f>Table2112356[[#This Row],[Threes]]/($AA$47-$AK84)</f>
        <v>0</v>
      </c>
      <c r="AJ84" s="87">
        <f>Table2112356[[#This Row],[Assists]]/($AA$47-$AK84)</f>
        <v>0</v>
      </c>
      <c r="AK84" s="22"/>
      <c r="AL84" s="22"/>
      <c r="AM84" t="s">
        <v>199</v>
      </c>
      <c r="AN84" s="22"/>
      <c r="AO84" s="22"/>
      <c r="AP84" s="22"/>
      <c r="AQ84" s="22"/>
      <c r="AR84" s="22"/>
      <c r="AS84" s="87">
        <f>Table2112357[[#This Row],[Points]]/($AA$47-$AK84)</f>
        <v>0</v>
      </c>
      <c r="AT84" s="87">
        <f>Table2112357[[#This Row],[Finishes]]/($AA$47-$AK84)</f>
        <v>0</v>
      </c>
      <c r="AU84" s="87">
        <f>Table2112357[[#This Row],[Midranges]]/($AA$47-$AK84)</f>
        <v>0</v>
      </c>
      <c r="AV84" s="87">
        <f>Table2112357[[#This Row],[Threes]]/($AA$47-$AK84)</f>
        <v>0</v>
      </c>
      <c r="AW84" s="87">
        <f>Table2112357[[#This Row],[Assists]]/($AA$47-$AK84)</f>
        <v>0</v>
      </c>
      <c r="AX84" s="22"/>
    </row>
    <row r="85" spans="18:50" ht="14.25" customHeight="1" x14ac:dyDescent="0.45">
      <c r="R85">
        <v>8</v>
      </c>
      <c r="S85" s="32">
        <f>'Statistics CT'!A14</f>
        <v>0</v>
      </c>
      <c r="T85">
        <f>T84+'Statistics CT'!D14</f>
        <v>12</v>
      </c>
      <c r="U85">
        <f>U84+'Statistics TC'!D14</f>
        <v>8</v>
      </c>
      <c r="V85">
        <f>V84+'Statistics GM'!D14</f>
        <v>10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50" ht="14.25" customHeight="1" x14ac:dyDescent="0.45">
      <c r="R86">
        <v>9</v>
      </c>
      <c r="S86" s="32">
        <f>'Statistics CT'!A15</f>
        <v>0</v>
      </c>
      <c r="T86">
        <f>T85+'Statistics CT'!D15</f>
        <v>12</v>
      </c>
      <c r="U86">
        <f>U85+'Statistics TC'!D15</f>
        <v>8</v>
      </c>
      <c r="V86">
        <f>V85+'Statistics GM'!D15</f>
        <v>10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50" ht="14.25" customHeight="1" x14ac:dyDescent="0.45">
      <c r="R87">
        <v>10</v>
      </c>
      <c r="S87" s="32">
        <f>'Statistics CT'!A16</f>
        <v>0</v>
      </c>
      <c r="T87">
        <f>T86+'Statistics CT'!D16</f>
        <v>12</v>
      </c>
      <c r="U87">
        <f>U86+'Statistics TC'!D16</f>
        <v>8</v>
      </c>
      <c r="V87">
        <f>V86+'Statistics GM'!D16</f>
        <v>10</v>
      </c>
      <c r="Z87" s="1" t="s">
        <v>153</v>
      </c>
      <c r="AA87" s="1">
        <v>0</v>
      </c>
      <c r="AI87" s="2"/>
    </row>
    <row r="88" spans="18:50" ht="14.25" customHeight="1" x14ac:dyDescent="0.45">
      <c r="R88">
        <v>11</v>
      </c>
      <c r="S88" s="32">
        <f>'Statistics CT'!A17</f>
        <v>0</v>
      </c>
      <c r="T88">
        <f>T87+'Statistics CT'!D17</f>
        <v>12</v>
      </c>
      <c r="U88">
        <f>U87+'Statistics TC'!D17</f>
        <v>8</v>
      </c>
      <c r="V88">
        <f>V87+'Statistics GM'!D17</f>
        <v>10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50" ht="14.25" customHeight="1" x14ac:dyDescent="0.45">
      <c r="R89">
        <v>12</v>
      </c>
      <c r="S89" s="32">
        <f>'Statistics CT'!A18</f>
        <v>0</v>
      </c>
      <c r="T89">
        <f>T88+'Statistics CT'!D18</f>
        <v>12</v>
      </c>
      <c r="U89">
        <f>U88+'Statistics TC'!D18</f>
        <v>8</v>
      </c>
      <c r="V89">
        <f>V88+'Statistics GM'!D18</f>
        <v>10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50" ht="14.25" customHeight="1" x14ac:dyDescent="0.45">
      <c r="R90">
        <v>13</v>
      </c>
      <c r="S90" s="32">
        <f>'Statistics CT'!A19</f>
        <v>0</v>
      </c>
      <c r="T90">
        <f>T89+'Statistics CT'!D19</f>
        <v>12</v>
      </c>
      <c r="U90">
        <f>U89+'Statistics TC'!D19</f>
        <v>8</v>
      </c>
      <c r="V90">
        <f>V89+'Statistics GM'!D19</f>
        <v>10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50" ht="14.25" customHeight="1" x14ac:dyDescent="0.45">
      <c r="R91">
        <v>14</v>
      </c>
      <c r="S91" s="32">
        <f>'Statistics CT'!A20</f>
        <v>0</v>
      </c>
      <c r="T91">
        <f>T90+'Statistics CT'!D20</f>
        <v>12</v>
      </c>
      <c r="U91">
        <f>U90+'Statistics TC'!D20</f>
        <v>8</v>
      </c>
      <c r="V91">
        <f>V90+'Statistics GM'!D20</f>
        <v>10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50" ht="14.25" customHeight="1" x14ac:dyDescent="0.45">
      <c r="R92">
        <v>15</v>
      </c>
      <c r="S92" s="32">
        <f>'Statistics CT'!A21</f>
        <v>0</v>
      </c>
      <c r="T92">
        <f>T91+'Statistics CT'!D21</f>
        <v>12</v>
      </c>
      <c r="U92">
        <f>U91+'Statistics TC'!D21</f>
        <v>8</v>
      </c>
      <c r="V92">
        <f>V91+'Statistics GM'!D21</f>
        <v>10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50" ht="14.25" customHeight="1" x14ac:dyDescent="0.45">
      <c r="R93">
        <v>16</v>
      </c>
      <c r="S93" s="32">
        <f>'Statistics CT'!A22</f>
        <v>0</v>
      </c>
      <c r="T93">
        <f>T92+'Statistics CT'!D22</f>
        <v>12</v>
      </c>
      <c r="U93">
        <f>U92+'Statistics TC'!D22</f>
        <v>8</v>
      </c>
      <c r="V93">
        <f>V92+'Statistics GM'!D22</f>
        <v>10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50" ht="14.25" customHeight="1" x14ac:dyDescent="0.45">
      <c r="R94">
        <v>17</v>
      </c>
      <c r="S94" s="32">
        <f>'Statistics CT'!A23</f>
        <v>0</v>
      </c>
      <c r="T94">
        <f>T93+'Statistics CT'!D23</f>
        <v>12</v>
      </c>
      <c r="U94">
        <f>U93+'Statistics TC'!D23</f>
        <v>8</v>
      </c>
      <c r="V94">
        <f>V93+'Statistics GM'!D23</f>
        <v>10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50" ht="14.25" customHeight="1" x14ac:dyDescent="0.45">
      <c r="R95">
        <v>18</v>
      </c>
      <c r="S95" s="32">
        <f>'Statistics CT'!A24</f>
        <v>0</v>
      </c>
      <c r="T95">
        <f>T94+'Statistics CT'!D24</f>
        <v>12</v>
      </c>
      <c r="U95">
        <f>U94+'Statistics TC'!D24</f>
        <v>8</v>
      </c>
      <c r="V95">
        <f>V94+'Statistics GM'!D24</f>
        <v>10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50" ht="14.25" customHeight="1" x14ac:dyDescent="0.45">
      <c r="R96">
        <v>19</v>
      </c>
      <c r="S96" s="32">
        <f>'Statistics CT'!A25</f>
        <v>0</v>
      </c>
      <c r="T96">
        <f>T95+'Statistics CT'!D25</f>
        <v>12</v>
      </c>
      <c r="U96">
        <f>U95+'Statistics TC'!D25</f>
        <v>8</v>
      </c>
      <c r="V96">
        <f>V95+'Statistics GM'!D25</f>
        <v>10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185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199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4" priority="10" operator="lessThan">
      <formula>0</formula>
    </cfRule>
    <cfRule type="cellIs" dxfId="3" priority="11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7" zoomScale="80" workbookViewId="0">
      <selection activeCell="G44" sqref="G44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7" ht="14.55" customHeight="1" x14ac:dyDescent="0.45">
      <c r="N1" s="52"/>
    </row>
    <row r="2" spans="1:27" ht="14.55" customHeight="1" x14ac:dyDescent="0.45">
      <c r="B2" s="51" t="s">
        <v>170</v>
      </c>
      <c r="F2" s="52" t="s">
        <v>77</v>
      </c>
      <c r="G2" s="52" t="s">
        <v>78</v>
      </c>
      <c r="H2" s="36" t="s">
        <v>79</v>
      </c>
      <c r="J2" s="52" t="s">
        <v>154</v>
      </c>
      <c r="M2" s="52" t="s">
        <v>155</v>
      </c>
      <c r="P2" s="65" t="s">
        <v>143</v>
      </c>
    </row>
    <row r="3" spans="1:27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28</v>
      </c>
      <c r="G3" s="103">
        <f>SUM(C4:C40)</f>
        <v>22</v>
      </c>
      <c r="H3" s="103">
        <f>SUM(D4:D40)</f>
        <v>20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237</v>
      </c>
      <c r="Z3" s="68" t="s">
        <v>238</v>
      </c>
      <c r="AA3" s="68" t="s">
        <v>96</v>
      </c>
    </row>
    <row r="4" spans="1:27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1.2857142857142858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1</v>
      </c>
      <c r="W4" s="69">
        <f>'Stats Global'!AG18</f>
        <v>1</v>
      </c>
      <c r="X4" s="69">
        <f>'Stats Global'!AH18</f>
        <v>0.14285714285714285</v>
      </c>
      <c r="Y4" s="69">
        <f>'Stats Global'!AI18</f>
        <v>0</v>
      </c>
      <c r="Z4" s="69">
        <f>'Stats Global'!AJ18</f>
        <v>0</v>
      </c>
      <c r="AA4" s="69">
        <f>'Stats Global'!AIL8</f>
        <v>0</v>
      </c>
    </row>
    <row r="5" spans="1:27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0.5</v>
      </c>
      <c r="S5" s="54">
        <f>'Stats Global'!AC8</f>
        <v>1</v>
      </c>
      <c r="T5" s="54">
        <f>'Stats Global'!AD8</f>
        <v>0.125</v>
      </c>
      <c r="U5" s="54">
        <f>'Stats Global'!AE8</f>
        <v>3</v>
      </c>
      <c r="V5" s="54">
        <f>'Stats Global'!AF8</f>
        <v>0.375</v>
      </c>
      <c r="W5" s="54">
        <f>'Stats Global'!AG8</f>
        <v>0</v>
      </c>
      <c r="X5" s="54">
        <f>'Stats Global'!AH8</f>
        <v>0</v>
      </c>
      <c r="Y5" s="54">
        <f>'Stats Global'!AI8</f>
        <v>0</v>
      </c>
      <c r="Z5" s="54">
        <f>'Stats Global'!AJ8</f>
        <v>0</v>
      </c>
      <c r="AA5" s="62">
        <f>'Stats Global'!AL8</f>
        <v>0</v>
      </c>
    </row>
    <row r="6" spans="1:27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2.6666666666666665</v>
      </c>
      <c r="S6" s="62">
        <f>'Stats Global'!AC10</f>
        <v>16</v>
      </c>
      <c r="T6" s="62">
        <f>'Stats Global'!AD10</f>
        <v>2.6666666666666665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Global'!AI10</f>
        <v>0</v>
      </c>
      <c r="Z6" s="62">
        <f>'Stats Global'!AJ10</f>
        <v>0</v>
      </c>
      <c r="AA6" s="62">
        <f>'Stats Global'!AL10</f>
        <v>2</v>
      </c>
    </row>
    <row r="7" spans="1:27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23</v>
      </c>
      <c r="R7" s="54">
        <f>'Stats Global'!AB11</f>
        <v>2.875</v>
      </c>
      <c r="S7" s="54">
        <f>'Stats Global'!AC11</f>
        <v>23</v>
      </c>
      <c r="T7" s="54">
        <f>'Stats Global'!AD11</f>
        <v>2.875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54">
        <f>'Stats Global'!AI11</f>
        <v>0</v>
      </c>
      <c r="Z7" s="54">
        <f>'Stats Global'!AJ11</f>
        <v>0</v>
      </c>
      <c r="AA7" s="62">
        <f>'Stats Global'!AL11</f>
        <v>0</v>
      </c>
    </row>
    <row r="8" spans="1:27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9</v>
      </c>
      <c r="R8" s="54">
        <f>'Stats Global'!AB20</f>
        <v>1.2857142857142858</v>
      </c>
      <c r="S8" s="54">
        <f>'Stats Global'!AC20</f>
        <v>6</v>
      </c>
      <c r="T8" s="54">
        <f>'Stats Global'!AD20</f>
        <v>0.8571428571428571</v>
      </c>
      <c r="U8" s="54">
        <f>'Stats Global'!AE20</f>
        <v>3</v>
      </c>
      <c r="V8" s="54">
        <f>'Stats Global'!AF20</f>
        <v>0.42857142857142855</v>
      </c>
      <c r="W8" s="54">
        <f>'Stats Global'!AG20</f>
        <v>0</v>
      </c>
      <c r="X8" s="54">
        <f>'Stats Global'!AH20</f>
        <v>0</v>
      </c>
      <c r="Y8" s="54">
        <f>'Stats Global'!AI20</f>
        <v>0</v>
      </c>
      <c r="Z8" s="54">
        <f>'Stats Global'!AJ20</f>
        <v>0</v>
      </c>
      <c r="AA8" s="62">
        <f>'Stats Global'!AL20</f>
        <v>1</v>
      </c>
    </row>
    <row r="9" spans="1:27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7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7" ht="14.55" customHeight="1" x14ac:dyDescent="0.45">
      <c r="A11" s="104" t="str">
        <f>'Stats Global'!B12</f>
        <v>5 February</v>
      </c>
      <c r="B11" s="104">
        <f>'Stats Global'!F12</f>
        <v>0</v>
      </c>
      <c r="C11" s="104">
        <f>'Stats Global'!G12+'Stats Global'!G12</f>
        <v>0</v>
      </c>
      <c r="D11" s="104">
        <f>'Stats Global'!O12</f>
        <v>3</v>
      </c>
      <c r="G11" s="52"/>
      <c r="H11" s="54"/>
      <c r="J11" s="123">
        <f>'Stats Global'!M12</f>
        <v>0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0</v>
      </c>
      <c r="P11" s="35"/>
      <c r="Q11" s="35"/>
    </row>
    <row r="12" spans="1:27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7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7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7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7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0.56000000000000005</v>
      </c>
      <c r="H41" s="54"/>
      <c r="I41" s="52" t="s">
        <v>81</v>
      </c>
      <c r="J41" s="107">
        <f>SUM(J4:J40)</f>
        <v>15</v>
      </c>
      <c r="K41" s="107">
        <f>SUM(K4:K40)</f>
        <v>6</v>
      </c>
      <c r="L41" s="54"/>
      <c r="M41" s="107">
        <f>SUM(M4:M40)</f>
        <v>13</v>
      </c>
      <c r="N41" s="107">
        <f>SUM(N4:N40)</f>
        <v>11</v>
      </c>
    </row>
    <row r="42" spans="1:14" ht="14.25" customHeight="1" x14ac:dyDescent="0.45">
      <c r="J42" s="57">
        <f>IFERROR(J41/(K41+J41),0)</f>
        <v>0.7142857142857143</v>
      </c>
      <c r="M42" s="57">
        <f>IFERROR(M41/(N41+M41),0)</f>
        <v>0.54166666666666663</v>
      </c>
    </row>
    <row r="43" spans="1:14" ht="14.25" customHeight="1" x14ac:dyDescent="0.45">
      <c r="G43" s="58" t="str">
        <f>F3&amp;","&amp;G3&amp;","&amp;H3&amp;"],"</f>
        <v>28,22,20],</v>
      </c>
      <c r="I43" s="36" t="s">
        <v>106</v>
      </c>
      <c r="K43" s="36" t="s">
        <v>110</v>
      </c>
      <c r="M43" s="59">
        <f>IFERROR(ROUND((SUM(Table1114[Points]))/'Stats Global'!AA6,1),0)</f>
        <v>7.6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,"&amp;K48&amp;","&amp;CHAR(34)&amp;L48&amp;CHAR(34)&amp;"],"</f>
        <v>23,"Rudy Hoschke",23,"Rudy Hoschke",7,"Ryan Pattemore",1,"Ryan Pattemore",0,"N/A"],</v>
      </c>
      <c r="I44" s="36" t="s">
        <v>107</v>
      </c>
      <c r="K44" s="60">
        <f>MAX(Table1114[Points])</f>
        <v>23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5.8</v>
      </c>
    </row>
    <row r="45" spans="1:14" ht="14.25" customHeight="1" x14ac:dyDescent="0.45">
      <c r="G45" s="36" t="str">
        <f>M43&amp;","&amp;M44&amp;","&amp;M45&amp;","&amp;M46&amp;","&amp;M47&amp;","&amp;M48&amp;","&amp;M49&amp;"],"</f>
        <v>7.6,5.8,1.6,0.1,0,3.5,2.8],</v>
      </c>
      <c r="I45" s="36" t="s">
        <v>108</v>
      </c>
      <c r="K45" s="60">
        <f>MAX(Table1114[Finishes])</f>
        <v>23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1.6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15,6,71.4,13,11,54.2],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IFERROR(ROUND((SUM(Table1114[Assists]))/('Stats Global'!AA6+7),1),0)</f>
        <v>0</v>
      </c>
    </row>
    <row r="48" spans="1:14" ht="14.25" customHeight="1" x14ac:dyDescent="0.45">
      <c r="K48" s="36">
        <f>MAX(Table1114[Assists])</f>
        <v>0</v>
      </c>
      <c r="L48" s="36" t="str">
        <f>IF(K48&lt;&gt;0, _xlfn.XLOOKUP(K48,Table1114[Assists],Table1114[Name], "N/A"), "N/A")</f>
        <v>N/A</v>
      </c>
      <c r="M48" s="36">
        <f>IFERROR(ROUND(F3/'Stats Global'!AA6,1),0)</f>
        <v>3.5</v>
      </c>
    </row>
    <row r="49" spans="13:13" ht="14.25" customHeight="1" x14ac:dyDescent="0.45">
      <c r="M49" s="36">
        <f>IFERROR(ROUND(G3/'Stats Global'!AA6,1),0)</f>
        <v>2.8</v>
      </c>
    </row>
    <row r="50" spans="13:13" ht="14.25" customHeight="1" x14ac:dyDescent="0.45"/>
    <row r="51" spans="13:13" ht="14.25" customHeight="1" x14ac:dyDescent="0.45"/>
    <row r="52" spans="13:13" ht="14.25" customHeight="1" x14ac:dyDescent="0.45"/>
    <row r="53" spans="13:13" ht="14.25" customHeight="1" x14ac:dyDescent="0.45"/>
    <row r="54" spans="13:13" ht="14.25" customHeight="1" x14ac:dyDescent="0.45"/>
    <row r="55" spans="13:13" ht="14.25" customHeight="1" x14ac:dyDescent="0.45"/>
    <row r="56" spans="13:13" ht="14.25" customHeight="1" x14ac:dyDescent="0.45"/>
    <row r="57" spans="13:13" ht="14.25" customHeight="1" x14ac:dyDescent="0.45"/>
    <row r="58" spans="13:13" ht="14.25" customHeight="1" x14ac:dyDescent="0.45"/>
    <row r="59" spans="13:13" ht="14.25" customHeight="1" x14ac:dyDescent="0.45"/>
    <row r="60" spans="13:13" ht="14.25" customHeight="1" x14ac:dyDescent="0.45"/>
    <row r="61" spans="13:13" ht="14.25" customHeight="1" x14ac:dyDescent="0.45"/>
    <row r="62" spans="13:13" ht="14.25" customHeight="1" x14ac:dyDescent="0.45"/>
    <row r="63" spans="13:13" ht="14.25" customHeight="1" x14ac:dyDescent="0.45"/>
    <row r="64" spans="13:13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14" zoomScale="78" workbookViewId="0">
      <selection activeCell="H46" sqref="H46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171</v>
      </c>
      <c r="F2" s="52" t="s">
        <v>77</v>
      </c>
      <c r="G2" s="52" t="s">
        <v>78</v>
      </c>
      <c r="H2" s="36" t="s">
        <v>79</v>
      </c>
      <c r="J2" s="52" t="s">
        <v>155</v>
      </c>
      <c r="M2" s="65" t="s">
        <v>143</v>
      </c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14</v>
      </c>
      <c r="G3" s="106">
        <f>SUM(C4:C40)</f>
        <v>24</v>
      </c>
      <c r="H3" s="106">
        <f>SUM(D4:D40)</f>
        <v>12.5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237</v>
      </c>
      <c r="W3" s="68" t="s">
        <v>238</v>
      </c>
      <c r="X3" s="68" t="s">
        <v>96</v>
      </c>
    </row>
    <row r="4" spans="1:24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05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1.25</v>
      </c>
      <c r="P4" s="54">
        <f>'Stats Global'!AC15</f>
        <v>1</v>
      </c>
      <c r="Q4" s="54">
        <f>'Stats Global'!AD15</f>
        <v>0.125</v>
      </c>
      <c r="R4" s="54">
        <f>'Stats Global'!AE15</f>
        <v>3</v>
      </c>
      <c r="S4" s="54">
        <f>'Stats Global'!AF15</f>
        <v>0.375</v>
      </c>
      <c r="T4" s="54">
        <f>'Stats Global'!AG15</f>
        <v>3</v>
      </c>
      <c r="U4" s="54">
        <f>'Stats Global'!AH15</f>
        <v>0.375</v>
      </c>
      <c r="V4" s="54">
        <f>'Stats Global'!AI15</f>
        <v>0</v>
      </c>
      <c r="W4" s="54">
        <f>'Stats Global'!AJ15</f>
        <v>0</v>
      </c>
      <c r="X4" s="62">
        <f>'Stats Global'!AL15</f>
        <v>0</v>
      </c>
    </row>
    <row r="5" spans="1:24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05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0.875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0.875</v>
      </c>
      <c r="T5" s="54">
        <f>'Stats Global'!AG14</f>
        <v>0</v>
      </c>
      <c r="U5" s="54">
        <f>'Stats Global'!AH14</f>
        <v>0</v>
      </c>
      <c r="V5" s="54">
        <f>'Stats Global'!AI14</f>
        <v>0</v>
      </c>
      <c r="W5" s="54">
        <f>'Stats Global'!AJ14</f>
        <v>0</v>
      </c>
      <c r="X5" s="62">
        <f>'Stats Global'!AL14</f>
        <v>0</v>
      </c>
    </row>
    <row r="6" spans="1:24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05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9</v>
      </c>
      <c r="O6" s="54">
        <f>'Stats Global'!AB16</f>
        <v>1.2857142857142858</v>
      </c>
      <c r="P6" s="54">
        <f>'Stats Global'!AC16</f>
        <v>2</v>
      </c>
      <c r="Q6" s="54">
        <f>'Stats Global'!AD16</f>
        <v>0.2857142857142857</v>
      </c>
      <c r="R6" s="54">
        <f>'Stats Global'!AE16</f>
        <v>5</v>
      </c>
      <c r="S6" s="54">
        <f>'Stats Global'!AF16</f>
        <v>0.7142857142857143</v>
      </c>
      <c r="T6" s="54">
        <f>'Stats Global'!AG16</f>
        <v>1</v>
      </c>
      <c r="U6" s="54">
        <f>'Stats Global'!AH16</f>
        <v>0.14285714285714285</v>
      </c>
      <c r="V6" s="54">
        <f>'Stats Global'!AI16</f>
        <v>0</v>
      </c>
      <c r="W6" s="54">
        <f>'Stats Global'!AJ16</f>
        <v>0</v>
      </c>
      <c r="X6" s="62">
        <f>'Stats Global'!AL16</f>
        <v>1</v>
      </c>
    </row>
    <row r="7" spans="1:24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05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54">
        <f>'Stats Global'!AI19</f>
        <v>0</v>
      </c>
      <c r="W7" s="54">
        <f>'Stats Global'!AJ19</f>
        <v>0</v>
      </c>
      <c r="X7" s="62">
        <f>'Stats Global'!AL19</f>
        <v>7</v>
      </c>
    </row>
    <row r="8" spans="1:24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05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10</v>
      </c>
      <c r="O8" s="54">
        <f>'Stats Global'!AB21</f>
        <v>1.25</v>
      </c>
      <c r="P8" s="54">
        <f>'Stats Global'!AC21</f>
        <v>3</v>
      </c>
      <c r="Q8" s="54">
        <f>'Stats Global'!AD21</f>
        <v>0.375</v>
      </c>
      <c r="R8" s="54">
        <f>'Stats Global'!AE21</f>
        <v>3</v>
      </c>
      <c r="S8" s="54">
        <f>'Stats Global'!AF21</f>
        <v>0.375</v>
      </c>
      <c r="T8" s="54">
        <f>'Stats Global'!AG21</f>
        <v>2</v>
      </c>
      <c r="U8" s="54">
        <f>'Stats Global'!AH21</f>
        <v>0.25</v>
      </c>
      <c r="V8" s="54">
        <f>'Stats Global'!AI21</f>
        <v>0</v>
      </c>
      <c r="W8" s="54">
        <f>'Stats Global'!AJ21</f>
        <v>0</v>
      </c>
      <c r="X8" s="62">
        <f>'Stats Global'!AL21</f>
        <v>0</v>
      </c>
    </row>
    <row r="9" spans="1:24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05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4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05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4" ht="14.25" customHeight="1" x14ac:dyDescent="0.45">
      <c r="A11" s="104" t="str">
        <f>'Stats Global'!B12</f>
        <v>5 February</v>
      </c>
      <c r="B11" s="105">
        <f>'Stats Global'!L12</f>
        <v>0</v>
      </c>
      <c r="C11" s="105">
        <f>'Stats Global'!M12+'Stats Global'!N12</f>
        <v>0</v>
      </c>
      <c r="D11" s="105">
        <f>'Stats Global'!Q12</f>
        <v>2</v>
      </c>
      <c r="G11" s="52"/>
      <c r="H11" s="54"/>
      <c r="J11" s="124">
        <f>'Stats Global'!K12</f>
        <v>0</v>
      </c>
      <c r="K11" s="124">
        <f>'Stats Global'!N12</f>
        <v>0</v>
      </c>
      <c r="L11" s="55"/>
      <c r="M11" s="54"/>
      <c r="U11" s="54"/>
      <c r="V11" s="54"/>
    </row>
    <row r="12" spans="1:24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4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4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4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4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0.36842105263157893</v>
      </c>
      <c r="H41" s="54"/>
      <c r="I41" s="36" t="s">
        <v>81</v>
      </c>
      <c r="J41" s="108">
        <f>SUM(J4:J40)</f>
        <v>8</v>
      </c>
      <c r="K41" s="108">
        <f>SUM(K4:K40)</f>
        <v>9</v>
      </c>
      <c r="L41" s="54"/>
      <c r="M41" s="54"/>
    </row>
    <row r="42" spans="1:14" ht="14.25" customHeight="1" x14ac:dyDescent="0.45">
      <c r="J42" s="57">
        <f>IFERROR(J41/(K41+J41),0)</f>
        <v>0.47058823529411764</v>
      </c>
    </row>
    <row r="43" spans="1:14" ht="14.25" customHeight="1" x14ac:dyDescent="0.45">
      <c r="H43" s="58" t="str">
        <f>F3&amp;","&amp;G3&amp;","&amp;H3&amp;"],"</f>
        <v>14,24,12.5],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7.6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,"&amp;L48&amp;","&amp;CHAR(34)&amp;M48&amp;CHAR(34)&amp;"],"</f>
        <v>10,"Clarrie Jones",3,"Angus Walker",7,"Sam James",3,"Clarrie Jones",0,"N/A"],</v>
      </c>
      <c r="J44" s="36" t="s">
        <v>107</v>
      </c>
      <c r="L44" s="60">
        <f>MAX(Table1113[Points])</f>
        <v>10</v>
      </c>
      <c r="M44" s="36" t="str">
        <f>IF(L44&lt;&gt;0, _xlfn.XLOOKUP(L44,Table1113[Points],Table1113[Name], "N/A"), "N/A")</f>
        <v>Clarrie Jones</v>
      </c>
      <c r="N44" s="59">
        <f>IFERROR(ROUND((SUM(Table1113[Finishes]))/'Stats Global'!AA6,1),0)</f>
        <v>0.8</v>
      </c>
    </row>
    <row r="45" spans="1:14" ht="14.25" customHeight="1" x14ac:dyDescent="0.45">
      <c r="H45" s="36" t="str">
        <f>N43&amp;","&amp;N44&amp;","&amp;N45&amp;","&amp;N46&amp;","&amp;N47&amp;","&amp;N48&amp;","&amp;N49&amp;"],"</f>
        <v>7.6,0.8,2.3,0.8,0,1.8,3],</v>
      </c>
      <c r="J45" s="36" t="s">
        <v>108</v>
      </c>
      <c r="L45" s="60">
        <f>MAX(Table1113[Finishes])</f>
        <v>3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2.2999999999999998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6,15,28.6,8,9,47.1],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0.8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IFERROR(ROUND((SUM(Table1113[Assists]))/'Stats Global'!AA6,1),0)</f>
        <v>0</v>
      </c>
    </row>
    <row r="48" spans="1:14" ht="14.25" customHeight="1" x14ac:dyDescent="0.45">
      <c r="L48" s="60">
        <f>MAX(Table1113[Assists])</f>
        <v>0</v>
      </c>
      <c r="M48" s="36" t="str">
        <f>IF(L48&lt;&gt;0, _xlfn.XLOOKUP(L48,Table1113[Assists],Table1113[Name], "N/A"), "N/A")</f>
        <v>N/A</v>
      </c>
      <c r="N48" s="36">
        <f>IFERROR(ROUND(F3/'Stats Global'!AA6,1),0)</f>
        <v>1.8</v>
      </c>
    </row>
    <row r="49" spans="14:14" ht="14.25" customHeight="1" x14ac:dyDescent="0.45">
      <c r="N49" s="36">
        <f>IFERROR(ROUND(G3/'Stats Global'!AA6,1),0)</f>
        <v>3</v>
      </c>
    </row>
    <row r="50" spans="14:14" ht="14.25" customHeight="1" x14ac:dyDescent="0.45"/>
    <row r="51" spans="14:14" ht="14.25" customHeight="1" x14ac:dyDescent="0.45"/>
    <row r="52" spans="14:14" ht="14.25" customHeight="1" x14ac:dyDescent="0.45"/>
    <row r="53" spans="14:14" ht="14.25" customHeight="1" x14ac:dyDescent="0.45"/>
    <row r="54" spans="14:14" ht="14.25" customHeight="1" x14ac:dyDescent="0.45"/>
    <row r="55" spans="14:14" ht="14.25" customHeight="1" x14ac:dyDescent="0.45"/>
    <row r="56" spans="14:14" ht="14.25" customHeight="1" x14ac:dyDescent="0.45"/>
    <row r="57" spans="14:14" ht="14.25" customHeight="1" x14ac:dyDescent="0.45"/>
    <row r="58" spans="14:14" ht="14.25" customHeight="1" x14ac:dyDescent="0.45"/>
    <row r="59" spans="14:14" ht="14.25" customHeight="1" x14ac:dyDescent="0.45"/>
    <row r="60" spans="14:14" ht="14.25" customHeight="1" x14ac:dyDescent="0.45"/>
    <row r="61" spans="14:14" ht="14.25" customHeight="1" x14ac:dyDescent="0.45"/>
    <row r="62" spans="14:14" ht="14.25" customHeight="1" x14ac:dyDescent="0.45"/>
    <row r="63" spans="14:14" ht="14.25" customHeight="1" x14ac:dyDescent="0.45"/>
    <row r="64" spans="14:1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tabSelected="1" zoomScale="73" workbookViewId="0">
      <selection activeCell="H34" sqref="H34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6" ht="14.25" customHeight="1" x14ac:dyDescent="0.45"/>
    <row r="2" spans="1:26" ht="14.25" customHeight="1" x14ac:dyDescent="0.45">
      <c r="B2" s="51" t="s">
        <v>172</v>
      </c>
      <c r="E2" s="52" t="s">
        <v>77</v>
      </c>
      <c r="F2" s="52" t="s">
        <v>78</v>
      </c>
      <c r="G2" s="52" t="s">
        <v>79</v>
      </c>
      <c r="J2" s="52"/>
      <c r="N2" s="52"/>
    </row>
    <row r="3" spans="1:26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20</v>
      </c>
      <c r="F3" s="106">
        <f>SUM(C4:C40)</f>
        <v>21</v>
      </c>
      <c r="G3" s="106">
        <f>SUM(D4:D40)</f>
        <v>15.5</v>
      </c>
      <c r="H3" s="52"/>
      <c r="I3" s="65" t="s">
        <v>143</v>
      </c>
      <c r="V3" s="52"/>
      <c r="W3" s="52"/>
      <c r="X3" s="52"/>
    </row>
    <row r="4" spans="1:26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05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237</v>
      </c>
      <c r="S4" s="68" t="s">
        <v>238</v>
      </c>
      <c r="T4" s="68" t="s">
        <v>96</v>
      </c>
      <c r="X4" s="54"/>
      <c r="Y4" s="54"/>
      <c r="Z4" s="54"/>
    </row>
    <row r="5" spans="1:26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05">
        <f>'Stats Global'!P6</f>
        <v>1</v>
      </c>
      <c r="H5" s="54"/>
      <c r="I5" s="54" t="str">
        <f>'Stats Global'!Z9</f>
        <v>Conor Farrington</v>
      </c>
      <c r="J5" s="54">
        <f>'Stats Global'!AA9</f>
        <v>4</v>
      </c>
      <c r="K5" s="54">
        <f>'Stats Global'!AB9</f>
        <v>0.5</v>
      </c>
      <c r="L5" s="54">
        <f>'Stats Global'!AC9</f>
        <v>1</v>
      </c>
      <c r="M5" s="54">
        <f>'Stats Global'!AD9</f>
        <v>0.125</v>
      </c>
      <c r="N5" s="54">
        <f>'Stats Global'!AE9</f>
        <v>3</v>
      </c>
      <c r="O5" s="54">
        <f>'Stats Global'!AF9</f>
        <v>0.375</v>
      </c>
      <c r="P5" s="54">
        <f>'Stats Global'!AG9</f>
        <v>0</v>
      </c>
      <c r="Q5" s="54">
        <f>'Stats Global'!AH9</f>
        <v>0</v>
      </c>
      <c r="R5" s="54">
        <f>'Stats Global'!AI9</f>
        <v>0</v>
      </c>
      <c r="S5" s="54">
        <f>'Stats Global'!AJ9</f>
        <v>0</v>
      </c>
      <c r="T5" s="62">
        <f>'Stats Global'!AL9</f>
        <v>0</v>
      </c>
      <c r="X5" s="54"/>
      <c r="Y5" s="54"/>
      <c r="Z5" s="54"/>
    </row>
    <row r="6" spans="1:26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05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13</v>
      </c>
      <c r="K6" s="54">
        <f>'Stats Global'!AB12</f>
        <v>1.625</v>
      </c>
      <c r="L6" s="54">
        <f>'Stats Global'!AC12</f>
        <v>10</v>
      </c>
      <c r="M6" s="54">
        <f>'Stats Global'!AD12</f>
        <v>1.25</v>
      </c>
      <c r="N6" s="54">
        <f>'Stats Global'!AE12</f>
        <v>3</v>
      </c>
      <c r="O6" s="54">
        <f>'Stats Global'!AF12</f>
        <v>0.375</v>
      </c>
      <c r="P6" s="54">
        <f>'Stats Global'!AG12</f>
        <v>0</v>
      </c>
      <c r="Q6" s="54">
        <f>'Stats Global'!AH12</f>
        <v>0</v>
      </c>
      <c r="R6" s="54">
        <f>'Stats Global'!AI12</f>
        <v>0</v>
      </c>
      <c r="S6" s="54">
        <f>'Stats Global'!AJ12</f>
        <v>0</v>
      </c>
      <c r="T6" s="62">
        <f>'Stats Global'!AL12</f>
        <v>0</v>
      </c>
      <c r="X6" s="54"/>
      <c r="Y6" s="54"/>
      <c r="Z6" s="54"/>
    </row>
    <row r="7" spans="1:26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05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1.1666666666666667</v>
      </c>
      <c r="L7" s="54">
        <f>'Stats Global'!AC13</f>
        <v>6</v>
      </c>
      <c r="M7" s="54">
        <f>'Stats Global'!AD13</f>
        <v>1</v>
      </c>
      <c r="N7" s="54">
        <f>'Stats Global'!AE13</f>
        <v>1</v>
      </c>
      <c r="O7" s="54">
        <f>'Stats Global'!AF13</f>
        <v>0.16666666666666666</v>
      </c>
      <c r="P7" s="54">
        <f>'Stats Global'!AG13</f>
        <v>0</v>
      </c>
      <c r="Q7" s="54">
        <f>'Stats Global'!AH13</f>
        <v>0</v>
      </c>
      <c r="R7" s="54">
        <f>'Stats Global'!AI13</f>
        <v>0</v>
      </c>
      <c r="S7" s="54">
        <f>'Stats Global'!AJ13</f>
        <v>0</v>
      </c>
      <c r="T7" s="62">
        <f>'Stats Global'!AL13</f>
        <v>2</v>
      </c>
      <c r="X7" s="54"/>
      <c r="Y7" s="54"/>
      <c r="Z7" s="54"/>
    </row>
    <row r="8" spans="1:26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05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21</v>
      </c>
      <c r="K8" s="54">
        <f>'Stats Global'!AB17</f>
        <v>2.625</v>
      </c>
      <c r="L8" s="54">
        <f>'Stats Global'!AC17</f>
        <v>7</v>
      </c>
      <c r="M8" s="54">
        <f>'Stats Global'!AD17</f>
        <v>0.875</v>
      </c>
      <c r="N8" s="54">
        <f>'Stats Global'!AE17</f>
        <v>12</v>
      </c>
      <c r="O8" s="54">
        <f>'Stats Global'!AF17</f>
        <v>1.5</v>
      </c>
      <c r="P8" s="54">
        <f>'Stats Global'!AG17</f>
        <v>1</v>
      </c>
      <c r="Q8" s="54">
        <f>'Stats Global'!AH17</f>
        <v>0.125</v>
      </c>
      <c r="R8" s="54">
        <f>'Stats Global'!AI17</f>
        <v>0</v>
      </c>
      <c r="S8" s="54">
        <f>'Stats Global'!AJ17</f>
        <v>0</v>
      </c>
      <c r="T8" s="62">
        <f>'Stats Global'!AL17</f>
        <v>0</v>
      </c>
      <c r="X8" s="54"/>
      <c r="Y8" s="54"/>
      <c r="Z8" s="54"/>
    </row>
    <row r="9" spans="1:26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05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0.25</v>
      </c>
      <c r="L9" s="54">
        <f>'Stats Global'!AC22</f>
        <v>2</v>
      </c>
      <c r="M9" s="54">
        <f>'Stats Global'!AD22</f>
        <v>0.25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54">
        <f>'Stats Global'!AI22</f>
        <v>0</v>
      </c>
      <c r="S9" s="54">
        <f>'Stats Global'!AJ22</f>
        <v>0</v>
      </c>
      <c r="T9" s="62">
        <f>'Stats Global'!AL22</f>
        <v>0</v>
      </c>
      <c r="X9" s="54"/>
      <c r="Y9" s="54"/>
      <c r="Z9" s="54"/>
    </row>
    <row r="10" spans="1:26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05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54">
        <f>'Stats Global'!AI23</f>
        <v>0</v>
      </c>
      <c r="S10" s="54">
        <f>'Stats Global'!AJ23</f>
        <v>0</v>
      </c>
      <c r="T10" s="62">
        <f>'Stats Global'!AL23</f>
        <v>6</v>
      </c>
      <c r="X10" s="54"/>
      <c r="Y10" s="54"/>
      <c r="Z10" s="54"/>
    </row>
    <row r="11" spans="1:26" ht="14.25" customHeight="1" x14ac:dyDescent="0.45">
      <c r="A11" s="104" t="str">
        <f>'Stats Global'!B12</f>
        <v>5 February</v>
      </c>
      <c r="B11" s="105">
        <f>'Stats Global'!I12</f>
        <v>0</v>
      </c>
      <c r="C11" s="105">
        <f>'Stats Global'!J12+'Stats Global'!K12</f>
        <v>0</v>
      </c>
      <c r="D11" s="105">
        <f>'Stats Global'!P12</f>
        <v>1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6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05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6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05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6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05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6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05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6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05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05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05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05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05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05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05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05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05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05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05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05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05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05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05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05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05">
        <f>'Stats Global'!P33</f>
        <v>0</v>
      </c>
      <c r="G32" s="52"/>
      <c r="H32" s="58" t="str">
        <f>E3&amp;","&amp;F3&amp;","&amp;G3&amp;"],"</f>
        <v>20,21,15.5],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5.9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05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,"&amp;L37&amp;","&amp;CHAR(34)&amp;M37&amp;CHAR(34)&amp;"],"</f>
        <v>21,"Samuel McConaghy",10,"Michael Iffland",12,"Samuel McConaghy",1,"Samuel McConaghy",0,"N/A"],</v>
      </c>
      <c r="J33" s="36" t="s">
        <v>107</v>
      </c>
      <c r="L33" s="60">
        <f>MAX(Table11[Points])</f>
        <v>21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3.3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05">
        <f>'Stats Global'!P35</f>
        <v>0</v>
      </c>
      <c r="H34" s="36" t="str">
        <f>N32&amp;","&amp;N33&amp;","&amp;N34&amp;","&amp;N35&amp;","&amp;N36&amp;","&amp;N37&amp;","&amp;N38&amp;"],"</f>
        <v>5.9,3.3,2.4,0.1,0,2.5,2.6],</v>
      </c>
      <c r="J34" s="36" t="s">
        <v>108</v>
      </c>
      <c r="L34" s="60">
        <f>MAX(Table11[Finishes])</f>
        <v>10</v>
      </c>
      <c r="M34" s="36" t="str">
        <f>IF(L34&lt;&gt;0, _xlfn.XLOOKUP(L34,L5:L10,I5:I10, "N/A"), "N/A")</f>
        <v>Michael Iffland</v>
      </c>
      <c r="N34" s="59">
        <f>IFERROR(ROUND((SUM(Table11[Midranges]))/'Stats Global'!AA6,1),0)</f>
        <v>2.4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05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11,13,45.8,9,8,52.9],</v>
      </c>
      <c r="J35" s="36" t="s">
        <v>109</v>
      </c>
      <c r="L35" s="60">
        <f>MAX(Table11[Midranges])</f>
        <v>12</v>
      </c>
      <c r="M35" s="36" t="str">
        <f>IF(L35&lt;&gt;0, _xlfn.XLOOKUP(L35,N5:N10,I5:I10, "N/A"), "N/A")</f>
        <v>Samuel McConaghy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05">
        <f>'Stats Global'!P37</f>
        <v>0</v>
      </c>
      <c r="L36" s="60">
        <f>MAX(Table11[Threes])</f>
        <v>1</v>
      </c>
      <c r="M36" s="36" t="str">
        <f>IF(L36&lt;&gt;0, _xlfn.XLOOKUP(L36,P5:P10,I5:I10, "N/A"), "N/A")</f>
        <v>Samuel McConaghy</v>
      </c>
      <c r="N36" s="36">
        <f>IFERROR(ROUND((SUM(Table11[Assists]))/'Stats Global'!AA6,1),0)</f>
        <v>0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05">
        <f>'Stats Global'!P38</f>
        <v>0</v>
      </c>
      <c r="L37" s="60">
        <f>MAX(Table11[Assists])</f>
        <v>0</v>
      </c>
      <c r="M37" s="36" t="str">
        <f>IF(L37&lt;&gt;0, _xlfn.XLOOKUP(L37,Table11[Assists],Table11[Name], "N/A"), "N/A")</f>
        <v>N/A</v>
      </c>
      <c r="N37" s="36">
        <f>IFERROR(ROUND(E3/'Stats Global'!AA6,1),0)</f>
        <v>2.5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05">
        <f>'Stats Global'!P39</f>
        <v>0</v>
      </c>
      <c r="N38" s="36">
        <f>IFERROR(ROUND(F3/'Stats Global'!AA6,1),0)</f>
        <v>2.6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05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05">
        <f>'Stats Global'!P41</f>
        <v>0</v>
      </c>
    </row>
    <row r="41" spans="1:14" ht="14.25" customHeight="1" x14ac:dyDescent="0.45">
      <c r="C41" s="75">
        <f>SUM(B4:B40)/SUM(B4:C40)</f>
        <v>0.48780487804878048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2" workbookViewId="0">
      <selection activeCell="O46" sqref="O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4" t="s">
        <v>237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236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0</v>
      </c>
      <c r="P3" s="1">
        <f>H45+I45</f>
        <v>0</v>
      </c>
      <c r="Q3" s="8" t="e">
        <f>O3/(O3+P3)</f>
        <v>#DIV/0!</v>
      </c>
      <c r="R3" s="1">
        <v>3</v>
      </c>
      <c r="T3" s="1" t="s">
        <v>25</v>
      </c>
      <c r="U3" s="6">
        <f>COUNTIF($G$3:$G$40, T3)+X3</f>
        <v>0</v>
      </c>
      <c r="V3" s="7">
        <f>COUNTIFS($G$3:$G$40, $T3,$H$3:$H$40,"Finish")</f>
        <v>0</v>
      </c>
      <c r="W3" s="7">
        <f>COUNTIFS($G$3:$G$40, $T3,$H$3:$H$40,"Midrange")</f>
        <v>0</v>
      </c>
      <c r="X3" s="7">
        <f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216</v>
      </c>
      <c r="C4" s="127"/>
      <c r="D4" s="127"/>
      <c r="E4" s="127"/>
      <c r="F4" s="127"/>
      <c r="G4" s="127"/>
      <c r="H4" s="127"/>
      <c r="I4" s="127"/>
      <c r="J4" s="127"/>
      <c r="K4" s="127"/>
      <c r="N4" s="1" t="s">
        <v>157</v>
      </c>
      <c r="O4" s="1">
        <f>COUNTIF(AD4:AD39,"*")-COUNTIF(AD4:AD39,"")</f>
        <v>0</v>
      </c>
      <c r="P4" s="1">
        <f>N45+O45</f>
        <v>0</v>
      </c>
      <c r="Q4" s="8" t="e">
        <f t="shared" ref="Q4:Q5" si="0">O4/(O4+P4)</f>
        <v>#DIV/0!</v>
      </c>
      <c r="R4" s="1">
        <v>2</v>
      </c>
      <c r="T4" s="1" t="s">
        <v>26</v>
      </c>
      <c r="U4" s="6">
        <f t="shared" ref="U4:U18" si="1">COUNTIF($G$3:$G$40, T4)+X4</f>
        <v>0</v>
      </c>
      <c r="V4" s="7">
        <f>COUNTIFS($G$3:$G$40, $T4,$H$3:$H$40,"Finish")</f>
        <v>0</v>
      </c>
      <c r="W4" s="7">
        <f>COUNTIFS($G$3:$G$40, $T4,$H$3:$H$40,"Midrange")</f>
        <v>0</v>
      </c>
      <c r="X4" s="7">
        <f>COUNTIFS($G$3:$G$40, $T4,$H$3:$H$40,"Three Pointer")</f>
        <v>0</v>
      </c>
      <c r="Y4">
        <f t="shared" ref="Y4:Y18" si="2">COUNTIF(I$4:I$40,T4)</f>
        <v>0</v>
      </c>
      <c r="Z4" s="19" t="b">
        <v>0</v>
      </c>
      <c r="AB4" s="34" t="str">
        <f>IF(AND(D4="Choc-Tops",E4="Gentle, Men", OR(C4&lt;C5,C5="")),"CT/GM", IF(AND(D4="Choc-Tops",E4="Traffic Controllers", OR(C4&lt;C5,C5="")),"CT/TC", ""))</f>
        <v/>
      </c>
      <c r="AC4" s="34" t="str">
        <f>IF(AND(D4="Gentle, Men",E4="Choc-Tops", OR(C4&lt;C5,C5="")),"GM/CT", IF(AND(D4="Gentle, Men",E4="Traffic Controllers", OR(C4&lt;C5,C5="")),"GM/TC", ""))</f>
        <v/>
      </c>
      <c r="AD4" s="34" t="str">
        <f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N5" s="1" t="s">
        <v>35</v>
      </c>
      <c r="O5" s="1">
        <f>COUNTIF(AC4:AC39,"*")-COUNTIF(AC4:AC39,"")</f>
        <v>0</v>
      </c>
      <c r="P5" s="1">
        <f>K45+L45</f>
        <v>0</v>
      </c>
      <c r="Q5" s="8" t="e">
        <f t="shared" si="0"/>
        <v>#DIV/0!</v>
      </c>
      <c r="R5" s="1">
        <v>1</v>
      </c>
      <c r="T5" s="1" t="s">
        <v>27</v>
      </c>
      <c r="U5" s="6">
        <f t="shared" si="1"/>
        <v>0</v>
      </c>
      <c r="V5" s="7">
        <f>COUNTIFS($G$3:$G$40, $T5,$H$3:$H$40,"Finish")</f>
        <v>0</v>
      </c>
      <c r="W5" s="7">
        <f>COUNTIFS($G$3:$G$40, $T5,$H$3:$H$40,"Midrange")</f>
        <v>0</v>
      </c>
      <c r="X5" s="7">
        <f>COUNTIFS($G$3:$G$40, $T5,$H$3:$H$40,"Three Pointer")</f>
        <v>0</v>
      </c>
      <c r="Y5">
        <f t="shared" si="2"/>
        <v>0</v>
      </c>
      <c r="Z5" s="19" t="b">
        <v>0</v>
      </c>
      <c r="AB5" s="34" t="str">
        <f>IF(AND(D5="Choc-Tops",E5="Gentle, Men", OR(C5&lt;C6,C6="")),"CT/GM", IF(AND(D5="Choc-Tops",E5="Traffic Controllers", OR(C5&lt;C6,C6="")),"CT/TC", ""))</f>
        <v/>
      </c>
      <c r="AC5" s="34" t="str">
        <f>IF(AND(D5="Gentle, Men",E5="Choc-Tops", OR(C5&lt;C6,C6="")),"GM/CT", IF(AND(D5="Gentle, Men",E5="Traffic Controllers", OR(C5&lt;C6,C6="")),"GM/TC", ""))</f>
        <v/>
      </c>
      <c r="AD5" s="34" t="str">
        <f>IF(AND(D5="Traffic Controllers",E5="Choc-Tops", OR(C5&lt;C6,C6="")),"TC/CT", IF(AND($D5="Traffic Controllers",$E5="Gentle, Men", OR(C5&lt;C6,C6="")),"TC/GM", ""))</f>
        <v/>
      </c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T6" s="1" t="s">
        <v>30</v>
      </c>
      <c r="U6" s="6">
        <f t="shared" si="1"/>
        <v>0</v>
      </c>
      <c r="V6" s="7">
        <f>COUNTIFS($G$3:$G$40, $T6,$H$3:$H$40,"Finish")</f>
        <v>0</v>
      </c>
      <c r="W6" s="7">
        <f>COUNTIFS($G$3:$G$40, $T6,$H$3:$H$40,"Midrange")</f>
        <v>0</v>
      </c>
      <c r="X6" s="7">
        <f>COUNTIFS($G$3:$G$40, $T6,$H$3:$H$40,"Three Pointer")</f>
        <v>0</v>
      </c>
      <c r="Y6">
        <f t="shared" si="2"/>
        <v>0</v>
      </c>
      <c r="Z6" s="19" t="b">
        <v>0</v>
      </c>
      <c r="AB6" s="34" t="str">
        <f>IF(AND(D6="Choc-Tops",E6="Gentle, Men", OR(C6&lt;C7,C7="")),"CT/GM", IF(AND(D6="Choc-Tops",E6="Traffic Controllers", OR(C6&lt;C7,C7="")),"CT/TC", ""))</f>
        <v/>
      </c>
      <c r="AC6" s="34" t="str">
        <f>IF(AND(D6="Gentle, Men",E6="Choc-Tops", OR(C6&lt;C7,C7="")),"GM/CT", IF(AND(D6="Gentle, Men",E6="Traffic Controllers", OR(C6&lt;C7,C7="")),"GM/TC", ""))</f>
        <v/>
      </c>
      <c r="AD6" s="34" t="str">
        <f>IF(AND(D6="Traffic Controllers",E6="Choc-Tops", OR(C6&lt;C7,C7="")),"TC/CT", IF(AND($D6="Traffic Controllers",$E6="Gentle, Men", OR(C6&lt;C7,C7="")),"TC/GM", ""))</f>
        <v/>
      </c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T7" s="1" t="s">
        <v>32</v>
      </c>
      <c r="U7" s="6">
        <f t="shared" si="1"/>
        <v>0</v>
      </c>
      <c r="V7" s="7">
        <f>COUNTIFS($G$3:$G$40, $T7,$H$3:$H$40,"Finish")</f>
        <v>0</v>
      </c>
      <c r="W7" s="7">
        <f>COUNTIFS($G$3:$G$40, $T7,$H$3:$H$40,"Midrange")</f>
        <v>0</v>
      </c>
      <c r="X7" s="7">
        <f>COUNTIFS($G$3:$G$40, $T7,$H$3:$H$40,"Three Pointer")</f>
        <v>0</v>
      </c>
      <c r="Y7">
        <f t="shared" si="2"/>
        <v>0</v>
      </c>
      <c r="Z7" s="19" t="b">
        <v>0</v>
      </c>
      <c r="AB7" s="34" t="str">
        <f>IF(AND(D7="Choc-Tops",E7="Gentle, Men", OR(C7&lt;C8,C8="")),"CT/GM", IF(AND(D7="Choc-Tops",E7="Traffic Controllers", OR(C7&lt;C8,C8="")),"CT/TC", ""))</f>
        <v/>
      </c>
      <c r="AC7" s="34" t="str">
        <f>IF(AND(D7="Gentle, Men",E7="Choc-Tops", OR(C7&lt;C8,C8="")),"GM/CT", IF(AND(D7="Gentle, Men",E7="Traffic Controllers", OR(C7&lt;C8,C8="")),"GM/TC", ""))</f>
        <v/>
      </c>
      <c r="AD7" s="34" t="str">
        <f>IF(AND(D7="Traffic Controllers",E7="Choc-Tops", OR(C7&lt;C8,C8="")),"TC/CT", IF(AND($D7="Traffic Controllers",$E7="Gentle, Men", OR(C7&lt;C8,C8="")),"TC/GM", ""))</f>
        <v/>
      </c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T8" s="1" t="s">
        <v>37</v>
      </c>
      <c r="U8" s="6">
        <f t="shared" si="1"/>
        <v>0</v>
      </c>
      <c r="V8" s="7">
        <f>COUNTIFS($G$3:$G$40, $T8,$H$3:$H$40,"Finish")</f>
        <v>0</v>
      </c>
      <c r="W8" s="7">
        <f>COUNTIFS($G$3:$G$40, $T8,$H$3:$H$40,"Midrange")</f>
        <v>0</v>
      </c>
      <c r="X8" s="7">
        <f>COUNTIFS($G$3:$G$40, $T8,$H$3:$H$40,"Three Pointer")</f>
        <v>0</v>
      </c>
      <c r="Y8">
        <f t="shared" si="2"/>
        <v>0</v>
      </c>
      <c r="Z8" s="19" t="b">
        <v>0</v>
      </c>
      <c r="AB8" s="34" t="str">
        <f>IF(AND(D8="Choc-Tops",E8="Gentle, Men", OR(C8&lt;C9,C9="")),"CT/GM", IF(AND(D8="Choc-Tops",E8="Traffic Controllers", OR(C8&lt;C9,C9="")),"CT/TC", ""))</f>
        <v/>
      </c>
      <c r="AC8" s="34" t="str">
        <f>IF(AND(D8="Gentle, Men",E8="Choc-Tops", OR(C8&lt;C9,C9="")),"GM/CT", IF(AND(D8="Gentle, Men",E8="Traffic Controllers", OR(C8&lt;C9,C9="")),"GM/TC", ""))</f>
        <v/>
      </c>
      <c r="AD8" s="34" t="str">
        <f>IF(AND(D8="Traffic Controllers",E8="Choc-Tops", OR(C8&lt;C9,C9="")),"TC/CT", IF(AND($D8="Traffic Controllers",$E8="Gentle, Men", OR(C8&lt;C9,C9="")),"TC/GM", ""))</f>
        <v/>
      </c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T9" t="s">
        <v>91</v>
      </c>
      <c r="U9" s="6">
        <f t="shared" si="1"/>
        <v>0</v>
      </c>
      <c r="V9" s="7">
        <f>COUNTIFS($G$3:$G$40, $T9,$H$3:$H$40,"Finish")</f>
        <v>0</v>
      </c>
      <c r="W9" s="7">
        <f>COUNTIFS($G$3:$G$40, $T9,$H$3:$H$40,"Midrange")</f>
        <v>0</v>
      </c>
      <c r="X9" s="7">
        <f>COUNTIFS($G$3:$G$40, $T9,$H$3:$H$40,"Three Pointer")</f>
        <v>0</v>
      </c>
      <c r="Y9">
        <f t="shared" si="2"/>
        <v>0</v>
      </c>
      <c r="Z9" s="19" t="b">
        <v>0</v>
      </c>
      <c r="AB9" s="34" t="str">
        <f>IF(AND(D9="Choc-Tops",E9="Gentle, Men", OR(C9&lt;C10,C10="")),"CT/GM", IF(AND(D9="Choc-Tops",E9="Traffic Controllers", OR(C9&lt;C10,C10="")),"CT/TC", ""))</f>
        <v/>
      </c>
      <c r="AC9" s="34" t="str">
        <f>IF(AND(D9="Gentle, Men",E9="Choc-Tops", OR(C9&lt;C10,C10="")),"GM/CT", IF(AND(D9="Gentle, Men",E9="Traffic Controllers", OR(C9&lt;C10,C10="")),"GM/TC", ""))</f>
        <v/>
      </c>
      <c r="AD9" s="34" t="str">
        <f>IF(AND(D9="Traffic Controllers",E9="Choc-Tops", OR(C9&lt;C10,C10="")),"TC/CT", IF(AND($D9="Traffic Controllers",$E9="Gentle, Men", OR(C9&lt;C10,C10="")),"TC/GM", ""))</f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T10" s="1" t="s">
        <v>39</v>
      </c>
      <c r="U10" s="6">
        <f t="shared" si="1"/>
        <v>0</v>
      </c>
      <c r="V10" s="7">
        <f>COUNTIFS($G$3:$G$40, $T10,$H$3:$H$40,"Finish")</f>
        <v>0</v>
      </c>
      <c r="W10" s="7">
        <f>COUNTIFS($G$3:$G$40, $T10,$H$3:$H$40,"Midrange")</f>
        <v>0</v>
      </c>
      <c r="X10" s="7">
        <f>COUNTIFS($G$3:$G$40, $T10,$H$3:$H$40,"Three Pointer")</f>
        <v>0</v>
      </c>
      <c r="Y10">
        <f t="shared" si="2"/>
        <v>0</v>
      </c>
      <c r="Z10" s="19" t="b">
        <v>0</v>
      </c>
      <c r="AB10" s="34" t="str">
        <f>IF(AND(D10="Choc-Tops",E10="Gentle, Men", OR(C10&lt;C11,C11="")),"CT/GM", IF(AND(D10="Choc-Tops",E10="Traffic Controllers", OR(C10&lt;C11,C11="")),"CT/TC", ""))</f>
        <v/>
      </c>
      <c r="AC10" s="34" t="str">
        <f>IF(AND(D10="Gentle, Men",E10="Choc-Tops", OR(C10&lt;C11,C11="")),"GM/CT", IF(AND(D10="Gentle, Men",E10="Traffic Controllers", OR(C10&lt;C11,C11="")),"GM/TC", ""))</f>
        <v/>
      </c>
      <c r="AD10" s="34" t="str">
        <f>IF(AND(D10="Traffic Controllers",E10="Choc-Tops", OR(C10&lt;C11,C11="")),"TC/CT", IF(AND($D10="Traffic Controllers",$E10="Gentle, Men", OR(C10&lt;C11,C11="")),"TC/GM", ""))</f>
        <v/>
      </c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T11" s="1" t="s">
        <v>41</v>
      </c>
      <c r="U11" s="6">
        <f t="shared" si="1"/>
        <v>0</v>
      </c>
      <c r="V11" s="7">
        <f>COUNTIFS($G$3:$G$40, $T11,$H$3:$H$40,"Finish")</f>
        <v>0</v>
      </c>
      <c r="W11" s="7">
        <f>COUNTIFS($G$3:$G$40, $T11,$H$3:$H$40,"Midrange")</f>
        <v>0</v>
      </c>
      <c r="X11" s="7">
        <f>COUNTIFS($G$3:$G$40, $T11,$H$3:$H$40,"Three Pointer")</f>
        <v>0</v>
      </c>
      <c r="Y11">
        <f t="shared" si="2"/>
        <v>0</v>
      </c>
      <c r="Z11" s="19" t="b">
        <v>0</v>
      </c>
      <c r="AB11" s="34" t="str">
        <f>IF(AND(D11="Choc-Tops",E11="Gentle, Men", OR(C11&lt;C12,C12="")),"CT/GM", IF(AND(D11="Choc-Tops",E11="Traffic Controllers", OR(C11&lt;C12,C12="")),"CT/TC", ""))</f>
        <v/>
      </c>
      <c r="AC11" s="34" t="str">
        <f>IF(AND(D11="Gentle, Men",E11="Choc-Tops", OR(C11&lt;C12,C12="")),"GM/CT", IF(AND(D11="Gentle, Men",E11="Traffic Controllers", OR(C11&lt;C12,C12="")),"GM/TC", ""))</f>
        <v/>
      </c>
      <c r="AD11" s="34" t="str">
        <f>IF(AND(D11="Traffic Controllers",E11="Choc-Tops", OR(C11&lt;C12,C12="")),"TC/CT", IF(AND($D11="Traffic Controllers",$E11="Gentle, Men", OR(C11&lt;C12,C12="")),"TC/GM", ""))</f>
        <v/>
      </c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T12" s="1" t="s">
        <v>44</v>
      </c>
      <c r="U12" s="6">
        <f t="shared" si="1"/>
        <v>0</v>
      </c>
      <c r="V12" s="7">
        <f>COUNTIFS($G$3:$G$40, $T12,$H$3:$H$40,"Finish")</f>
        <v>0</v>
      </c>
      <c r="W12" s="7">
        <f>COUNTIFS($G$3:$G$40, $T12,$H$3:$H$40,"Midrange")</f>
        <v>0</v>
      </c>
      <c r="X12" s="7">
        <f>COUNTIFS($G$3:$G$40, $T12,$H$3:$H$40,"Three Pointer")</f>
        <v>0</v>
      </c>
      <c r="Y12">
        <f t="shared" si="2"/>
        <v>0</v>
      </c>
      <c r="Z12" s="19" t="b">
        <v>0</v>
      </c>
      <c r="AB12" s="34" t="str">
        <f>IF(AND(D12="Choc-Tops",E12="Gentle, Men", OR(C12&lt;C13,C13="")),"CT/GM", IF(AND(D12="Choc-Tops",E12="Traffic Controllers", OR(C12&lt;C13,C13="")),"CT/TC", ""))</f>
        <v/>
      </c>
      <c r="AC12" s="34" t="str">
        <f>IF(AND(D12="Gentle, Men",E12="Choc-Tops", OR(C12&lt;C13,C13="")),"GM/CT", IF(AND(D12="Gentle, Men",E12="Traffic Controllers", OR(C12&lt;C13,C13="")),"GM/TC", ""))</f>
        <v/>
      </c>
      <c r="AD12" s="34" t="str">
        <f>IF(AND(D12="Traffic Controllers",E12="Choc-Tops", OR(C12&lt;C13,C13="")),"TC/CT", IF(AND($D12="Traffic Controllers",$E12="Gentle, Men", OR(C12&lt;C13,C13="")),"TC/GM", ""))</f>
        <v/>
      </c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T13" s="1" t="s">
        <v>46</v>
      </c>
      <c r="U13" s="6">
        <f t="shared" si="1"/>
        <v>0</v>
      </c>
      <c r="V13" s="7">
        <f>COUNTIFS($G$3:$G$40, $T13,$H$3:$H$40,"Finish")</f>
        <v>0</v>
      </c>
      <c r="W13" s="7">
        <f>COUNTIFS($G$3:$G$40, $T13,$H$3:$H$40,"Midrange")</f>
        <v>0</v>
      </c>
      <c r="X13" s="7">
        <f>COUNTIFS($G$3:$G$40, $T13,$H$3:$H$40,"Three Pointer")</f>
        <v>0</v>
      </c>
      <c r="Y13">
        <f t="shared" si="2"/>
        <v>0</v>
      </c>
      <c r="Z13" s="19" t="b">
        <v>0</v>
      </c>
      <c r="AB13" s="34" t="str">
        <f>IF(AND(D13="Choc-Tops",E13="Gentle, Men", OR(C13&lt;C14,C14="")),"CT/GM", IF(AND(D13="Choc-Tops",E13="Traffic Controllers", OR(C13&lt;C14,C14="")),"CT/TC", ""))</f>
        <v/>
      </c>
      <c r="AC13" s="34" t="str">
        <f>IF(AND(D13="Gentle, Men",E13="Choc-Tops", OR(C13&lt;C14,C14="")),"GM/CT", IF(AND(D13="Gentle, Men",E13="Traffic Controllers", OR(C13&lt;C14,C14="")),"GM/TC", ""))</f>
        <v/>
      </c>
      <c r="AD13" s="34" t="str">
        <f>IF(AND(D13="Traffic Controllers",E13="Choc-Tops", OR(C13&lt;C14,C14="")),"TC/CT", IF(AND($D13="Traffic Controllers",$E13="Gentle, Men", OR(C13&lt;C14,C14="")),"TC/GM", ""))</f>
        <v/>
      </c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T14" s="1" t="s">
        <v>49</v>
      </c>
      <c r="U14" s="6">
        <f t="shared" si="1"/>
        <v>0</v>
      </c>
      <c r="V14" s="7">
        <f>COUNTIFS($G$3:$G$40, $T14,$H$3:$H$40,"Finish")</f>
        <v>0</v>
      </c>
      <c r="W14" s="7">
        <f>COUNTIFS($G$3:$G$40, $T14,$H$3:$H$40,"Midrange")</f>
        <v>0</v>
      </c>
      <c r="X14" s="7">
        <f>COUNTIFS($G$3:$G$40, $T14,$H$3:$H$40,"Three Pointer")</f>
        <v>0</v>
      </c>
      <c r="Y14">
        <f t="shared" si="2"/>
        <v>0</v>
      </c>
      <c r="Z14" s="19" t="b">
        <v>1</v>
      </c>
      <c r="AB14" s="34" t="str">
        <f>IF(AND(D14="Choc-Tops",E14="Gentle, Men", OR(C14&lt;C15,C15="")),"CT/GM", IF(AND(D14="Choc-Tops",E14="Traffic Controllers", OR(C14&lt;C15,C15="")),"CT/TC", ""))</f>
        <v/>
      </c>
      <c r="AC14" s="34" t="str">
        <f>IF(AND(D14="Gentle, Men",E14="Choc-Tops", OR(C14&lt;C15,C15="")),"GM/CT", IF(AND(D14="Gentle, Men",E14="Traffic Controllers", OR(C14&lt;C15,C15="")),"GM/TC", ""))</f>
        <v/>
      </c>
      <c r="AD14" s="34" t="str">
        <f>IF(AND(D14="Traffic Controllers",E14="Choc-Tops", OR(C14&lt;C15,C15="")),"TC/CT", IF(AND($D14="Traffic Controllers",$E14="Gentle, Men", OR(C14&lt;C15,C15="")),"TC/GM", ""))</f>
        <v/>
      </c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T15" s="1" t="s">
        <v>52</v>
      </c>
      <c r="U15" s="6">
        <f t="shared" si="1"/>
        <v>0</v>
      </c>
      <c r="V15" s="7">
        <f>COUNTIFS($G$3:$G$40, $T15,$H$3:$H$40,"Finish")</f>
        <v>0</v>
      </c>
      <c r="W15" s="7">
        <f>COUNTIFS($G$3:$G$40, $T15,$H$3:$H$40,"Midrange")</f>
        <v>0</v>
      </c>
      <c r="X15" s="7">
        <f>COUNTIFS($G$3:$G$40, $T15,$H$3:$H$40,"Three Pointer")</f>
        <v>0</v>
      </c>
      <c r="Y15">
        <f t="shared" si="2"/>
        <v>0</v>
      </c>
      <c r="Z15" s="19" t="b">
        <v>0</v>
      </c>
      <c r="AB15" s="34" t="str">
        <f>IF(AND(D15="Choc-Tops",E15="Gentle, Men", OR(C15&lt;C16,C16="")),"CT/GM", IF(AND(D15="Choc-Tops",E15="Traffic Controllers", OR(C15&lt;C16,C16="")),"CT/TC", ""))</f>
        <v/>
      </c>
      <c r="AC15" s="34" t="str">
        <f>IF(AND(D15="Gentle, Men",E15="Choc-Tops", OR(C15&lt;C16,C16="")),"GM/CT", IF(AND(D15="Gentle, Men",E15="Traffic Controllers", OR(C15&lt;C16,C16="")),"GM/TC", ""))</f>
        <v/>
      </c>
      <c r="AD15" s="34" t="str">
        <f>IF(AND(D15="Traffic Controllers",E15="Choc-Tops", OR(C15&lt;C16,C16="")),"TC/CT", IF(AND($D15="Traffic Controllers",$E15="Gentle, Men", OR(C15&lt;C16,C16="")),"TC/GM", ""))</f>
        <v/>
      </c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T16" s="1" t="s">
        <v>55</v>
      </c>
      <c r="U16" s="6">
        <f t="shared" si="1"/>
        <v>0</v>
      </c>
      <c r="V16" s="7">
        <f>COUNTIFS($G$3:$G$40, $T16,$H$3:$H$40,"Finish")</f>
        <v>0</v>
      </c>
      <c r="W16" s="7">
        <f>COUNTIFS($G$3:$G$40, $T16,$H$3:$H$40,"Midrange")</f>
        <v>0</v>
      </c>
      <c r="X16" s="7">
        <f>COUNTIFS($G$3:$G$40, $T16,$H$3:$H$40,"Three Pointer")</f>
        <v>0</v>
      </c>
      <c r="Y16">
        <f t="shared" si="2"/>
        <v>0</v>
      </c>
      <c r="Z16" s="19" t="b">
        <v>0</v>
      </c>
      <c r="AB16" s="34" t="str">
        <f>IF(AND(D16="Choc-Tops",E16="Gentle, Men", OR(C16&lt;C17,C17="")),"CT/GM", IF(AND(D16="Choc-Tops",E16="Traffic Controllers", OR(C16&lt;C17,C17="")),"CT/TC", ""))</f>
        <v/>
      </c>
      <c r="AC16" s="34" t="str">
        <f>IF(AND(D16="Gentle, Men",E16="Choc-Tops", OR(C16&lt;C17,C17="")),"GM/CT", IF(AND(D16="Gentle, Men",E16="Traffic Controllers", OR(C16&lt;C17,C17="")),"GM/TC", ""))</f>
        <v/>
      </c>
      <c r="AD16" s="34" t="str">
        <f>IF(AND(D16="Traffic Controllers",E16="Choc-Tops", OR(C16&lt;C17,C17="")),"TC/CT", IF(AND($D16="Traffic Controllers",$E16="Gentle, Men", OR(C16&lt;C17,C17="")),"TC/GM", ""))</f>
        <v/>
      </c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T17" s="1" t="s">
        <v>185</v>
      </c>
      <c r="U17" s="6">
        <f t="shared" si="1"/>
        <v>0</v>
      </c>
      <c r="V17" s="7">
        <f>COUNTIFS($G$3:$G$40, $T17,$H$3:$H$40,"Finish")</f>
        <v>0</v>
      </c>
      <c r="W17" s="7">
        <f>COUNTIFS($G$3:$G$40, $T17,$H$3:$H$40,"Midrange")</f>
        <v>0</v>
      </c>
      <c r="X17" s="7">
        <f>COUNTIFS($G$3:$G$40, $T17,$H$3:$H$40,"Three Pointer")</f>
        <v>0</v>
      </c>
      <c r="Y17">
        <f t="shared" si="2"/>
        <v>0</v>
      </c>
      <c r="Z17" s="19" t="b">
        <v>0</v>
      </c>
      <c r="AB17" s="34" t="str">
        <f>IF(AND(D17="Choc-Tops",E17="Gentle, Men", OR(C17&lt;C18,C18="")),"CT/GM", IF(AND(D17="Choc-Tops",E17="Traffic Controllers", OR(C17&lt;C18,C18="")),"CT/TC", ""))</f>
        <v/>
      </c>
      <c r="AC17" s="34" t="str">
        <f>IF(AND(D17="Gentle, Men",E17="Choc-Tops", OR(C17&lt;C18,C18="")),"GM/CT", IF(AND(D17="Gentle, Men",E17="Traffic Controllers", OR(C17&lt;C18,C18="")),"GM/TC", ""))</f>
        <v/>
      </c>
      <c r="AD17" s="34" t="str">
        <f>IF(AND(D17="Traffic Controllers",E17="Choc-Tops", OR(C17&lt;C18,C18="")),"TC/CT", IF(AND($D17="Traffic Controllers",$E17="Gentle, Men", OR(C17&lt;C18,C18="")),"TC/GM", ""))</f>
        <v/>
      </c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1"/>
        <v>0</v>
      </c>
      <c r="V18" s="7">
        <f>COUNTIFS($G$3:$G$40, $T18,$H$3:$H$40,"Finish")</f>
        <v>0</v>
      </c>
      <c r="W18" s="7">
        <f>COUNTIFS($G$3:$G$40, $T18,$H$3:$H$40,"Midrange")</f>
        <v>0</v>
      </c>
      <c r="X18" s="7">
        <f>COUNTIFS($G$3:$G$40, $T18,$H$3:$H$40,"Three Pointer")</f>
        <v>0</v>
      </c>
      <c r="Y18">
        <f t="shared" si="2"/>
        <v>0</v>
      </c>
      <c r="Z18" s="19" t="b">
        <v>1</v>
      </c>
      <c r="AB18" s="34" t="str">
        <f>IF(AND(D18="Choc-Tops",E18="Gentle, Men", OR(C18&lt;C19,C19="")),"CT/GM", IF(AND(D18="Choc-Tops",E18="Traffic Controllers", OR(C18&lt;C19,C19="")),"CT/TC", ""))</f>
        <v/>
      </c>
      <c r="AC18" s="34" t="str">
        <f>IF(AND(D18="Gentle, Men",E18="Choc-Tops", OR(C18&lt;C19,C19="")),"GM/CT", IF(AND(D18="Gentle, Men",E18="Traffic Controllers", OR(C18&lt;C19,C19="")),"GM/TC", ""))</f>
        <v/>
      </c>
      <c r="AD18" s="34" t="str">
        <f>IF(AND(D18="Traffic Controllers",E18="Choc-Tops", OR(C18&lt;C19,C19="")),"TC/CT", IF(AND($D18="Traffic Controllers",$E18="Gentle, Men", OR(C18&lt;C19,C19="")),"TC/GM", ""))</f>
        <v/>
      </c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>IF(AND(D19="Choc-Tops",E19="Gentle, Men", OR(C19&lt;C20,C20="")),"CT/GM", IF(AND(D19="Choc-Tops",E19="Traffic Controllers", OR(C19&lt;C20,C20="")),"CT/TC", ""))</f>
        <v/>
      </c>
      <c r="AC19" s="34" t="str">
        <f>IF(AND(D19="Gentle, Men",E19="Choc-Tops", OR(C19&lt;C20,C20="")),"GM/CT", IF(AND(D19="Gentle, Men",E19="Traffic Controllers", OR(C19&lt;C20,C20="")),"GM/TC", ""))</f>
        <v/>
      </c>
      <c r="AD19" s="34" t="str">
        <f>IF(AND(D19="Traffic Controllers",E19="Choc-Tops", OR(C19&lt;C20,C20="")),"TC/CT", IF(AND($D19="Traffic Controllers",$E19="Gentle, Men", OR(C19&lt;C20,C20="")),"TC/GM", ""))</f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AB20" s="34" t="str">
        <f>IF(AND(D20="Choc-Tops",E20="Gentle, Men", OR(C20&lt;C21,C21="")),"CT/GM", IF(AND(D20="Choc-Tops",E20="Traffic Controllers", OR(C20&lt;C21,C21="")),"CT/TC", ""))</f>
        <v/>
      </c>
      <c r="AC20" s="34" t="str">
        <f>IF(AND(D20="Gentle, Men",E20="Choc-Tops", OR(C20&lt;C21,C21="")),"GM/CT", IF(AND(D20="Gentle, Men",E20="Traffic Controllers", OR(C20&lt;C21,C21="")),"GM/TC", ""))</f>
        <v/>
      </c>
      <c r="AD20" s="34" t="str">
        <f>IF(AND(D20="Traffic Controllers",E20="Choc-Tops", OR(C20&lt;C21,C21="")),"TC/CT", IF(AND($D20="Traffic Controllers",$E20="Gentle, Men", OR(C20&lt;C21,C21="")),"TC/GM", ""))</f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AB21" s="34" t="str">
        <f>IF(AND(D21="Choc-Tops",E21="Gentle, Men", OR(C21&lt;C22,C22="")),"CT/GM", IF(AND(D21="Choc-Tops",E21="Traffic Controllers", OR(C21&lt;C22,C22="")),"CT/TC", ""))</f>
        <v/>
      </c>
      <c r="AC21" s="34" t="str">
        <f>IF(AND(D21="Gentle, Men",E21="Choc-Tops", OR(C21&lt;C22,C22="")),"GM/CT", IF(AND(D21="Gentle, Men",E21="Traffic Controllers", OR(C21&lt;C22,C22="")),"GM/TC", ""))</f>
        <v/>
      </c>
      <c r="AD21" s="34" t="str">
        <f>IF(AND(D21="Traffic Controllers",E21="Choc-Tops", OR(C21&lt;C22,C22="")),"TC/CT", IF(AND($D21="Traffic Controllers",$E21="Gentle, Men", OR(C21&lt;C22,C22="")),"TC/GM", ""))</f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AB22" s="34" t="str">
        <f>IF(AND(D22="Choc-Tops",E22="Gentle, Men", OR(C22&lt;C23,C23="")),"CT/GM", IF(AND(D22="Choc-Tops",E22="Traffic Controllers", OR(C22&lt;C23,C23="")),"CT/TC", ""))</f>
        <v/>
      </c>
      <c r="AC22" s="34" t="str">
        <f>IF(AND(D22="Gentle, Men",E22="Choc-Tops", OR(C22&lt;C23,C23="")),"GM/CT", IF(AND(D22="Gentle, Men",E22="Traffic Controllers", OR(C22&lt;C23,C23="")),"GM/TC", ""))</f>
        <v/>
      </c>
      <c r="AD22" s="34" t="str">
        <f>IF(AND(D22="Traffic Controllers",E22="Choc-Tops", OR(C22&lt;C23,C23="")),"TC/CT", IF(AND($D22="Traffic Controllers",$E22="Gentle, Men", OR(C22&lt;C23,C23="")),"TC/GM", ""))</f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3">V3&amp;","</f>
        <v>0,</v>
      </c>
      <c r="W23" t="str">
        <f t="shared" si="3"/>
        <v>0,</v>
      </c>
      <c r="X23" t="str">
        <f>X3&amp;","</f>
        <v>0,</v>
      </c>
      <c r="Y23" t="str">
        <f>Y3&amp;","</f>
        <v>0,</v>
      </c>
      <c r="Z23" s="121" t="str">
        <f>IF(Z3,1,0)&amp;","</f>
        <v>0,</v>
      </c>
      <c r="AB23" s="34" t="str">
        <f>IF(AND(D23="Choc-Tops",E23="Gentle, Men", OR(C23&lt;C24,C24="")),"CT/GM", IF(AND(D23="Choc-Tops",E23="Traffic Controllers", OR(C23&lt;C24,C24="")),"CT/TC", ""))</f>
        <v/>
      </c>
      <c r="AC23" s="34" t="str">
        <f>IF(AND(D23="Gentle, Men",E23="Choc-Tops", OR(C23&lt;C24,C24="")),"GM/CT", IF(AND(D23="Gentle, Men",E23="Traffic Controllers", OR(C23&lt;C24,C24="")),"GM/TC", ""))</f>
        <v/>
      </c>
      <c r="AD23" s="34" t="str">
        <f>IF(AND(D23="Traffic Controllers",E23="Choc-Tops", OR(C23&lt;C24,C24="")),"TC/CT", IF(AND($D23="Traffic Controllers",$E23="Gentle, Men", OR(C23&lt;C24,C24="")),"TC/GM", ""))</f>
        <v/>
      </c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U24" t="str">
        <f t="shared" ref="U24:X37" si="4">U4&amp;","</f>
        <v>0,</v>
      </c>
      <c r="V24" t="str">
        <f t="shared" si="4"/>
        <v>0,</v>
      </c>
      <c r="W24" t="str">
        <f t="shared" si="4"/>
        <v>0,</v>
      </c>
      <c r="X24" t="str">
        <f t="shared" si="4"/>
        <v>0,</v>
      </c>
      <c r="Y24" t="str">
        <f t="shared" ref="Y24" si="5">Y4&amp;","</f>
        <v>0,</v>
      </c>
      <c r="Z24" s="121" t="str">
        <f>IF(Z4,1,0)&amp;","</f>
        <v>0,</v>
      </c>
      <c r="AB24" s="34" t="str">
        <f>IF(AND(D24="Choc-Tops",E24="Gentle, Men", OR(C24&lt;C25,C25="")),"CT/GM", IF(AND(D24="Choc-Tops",E24="Traffic Controllers", OR(C24&lt;C25,C25="")),"CT/TC", ""))</f>
        <v/>
      </c>
      <c r="AC24" s="34" t="str">
        <f>IF(AND(D24="Gentle, Men",E24="Choc-Tops", OR(C24&lt;C25,C25="")),"GM/CT", IF(AND(D24="Gentle, Men",E24="Traffic Controllers", OR(C24&lt;C25,C25="")),"GM/TC", ""))</f>
        <v/>
      </c>
      <c r="AD24" s="34" t="str">
        <f>IF(AND(D24="Traffic Controllers",E24="Choc-Tops", OR(C24&lt;C25,C25="")),"TC/CT", IF(AND($D24="Traffic Controllers",$E24="Gentle, Men", OR(C24&lt;C25,C25="")),"TC/GM", ""))</f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4"/>
        <v>0,</v>
      </c>
      <c r="V25" t="str">
        <f t="shared" si="4"/>
        <v>0,</v>
      </c>
      <c r="W25" t="str">
        <f t="shared" si="4"/>
        <v>0,</v>
      </c>
      <c r="X25" t="str">
        <f t="shared" si="4"/>
        <v>0,</v>
      </c>
      <c r="Y25" t="str">
        <f t="shared" ref="Y25" si="6">Y5&amp;","</f>
        <v>0,</v>
      </c>
      <c r="Z25" s="121" t="str">
        <f>IF(Z5,1,0)&amp;","</f>
        <v>0,</v>
      </c>
      <c r="AB25" s="34" t="str">
        <f>IF(AND(D25="Choc-Tops",E25="Gentle, Men", OR(C25&lt;C26,C26="")),"CT/GM", IF(AND(D25="Choc-Tops",E25="Traffic Controllers", OR(C25&lt;C26,C26="")),"CT/TC", ""))</f>
        <v/>
      </c>
      <c r="AC25" s="34" t="str">
        <f>IF(AND(D25="Gentle, Men",E25="Choc-Tops", OR(C25&lt;C26,C26="")),"GM/CT", IF(AND(D25="Gentle, Men",E25="Traffic Controllers", OR(C25&lt;C26,C26="")),"GM/TC", ""))</f>
        <v/>
      </c>
      <c r="AD25" s="34" t="str">
        <f>IF(AND(D25="Traffic Controllers",E25="Choc-Tops", OR(C25&lt;C26,C26="")),"TC/CT", IF(AND($D25="Traffic Controllers",$E25="Gentle, Men", OR(C25&lt;C26,C26="")),"TC/GM", ""))</f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4"/>
        <v>0,</v>
      </c>
      <c r="V26" t="str">
        <f t="shared" si="4"/>
        <v>0,</v>
      </c>
      <c r="W26" t="str">
        <f t="shared" si="4"/>
        <v>0,</v>
      </c>
      <c r="X26" t="str">
        <f t="shared" si="4"/>
        <v>0,</v>
      </c>
      <c r="Y26" t="str">
        <f t="shared" ref="Y26" si="7">Y6&amp;","</f>
        <v>0,</v>
      </c>
      <c r="Z26" s="121" t="str">
        <f>IF(Z6,1,0)&amp;","</f>
        <v>0,</v>
      </c>
      <c r="AB26" s="34" t="str">
        <f>IF(AND(D26="Choc-Tops",E26="Gentle, Men", OR(C26&lt;C27,C27="")),"CT/GM", IF(AND(D26="Choc-Tops",E26="Traffic Controllers", OR(C26&lt;C27,C27="")),"CT/TC", ""))</f>
        <v/>
      </c>
      <c r="AC26" s="34" t="str">
        <f>IF(AND(D26="Gentle, Men",E26="Choc-Tops", OR(C26&lt;C27,C27="")),"GM/CT", IF(AND(D26="Gentle, Men",E26="Traffic Controllers", OR(C26&lt;C27,C27="")),"GM/TC", ""))</f>
        <v/>
      </c>
      <c r="AD26" s="34" t="str">
        <f>IF(AND(D26="Traffic Controllers",E26="Choc-Tops", OR(C26&lt;C27,C27="")),"TC/CT", IF(AND($D26="Traffic Controllers",$E26="Gentle, Men", OR(C26&lt;C27,C27="")),"TC/GM", ""))</f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U27" t="str">
        <f t="shared" si="4"/>
        <v>0,</v>
      </c>
      <c r="V27" t="str">
        <f t="shared" si="4"/>
        <v>0,</v>
      </c>
      <c r="W27" t="str">
        <f t="shared" si="4"/>
        <v>0,</v>
      </c>
      <c r="X27" t="str">
        <f t="shared" si="4"/>
        <v>0,</v>
      </c>
      <c r="Y27" t="str">
        <f t="shared" ref="Y27" si="8">Y7&amp;","</f>
        <v>0,</v>
      </c>
      <c r="Z27" s="121" t="str">
        <f>IF(Z7,1,0)&amp;","</f>
        <v>0,</v>
      </c>
      <c r="AB27" s="34" t="str">
        <f>IF(AND(D27="Choc-Tops",E27="Gentle, Men", OR(C27&lt;C28,C28="")),"CT/GM", IF(AND(D27="Choc-Tops",E27="Traffic Controllers", OR(C27&lt;C28,C28="")),"CT/TC", ""))</f>
        <v/>
      </c>
      <c r="AC27" s="34" t="str">
        <f>IF(AND(D27="Gentle, Men",E27="Choc-Tops", OR(C27&lt;C28,C28="")),"GM/CT", IF(AND(D27="Gentle, Men",E27="Traffic Controllers", OR(C27&lt;C28,C28="")),"GM/TC", ""))</f>
        <v/>
      </c>
      <c r="AD27" s="34" t="str">
        <f>IF(AND(D27="Traffic Controllers",E27="Choc-Tops", OR(C27&lt;C28,C28="")),"TC/CT", IF(AND($D27="Traffic Controllers",$E27="Gentle, Men", OR(C27&lt;C28,C28="")),"TC/GM", ""))</f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U28" t="str">
        <f t="shared" si="4"/>
        <v>0,</v>
      </c>
      <c r="V28" t="str">
        <f t="shared" si="4"/>
        <v>0,</v>
      </c>
      <c r="W28" t="str">
        <f t="shared" si="4"/>
        <v>0,</v>
      </c>
      <c r="X28" t="str">
        <f t="shared" si="4"/>
        <v>0,</v>
      </c>
      <c r="Y28" t="str">
        <f t="shared" ref="Y28" si="9">Y8&amp;","</f>
        <v>0,</v>
      </c>
      <c r="Z28" s="121" t="str">
        <f>IF(Z8,1,0)&amp;","</f>
        <v>0,</v>
      </c>
      <c r="AB28" s="34" t="str">
        <f>IF(AND(D28="Choc-Tops",E28="Gentle, Men", OR(C28&lt;C29,C29="")),"CT/GM", IF(AND(D28="Choc-Tops",E28="Traffic Controllers", OR(C28&lt;C29,C29="")),"CT/TC", ""))</f>
        <v/>
      </c>
      <c r="AC28" s="34" t="str">
        <f>IF(AND(D28="Gentle, Men",E28="Choc-Tops", OR(C28&lt;C29,C29="")),"GM/CT", IF(AND(D28="Gentle, Men",E28="Traffic Controllers", OR(C28&lt;C29,C29="")),"GM/TC", ""))</f>
        <v/>
      </c>
      <c r="AD28" s="34" t="str">
        <f>IF(AND(D28="Traffic Controllers",E28="Choc-Tops", OR(C28&lt;C29,C29="")),"TC/CT", IF(AND($D28="Traffic Controllers",$E28="Gentle, Men", OR(C28&lt;C29,C29="")),"TC/GM", ""))</f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U29" t="str">
        <f t="shared" si="4"/>
        <v>0,</v>
      </c>
      <c r="V29" t="str">
        <f t="shared" si="4"/>
        <v>0,</v>
      </c>
      <c r="W29" t="str">
        <f t="shared" si="4"/>
        <v>0,</v>
      </c>
      <c r="X29" t="str">
        <f t="shared" si="4"/>
        <v>0,</v>
      </c>
      <c r="Y29" t="str">
        <f t="shared" ref="Y29" si="10">Y9&amp;","</f>
        <v>0,</v>
      </c>
      <c r="Z29" s="121" t="str">
        <f>IF(Z9,1,0)&amp;","</f>
        <v>0,</v>
      </c>
      <c r="AB29" s="34" t="str">
        <f>IF(AND(D29="Choc-Tops",E29="Gentle, Men", OR(C29&lt;C30,C30="")),"CT/GM", IF(AND(D29="Choc-Tops",E29="Traffic Controllers", OR(C29&lt;C30,C30="")),"CT/TC", ""))</f>
        <v/>
      </c>
      <c r="AC29" s="34" t="str">
        <f>IF(AND(D29="Gentle, Men",E29="Choc-Tops", OR(C29&lt;C30,C30="")),"GM/CT", IF(AND(D29="Gentle, Men",E29="Traffic Controllers", OR(C29&lt;C30,C30="")),"GM/TC", ""))</f>
        <v/>
      </c>
      <c r="AD29" s="34" t="str">
        <f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U30" t="str">
        <f t="shared" si="4"/>
        <v>0,</v>
      </c>
      <c r="V30" t="str">
        <f t="shared" si="4"/>
        <v>0,</v>
      </c>
      <c r="W30" t="str">
        <f t="shared" si="4"/>
        <v>0,</v>
      </c>
      <c r="X30" t="str">
        <f t="shared" si="4"/>
        <v>0,</v>
      </c>
      <c r="Y30" t="str">
        <f t="shared" ref="Y30" si="11">Y10&amp;","</f>
        <v>0,</v>
      </c>
      <c r="Z30" s="121" t="str">
        <f>IF(Z10,1,0)&amp;","</f>
        <v>0,</v>
      </c>
      <c r="AB30" s="34" t="str">
        <f>IF(AND(D30="Choc-Tops",E30="Gentle, Men", OR(C30&lt;C31,C31="")),"CT/GM", IF(AND(D30="Choc-Tops",E30="Traffic Controllers", OR(C30&lt;C31,C31="")),"CT/TC", ""))</f>
        <v/>
      </c>
      <c r="AC30" s="34" t="str">
        <f>IF(AND(D30="Gentle, Men",E30="Choc-Tops", OR(C30&lt;C31,C31="")),"GM/CT", IF(AND(D30="Gentle, Men",E30="Traffic Controllers", OR(C30&lt;C31,C31="")),"GM/TC", ""))</f>
        <v/>
      </c>
      <c r="AD30" s="34" t="str">
        <f>IF(AND(D30="Traffic Controllers",E30="Choc-Tops", OR(C30&lt;C31,C31="")),"TC/CT", IF(AND($D30="Traffic Controllers",$E30="Gentle, Men", OR(C30&lt;C31,C31="")),"TC/GM", ""))</f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U31" t="str">
        <f t="shared" si="4"/>
        <v>0,</v>
      </c>
      <c r="V31" t="str">
        <f t="shared" si="4"/>
        <v>0,</v>
      </c>
      <c r="W31" t="str">
        <f t="shared" si="4"/>
        <v>0,</v>
      </c>
      <c r="X31" t="str">
        <f t="shared" si="4"/>
        <v>0,</v>
      </c>
      <c r="Y31" t="str">
        <f t="shared" ref="Y31" si="12">Y11&amp;","</f>
        <v>0,</v>
      </c>
      <c r="Z31" s="121" t="str">
        <f>IF(Z11,1,0)&amp;","</f>
        <v>0,</v>
      </c>
      <c r="AB31" s="34" t="str">
        <f>IF(AND(D31="Choc-Tops",E31="Gentle, Men", OR(C31&lt;C32,C32="")),"CT/GM", IF(AND(D31="Choc-Tops",E31="Traffic Controllers", OR(C31&lt;C32,C32="")),"CT/TC", ""))</f>
        <v/>
      </c>
      <c r="AC31" s="34" t="str">
        <f>IF(AND(D31="Gentle, Men",E31="Choc-Tops", OR(C31&lt;C32,C32="")),"GM/CT", IF(AND(D31="Gentle, Men",E31="Traffic Controllers", OR(C31&lt;C32,C32="")),"GM/TC", ""))</f>
        <v/>
      </c>
      <c r="AD31" s="34" t="str">
        <f>IF(AND(D31="Traffic Controllers",E31="Choc-Tops", OR(C31&lt;C32,C32="")),"TC/CT", IF(AND($D31="Traffic Controllers",$E31="Gentle, Men", OR(C31&lt;C32,C32="")),"TC/GM", ""))</f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U32" t="str">
        <f t="shared" si="4"/>
        <v>0,</v>
      </c>
      <c r="V32" t="str">
        <f t="shared" si="4"/>
        <v>0,</v>
      </c>
      <c r="W32" t="str">
        <f t="shared" si="4"/>
        <v>0,</v>
      </c>
      <c r="X32" t="str">
        <f t="shared" si="4"/>
        <v>0,</v>
      </c>
      <c r="Y32" t="str">
        <f t="shared" ref="Y32" si="13">Y12&amp;","</f>
        <v>0,</v>
      </c>
      <c r="Z32" s="121" t="str">
        <f>IF(Z12,1,0)&amp;","</f>
        <v>0,</v>
      </c>
      <c r="AB32" s="34" t="str">
        <f>IF(AND(D32="Choc-Tops",E32="Gentle, Men", OR(C32&lt;C33,C33="")),"CT/GM", IF(AND(D32="Choc-Tops",E32="Traffic Controllers", OR(C32&lt;C33,C33="")),"CT/TC", ""))</f>
        <v/>
      </c>
      <c r="AC32" s="34" t="str">
        <f>IF(AND(D32="Gentle, Men",E32="Choc-Tops", OR(C32&lt;C33,C33="")),"GM/CT", IF(AND(D32="Gentle, Men",E32="Traffic Controllers", OR(C32&lt;C33,C33="")),"GM/TC", ""))</f>
        <v/>
      </c>
      <c r="AD32" s="34" t="str">
        <f>IF(AND(D32="Traffic Controllers",E32="Choc-Tops", OR(C32&lt;C33,C33="")),"TC/CT", IF(AND($D32="Traffic Controllers",$E32="Gentle, Men", OR(C32&lt;C33,C33="")),"TC/GM", ""))</f>
        <v/>
      </c>
    </row>
    <row r="33" spans="3:30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U33" t="str">
        <f t="shared" si="4"/>
        <v>0,</v>
      </c>
      <c r="V33" t="str">
        <f t="shared" si="4"/>
        <v>0,</v>
      </c>
      <c r="W33" t="str">
        <f t="shared" si="4"/>
        <v>0,</v>
      </c>
      <c r="X33" t="str">
        <f t="shared" si="4"/>
        <v>0,</v>
      </c>
      <c r="Y33" t="str">
        <f t="shared" ref="Y33" si="14">Y13&amp;","</f>
        <v>0,</v>
      </c>
      <c r="Z33" s="121" t="str">
        <f>IF(Z13,1,0)&amp;","</f>
        <v>0,</v>
      </c>
      <c r="AB33" s="34" t="str">
        <f>IF(AND(D33="Choc-Tops",E33="Gentle, Men", OR(C33&lt;C34,C34="")),"CT/GM", IF(AND(D33="Choc-Tops",E33="Traffic Controllers", OR(C33&lt;C34,C34="")),"CT/TC", ""))</f>
        <v/>
      </c>
      <c r="AC33" s="34" t="str">
        <f>IF(AND(D33="Gentle, Men",E33="Choc-Tops", OR(C33&lt;C34,C34="")),"GM/CT", IF(AND(D33="Gentle, Men",E33="Traffic Controllers", OR(C33&lt;C34,C34="")),"GM/TC", ""))</f>
        <v/>
      </c>
      <c r="AD33" s="34" t="str">
        <f>IF(AND(D33="Traffic Controllers",E33="Choc-Tops", OR(C33&lt;C34,C34="")),"TC/CT", IF(AND($D33="Traffic Controllers",$E33="Gentle, Men", OR(C33&lt;C34,C34="")),"TC/GM", ""))</f>
        <v/>
      </c>
    </row>
    <row r="34" spans="3:30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U34" t="str">
        <f t="shared" si="4"/>
        <v>0,</v>
      </c>
      <c r="V34" t="str">
        <f t="shared" si="4"/>
        <v>0,</v>
      </c>
      <c r="W34" t="str">
        <f t="shared" si="4"/>
        <v>0,</v>
      </c>
      <c r="X34" t="str">
        <f t="shared" si="4"/>
        <v>0,</v>
      </c>
      <c r="Y34" t="str">
        <f t="shared" ref="Y34" si="15">Y14&amp;","</f>
        <v>0,</v>
      </c>
      <c r="Z34" s="121" t="str">
        <f>IF(Z14,1,0)&amp;","</f>
        <v>1,</v>
      </c>
      <c r="AB34" s="34" t="str">
        <f>IF(AND(D34="Choc-Tops",E34="Gentle, Men", OR(C34&lt;C35,C35="")),"CT/GM", IF(AND(D34="Choc-Tops",E34="Traffic Controllers", OR(C34&lt;C35,C35="")),"CT/TC", ""))</f>
        <v/>
      </c>
      <c r="AC34" s="34" t="str">
        <f>IF(AND(D34="Gentle, Men",E34="Choc-Tops", OR(C34&lt;C35,C35="")),"GM/CT", IF(AND(D34="Gentle, Men",E34="Traffic Controllers", OR(C34&lt;C35,C35="")),"GM/TC", ""))</f>
        <v/>
      </c>
      <c r="AD34" s="34" t="str">
        <f>IF(AND(D34="Traffic Controllers",E34="Choc-Tops", OR(C34&lt;C35,C35="")),"TC/CT", IF(AND($D34="Traffic Controllers",$E34="Gentle, Men", OR(C34&lt;C35,C35="")),"TC/GM", ""))</f>
        <v/>
      </c>
    </row>
    <row r="35" spans="3:30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U35" t="str">
        <f t="shared" si="4"/>
        <v>0,</v>
      </c>
      <c r="V35" t="str">
        <f t="shared" si="4"/>
        <v>0,</v>
      </c>
      <c r="W35" t="str">
        <f t="shared" si="4"/>
        <v>0,</v>
      </c>
      <c r="X35" t="str">
        <f t="shared" si="4"/>
        <v>0,</v>
      </c>
      <c r="Y35" t="str">
        <f t="shared" ref="Y35" si="16">Y15&amp;","</f>
        <v>0,</v>
      </c>
      <c r="Z35" s="121" t="str">
        <f>IF(Z15,1,0)&amp;","</f>
        <v>0,</v>
      </c>
      <c r="AB35" s="34" t="str">
        <f>IF(AND(D35="Choc-Tops",E35="Gentle, Men", OR(C35&lt;C36,C36="")),"CT/GM", IF(AND(D35="Choc-Tops",E35="Traffic Controllers", OR(C35&lt;C36,C36="")),"CT/TC", ""))</f>
        <v/>
      </c>
      <c r="AC35" s="34" t="str">
        <f>IF(AND(D35="Gentle, Men",E35="Choc-Tops", OR(C35&lt;C36,C36="")),"GM/CT", IF(AND(D35="Gentle, Men",E35="Traffic Controllers", OR(C35&lt;C36,C36="")),"GM/TC", ""))</f>
        <v/>
      </c>
      <c r="AD35" s="34" t="str">
        <f>IF(AND(D35="Traffic Controllers",E35="Choc-Tops", OR(C35&lt;C36,C36="")),"TC/CT", IF(AND($D35="Traffic Controllers",$E35="Gentle, Men", OR(C35&lt;C36,C36="")),"TC/GM", ""))</f>
        <v/>
      </c>
    </row>
    <row r="36" spans="3:30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U36" t="str">
        <f t="shared" si="4"/>
        <v>0,</v>
      </c>
      <c r="V36" t="str">
        <f t="shared" si="4"/>
        <v>0,</v>
      </c>
      <c r="W36" t="str">
        <f t="shared" si="4"/>
        <v>0,</v>
      </c>
      <c r="X36" t="str">
        <f t="shared" si="4"/>
        <v>0,</v>
      </c>
      <c r="Y36" t="str">
        <f t="shared" ref="Y36" si="17">Y16&amp;","</f>
        <v>0,</v>
      </c>
      <c r="Z36" s="121" t="str">
        <f>IF(Z16,1,0)&amp;","</f>
        <v>0,</v>
      </c>
      <c r="AB36" s="34" t="str">
        <f>IF(AND(D36="Choc-Tops",E36="Gentle, Men", OR(C36&lt;C37,C37="")),"CT/GM", IF(AND(D36="Choc-Tops",E36="Traffic Controllers", OR(C36&lt;C37,C37="")),"CT/TC", ""))</f>
        <v/>
      </c>
      <c r="AC36" s="34" t="str">
        <f>IF(AND(D36="Gentle, Men",E36="Choc-Tops", OR(C36&lt;C37,C37="")),"GM/CT", IF(AND(D36="Gentle, Men",E36="Traffic Controllers", OR(C36&lt;C37,C37="")),"GM/TC", ""))</f>
        <v/>
      </c>
      <c r="AD36" s="34" t="str">
        <f>IF(AND(D36="Traffic Controllers",E36="Choc-Tops", OR(C36&lt;C37,C37="")),"TC/CT", IF(AND($D36="Traffic Controllers",$E36="Gentle, Men", OR(C36&lt;C37,C37="")),"TC/GM", ""))</f>
        <v/>
      </c>
    </row>
    <row r="37" spans="3:30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U37" t="str">
        <f t="shared" si="4"/>
        <v>0,</v>
      </c>
      <c r="V37" t="str">
        <f t="shared" si="4"/>
        <v>0,</v>
      </c>
      <c r="W37" t="str">
        <f t="shared" si="4"/>
        <v>0,</v>
      </c>
      <c r="X37" t="str">
        <f t="shared" si="4"/>
        <v>0,</v>
      </c>
      <c r="Y37" t="str">
        <f t="shared" ref="Y37" si="18">Y17&amp;","</f>
        <v>0,</v>
      </c>
      <c r="Z37" s="121" t="str">
        <f>IF(Z17,1,0)&amp;","</f>
        <v>0,</v>
      </c>
      <c r="AB37" s="34" t="str">
        <f>IF(AND(D37="Choc-Tops",E37="Gentle, Men", OR(C37&lt;C38,C38="")),"CT/GM", IF(AND(D37="Choc-Tops",E37="Traffic Controllers", OR(C37&lt;C38,C38="")),"CT/TC", ""))</f>
        <v/>
      </c>
      <c r="AC37" s="34" t="str">
        <f>IF(AND(D37="Gentle, Men",E37="Choc-Tops", OR(C37&lt;C38,C38="")),"GM/CT", IF(AND(D37="Gentle, Men",E37="Traffic Controllers", OR(C37&lt;C38,C38="")),"GM/TC", ""))</f>
        <v/>
      </c>
      <c r="AD37" s="34" t="str">
        <f>IF(AND(D37="Traffic Controllers",E37="Choc-Tops", OR(C37&lt;C38,C38="")),"TC/CT", IF(AND($D37="Traffic Controllers",$E37="Gentle, Men", OR(C37&lt;C38,C38="")),"TC/GM", ""))</f>
        <v/>
      </c>
    </row>
    <row r="38" spans="3:30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X38" si="19">V18</f>
        <v>0</v>
      </c>
      <c r="W38" s="13">
        <f t="shared" si="19"/>
        <v>0</v>
      </c>
      <c r="X38" s="13">
        <f t="shared" si="19"/>
        <v>0</v>
      </c>
      <c r="Y38" s="13">
        <f t="shared" ref="Y38" si="20">Y18</f>
        <v>0</v>
      </c>
      <c r="Z38" s="121">
        <f>IF(Z18,1,0)</f>
        <v>1</v>
      </c>
      <c r="AB38" s="34" t="str">
        <f>IF(AND(D38="Choc-Tops",E38="Gentle, Men", OR(C38&lt;C39,C39="")),"CT/GM", IF(AND(D38="Choc-Tops",E38="Traffic Controllers", OR(C38&lt;C39,C39="")),"CT/TC", ""))</f>
        <v/>
      </c>
      <c r="AC38" s="34" t="str">
        <f>IF(AND(D38="Gentle, Men",E38="Choc-Tops", OR(C38&lt;C39,C39="")),"GM/CT", IF(AND(D38="Gentle, Men",E38="Traffic Controllers", OR(C38&lt;C39,C39="")),"GM/TC", ""))</f>
        <v/>
      </c>
      <c r="AD38" s="34" t="str">
        <f>IF(AND(D38="Traffic Controllers",E38="Choc-Tops", OR(C38&lt;C39,C39="")),"TC/CT", IF(AND($D38="Traffic Controllers",$E38="Gentle, Men", OR(C38&lt;C39,C39="")),"TC/GM", ""))</f>
        <v/>
      </c>
    </row>
    <row r="39" spans="3:30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>IF(AND(D39="Gentle, Men",E39="Choc-Tops", OR(C39&lt;C40,C40="")),"GM/CT", IF(AND(D39="Gentle, Men",E39="Traffic Controllers", OR(C39&lt;C40,C40="")),"GM/TC", ""))</f>
        <v/>
      </c>
      <c r="AD39" s="34" t="str">
        <f>IF(AND(D39="Traffic Controllers",E39="Choc-Tops", OR(C39&lt;C40,C40="")),"TC/CT", IF(AND($D39="Traffic Controllers",$E39="Gentle, Men", OR(C39&lt;C40,C40="")),"TC/GM", ""))</f>
        <v/>
      </c>
    </row>
    <row r="40" spans="3:30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30" ht="14.25" customHeight="1" x14ac:dyDescent="0.45">
      <c r="C45" s="50" t="str">
        <f>B4</f>
        <v>25 January</v>
      </c>
      <c r="D45">
        <f>MAX(O3:O5)</f>
        <v>0</v>
      </c>
      <c r="E45">
        <f>COUNT(C4:C42)-D45-F45</f>
        <v>0</v>
      </c>
      <c r="F45">
        <f>MIN(O3:O5)</f>
        <v>0</v>
      </c>
      <c r="G45">
        <f>O3</f>
        <v>0</v>
      </c>
      <c r="H45">
        <f>COUNTIF(AC4:AC39, "GM/CT")</f>
        <v>0</v>
      </c>
      <c r="I45">
        <f>COUNTIF(AD4:AD39, "TC/CT")</f>
        <v>0</v>
      </c>
      <c r="J45">
        <f>O5</f>
        <v>0</v>
      </c>
      <c r="K45">
        <f>COUNTIF(AB4:AB39, "CT/GM")</f>
        <v>0</v>
      </c>
      <c r="L45">
        <f>COUNTIF(AD4:AD39, "TC/GM")</f>
        <v>0</v>
      </c>
      <c r="M45">
        <f>O4</f>
        <v>0</v>
      </c>
      <c r="N45">
        <f>COUNTIF(AB4:AB39, "CT/TC")</f>
        <v>0</v>
      </c>
      <c r="O45">
        <f>COUNTIF(AC4:AC39, "GM/TC")</f>
        <v>0</v>
      </c>
      <c r="P45">
        <f>R3</f>
        <v>3</v>
      </c>
      <c r="Q45">
        <f>R5</f>
        <v>1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"Missed":[0,0,0,0,0,0,0,0,0,0,0,1,0,0,0,1],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"Points":[3,2,1]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ED8-CB26-4B46-94C2-A8310DA9BD69}">
  <dimension ref="B1:AF1000"/>
  <sheetViews>
    <sheetView zoomScale="50" workbookViewId="0">
      <selection activeCell="B5" sqref="B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4" t="s">
        <v>237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236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0</v>
      </c>
      <c r="P3" s="1">
        <f>H45+I45</f>
        <v>0</v>
      </c>
      <c r="Q3" s="8" t="e">
        <f>O3/(O3+P3)</f>
        <v>#DIV/0!</v>
      </c>
      <c r="R3" s="1">
        <v>3</v>
      </c>
      <c r="T3" s="1" t="s">
        <v>25</v>
      </c>
      <c r="U3" s="6">
        <f>COUNTIF($G$3:$G$40, T3)+X3</f>
        <v>0</v>
      </c>
      <c r="V3" s="7">
        <f>COUNTIFS($G$3:$G$40, $T3,$H$3:$H$40,"Finish")</f>
        <v>0</v>
      </c>
      <c r="W3" s="7">
        <f>COUNTIFS($G$3:$G$40, $T3,$H$3:$H$40,"Midrange")</f>
        <v>0</v>
      </c>
      <c r="X3" s="7">
        <f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235</v>
      </c>
      <c r="C4" s="127"/>
      <c r="D4" s="127"/>
      <c r="E4" s="127"/>
      <c r="F4" s="127"/>
      <c r="G4" s="127"/>
      <c r="H4" s="127"/>
      <c r="I4" s="127"/>
      <c r="J4" s="127"/>
      <c r="K4" s="127"/>
      <c r="N4" s="1" t="s">
        <v>157</v>
      </c>
      <c r="O4" s="1">
        <f>COUNTIF(AD4:AD39,"*")-COUNTIF(AD4:AD39,"")</f>
        <v>0</v>
      </c>
      <c r="P4" s="1">
        <f>N45+O45</f>
        <v>0</v>
      </c>
      <c r="Q4" s="8" t="e">
        <f t="shared" ref="Q4:Q5" si="0">O4/(O4+P4)</f>
        <v>#DIV/0!</v>
      </c>
      <c r="R4" s="1">
        <v>2</v>
      </c>
      <c r="T4" s="1" t="s">
        <v>26</v>
      </c>
      <c r="U4" s="6">
        <f t="shared" ref="U4:U18" si="1">COUNTIF($G$3:$G$40, T4)+X4</f>
        <v>0</v>
      </c>
      <c r="V4" s="7">
        <f>COUNTIFS($G$3:$G$40, $T4,$H$3:$H$40,"Finish")</f>
        <v>0</v>
      </c>
      <c r="W4" s="7">
        <f>COUNTIFS($G$3:$G$40, $T4,$H$3:$H$40,"Midrange")</f>
        <v>0</v>
      </c>
      <c r="X4" s="7">
        <f>COUNTIFS($G$3:$G$40, $T4,$H$3:$H$40,"Three Pointer")</f>
        <v>0</v>
      </c>
      <c r="Y4">
        <f t="shared" ref="Y4:Y18" si="2">COUNTIF(I$4:I$40,T4)</f>
        <v>0</v>
      </c>
      <c r="Z4" s="19" t="b">
        <v>0</v>
      </c>
      <c r="AB4" s="34" t="str">
        <f>IF(AND(D4="Choc-Tops",E4="Gentle, Men", OR(C4&lt;C5,C5="")),"CT/GM", IF(AND(D4="Choc-Tops",E4="Traffic Controllers", OR(C4&lt;C5,C5="")),"CT/TC", ""))</f>
        <v/>
      </c>
      <c r="AC4" s="34" t="str">
        <f>IF(AND(D4="Gentle, Men",E4="Choc-Tops", OR(C4&lt;C5,C5="")),"GM/CT", IF(AND(D4="Gentle, Men",E4="Traffic Controllers", OR(C4&lt;C5,C5="")),"GM/TC", ""))</f>
        <v/>
      </c>
      <c r="AD4" s="34" t="str">
        <f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N5" s="1" t="s">
        <v>35</v>
      </c>
      <c r="O5" s="1">
        <f>COUNTIF(AC4:AC39,"*")-COUNTIF(AC4:AC39,"")</f>
        <v>0</v>
      </c>
      <c r="P5" s="1">
        <f>K45+L45</f>
        <v>0</v>
      </c>
      <c r="Q5" s="8" t="e">
        <f t="shared" si="0"/>
        <v>#DIV/0!</v>
      </c>
      <c r="R5" s="1">
        <v>1</v>
      </c>
      <c r="T5" s="1" t="s">
        <v>27</v>
      </c>
      <c r="U5" s="6">
        <f t="shared" si="1"/>
        <v>0</v>
      </c>
      <c r="V5" s="7">
        <f>COUNTIFS($G$3:$G$40, $T5,$H$3:$H$40,"Finish")</f>
        <v>0</v>
      </c>
      <c r="W5" s="7">
        <f>COUNTIFS($G$3:$G$40, $T5,$H$3:$H$40,"Midrange")</f>
        <v>0</v>
      </c>
      <c r="X5" s="7">
        <f>COUNTIFS($G$3:$G$40, $T5,$H$3:$H$40,"Three Pointer")</f>
        <v>0</v>
      </c>
      <c r="Y5">
        <f t="shared" si="2"/>
        <v>0</v>
      </c>
      <c r="Z5" s="19" t="b">
        <v>0</v>
      </c>
      <c r="AB5" s="34" t="str">
        <f>IF(AND(D5="Choc-Tops",E5="Gentle, Men", OR(C5&lt;C6,C6="")),"CT/GM", IF(AND(D5="Choc-Tops",E5="Traffic Controllers", OR(C5&lt;C6,C6="")),"CT/TC", ""))</f>
        <v/>
      </c>
      <c r="AC5" s="34" t="str">
        <f>IF(AND(D5="Gentle, Men",E5="Choc-Tops", OR(C5&lt;C6,C6="")),"GM/CT", IF(AND(D5="Gentle, Men",E5="Traffic Controllers", OR(C5&lt;C6,C6="")),"GM/TC", ""))</f>
        <v/>
      </c>
      <c r="AD5" s="34" t="str">
        <f>IF(AND(D5="Traffic Controllers",E5="Choc-Tops", OR(C5&lt;C6,C6="")),"TC/CT", IF(AND($D5="Traffic Controllers",$E5="Gentle, Men", OR(C5&lt;C6,C6="")),"TC/GM", ""))</f>
        <v/>
      </c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T6" s="1" t="s">
        <v>30</v>
      </c>
      <c r="U6" s="6">
        <f t="shared" si="1"/>
        <v>0</v>
      </c>
      <c r="V6" s="7">
        <f>COUNTIFS($G$3:$G$40, $T6,$H$3:$H$40,"Finish")</f>
        <v>0</v>
      </c>
      <c r="W6" s="7">
        <f>COUNTIFS($G$3:$G$40, $T6,$H$3:$H$40,"Midrange")</f>
        <v>0</v>
      </c>
      <c r="X6" s="7">
        <f>COUNTIFS($G$3:$G$40, $T6,$H$3:$H$40,"Three Pointer")</f>
        <v>0</v>
      </c>
      <c r="Y6">
        <f t="shared" si="2"/>
        <v>0</v>
      </c>
      <c r="Z6" s="19" t="b">
        <v>0</v>
      </c>
      <c r="AB6" s="34" t="str">
        <f>IF(AND(D6="Choc-Tops",E6="Gentle, Men", OR(C6&lt;C7,C7="")),"CT/GM", IF(AND(D6="Choc-Tops",E6="Traffic Controllers", OR(C6&lt;C7,C7="")),"CT/TC", ""))</f>
        <v/>
      </c>
      <c r="AC6" s="34" t="str">
        <f>IF(AND(D6="Gentle, Men",E6="Choc-Tops", OR(C6&lt;C7,C7="")),"GM/CT", IF(AND(D6="Gentle, Men",E6="Traffic Controllers", OR(C6&lt;C7,C7="")),"GM/TC", ""))</f>
        <v/>
      </c>
      <c r="AD6" s="34" t="str">
        <f>IF(AND(D6="Traffic Controllers",E6="Choc-Tops", OR(C6&lt;C7,C7="")),"TC/CT", IF(AND($D6="Traffic Controllers",$E6="Gentle, Men", OR(C6&lt;C7,C7="")),"TC/GM", ""))</f>
        <v/>
      </c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T7" s="1" t="s">
        <v>32</v>
      </c>
      <c r="U7" s="6">
        <f t="shared" si="1"/>
        <v>0</v>
      </c>
      <c r="V7" s="7">
        <f>COUNTIFS($G$3:$G$40, $T7,$H$3:$H$40,"Finish")</f>
        <v>0</v>
      </c>
      <c r="W7" s="7">
        <f>COUNTIFS($G$3:$G$40, $T7,$H$3:$H$40,"Midrange")</f>
        <v>0</v>
      </c>
      <c r="X7" s="7">
        <f>COUNTIFS($G$3:$G$40, $T7,$H$3:$H$40,"Three Pointer")</f>
        <v>0</v>
      </c>
      <c r="Y7">
        <f t="shared" si="2"/>
        <v>0</v>
      </c>
      <c r="Z7" s="19" t="b">
        <v>0</v>
      </c>
      <c r="AB7" s="34" t="str">
        <f>IF(AND(D7="Choc-Tops",E7="Gentle, Men", OR(C7&lt;C8,C8="")),"CT/GM", IF(AND(D7="Choc-Tops",E7="Traffic Controllers", OR(C7&lt;C8,C8="")),"CT/TC", ""))</f>
        <v/>
      </c>
      <c r="AC7" s="34" t="str">
        <f>IF(AND(D7="Gentle, Men",E7="Choc-Tops", OR(C7&lt;C8,C8="")),"GM/CT", IF(AND(D7="Gentle, Men",E7="Traffic Controllers", OR(C7&lt;C8,C8="")),"GM/TC", ""))</f>
        <v/>
      </c>
      <c r="AD7" s="34" t="str">
        <f>IF(AND(D7="Traffic Controllers",E7="Choc-Tops", OR(C7&lt;C8,C8="")),"TC/CT", IF(AND($D7="Traffic Controllers",$E7="Gentle, Men", OR(C7&lt;C8,C8="")),"TC/GM", ""))</f>
        <v/>
      </c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T8" s="1" t="s">
        <v>37</v>
      </c>
      <c r="U8" s="6">
        <f t="shared" si="1"/>
        <v>0</v>
      </c>
      <c r="V8" s="7">
        <f>COUNTIFS($G$3:$G$40, $T8,$H$3:$H$40,"Finish")</f>
        <v>0</v>
      </c>
      <c r="W8" s="7">
        <f>COUNTIFS($G$3:$G$40, $T8,$H$3:$H$40,"Midrange")</f>
        <v>0</v>
      </c>
      <c r="X8" s="7">
        <f>COUNTIFS($G$3:$G$40, $T8,$H$3:$H$40,"Three Pointer")</f>
        <v>0</v>
      </c>
      <c r="Y8">
        <f t="shared" si="2"/>
        <v>0</v>
      </c>
      <c r="Z8" s="19" t="b">
        <v>0</v>
      </c>
      <c r="AB8" s="34" t="str">
        <f>IF(AND(D8="Choc-Tops",E8="Gentle, Men", OR(C8&lt;C9,C9="")),"CT/GM", IF(AND(D8="Choc-Tops",E8="Traffic Controllers", OR(C8&lt;C9,C9="")),"CT/TC", ""))</f>
        <v/>
      </c>
      <c r="AC8" s="34" t="str">
        <f>IF(AND(D8="Gentle, Men",E8="Choc-Tops", OR(C8&lt;C9,C9="")),"GM/CT", IF(AND(D8="Gentle, Men",E8="Traffic Controllers", OR(C8&lt;C9,C9="")),"GM/TC", ""))</f>
        <v/>
      </c>
      <c r="AD8" s="34" t="str">
        <f>IF(AND(D8="Traffic Controllers",E8="Choc-Tops", OR(C8&lt;C9,C9="")),"TC/CT", IF(AND($D8="Traffic Controllers",$E8="Gentle, Men", OR(C8&lt;C9,C9="")),"TC/GM", ""))</f>
        <v/>
      </c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T9" t="s">
        <v>91</v>
      </c>
      <c r="U9" s="6">
        <f t="shared" si="1"/>
        <v>0</v>
      </c>
      <c r="V9" s="7">
        <f>COUNTIFS($G$3:$G$40, $T9,$H$3:$H$40,"Finish")</f>
        <v>0</v>
      </c>
      <c r="W9" s="7">
        <f>COUNTIFS($G$3:$G$40, $T9,$H$3:$H$40,"Midrange")</f>
        <v>0</v>
      </c>
      <c r="X9" s="7">
        <f>COUNTIFS($G$3:$G$40, $T9,$H$3:$H$40,"Three Pointer")</f>
        <v>0</v>
      </c>
      <c r="Y9">
        <f t="shared" si="2"/>
        <v>0</v>
      </c>
      <c r="Z9" s="19" t="b">
        <v>0</v>
      </c>
      <c r="AB9" s="34" t="str">
        <f>IF(AND(D9="Choc-Tops",E9="Gentle, Men", OR(C9&lt;C10,C10="")),"CT/GM", IF(AND(D9="Choc-Tops",E9="Traffic Controllers", OR(C9&lt;C10,C10="")),"CT/TC", ""))</f>
        <v/>
      </c>
      <c r="AC9" s="34" t="str">
        <f>IF(AND(D9="Gentle, Men",E9="Choc-Tops", OR(C9&lt;C10,C10="")),"GM/CT", IF(AND(D9="Gentle, Men",E9="Traffic Controllers", OR(C9&lt;C10,C10="")),"GM/TC", ""))</f>
        <v/>
      </c>
      <c r="AD9" s="34" t="str">
        <f>IF(AND(D9="Traffic Controllers",E9="Choc-Tops", OR(C9&lt;C10,C10="")),"TC/CT", IF(AND($D9="Traffic Controllers",$E9="Gentle, Men", OR(C9&lt;C10,C10="")),"TC/GM", ""))</f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T10" s="1" t="s">
        <v>39</v>
      </c>
      <c r="U10" s="6">
        <f t="shared" si="1"/>
        <v>0</v>
      </c>
      <c r="V10" s="7">
        <f>COUNTIFS($G$3:$G$40, $T10,$H$3:$H$40,"Finish")</f>
        <v>0</v>
      </c>
      <c r="W10" s="7">
        <f>COUNTIFS($G$3:$G$40, $T10,$H$3:$H$40,"Midrange")</f>
        <v>0</v>
      </c>
      <c r="X10" s="7">
        <f>COUNTIFS($G$3:$G$40, $T10,$H$3:$H$40,"Three Pointer")</f>
        <v>0</v>
      </c>
      <c r="Y10">
        <f t="shared" si="2"/>
        <v>0</v>
      </c>
      <c r="Z10" s="19" t="b">
        <v>0</v>
      </c>
      <c r="AB10" s="34" t="str">
        <f>IF(AND(D10="Choc-Tops",E10="Gentle, Men", OR(C10&lt;C11,C11="")),"CT/GM", IF(AND(D10="Choc-Tops",E10="Traffic Controllers", OR(C10&lt;C11,C11="")),"CT/TC", ""))</f>
        <v/>
      </c>
      <c r="AC10" s="34" t="str">
        <f>IF(AND(D10="Gentle, Men",E10="Choc-Tops", OR(C10&lt;C11,C11="")),"GM/CT", IF(AND(D10="Gentle, Men",E10="Traffic Controllers", OR(C10&lt;C11,C11="")),"GM/TC", ""))</f>
        <v/>
      </c>
      <c r="AD10" s="34" t="str">
        <f>IF(AND(D10="Traffic Controllers",E10="Choc-Tops", OR(C10&lt;C11,C11="")),"TC/CT", IF(AND($D10="Traffic Controllers",$E10="Gentle, Men", OR(C10&lt;C11,C11="")),"TC/GM", ""))</f>
        <v/>
      </c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T11" s="1" t="s">
        <v>41</v>
      </c>
      <c r="U11" s="6">
        <f t="shared" si="1"/>
        <v>0</v>
      </c>
      <c r="V11" s="7">
        <f>COUNTIFS($G$3:$G$40, $T11,$H$3:$H$40,"Finish")</f>
        <v>0</v>
      </c>
      <c r="W11" s="7">
        <f>COUNTIFS($G$3:$G$40, $T11,$H$3:$H$40,"Midrange")</f>
        <v>0</v>
      </c>
      <c r="X11" s="7">
        <f>COUNTIFS($G$3:$G$40, $T11,$H$3:$H$40,"Three Pointer")</f>
        <v>0</v>
      </c>
      <c r="Y11">
        <f t="shared" si="2"/>
        <v>0</v>
      </c>
      <c r="Z11" s="19" t="b">
        <v>0</v>
      </c>
      <c r="AB11" s="34" t="str">
        <f>IF(AND(D11="Choc-Tops",E11="Gentle, Men", OR(C11&lt;C12,C12="")),"CT/GM", IF(AND(D11="Choc-Tops",E11="Traffic Controllers", OR(C11&lt;C12,C12="")),"CT/TC", ""))</f>
        <v/>
      </c>
      <c r="AC11" s="34" t="str">
        <f>IF(AND(D11="Gentle, Men",E11="Choc-Tops", OR(C11&lt;C12,C12="")),"GM/CT", IF(AND(D11="Gentle, Men",E11="Traffic Controllers", OR(C11&lt;C12,C12="")),"GM/TC", ""))</f>
        <v/>
      </c>
      <c r="AD11" s="34" t="str">
        <f>IF(AND(D11="Traffic Controllers",E11="Choc-Tops", OR(C11&lt;C12,C12="")),"TC/CT", IF(AND($D11="Traffic Controllers",$E11="Gentle, Men", OR(C11&lt;C12,C12="")),"TC/GM", ""))</f>
        <v/>
      </c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T12" s="1" t="s">
        <v>44</v>
      </c>
      <c r="U12" s="6">
        <f t="shared" si="1"/>
        <v>0</v>
      </c>
      <c r="V12" s="7">
        <f>COUNTIFS($G$3:$G$40, $T12,$H$3:$H$40,"Finish")</f>
        <v>0</v>
      </c>
      <c r="W12" s="7">
        <f>COUNTIFS($G$3:$G$40, $T12,$H$3:$H$40,"Midrange")</f>
        <v>0</v>
      </c>
      <c r="X12" s="7">
        <f>COUNTIFS($G$3:$G$40, $T12,$H$3:$H$40,"Three Pointer")</f>
        <v>0</v>
      </c>
      <c r="Y12">
        <f t="shared" si="2"/>
        <v>0</v>
      </c>
      <c r="Z12" s="19" t="b">
        <v>0</v>
      </c>
      <c r="AB12" s="34" t="str">
        <f>IF(AND(D12="Choc-Tops",E12="Gentle, Men", OR(C12&lt;C13,C13="")),"CT/GM", IF(AND(D12="Choc-Tops",E12="Traffic Controllers", OR(C12&lt;C13,C13="")),"CT/TC", ""))</f>
        <v/>
      </c>
      <c r="AC12" s="34" t="str">
        <f>IF(AND(D12="Gentle, Men",E12="Choc-Tops", OR(C12&lt;C13,C13="")),"GM/CT", IF(AND(D12="Gentle, Men",E12="Traffic Controllers", OR(C12&lt;C13,C13="")),"GM/TC", ""))</f>
        <v/>
      </c>
      <c r="AD12" s="34" t="str">
        <f>IF(AND(D12="Traffic Controllers",E12="Choc-Tops", OR(C12&lt;C13,C13="")),"TC/CT", IF(AND($D12="Traffic Controllers",$E12="Gentle, Men", OR(C12&lt;C13,C13="")),"TC/GM", ""))</f>
        <v/>
      </c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T13" s="1" t="s">
        <v>46</v>
      </c>
      <c r="U13" s="6">
        <f t="shared" si="1"/>
        <v>0</v>
      </c>
      <c r="V13" s="7">
        <f>COUNTIFS($G$3:$G$40, $T13,$H$3:$H$40,"Finish")</f>
        <v>0</v>
      </c>
      <c r="W13" s="7">
        <f>COUNTIFS($G$3:$G$40, $T13,$H$3:$H$40,"Midrange")</f>
        <v>0</v>
      </c>
      <c r="X13" s="7">
        <f>COUNTIFS($G$3:$G$40, $T13,$H$3:$H$40,"Three Pointer")</f>
        <v>0</v>
      </c>
      <c r="Y13">
        <f t="shared" si="2"/>
        <v>0</v>
      </c>
      <c r="Z13" s="19" t="b">
        <v>0</v>
      </c>
      <c r="AB13" s="34" t="str">
        <f>IF(AND(D13="Choc-Tops",E13="Gentle, Men", OR(C13&lt;C14,C14="")),"CT/GM", IF(AND(D13="Choc-Tops",E13="Traffic Controllers", OR(C13&lt;C14,C14="")),"CT/TC", ""))</f>
        <v/>
      </c>
      <c r="AC13" s="34" t="str">
        <f>IF(AND(D13="Gentle, Men",E13="Choc-Tops", OR(C13&lt;C14,C14="")),"GM/CT", IF(AND(D13="Gentle, Men",E13="Traffic Controllers", OR(C13&lt;C14,C14="")),"GM/TC", ""))</f>
        <v/>
      </c>
      <c r="AD13" s="34" t="str">
        <f>IF(AND(D13="Traffic Controllers",E13="Choc-Tops", OR(C13&lt;C14,C14="")),"TC/CT", IF(AND($D13="Traffic Controllers",$E13="Gentle, Men", OR(C13&lt;C14,C14="")),"TC/GM", ""))</f>
        <v/>
      </c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T14" s="1" t="s">
        <v>49</v>
      </c>
      <c r="U14" s="6">
        <f t="shared" si="1"/>
        <v>0</v>
      </c>
      <c r="V14" s="7">
        <f>COUNTIFS($G$3:$G$40, $T14,$H$3:$H$40,"Finish")</f>
        <v>0</v>
      </c>
      <c r="W14" s="7">
        <f>COUNTIFS($G$3:$G$40, $T14,$H$3:$H$40,"Midrange")</f>
        <v>0</v>
      </c>
      <c r="X14" s="7">
        <f>COUNTIFS($G$3:$G$40, $T14,$H$3:$H$40,"Three Pointer")</f>
        <v>0</v>
      </c>
      <c r="Y14">
        <f t="shared" si="2"/>
        <v>0</v>
      </c>
      <c r="Z14" s="19" t="b">
        <v>1</v>
      </c>
      <c r="AB14" s="34" t="str">
        <f>IF(AND(D14="Choc-Tops",E14="Gentle, Men", OR(C14&lt;C15,C15="")),"CT/GM", IF(AND(D14="Choc-Tops",E14="Traffic Controllers", OR(C14&lt;C15,C15="")),"CT/TC", ""))</f>
        <v/>
      </c>
      <c r="AC14" s="34" t="str">
        <f>IF(AND(D14="Gentle, Men",E14="Choc-Tops", OR(C14&lt;C15,C15="")),"GM/CT", IF(AND(D14="Gentle, Men",E14="Traffic Controllers", OR(C14&lt;C15,C15="")),"GM/TC", ""))</f>
        <v/>
      </c>
      <c r="AD14" s="34" t="str">
        <f>IF(AND(D14="Traffic Controllers",E14="Choc-Tops", OR(C14&lt;C15,C15="")),"TC/CT", IF(AND($D14="Traffic Controllers",$E14="Gentle, Men", OR(C14&lt;C15,C15="")),"TC/GM", ""))</f>
        <v/>
      </c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T15" s="1" t="s">
        <v>52</v>
      </c>
      <c r="U15" s="6">
        <f t="shared" si="1"/>
        <v>0</v>
      </c>
      <c r="V15" s="7">
        <f>COUNTIFS($G$3:$G$40, $T15,$H$3:$H$40,"Finish")</f>
        <v>0</v>
      </c>
      <c r="W15" s="7">
        <f>COUNTIFS($G$3:$G$40, $T15,$H$3:$H$40,"Midrange")</f>
        <v>0</v>
      </c>
      <c r="X15" s="7">
        <f>COUNTIFS($G$3:$G$40, $T15,$H$3:$H$40,"Three Pointer")</f>
        <v>0</v>
      </c>
      <c r="Y15">
        <f t="shared" si="2"/>
        <v>0</v>
      </c>
      <c r="Z15" s="19" t="b">
        <v>0</v>
      </c>
      <c r="AB15" s="34" t="str">
        <f>IF(AND(D15="Choc-Tops",E15="Gentle, Men", OR(C15&lt;C16,C16="")),"CT/GM", IF(AND(D15="Choc-Tops",E15="Traffic Controllers", OR(C15&lt;C16,C16="")),"CT/TC", ""))</f>
        <v/>
      </c>
      <c r="AC15" s="34" t="str">
        <f>IF(AND(D15="Gentle, Men",E15="Choc-Tops", OR(C15&lt;C16,C16="")),"GM/CT", IF(AND(D15="Gentle, Men",E15="Traffic Controllers", OR(C15&lt;C16,C16="")),"GM/TC", ""))</f>
        <v/>
      </c>
      <c r="AD15" s="34" t="str">
        <f>IF(AND(D15="Traffic Controllers",E15="Choc-Tops", OR(C15&lt;C16,C16="")),"TC/CT", IF(AND($D15="Traffic Controllers",$E15="Gentle, Men", OR(C15&lt;C16,C16="")),"TC/GM", ""))</f>
        <v/>
      </c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T16" s="1" t="s">
        <v>55</v>
      </c>
      <c r="U16" s="6">
        <f t="shared" si="1"/>
        <v>0</v>
      </c>
      <c r="V16" s="7">
        <f>COUNTIFS($G$3:$G$40, $T16,$H$3:$H$40,"Finish")</f>
        <v>0</v>
      </c>
      <c r="W16" s="7">
        <f>COUNTIFS($G$3:$G$40, $T16,$H$3:$H$40,"Midrange")</f>
        <v>0</v>
      </c>
      <c r="X16" s="7">
        <f>COUNTIFS($G$3:$G$40, $T16,$H$3:$H$40,"Three Pointer")</f>
        <v>0</v>
      </c>
      <c r="Y16">
        <f t="shared" si="2"/>
        <v>0</v>
      </c>
      <c r="Z16" s="19" t="b">
        <v>0</v>
      </c>
      <c r="AB16" s="34" t="str">
        <f>IF(AND(D16="Choc-Tops",E16="Gentle, Men", OR(C16&lt;C17,C17="")),"CT/GM", IF(AND(D16="Choc-Tops",E16="Traffic Controllers", OR(C16&lt;C17,C17="")),"CT/TC", ""))</f>
        <v/>
      </c>
      <c r="AC16" s="34" t="str">
        <f>IF(AND(D16="Gentle, Men",E16="Choc-Tops", OR(C16&lt;C17,C17="")),"GM/CT", IF(AND(D16="Gentle, Men",E16="Traffic Controllers", OR(C16&lt;C17,C17="")),"GM/TC", ""))</f>
        <v/>
      </c>
      <c r="AD16" s="34" t="str">
        <f>IF(AND(D16="Traffic Controllers",E16="Choc-Tops", OR(C16&lt;C17,C17="")),"TC/CT", IF(AND($D16="Traffic Controllers",$E16="Gentle, Men", OR(C16&lt;C17,C17="")),"TC/GM", ""))</f>
        <v/>
      </c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T17" s="1" t="s">
        <v>185</v>
      </c>
      <c r="U17" s="6">
        <f t="shared" si="1"/>
        <v>0</v>
      </c>
      <c r="V17" s="7">
        <f>COUNTIFS($G$3:$G$40, $T17,$H$3:$H$40,"Finish")</f>
        <v>0</v>
      </c>
      <c r="W17" s="7">
        <f>COUNTIFS($G$3:$G$40, $T17,$H$3:$H$40,"Midrange")</f>
        <v>0</v>
      </c>
      <c r="X17" s="7">
        <f>COUNTIFS($G$3:$G$40, $T17,$H$3:$H$40,"Three Pointer")</f>
        <v>0</v>
      </c>
      <c r="Y17">
        <f t="shared" si="2"/>
        <v>0</v>
      </c>
      <c r="Z17" s="19" t="b">
        <v>0</v>
      </c>
      <c r="AB17" s="34" t="str">
        <f>IF(AND(D17="Choc-Tops",E17="Gentle, Men", OR(C17&lt;C18,C18="")),"CT/GM", IF(AND(D17="Choc-Tops",E17="Traffic Controllers", OR(C17&lt;C18,C18="")),"CT/TC", ""))</f>
        <v/>
      </c>
      <c r="AC17" s="34" t="str">
        <f>IF(AND(D17="Gentle, Men",E17="Choc-Tops", OR(C17&lt;C18,C18="")),"GM/CT", IF(AND(D17="Gentle, Men",E17="Traffic Controllers", OR(C17&lt;C18,C18="")),"GM/TC", ""))</f>
        <v/>
      </c>
      <c r="AD17" s="34" t="str">
        <f>IF(AND(D17="Traffic Controllers",E17="Choc-Tops", OR(C17&lt;C18,C18="")),"TC/CT", IF(AND($D17="Traffic Controllers",$E17="Gentle, Men", OR(C17&lt;C18,C18="")),"TC/GM", ""))</f>
        <v/>
      </c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1"/>
        <v>0</v>
      </c>
      <c r="V18" s="7">
        <f>COUNTIFS($G$3:$G$40, $T18,$H$3:$H$40,"Finish")</f>
        <v>0</v>
      </c>
      <c r="W18" s="7">
        <f>COUNTIFS($G$3:$G$40, $T18,$H$3:$H$40,"Midrange")</f>
        <v>0</v>
      </c>
      <c r="X18" s="7">
        <f>COUNTIFS($G$3:$G$40, $T18,$H$3:$H$40,"Three Pointer")</f>
        <v>0</v>
      </c>
      <c r="Y18">
        <f t="shared" si="2"/>
        <v>0</v>
      </c>
      <c r="Z18" s="19" t="b">
        <v>1</v>
      </c>
      <c r="AB18" s="34" t="str">
        <f>IF(AND(D18="Choc-Tops",E18="Gentle, Men", OR(C18&lt;C19,C19="")),"CT/GM", IF(AND(D18="Choc-Tops",E18="Traffic Controllers", OR(C18&lt;C19,C19="")),"CT/TC", ""))</f>
        <v/>
      </c>
      <c r="AC18" s="34" t="str">
        <f>IF(AND(D18="Gentle, Men",E18="Choc-Tops", OR(C18&lt;C19,C19="")),"GM/CT", IF(AND(D18="Gentle, Men",E18="Traffic Controllers", OR(C18&lt;C19,C19="")),"GM/TC", ""))</f>
        <v/>
      </c>
      <c r="AD18" s="34" t="str">
        <f>IF(AND(D18="Traffic Controllers",E18="Choc-Tops", OR(C18&lt;C19,C19="")),"TC/CT", IF(AND($D18="Traffic Controllers",$E18="Gentle, Men", OR(C18&lt;C19,C19="")),"TC/GM", ""))</f>
        <v/>
      </c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>IF(AND(D19="Choc-Tops",E19="Gentle, Men", OR(C19&lt;C20,C20="")),"CT/GM", IF(AND(D19="Choc-Tops",E19="Traffic Controllers", OR(C19&lt;C20,C20="")),"CT/TC", ""))</f>
        <v/>
      </c>
      <c r="AC19" s="34" t="str">
        <f>IF(AND(D19="Gentle, Men",E19="Choc-Tops", OR(C19&lt;C20,C20="")),"GM/CT", IF(AND(D19="Gentle, Men",E19="Traffic Controllers", OR(C19&lt;C20,C20="")),"GM/TC", ""))</f>
        <v/>
      </c>
      <c r="AD19" s="34" t="str">
        <f>IF(AND(D19="Traffic Controllers",E19="Choc-Tops", OR(C19&lt;C20,C20="")),"TC/CT", IF(AND($D19="Traffic Controllers",$E19="Gentle, Men", OR(C19&lt;C20,C20="")),"TC/GM", ""))</f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AB20" s="34" t="str">
        <f>IF(AND(D20="Choc-Tops",E20="Gentle, Men", OR(C20&lt;C21,C21="")),"CT/GM", IF(AND(D20="Choc-Tops",E20="Traffic Controllers", OR(C20&lt;C21,C21="")),"CT/TC", ""))</f>
        <v/>
      </c>
      <c r="AC20" s="34" t="str">
        <f>IF(AND(D20="Gentle, Men",E20="Choc-Tops", OR(C20&lt;C21,C21="")),"GM/CT", IF(AND(D20="Gentle, Men",E20="Traffic Controllers", OR(C20&lt;C21,C21="")),"GM/TC", ""))</f>
        <v/>
      </c>
      <c r="AD20" s="34" t="str">
        <f>IF(AND(D20="Traffic Controllers",E20="Choc-Tops", OR(C20&lt;C21,C21="")),"TC/CT", IF(AND($D20="Traffic Controllers",$E20="Gentle, Men", OR(C20&lt;C21,C21="")),"TC/GM", ""))</f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AB21" s="34" t="str">
        <f>IF(AND(D21="Choc-Tops",E21="Gentle, Men", OR(C21&lt;C22,C22="")),"CT/GM", IF(AND(D21="Choc-Tops",E21="Traffic Controllers", OR(C21&lt;C22,C22="")),"CT/TC", ""))</f>
        <v/>
      </c>
      <c r="AC21" s="34" t="str">
        <f>IF(AND(D21="Gentle, Men",E21="Choc-Tops", OR(C21&lt;C22,C22="")),"GM/CT", IF(AND(D21="Gentle, Men",E21="Traffic Controllers", OR(C21&lt;C22,C22="")),"GM/TC", ""))</f>
        <v/>
      </c>
      <c r="AD21" s="34" t="str">
        <f>IF(AND(D21="Traffic Controllers",E21="Choc-Tops", OR(C21&lt;C22,C22="")),"TC/CT", IF(AND($D21="Traffic Controllers",$E21="Gentle, Men", OR(C21&lt;C22,C22="")),"TC/GM", ""))</f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AB22" s="34" t="str">
        <f>IF(AND(D22="Choc-Tops",E22="Gentle, Men", OR(C22&lt;C23,C23="")),"CT/GM", IF(AND(D22="Choc-Tops",E22="Traffic Controllers", OR(C22&lt;C23,C23="")),"CT/TC", ""))</f>
        <v/>
      </c>
      <c r="AC22" s="34" t="str">
        <f>IF(AND(D22="Gentle, Men",E22="Choc-Tops", OR(C22&lt;C23,C23="")),"GM/CT", IF(AND(D22="Gentle, Men",E22="Traffic Controllers", OR(C22&lt;C23,C23="")),"GM/TC", ""))</f>
        <v/>
      </c>
      <c r="AD22" s="34" t="str">
        <f>IF(AND(D22="Traffic Controllers",E22="Choc-Tops", OR(C22&lt;C23,C23="")),"TC/CT", IF(AND($D22="Traffic Controllers",$E22="Gentle, Men", OR(C22&lt;C23,C23="")),"TC/GM", ""))</f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3">V3&amp;","</f>
        <v>0,</v>
      </c>
      <c r="W23" t="str">
        <f t="shared" si="3"/>
        <v>0,</v>
      </c>
      <c r="X23" t="str">
        <f>X3&amp;","</f>
        <v>0,</v>
      </c>
      <c r="Y23" t="str">
        <f>Y3&amp;","</f>
        <v>0,</v>
      </c>
      <c r="Z23" s="121" t="str">
        <f>IF(Z3,1,0)&amp;","</f>
        <v>0,</v>
      </c>
      <c r="AB23" s="34" t="str">
        <f>IF(AND(D23="Choc-Tops",E23="Gentle, Men", OR(C23&lt;C24,C24="")),"CT/GM", IF(AND(D23="Choc-Tops",E23="Traffic Controllers", OR(C23&lt;C24,C24="")),"CT/TC", ""))</f>
        <v/>
      </c>
      <c r="AC23" s="34" t="str">
        <f>IF(AND(D23="Gentle, Men",E23="Choc-Tops", OR(C23&lt;C24,C24="")),"GM/CT", IF(AND(D23="Gentle, Men",E23="Traffic Controllers", OR(C23&lt;C24,C24="")),"GM/TC", ""))</f>
        <v/>
      </c>
      <c r="AD23" s="34" t="str">
        <f>IF(AND(D23="Traffic Controllers",E23="Choc-Tops", OR(C23&lt;C24,C24="")),"TC/CT", IF(AND($D23="Traffic Controllers",$E23="Gentle, Men", OR(C23&lt;C24,C24="")),"TC/GM", ""))</f>
        <v/>
      </c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U24" t="str">
        <f t="shared" ref="U24:Y37" si="4">U4&amp;","</f>
        <v>0,</v>
      </c>
      <c r="V24" t="str">
        <f t="shared" si="4"/>
        <v>0,</v>
      </c>
      <c r="W24" t="str">
        <f t="shared" si="4"/>
        <v>0,</v>
      </c>
      <c r="X24" t="str">
        <f t="shared" si="4"/>
        <v>0,</v>
      </c>
      <c r="Y24" t="str">
        <f t="shared" si="4"/>
        <v>0,</v>
      </c>
      <c r="Z24" s="121" t="str">
        <f>IF(Z4,1,0)&amp;","</f>
        <v>0,</v>
      </c>
      <c r="AB24" s="34" t="str">
        <f>IF(AND(D24="Choc-Tops",E24="Gentle, Men", OR(C24&lt;C25,C25="")),"CT/GM", IF(AND(D24="Choc-Tops",E24="Traffic Controllers", OR(C24&lt;C25,C25="")),"CT/TC", ""))</f>
        <v/>
      </c>
      <c r="AC24" s="34" t="str">
        <f>IF(AND(D24="Gentle, Men",E24="Choc-Tops", OR(C24&lt;C25,C25="")),"GM/CT", IF(AND(D24="Gentle, Men",E24="Traffic Controllers", OR(C24&lt;C25,C25="")),"GM/TC", ""))</f>
        <v/>
      </c>
      <c r="AD24" s="34" t="str">
        <f>IF(AND(D24="Traffic Controllers",E24="Choc-Tops", OR(C24&lt;C25,C25="")),"TC/CT", IF(AND($D24="Traffic Controllers",$E24="Gentle, Men", OR(C24&lt;C25,C25="")),"TC/GM", ""))</f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4"/>
        <v>0,</v>
      </c>
      <c r="V25" t="str">
        <f t="shared" si="4"/>
        <v>0,</v>
      </c>
      <c r="W25" t="str">
        <f t="shared" si="4"/>
        <v>0,</v>
      </c>
      <c r="X25" t="str">
        <f t="shared" si="4"/>
        <v>0,</v>
      </c>
      <c r="Y25" t="str">
        <f t="shared" si="4"/>
        <v>0,</v>
      </c>
      <c r="Z25" s="121" t="str">
        <f>IF(Z5,1,0)&amp;","</f>
        <v>0,</v>
      </c>
      <c r="AB25" s="34" t="str">
        <f>IF(AND(D25="Choc-Tops",E25="Gentle, Men", OR(C25&lt;C26,C26="")),"CT/GM", IF(AND(D25="Choc-Tops",E25="Traffic Controllers", OR(C25&lt;C26,C26="")),"CT/TC", ""))</f>
        <v/>
      </c>
      <c r="AC25" s="34" t="str">
        <f>IF(AND(D25="Gentle, Men",E25="Choc-Tops", OR(C25&lt;C26,C26="")),"GM/CT", IF(AND(D25="Gentle, Men",E25="Traffic Controllers", OR(C25&lt;C26,C26="")),"GM/TC", ""))</f>
        <v/>
      </c>
      <c r="AD25" s="34" t="str">
        <f>IF(AND(D25="Traffic Controllers",E25="Choc-Tops", OR(C25&lt;C26,C26="")),"TC/CT", IF(AND($D25="Traffic Controllers",$E25="Gentle, Men", OR(C25&lt;C26,C26="")),"TC/GM", ""))</f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4"/>
        <v>0,</v>
      </c>
      <c r="V26" t="str">
        <f t="shared" si="4"/>
        <v>0,</v>
      </c>
      <c r="W26" t="str">
        <f t="shared" si="4"/>
        <v>0,</v>
      </c>
      <c r="X26" t="str">
        <f t="shared" si="4"/>
        <v>0,</v>
      </c>
      <c r="Y26" t="str">
        <f t="shared" si="4"/>
        <v>0,</v>
      </c>
      <c r="Z26" s="121" t="str">
        <f>IF(Z6,1,0)&amp;","</f>
        <v>0,</v>
      </c>
      <c r="AB26" s="34" t="str">
        <f>IF(AND(D26="Choc-Tops",E26="Gentle, Men", OR(C26&lt;C27,C27="")),"CT/GM", IF(AND(D26="Choc-Tops",E26="Traffic Controllers", OR(C26&lt;C27,C27="")),"CT/TC", ""))</f>
        <v/>
      </c>
      <c r="AC26" s="34" t="str">
        <f>IF(AND(D26="Gentle, Men",E26="Choc-Tops", OR(C26&lt;C27,C27="")),"GM/CT", IF(AND(D26="Gentle, Men",E26="Traffic Controllers", OR(C26&lt;C27,C27="")),"GM/TC", ""))</f>
        <v/>
      </c>
      <c r="AD26" s="34" t="str">
        <f>IF(AND(D26="Traffic Controllers",E26="Choc-Tops", OR(C26&lt;C27,C27="")),"TC/CT", IF(AND($D26="Traffic Controllers",$E26="Gentle, Men", OR(C26&lt;C27,C27="")),"TC/GM", ""))</f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U27" t="str">
        <f t="shared" si="4"/>
        <v>0,</v>
      </c>
      <c r="V27" t="str">
        <f t="shared" si="4"/>
        <v>0,</v>
      </c>
      <c r="W27" t="str">
        <f t="shared" si="4"/>
        <v>0,</v>
      </c>
      <c r="X27" t="str">
        <f t="shared" si="4"/>
        <v>0,</v>
      </c>
      <c r="Y27" t="str">
        <f t="shared" si="4"/>
        <v>0,</v>
      </c>
      <c r="Z27" s="121" t="str">
        <f>IF(Z7,1,0)&amp;","</f>
        <v>0,</v>
      </c>
      <c r="AB27" s="34" t="str">
        <f>IF(AND(D27="Choc-Tops",E27="Gentle, Men", OR(C27&lt;C28,C28="")),"CT/GM", IF(AND(D27="Choc-Tops",E27="Traffic Controllers", OR(C27&lt;C28,C28="")),"CT/TC", ""))</f>
        <v/>
      </c>
      <c r="AC27" s="34" t="str">
        <f>IF(AND(D27="Gentle, Men",E27="Choc-Tops", OR(C27&lt;C28,C28="")),"GM/CT", IF(AND(D27="Gentle, Men",E27="Traffic Controllers", OR(C27&lt;C28,C28="")),"GM/TC", ""))</f>
        <v/>
      </c>
      <c r="AD27" s="34" t="str">
        <f>IF(AND(D27="Traffic Controllers",E27="Choc-Tops", OR(C27&lt;C28,C28="")),"TC/CT", IF(AND($D27="Traffic Controllers",$E27="Gentle, Men", OR(C27&lt;C28,C28="")),"TC/GM", ""))</f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U28" t="str">
        <f t="shared" si="4"/>
        <v>0,</v>
      </c>
      <c r="V28" t="str">
        <f t="shared" si="4"/>
        <v>0,</v>
      </c>
      <c r="W28" t="str">
        <f t="shared" si="4"/>
        <v>0,</v>
      </c>
      <c r="X28" t="str">
        <f t="shared" si="4"/>
        <v>0,</v>
      </c>
      <c r="Y28" t="str">
        <f t="shared" si="4"/>
        <v>0,</v>
      </c>
      <c r="Z28" s="121" t="str">
        <f>IF(Z8,1,0)&amp;","</f>
        <v>0,</v>
      </c>
      <c r="AB28" s="34" t="str">
        <f>IF(AND(D28="Choc-Tops",E28="Gentle, Men", OR(C28&lt;C29,C29="")),"CT/GM", IF(AND(D28="Choc-Tops",E28="Traffic Controllers", OR(C28&lt;C29,C29="")),"CT/TC", ""))</f>
        <v/>
      </c>
      <c r="AC28" s="34" t="str">
        <f>IF(AND(D28="Gentle, Men",E28="Choc-Tops", OR(C28&lt;C29,C29="")),"GM/CT", IF(AND(D28="Gentle, Men",E28="Traffic Controllers", OR(C28&lt;C29,C29="")),"GM/TC", ""))</f>
        <v/>
      </c>
      <c r="AD28" s="34" t="str">
        <f>IF(AND(D28="Traffic Controllers",E28="Choc-Tops", OR(C28&lt;C29,C29="")),"TC/CT", IF(AND($D28="Traffic Controllers",$E28="Gentle, Men", OR(C28&lt;C29,C29="")),"TC/GM", ""))</f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U29" t="str">
        <f t="shared" si="4"/>
        <v>0,</v>
      </c>
      <c r="V29" t="str">
        <f t="shared" si="4"/>
        <v>0,</v>
      </c>
      <c r="W29" t="str">
        <f t="shared" si="4"/>
        <v>0,</v>
      </c>
      <c r="X29" t="str">
        <f t="shared" si="4"/>
        <v>0,</v>
      </c>
      <c r="Y29" t="str">
        <f t="shared" si="4"/>
        <v>0,</v>
      </c>
      <c r="Z29" s="121" t="str">
        <f>IF(Z9,1,0)&amp;","</f>
        <v>0,</v>
      </c>
      <c r="AB29" s="34" t="str">
        <f>IF(AND(D29="Choc-Tops",E29="Gentle, Men", OR(C29&lt;C30,C30="")),"CT/GM", IF(AND(D29="Choc-Tops",E29="Traffic Controllers", OR(C29&lt;C30,C30="")),"CT/TC", ""))</f>
        <v/>
      </c>
      <c r="AC29" s="34" t="str">
        <f>IF(AND(D29="Gentle, Men",E29="Choc-Tops", OR(C29&lt;C30,C30="")),"GM/CT", IF(AND(D29="Gentle, Men",E29="Traffic Controllers", OR(C29&lt;C30,C30="")),"GM/TC", ""))</f>
        <v/>
      </c>
      <c r="AD29" s="34" t="str">
        <f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U30" t="str">
        <f t="shared" si="4"/>
        <v>0,</v>
      </c>
      <c r="V30" t="str">
        <f t="shared" si="4"/>
        <v>0,</v>
      </c>
      <c r="W30" t="str">
        <f t="shared" si="4"/>
        <v>0,</v>
      </c>
      <c r="X30" t="str">
        <f t="shared" si="4"/>
        <v>0,</v>
      </c>
      <c r="Y30" t="str">
        <f t="shared" si="4"/>
        <v>0,</v>
      </c>
      <c r="Z30" s="121" t="str">
        <f>IF(Z10,1,0)&amp;","</f>
        <v>0,</v>
      </c>
      <c r="AB30" s="34" t="str">
        <f>IF(AND(D30="Choc-Tops",E30="Gentle, Men", OR(C30&lt;C31,C31="")),"CT/GM", IF(AND(D30="Choc-Tops",E30="Traffic Controllers", OR(C30&lt;C31,C31="")),"CT/TC", ""))</f>
        <v/>
      </c>
      <c r="AC30" s="34" t="str">
        <f>IF(AND(D30="Gentle, Men",E30="Choc-Tops", OR(C30&lt;C31,C31="")),"GM/CT", IF(AND(D30="Gentle, Men",E30="Traffic Controllers", OR(C30&lt;C31,C31="")),"GM/TC", ""))</f>
        <v/>
      </c>
      <c r="AD30" s="34" t="str">
        <f>IF(AND(D30="Traffic Controllers",E30="Choc-Tops", OR(C30&lt;C31,C31="")),"TC/CT", IF(AND($D30="Traffic Controllers",$E30="Gentle, Men", OR(C30&lt;C31,C31="")),"TC/GM", ""))</f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U31" t="str">
        <f t="shared" si="4"/>
        <v>0,</v>
      </c>
      <c r="V31" t="str">
        <f t="shared" si="4"/>
        <v>0,</v>
      </c>
      <c r="W31" t="str">
        <f t="shared" si="4"/>
        <v>0,</v>
      </c>
      <c r="X31" t="str">
        <f t="shared" si="4"/>
        <v>0,</v>
      </c>
      <c r="Y31" t="str">
        <f t="shared" si="4"/>
        <v>0,</v>
      </c>
      <c r="Z31" s="121" t="str">
        <f>IF(Z11,1,0)&amp;","</f>
        <v>0,</v>
      </c>
      <c r="AB31" s="34" t="str">
        <f>IF(AND(D31="Choc-Tops",E31="Gentle, Men", OR(C31&lt;C32,C32="")),"CT/GM", IF(AND(D31="Choc-Tops",E31="Traffic Controllers", OR(C31&lt;C32,C32="")),"CT/TC", ""))</f>
        <v/>
      </c>
      <c r="AC31" s="34" t="str">
        <f>IF(AND(D31="Gentle, Men",E31="Choc-Tops", OR(C31&lt;C32,C32="")),"GM/CT", IF(AND(D31="Gentle, Men",E31="Traffic Controllers", OR(C31&lt;C32,C32="")),"GM/TC", ""))</f>
        <v/>
      </c>
      <c r="AD31" s="34" t="str">
        <f>IF(AND(D31="Traffic Controllers",E31="Choc-Tops", OR(C31&lt;C32,C32="")),"TC/CT", IF(AND($D31="Traffic Controllers",$E31="Gentle, Men", OR(C31&lt;C32,C32="")),"TC/GM", ""))</f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U32" t="str">
        <f t="shared" si="4"/>
        <v>0,</v>
      </c>
      <c r="V32" t="str">
        <f t="shared" si="4"/>
        <v>0,</v>
      </c>
      <c r="W32" t="str">
        <f t="shared" si="4"/>
        <v>0,</v>
      </c>
      <c r="X32" t="str">
        <f t="shared" si="4"/>
        <v>0,</v>
      </c>
      <c r="Y32" t="str">
        <f t="shared" si="4"/>
        <v>0,</v>
      </c>
      <c r="Z32" s="121" t="str">
        <f>IF(Z12,1,0)&amp;","</f>
        <v>0,</v>
      </c>
      <c r="AB32" s="34" t="str">
        <f>IF(AND(D32="Choc-Tops",E32="Gentle, Men", OR(C32&lt;C33,C33="")),"CT/GM", IF(AND(D32="Choc-Tops",E32="Traffic Controllers", OR(C32&lt;C33,C33="")),"CT/TC", ""))</f>
        <v/>
      </c>
      <c r="AC32" s="34" t="str">
        <f>IF(AND(D32="Gentle, Men",E32="Choc-Tops", OR(C32&lt;C33,C33="")),"GM/CT", IF(AND(D32="Gentle, Men",E32="Traffic Controllers", OR(C32&lt;C33,C33="")),"GM/TC", ""))</f>
        <v/>
      </c>
      <c r="AD32" s="34" t="str">
        <f>IF(AND(D32="Traffic Controllers",E32="Choc-Tops", OR(C32&lt;C33,C33="")),"TC/CT", IF(AND($D32="Traffic Controllers",$E32="Gentle, Men", OR(C32&lt;C33,C33="")),"TC/GM", ""))</f>
        <v/>
      </c>
    </row>
    <row r="33" spans="3:30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U33" t="str">
        <f t="shared" si="4"/>
        <v>0,</v>
      </c>
      <c r="V33" t="str">
        <f t="shared" si="4"/>
        <v>0,</v>
      </c>
      <c r="W33" t="str">
        <f t="shared" si="4"/>
        <v>0,</v>
      </c>
      <c r="X33" t="str">
        <f t="shared" si="4"/>
        <v>0,</v>
      </c>
      <c r="Y33" t="str">
        <f t="shared" si="4"/>
        <v>0,</v>
      </c>
      <c r="Z33" s="121" t="str">
        <f>IF(Z13,1,0)&amp;","</f>
        <v>0,</v>
      </c>
      <c r="AB33" s="34" t="str">
        <f>IF(AND(D33="Choc-Tops",E33="Gentle, Men", OR(C33&lt;C34,C34="")),"CT/GM", IF(AND(D33="Choc-Tops",E33="Traffic Controllers", OR(C33&lt;C34,C34="")),"CT/TC", ""))</f>
        <v/>
      </c>
      <c r="AC33" s="34" t="str">
        <f>IF(AND(D33="Gentle, Men",E33="Choc-Tops", OR(C33&lt;C34,C34="")),"GM/CT", IF(AND(D33="Gentle, Men",E33="Traffic Controllers", OR(C33&lt;C34,C34="")),"GM/TC", ""))</f>
        <v/>
      </c>
      <c r="AD33" s="34" t="str">
        <f>IF(AND(D33="Traffic Controllers",E33="Choc-Tops", OR(C33&lt;C34,C34="")),"TC/CT", IF(AND($D33="Traffic Controllers",$E33="Gentle, Men", OR(C33&lt;C34,C34="")),"TC/GM", ""))</f>
        <v/>
      </c>
    </row>
    <row r="34" spans="3:30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U34" t="str">
        <f t="shared" si="4"/>
        <v>0,</v>
      </c>
      <c r="V34" t="str">
        <f t="shared" si="4"/>
        <v>0,</v>
      </c>
      <c r="W34" t="str">
        <f t="shared" si="4"/>
        <v>0,</v>
      </c>
      <c r="X34" t="str">
        <f t="shared" si="4"/>
        <v>0,</v>
      </c>
      <c r="Y34" t="str">
        <f t="shared" si="4"/>
        <v>0,</v>
      </c>
      <c r="Z34" s="121" t="str">
        <f>IF(Z14,1,0)&amp;","</f>
        <v>1,</v>
      </c>
      <c r="AB34" s="34" t="str">
        <f>IF(AND(D34="Choc-Tops",E34="Gentle, Men", OR(C34&lt;C35,C35="")),"CT/GM", IF(AND(D34="Choc-Tops",E34="Traffic Controllers", OR(C34&lt;C35,C35="")),"CT/TC", ""))</f>
        <v/>
      </c>
      <c r="AC34" s="34" t="str">
        <f>IF(AND(D34="Gentle, Men",E34="Choc-Tops", OR(C34&lt;C35,C35="")),"GM/CT", IF(AND(D34="Gentle, Men",E34="Traffic Controllers", OR(C34&lt;C35,C35="")),"GM/TC", ""))</f>
        <v/>
      </c>
      <c r="AD34" s="34" t="str">
        <f>IF(AND(D34="Traffic Controllers",E34="Choc-Tops", OR(C34&lt;C35,C35="")),"TC/CT", IF(AND($D34="Traffic Controllers",$E34="Gentle, Men", OR(C34&lt;C35,C35="")),"TC/GM", ""))</f>
        <v/>
      </c>
    </row>
    <row r="35" spans="3:30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U35" t="str">
        <f t="shared" si="4"/>
        <v>0,</v>
      </c>
      <c r="V35" t="str">
        <f t="shared" si="4"/>
        <v>0,</v>
      </c>
      <c r="W35" t="str">
        <f t="shared" si="4"/>
        <v>0,</v>
      </c>
      <c r="X35" t="str">
        <f t="shared" si="4"/>
        <v>0,</v>
      </c>
      <c r="Y35" t="str">
        <f t="shared" si="4"/>
        <v>0,</v>
      </c>
      <c r="Z35" s="121" t="str">
        <f>IF(Z15,1,0)&amp;","</f>
        <v>0,</v>
      </c>
      <c r="AB35" s="34" t="str">
        <f>IF(AND(D35="Choc-Tops",E35="Gentle, Men", OR(C35&lt;C36,C36="")),"CT/GM", IF(AND(D35="Choc-Tops",E35="Traffic Controllers", OR(C35&lt;C36,C36="")),"CT/TC", ""))</f>
        <v/>
      </c>
      <c r="AC35" s="34" t="str">
        <f>IF(AND(D35="Gentle, Men",E35="Choc-Tops", OR(C35&lt;C36,C36="")),"GM/CT", IF(AND(D35="Gentle, Men",E35="Traffic Controllers", OR(C35&lt;C36,C36="")),"GM/TC", ""))</f>
        <v/>
      </c>
      <c r="AD35" s="34" t="str">
        <f>IF(AND(D35="Traffic Controllers",E35="Choc-Tops", OR(C35&lt;C36,C36="")),"TC/CT", IF(AND($D35="Traffic Controllers",$E35="Gentle, Men", OR(C35&lt;C36,C36="")),"TC/GM", ""))</f>
        <v/>
      </c>
    </row>
    <row r="36" spans="3:30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U36" t="str">
        <f t="shared" si="4"/>
        <v>0,</v>
      </c>
      <c r="V36" t="str">
        <f t="shared" si="4"/>
        <v>0,</v>
      </c>
      <c r="W36" t="str">
        <f t="shared" si="4"/>
        <v>0,</v>
      </c>
      <c r="X36" t="str">
        <f t="shared" si="4"/>
        <v>0,</v>
      </c>
      <c r="Y36" t="str">
        <f t="shared" si="4"/>
        <v>0,</v>
      </c>
      <c r="Z36" s="121" t="str">
        <f>IF(Z16,1,0)&amp;","</f>
        <v>0,</v>
      </c>
      <c r="AB36" s="34" t="str">
        <f>IF(AND(D36="Choc-Tops",E36="Gentle, Men", OR(C36&lt;C37,C37="")),"CT/GM", IF(AND(D36="Choc-Tops",E36="Traffic Controllers", OR(C36&lt;C37,C37="")),"CT/TC", ""))</f>
        <v/>
      </c>
      <c r="AC36" s="34" t="str">
        <f>IF(AND(D36="Gentle, Men",E36="Choc-Tops", OR(C36&lt;C37,C37="")),"GM/CT", IF(AND(D36="Gentle, Men",E36="Traffic Controllers", OR(C36&lt;C37,C37="")),"GM/TC", ""))</f>
        <v/>
      </c>
      <c r="AD36" s="34" t="str">
        <f>IF(AND(D36="Traffic Controllers",E36="Choc-Tops", OR(C36&lt;C37,C37="")),"TC/CT", IF(AND($D36="Traffic Controllers",$E36="Gentle, Men", OR(C36&lt;C37,C37="")),"TC/GM", ""))</f>
        <v/>
      </c>
    </row>
    <row r="37" spans="3:30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U37" t="str">
        <f t="shared" si="4"/>
        <v>0,</v>
      </c>
      <c r="V37" t="str">
        <f t="shared" si="4"/>
        <v>0,</v>
      </c>
      <c r="W37" t="str">
        <f t="shared" si="4"/>
        <v>0,</v>
      </c>
      <c r="X37" t="str">
        <f t="shared" si="4"/>
        <v>0,</v>
      </c>
      <c r="Y37" t="str">
        <f t="shared" si="4"/>
        <v>0,</v>
      </c>
      <c r="Z37" s="121" t="str">
        <f>IF(Z17,1,0)&amp;","</f>
        <v>0,</v>
      </c>
      <c r="AB37" s="34" t="str">
        <f>IF(AND(D37="Choc-Tops",E37="Gentle, Men", OR(C37&lt;C38,C38="")),"CT/GM", IF(AND(D37="Choc-Tops",E37="Traffic Controllers", OR(C37&lt;C38,C38="")),"CT/TC", ""))</f>
        <v/>
      </c>
      <c r="AC37" s="34" t="str">
        <f>IF(AND(D37="Gentle, Men",E37="Choc-Tops", OR(C37&lt;C38,C38="")),"GM/CT", IF(AND(D37="Gentle, Men",E37="Traffic Controllers", OR(C37&lt;C38,C38="")),"GM/TC", ""))</f>
        <v/>
      </c>
      <c r="AD37" s="34" t="str">
        <f>IF(AND(D37="Traffic Controllers",E37="Choc-Tops", OR(C37&lt;C38,C38="")),"TC/CT", IF(AND($D37="Traffic Controllers",$E37="Gentle, Men", OR(C37&lt;C38,C38="")),"TC/GM", ""))</f>
        <v/>
      </c>
    </row>
    <row r="38" spans="3:30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Y38" si="5">V18</f>
        <v>0</v>
      </c>
      <c r="W38" s="13">
        <f t="shared" si="5"/>
        <v>0</v>
      </c>
      <c r="X38" s="13">
        <f t="shared" si="5"/>
        <v>0</v>
      </c>
      <c r="Y38" s="13">
        <f t="shared" si="5"/>
        <v>0</v>
      </c>
      <c r="Z38" s="121">
        <f>IF(Z18,1,0)</f>
        <v>1</v>
      </c>
      <c r="AB38" s="34" t="str">
        <f>IF(AND(D38="Choc-Tops",E38="Gentle, Men", OR(C38&lt;C39,C39="")),"CT/GM", IF(AND(D38="Choc-Tops",E38="Traffic Controllers", OR(C38&lt;C39,C39="")),"CT/TC", ""))</f>
        <v/>
      </c>
      <c r="AC38" s="34" t="str">
        <f>IF(AND(D38="Gentle, Men",E38="Choc-Tops", OR(C38&lt;C39,C39="")),"GM/CT", IF(AND(D38="Gentle, Men",E38="Traffic Controllers", OR(C38&lt;C39,C39="")),"GM/TC", ""))</f>
        <v/>
      </c>
      <c r="AD38" s="34" t="str">
        <f>IF(AND(D38="Traffic Controllers",E38="Choc-Tops", OR(C38&lt;C39,C39="")),"TC/CT", IF(AND($D38="Traffic Controllers",$E38="Gentle, Men", OR(C38&lt;C39,C39="")),"TC/GM", ""))</f>
        <v/>
      </c>
    </row>
    <row r="39" spans="3:30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>IF(AND(D39="Gentle, Men",E39="Choc-Tops", OR(C39&lt;C40,C40="")),"GM/CT", IF(AND(D39="Gentle, Men",E39="Traffic Controllers", OR(C39&lt;C40,C40="")),"GM/TC", ""))</f>
        <v/>
      </c>
      <c r="AD39" s="34" t="str">
        <f>IF(AND(D39="Traffic Controllers",E39="Choc-Tops", OR(C39&lt;C40,C40="")),"TC/CT", IF(AND($D39="Traffic Controllers",$E39="Gentle, Men", OR(C39&lt;C40,C40="")),"TC/GM", ""))</f>
        <v/>
      </c>
    </row>
    <row r="40" spans="3:30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"Date":["5 February"],</v>
      </c>
      <c r="U44" s="10"/>
    </row>
    <row r="45" spans="3:30" ht="14.25" customHeight="1" x14ac:dyDescent="0.45">
      <c r="C45" s="50" t="str">
        <f>B4</f>
        <v>5 February</v>
      </c>
      <c r="D45">
        <f>MAX(O3:O5)</f>
        <v>0</v>
      </c>
      <c r="E45">
        <f>COUNT(C4:C42)-D45-F45</f>
        <v>0</v>
      </c>
      <c r="F45">
        <f>MIN(O3:O5)</f>
        <v>0</v>
      </c>
      <c r="G45">
        <f>O3</f>
        <v>0</v>
      </c>
      <c r="H45">
        <f>COUNTIF(AC4:AC39, "GM/CT")</f>
        <v>0</v>
      </c>
      <c r="I45">
        <f>COUNTIF(AD4:AD39, "TC/CT")</f>
        <v>0</v>
      </c>
      <c r="J45">
        <f>O5</f>
        <v>0</v>
      </c>
      <c r="K45">
        <f>COUNTIF(AB4:AB39, "CT/GM")</f>
        <v>0</v>
      </c>
      <c r="L45">
        <f>COUNTIF(AD4:AD39, "TC/GM")</f>
        <v>0</v>
      </c>
      <c r="M45">
        <f>O4</f>
        <v>0</v>
      </c>
      <c r="N45">
        <f>COUNTIF(AB4:AB39, "CT/TC")</f>
        <v>0</v>
      </c>
      <c r="O45">
        <f>COUNTIF(AC4:AC39, "GM/TC")</f>
        <v>0</v>
      </c>
      <c r="P45">
        <f>R3</f>
        <v>3</v>
      </c>
      <c r="Q45">
        <f>R5</f>
        <v>1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"Missed":[0,0,0,0,0,0,0,0,0,0,0,1,0,0,0,1],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"Points":[3,2,1]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B48" sqref="B48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222</v>
      </c>
      <c r="C4" s="132" t="s">
        <v>223</v>
      </c>
      <c r="D4" s="127" t="s">
        <v>164</v>
      </c>
      <c r="E4" s="127" t="s">
        <v>166</v>
      </c>
      <c r="F4" s="127" t="s">
        <v>210</v>
      </c>
      <c r="G4" s="127" t="s">
        <v>32</v>
      </c>
      <c r="H4" s="127" t="s">
        <v>211</v>
      </c>
      <c r="I4" s="127" t="s">
        <v>212</v>
      </c>
      <c r="J4" s="127" t="s">
        <v>212</v>
      </c>
      <c r="K4" s="127" t="s">
        <v>223</v>
      </c>
      <c r="M4" s="1" t="s">
        <v>157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 t="s">
        <v>223</v>
      </c>
      <c r="D5" s="127" t="s">
        <v>166</v>
      </c>
      <c r="E5" s="127" t="s">
        <v>164</v>
      </c>
      <c r="F5" s="127" t="s">
        <v>214</v>
      </c>
      <c r="G5" s="127" t="s">
        <v>27</v>
      </c>
      <c r="H5" s="127" t="s">
        <v>211</v>
      </c>
      <c r="I5" s="127" t="s">
        <v>212</v>
      </c>
      <c r="J5" s="127" t="s">
        <v>212</v>
      </c>
      <c r="K5" s="127" t="s">
        <v>223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 t="s">
        <v>223</v>
      </c>
      <c r="D6" s="127" t="s">
        <v>166</v>
      </c>
      <c r="E6" s="127" t="s">
        <v>164</v>
      </c>
      <c r="F6" s="127" t="s">
        <v>213</v>
      </c>
      <c r="G6" s="127" t="s">
        <v>30</v>
      </c>
      <c r="H6" s="127" t="s">
        <v>211</v>
      </c>
      <c r="I6" s="127" t="s">
        <v>223</v>
      </c>
      <c r="J6" s="127" t="s">
        <v>223</v>
      </c>
      <c r="K6" s="127" t="s">
        <v>223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 t="s">
        <v>224</v>
      </c>
      <c r="D7" s="127" t="s">
        <v>166</v>
      </c>
      <c r="E7" s="127" t="s">
        <v>165</v>
      </c>
      <c r="F7" s="127" t="s">
        <v>210</v>
      </c>
      <c r="G7" s="127" t="s">
        <v>30</v>
      </c>
      <c r="H7" s="127" t="s">
        <v>211</v>
      </c>
      <c r="I7" s="127" t="s">
        <v>212</v>
      </c>
      <c r="J7" s="127" t="s">
        <v>212</v>
      </c>
      <c r="K7" s="127" t="s">
        <v>224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 t="s">
        <v>224</v>
      </c>
      <c r="D8" s="127" t="s">
        <v>165</v>
      </c>
      <c r="E8" s="127" t="s">
        <v>166</v>
      </c>
      <c r="F8" s="127" t="s">
        <v>214</v>
      </c>
      <c r="G8" s="127" t="s">
        <v>39</v>
      </c>
      <c r="H8" s="127" t="s">
        <v>83</v>
      </c>
      <c r="I8" s="127" t="s">
        <v>212</v>
      </c>
      <c r="J8" s="127" t="s">
        <v>212</v>
      </c>
      <c r="K8" s="127" t="s">
        <v>223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 t="s">
        <v>224</v>
      </c>
      <c r="D9" s="127" t="s">
        <v>166</v>
      </c>
      <c r="E9" s="127" t="s">
        <v>165</v>
      </c>
      <c r="F9" s="127" t="s">
        <v>213</v>
      </c>
      <c r="G9" s="127" t="s">
        <v>30</v>
      </c>
      <c r="H9" s="127" t="s">
        <v>211</v>
      </c>
      <c r="I9" s="127" t="s">
        <v>224</v>
      </c>
      <c r="J9" s="127" t="s">
        <v>223</v>
      </c>
      <c r="K9" s="127" t="s">
        <v>223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 t="s">
        <v>225</v>
      </c>
      <c r="D10" s="127" t="s">
        <v>166</v>
      </c>
      <c r="E10" s="127" t="s">
        <v>164</v>
      </c>
      <c r="F10" s="127" t="s">
        <v>210</v>
      </c>
      <c r="G10" s="127" t="s">
        <v>30</v>
      </c>
      <c r="H10" s="127" t="s">
        <v>211</v>
      </c>
      <c r="I10" s="127" t="s">
        <v>212</v>
      </c>
      <c r="J10" s="127" t="s">
        <v>212</v>
      </c>
      <c r="K10" s="127" t="s">
        <v>224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 t="s">
        <v>225</v>
      </c>
      <c r="D11" s="127" t="s">
        <v>166</v>
      </c>
      <c r="E11" s="127" t="s">
        <v>164</v>
      </c>
      <c r="F11" s="127" t="s">
        <v>208</v>
      </c>
      <c r="G11" s="127" t="s">
        <v>27</v>
      </c>
      <c r="H11" s="127" t="s">
        <v>211</v>
      </c>
      <c r="I11" s="127" t="s">
        <v>225</v>
      </c>
      <c r="J11" s="127" t="s">
        <v>224</v>
      </c>
      <c r="K11" s="127" t="s">
        <v>223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 t="s">
        <v>226</v>
      </c>
      <c r="D12" s="127" t="s">
        <v>165</v>
      </c>
      <c r="E12" s="127" t="s">
        <v>166</v>
      </c>
      <c r="F12" s="127" t="s">
        <v>210</v>
      </c>
      <c r="G12" s="127" t="s">
        <v>39</v>
      </c>
      <c r="H12" s="127" t="s">
        <v>83</v>
      </c>
      <c r="I12" s="127" t="s">
        <v>212</v>
      </c>
      <c r="J12" s="127" t="s">
        <v>212</v>
      </c>
      <c r="K12" s="127" t="s">
        <v>223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 t="s">
        <v>226</v>
      </c>
      <c r="D13" s="127" t="s">
        <v>165</v>
      </c>
      <c r="E13" s="127" t="s">
        <v>166</v>
      </c>
      <c r="F13" s="127" t="s">
        <v>208</v>
      </c>
      <c r="G13" s="127" t="s">
        <v>39</v>
      </c>
      <c r="H13" s="127" t="s">
        <v>83</v>
      </c>
      <c r="I13" s="127" t="s">
        <v>223</v>
      </c>
      <c r="J13" s="127" t="s">
        <v>223</v>
      </c>
      <c r="K13" s="127" t="s">
        <v>224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2" t="s">
        <v>227</v>
      </c>
      <c r="D14" s="127" t="s">
        <v>165</v>
      </c>
      <c r="E14" s="127" t="s">
        <v>164</v>
      </c>
      <c r="F14" s="127" t="s">
        <v>208</v>
      </c>
      <c r="G14" s="127" t="s">
        <v>41</v>
      </c>
      <c r="H14" s="127" t="s">
        <v>209</v>
      </c>
      <c r="I14" s="127" t="s">
        <v>224</v>
      </c>
      <c r="J14" s="127" t="s">
        <v>225</v>
      </c>
      <c r="K14" s="127" t="s">
        <v>223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2" t="s">
        <v>228</v>
      </c>
      <c r="D15" s="127" t="s">
        <v>166</v>
      </c>
      <c r="E15" s="127" t="s">
        <v>165</v>
      </c>
      <c r="F15" s="127" t="s">
        <v>210</v>
      </c>
      <c r="G15" s="127" t="s">
        <v>46</v>
      </c>
      <c r="H15" s="127" t="s">
        <v>83</v>
      </c>
      <c r="I15" s="127" t="s">
        <v>212</v>
      </c>
      <c r="J15" s="127" t="s">
        <v>212</v>
      </c>
      <c r="K15" s="127" t="s">
        <v>223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 t="s">
        <v>228</v>
      </c>
      <c r="D16" s="127" t="s">
        <v>165</v>
      </c>
      <c r="E16" s="127" t="s">
        <v>166</v>
      </c>
      <c r="F16" s="127" t="s">
        <v>214</v>
      </c>
      <c r="G16" s="127" t="s">
        <v>41</v>
      </c>
      <c r="H16" s="127" t="s">
        <v>83</v>
      </c>
      <c r="I16" s="127" t="s">
        <v>212</v>
      </c>
      <c r="J16" s="127" t="s">
        <v>212</v>
      </c>
      <c r="K16" s="127" t="s">
        <v>223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 t="s">
        <v>228</v>
      </c>
      <c r="D17" s="127" t="s">
        <v>166</v>
      </c>
      <c r="E17" s="127" t="s">
        <v>165</v>
      </c>
      <c r="F17" s="127" t="s">
        <v>213</v>
      </c>
      <c r="G17" s="127" t="s">
        <v>52</v>
      </c>
      <c r="H17" s="127" t="s">
        <v>211</v>
      </c>
      <c r="I17" s="127" t="s">
        <v>223</v>
      </c>
      <c r="J17" s="127" t="s">
        <v>223</v>
      </c>
      <c r="K17" s="127" t="s">
        <v>223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 t="s">
        <v>229</v>
      </c>
      <c r="D18" s="127" t="s">
        <v>166</v>
      </c>
      <c r="E18" s="127" t="s">
        <v>164</v>
      </c>
      <c r="F18" s="127" t="s">
        <v>208</v>
      </c>
      <c r="G18" s="127" t="s">
        <v>46</v>
      </c>
      <c r="H18" s="127" t="s">
        <v>209</v>
      </c>
      <c r="I18" s="127" t="s">
        <v>224</v>
      </c>
      <c r="J18" s="127" t="s">
        <v>226</v>
      </c>
      <c r="K18" s="127" t="s">
        <v>223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 t="s">
        <v>230</v>
      </c>
      <c r="D19" s="127" t="s">
        <v>166</v>
      </c>
      <c r="E19" s="127" t="s">
        <v>165</v>
      </c>
      <c r="F19" s="127" t="s">
        <v>210</v>
      </c>
      <c r="G19" s="127" t="s">
        <v>27</v>
      </c>
      <c r="H19" s="127" t="s">
        <v>211</v>
      </c>
      <c r="I19" s="127" t="s">
        <v>212</v>
      </c>
      <c r="J19" s="127" t="s">
        <v>212</v>
      </c>
      <c r="K19" s="127" t="s">
        <v>223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 t="s">
        <v>230</v>
      </c>
      <c r="D20" s="127" t="s">
        <v>166</v>
      </c>
      <c r="E20" s="127" t="s">
        <v>165</v>
      </c>
      <c r="F20" s="127" t="s">
        <v>208</v>
      </c>
      <c r="G20" s="127" t="s">
        <v>27</v>
      </c>
      <c r="H20" s="127" t="s">
        <v>211</v>
      </c>
      <c r="I20" s="127" t="s">
        <v>225</v>
      </c>
      <c r="J20" s="127" t="s">
        <v>224</v>
      </c>
      <c r="K20" s="127" t="s">
        <v>224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 t="s">
        <v>231</v>
      </c>
      <c r="D21" s="127" t="s">
        <v>166</v>
      </c>
      <c r="E21" s="127" t="s">
        <v>164</v>
      </c>
      <c r="F21" s="127" t="s">
        <v>210</v>
      </c>
      <c r="G21" s="127" t="s">
        <v>30</v>
      </c>
      <c r="H21" s="127" t="s">
        <v>211</v>
      </c>
      <c r="I21" s="127" t="s">
        <v>212</v>
      </c>
      <c r="J21" s="127" t="s">
        <v>212</v>
      </c>
      <c r="K21" s="127" t="s">
        <v>223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166</v>
      </c>
      <c r="E22" s="50" t="s">
        <v>164</v>
      </c>
      <c r="F22" s="50" t="s">
        <v>208</v>
      </c>
      <c r="G22" s="50" t="s">
        <v>25</v>
      </c>
      <c r="H22" s="50" t="s">
        <v>83</v>
      </c>
      <c r="I22" s="50" t="s">
        <v>226</v>
      </c>
      <c r="J22" s="50" t="s">
        <v>227</v>
      </c>
      <c r="K22" s="50" t="s">
        <v>223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232</v>
      </c>
      <c r="D23" s="50" t="s">
        <v>165</v>
      </c>
      <c r="E23" s="50" t="s">
        <v>166</v>
      </c>
      <c r="F23" s="50" t="s">
        <v>208</v>
      </c>
      <c r="G23" s="50" t="s">
        <v>39</v>
      </c>
      <c r="H23" s="50" t="s">
        <v>209</v>
      </c>
      <c r="I23" s="50" t="s">
        <v>223</v>
      </c>
      <c r="J23" s="50" t="s">
        <v>223</v>
      </c>
      <c r="K23" s="50" t="s">
        <v>223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233</v>
      </c>
      <c r="D24" s="50" t="s">
        <v>165</v>
      </c>
      <c r="E24" s="50" t="s">
        <v>164</v>
      </c>
      <c r="F24" s="50" t="s">
        <v>210</v>
      </c>
      <c r="G24" s="50" t="s">
        <v>91</v>
      </c>
      <c r="H24" s="50" t="s">
        <v>83</v>
      </c>
      <c r="I24" s="50" t="s">
        <v>212</v>
      </c>
      <c r="J24" s="50" t="s">
        <v>212</v>
      </c>
      <c r="K24" s="50" t="s">
        <v>223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233</v>
      </c>
      <c r="D25" s="50" t="s">
        <v>165</v>
      </c>
      <c r="E25" s="50" t="s">
        <v>164</v>
      </c>
      <c r="F25" s="50" t="s">
        <v>208</v>
      </c>
      <c r="G25" s="50" t="s">
        <v>91</v>
      </c>
      <c r="H25" s="50" t="s">
        <v>83</v>
      </c>
      <c r="I25" s="50" t="s">
        <v>224</v>
      </c>
      <c r="J25" s="50" t="s">
        <v>228</v>
      </c>
      <c r="K25" s="50" t="s">
        <v>224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234</v>
      </c>
      <c r="D26" s="50" t="s">
        <v>165</v>
      </c>
      <c r="E26" s="50" t="s">
        <v>166</v>
      </c>
      <c r="F26" s="50" t="s">
        <v>210</v>
      </c>
      <c r="G26" s="50" t="s">
        <v>55</v>
      </c>
      <c r="H26" s="50" t="s">
        <v>83</v>
      </c>
      <c r="I26" s="50" t="s">
        <v>212</v>
      </c>
      <c r="J26" s="50" t="s">
        <v>212</v>
      </c>
      <c r="K26" s="50" t="s">
        <v>223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234</v>
      </c>
      <c r="D27" s="50" t="s">
        <v>165</v>
      </c>
      <c r="E27" s="50" t="s">
        <v>166</v>
      </c>
      <c r="F27" s="50" t="s">
        <v>208</v>
      </c>
      <c r="G27" s="50" t="s">
        <v>55</v>
      </c>
      <c r="H27" s="50" t="s">
        <v>211</v>
      </c>
      <c r="I27" s="50" t="s">
        <v>225</v>
      </c>
      <c r="J27" s="50" t="s">
        <v>224</v>
      </c>
      <c r="K27" s="50" t="s">
        <v>224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COUNT(C4:C42)-D45-F45</f>
        <v>-6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45">
      <c r="B4" s="122" t="s">
        <v>221</v>
      </c>
      <c r="C4" s="130">
        <v>1</v>
      </c>
      <c r="D4" s="130" t="s">
        <v>165</v>
      </c>
      <c r="E4" s="130" t="s">
        <v>166</v>
      </c>
      <c r="F4" s="130" t="s">
        <v>210</v>
      </c>
      <c r="G4" s="130" t="s">
        <v>39</v>
      </c>
      <c r="H4" s="130" t="s">
        <v>211</v>
      </c>
      <c r="I4" s="130" t="s">
        <v>212</v>
      </c>
      <c r="J4" s="130" t="s">
        <v>212</v>
      </c>
      <c r="K4" s="130">
        <v>1</v>
      </c>
      <c r="M4" s="1" t="s">
        <v>157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165</v>
      </c>
      <c r="E5" s="130" t="s">
        <v>166</v>
      </c>
      <c r="F5" s="130" t="s">
        <v>208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165</v>
      </c>
      <c r="E6" s="130" t="s">
        <v>164</v>
      </c>
      <c r="F6" s="130" t="s">
        <v>210</v>
      </c>
      <c r="G6" s="130" t="s">
        <v>91</v>
      </c>
      <c r="H6" s="130" t="s">
        <v>83</v>
      </c>
      <c r="I6" s="130" t="s">
        <v>212</v>
      </c>
      <c r="J6" s="130" t="s">
        <v>212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165</v>
      </c>
      <c r="E7" s="130" t="s">
        <v>164</v>
      </c>
      <c r="F7" s="130" t="s">
        <v>208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165</v>
      </c>
      <c r="E8" s="130" t="s">
        <v>166</v>
      </c>
      <c r="F8" s="130" t="s">
        <v>210</v>
      </c>
      <c r="G8" s="130" t="s">
        <v>41</v>
      </c>
      <c r="H8" s="130" t="s">
        <v>211</v>
      </c>
      <c r="I8" s="130" t="s">
        <v>212</v>
      </c>
      <c r="J8" s="130" t="s">
        <v>212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166</v>
      </c>
      <c r="E9" s="130" t="s">
        <v>165</v>
      </c>
      <c r="F9" s="131">
        <v>45292</v>
      </c>
      <c r="G9" s="130" t="s">
        <v>52</v>
      </c>
      <c r="H9" s="130" t="s">
        <v>211</v>
      </c>
      <c r="I9" s="130" t="s">
        <v>212</v>
      </c>
      <c r="J9" s="130" t="s">
        <v>212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166</v>
      </c>
      <c r="E10" s="130" t="s">
        <v>165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164</v>
      </c>
      <c r="E11" s="130" t="s">
        <v>166</v>
      </c>
      <c r="F11" s="130" t="s">
        <v>210</v>
      </c>
      <c r="G11" s="130" t="s">
        <v>44</v>
      </c>
      <c r="H11" s="130" t="s">
        <v>83</v>
      </c>
      <c r="I11" s="130" t="s">
        <v>212</v>
      </c>
      <c r="J11" s="130" t="s">
        <v>212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164</v>
      </c>
      <c r="E12" s="130" t="s">
        <v>166</v>
      </c>
      <c r="F12" s="130" t="s">
        <v>208</v>
      </c>
      <c r="G12" s="130" t="s">
        <v>32</v>
      </c>
      <c r="H12" s="130" t="s">
        <v>211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164</v>
      </c>
      <c r="E13" s="130" t="s">
        <v>165</v>
      </c>
      <c r="F13" s="130" t="s">
        <v>210</v>
      </c>
      <c r="G13" s="130" t="s">
        <v>32</v>
      </c>
      <c r="H13" s="130" t="s">
        <v>211</v>
      </c>
      <c r="I13" s="130" t="s">
        <v>212</v>
      </c>
      <c r="J13" s="130" t="s">
        <v>212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164</v>
      </c>
      <c r="E14" s="130" t="s">
        <v>165</v>
      </c>
      <c r="F14" s="130" t="s">
        <v>208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164</v>
      </c>
      <c r="E15" s="130" t="s">
        <v>166</v>
      </c>
      <c r="F15" s="130" t="s">
        <v>210</v>
      </c>
      <c r="G15" s="130" t="s">
        <v>32</v>
      </c>
      <c r="H15" s="130" t="s">
        <v>83</v>
      </c>
      <c r="I15" s="130" t="s">
        <v>212</v>
      </c>
      <c r="J15" s="130" t="s">
        <v>212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164</v>
      </c>
      <c r="E16" s="130" t="s">
        <v>166</v>
      </c>
      <c r="F16" s="130" t="s">
        <v>208</v>
      </c>
      <c r="G16" s="130" t="s">
        <v>26</v>
      </c>
      <c r="H16" s="130" t="s">
        <v>211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164</v>
      </c>
      <c r="E17" s="130" t="s">
        <v>165</v>
      </c>
      <c r="F17" s="130" t="s">
        <v>210</v>
      </c>
      <c r="G17" s="130" t="s">
        <v>44</v>
      </c>
      <c r="H17" s="130" t="s">
        <v>211</v>
      </c>
      <c r="I17" s="130" t="s">
        <v>212</v>
      </c>
      <c r="J17" s="130" t="s">
        <v>212</v>
      </c>
      <c r="K17" s="130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165</v>
      </c>
      <c r="E18" s="130" t="s">
        <v>164</v>
      </c>
      <c r="F18" s="131">
        <v>45292</v>
      </c>
      <c r="G18" s="130" t="s">
        <v>41</v>
      </c>
      <c r="H18" s="130" t="s">
        <v>83</v>
      </c>
      <c r="I18" s="130" t="s">
        <v>212</v>
      </c>
      <c r="J18" s="130" t="s">
        <v>212</v>
      </c>
      <c r="K18" s="130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164</v>
      </c>
      <c r="E19" s="130" t="s">
        <v>165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164</v>
      </c>
      <c r="E20" s="130" t="s">
        <v>166</v>
      </c>
      <c r="F20" s="130" t="s">
        <v>208</v>
      </c>
      <c r="G20" s="130" t="s">
        <v>44</v>
      </c>
      <c r="H20" s="130" t="s">
        <v>209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165</v>
      </c>
      <c r="E21" s="130" t="s">
        <v>164</v>
      </c>
      <c r="F21" s="130" t="s">
        <v>208</v>
      </c>
      <c r="G21" s="130" t="s">
        <v>39</v>
      </c>
      <c r="H21" s="130" t="s">
        <v>209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165</v>
      </c>
      <c r="E22" s="130" t="s">
        <v>166</v>
      </c>
      <c r="F22" s="130" t="s">
        <v>210</v>
      </c>
      <c r="G22" s="130" t="s">
        <v>55</v>
      </c>
      <c r="H22" s="130" t="s">
        <v>211</v>
      </c>
      <c r="I22" s="130" t="s">
        <v>212</v>
      </c>
      <c r="J22" s="130" t="s">
        <v>212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166</v>
      </c>
      <c r="E23" s="130" t="s">
        <v>165</v>
      </c>
      <c r="F23" s="131">
        <v>45292</v>
      </c>
      <c r="G23" s="130" t="s">
        <v>30</v>
      </c>
      <c r="H23" s="130" t="s">
        <v>211</v>
      </c>
      <c r="I23" s="130" t="s">
        <v>212</v>
      </c>
      <c r="J23" s="130" t="s">
        <v>212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166</v>
      </c>
      <c r="E24" s="130" t="s">
        <v>165</v>
      </c>
      <c r="F24" s="131">
        <v>45293</v>
      </c>
      <c r="G24" s="130" t="s">
        <v>30</v>
      </c>
      <c r="H24" s="130" t="s">
        <v>211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164</v>
      </c>
      <c r="E25" s="130" t="s">
        <v>166</v>
      </c>
      <c r="F25" s="130" t="s">
        <v>210</v>
      </c>
      <c r="G25" s="130" t="s">
        <v>32</v>
      </c>
      <c r="H25" s="130" t="s">
        <v>211</v>
      </c>
      <c r="I25" s="130" t="s">
        <v>212</v>
      </c>
      <c r="J25" s="130" t="s">
        <v>212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166</v>
      </c>
      <c r="E26" s="130" t="s">
        <v>164</v>
      </c>
      <c r="F26" s="131">
        <v>45292</v>
      </c>
      <c r="G26" s="130" t="s">
        <v>30</v>
      </c>
      <c r="H26" s="130" t="s">
        <v>211</v>
      </c>
      <c r="I26" s="130" t="s">
        <v>212</v>
      </c>
      <c r="J26" s="130" t="s">
        <v>212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164</v>
      </c>
      <c r="E27" s="130" t="s">
        <v>166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COUNT(C4:C42)-D45-F45</f>
        <v>16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CT</vt:lpstr>
      <vt:lpstr>Statistics TC</vt:lpstr>
      <vt:lpstr>Statistics GM</vt:lpstr>
      <vt:lpstr>Template</vt:lpstr>
      <vt:lpstr>0502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2024-02-05T01:31:54Z</dcterms:modified>
</cp:coreProperties>
</file>