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C7A05DC-2103-4F1B-A849-2BA67BF83DFB}" xr6:coauthVersionLast="47" xr6:coauthVersionMax="47" xr10:uidLastSave="{00000000-0000-0000-0000-000000000000}"/>
  <bookViews>
    <workbookView xWindow="-98" yWindow="-98" windowWidth="22695" windowHeight="14595" activeTab="6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3101" sheetId="12" r:id="rId7"/>
    <sheet name="3001" sheetId="11" r:id="rId8"/>
    <sheet name="2901" sheetId="10" r:id="rId9"/>
    <sheet name="2501" sheetId="9" r:id="rId10"/>
    <sheet name="2401" sheetId="8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" l="1"/>
  <c r="P9" i="3"/>
  <c r="D8" i="6" s="1"/>
  <c r="Q9" i="3"/>
  <c r="B9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M44" i="3" s="1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AM42" i="3" s="1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T45" i="12" l="1"/>
  <c r="L45" i="12"/>
  <c r="K9" i="3" s="1"/>
  <c r="T4" i="12"/>
  <c r="T24" i="12" s="1"/>
  <c r="N5" i="12"/>
  <c r="AO43" i="3"/>
  <c r="AN41" i="3"/>
  <c r="AR41" i="3" s="1"/>
  <c r="AN39" i="3"/>
  <c r="AN37" i="3"/>
  <c r="AR37" i="3" s="1"/>
  <c r="AN35" i="3"/>
  <c r="AN33" i="3"/>
  <c r="AN31" i="3"/>
  <c r="T8" i="12"/>
  <c r="T18" i="12"/>
  <c r="U36" i="12"/>
  <c r="AO29" i="3"/>
  <c r="AN43" i="3"/>
  <c r="AR43" i="3" s="1"/>
  <c r="AM41" i="3"/>
  <c r="AM39" i="3"/>
  <c r="AM37" i="3"/>
  <c r="AQ37" i="3" s="1"/>
  <c r="AM35" i="3"/>
  <c r="AM33" i="3"/>
  <c r="AQ33" i="3" s="1"/>
  <c r="AM31" i="3"/>
  <c r="AQ31" i="3" s="1"/>
  <c r="T7" i="12"/>
  <c r="U38" i="12"/>
  <c r="AN29" i="3"/>
  <c r="AM43" i="3"/>
  <c r="AL41" i="3"/>
  <c r="AL37" i="3"/>
  <c r="K45" i="12"/>
  <c r="J9" i="3" s="1"/>
  <c r="AM29" i="3"/>
  <c r="AQ29" i="3" s="1"/>
  <c r="AO40" i="3"/>
  <c r="AO38" i="3"/>
  <c r="AS38" i="3" s="1"/>
  <c r="AO36" i="3"/>
  <c r="AO34" i="3"/>
  <c r="AO32" i="3"/>
  <c r="AS32" i="3" s="1"/>
  <c r="AO30" i="3"/>
  <c r="AO44" i="3"/>
  <c r="AS44" i="3" s="1"/>
  <c r="AO42" i="3"/>
  <c r="AN40" i="3"/>
  <c r="AR40" i="3" s="1"/>
  <c r="AN38" i="3"/>
  <c r="AN36" i="3"/>
  <c r="AN34" i="3"/>
  <c r="AN32" i="3"/>
  <c r="AR32" i="3" s="1"/>
  <c r="AN30" i="3"/>
  <c r="AN44" i="3"/>
  <c r="AR44" i="3" s="1"/>
  <c r="AN42" i="3"/>
  <c r="AR42" i="3" s="1"/>
  <c r="AM40" i="3"/>
  <c r="AM38" i="3"/>
  <c r="AQ38" i="3" s="1"/>
  <c r="AM36" i="3"/>
  <c r="AM34" i="3"/>
  <c r="AM32" i="3"/>
  <c r="AM30" i="3"/>
  <c r="N4" i="12"/>
  <c r="M45" i="12" s="1"/>
  <c r="L9" i="3" s="1"/>
  <c r="B8" i="5" s="1"/>
  <c r="T10" i="12"/>
  <c r="AL30" i="3"/>
  <c r="AO41" i="3"/>
  <c r="AO39" i="3"/>
  <c r="AO37" i="3"/>
  <c r="AO35" i="3"/>
  <c r="AO33" i="3"/>
  <c r="AS33" i="3" s="1"/>
  <c r="AO31" i="3"/>
  <c r="AS31" i="3" s="1"/>
  <c r="AL42" i="3"/>
  <c r="J45" i="12"/>
  <c r="I9" i="3" s="1"/>
  <c r="B8" i="6" s="1"/>
  <c r="N3" i="12"/>
  <c r="T9" i="12"/>
  <c r="T17" i="12"/>
  <c r="N45" i="12"/>
  <c r="M9" i="3" s="1"/>
  <c r="O45" i="12"/>
  <c r="N9" i="3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AQ36" i="3"/>
  <c r="AQ44" i="3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AQ34" i="3"/>
  <c r="L45" i="10"/>
  <c r="K7" i="3" s="1"/>
  <c r="AS41" i="3"/>
  <c r="T5" i="10"/>
  <c r="AR33" i="3"/>
  <c r="T15" i="10"/>
  <c r="AS40" i="3"/>
  <c r="AQ40" i="3"/>
  <c r="AQ32" i="3"/>
  <c r="T6" i="10"/>
  <c r="T11" i="10"/>
  <c r="U30" i="10"/>
  <c r="AS39" i="3"/>
  <c r="AR39" i="3"/>
  <c r="AR31" i="3"/>
  <c r="AQ39" i="3"/>
  <c r="AS30" i="3"/>
  <c r="AR38" i="3"/>
  <c r="AR30" i="3"/>
  <c r="U31" i="10"/>
  <c r="AQ30" i="3"/>
  <c r="T7" i="10"/>
  <c r="T12" i="10"/>
  <c r="V31" i="10"/>
  <c r="AS37" i="3"/>
  <c r="AQ41" i="3"/>
  <c r="V38" i="10"/>
  <c r="AR29" i="3"/>
  <c r="U38" i="10"/>
  <c r="AS29" i="3"/>
  <c r="O45" i="10"/>
  <c r="N7" i="3" s="1"/>
  <c r="AS36" i="3"/>
  <c r="AR36" i="3"/>
  <c r="T3" i="10"/>
  <c r="T13" i="10"/>
  <c r="AS43" i="3"/>
  <c r="AS35" i="3"/>
  <c r="AR35" i="3"/>
  <c r="AQ43" i="3"/>
  <c r="AQ35" i="3"/>
  <c r="T4" i="10"/>
  <c r="AS42" i="3"/>
  <c r="AS34" i="3"/>
  <c r="AR34" i="3"/>
  <c r="K45" i="10"/>
  <c r="J7" i="3" s="1"/>
  <c r="M6" i="4" s="1"/>
  <c r="J45" i="10"/>
  <c r="I7" i="3" s="1"/>
  <c r="B6" i="6" s="1"/>
  <c r="E3" i="6" s="1"/>
  <c r="N3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T34" i="12" l="1"/>
  <c r="AL40" i="3"/>
  <c r="T26" i="12"/>
  <c r="AL32" i="3"/>
  <c r="T38" i="12"/>
  <c r="AL44" i="3"/>
  <c r="AP44" i="3" s="1"/>
  <c r="T23" i="12"/>
  <c r="AL29" i="3"/>
  <c r="AP29" i="3" s="1"/>
  <c r="T25" i="12"/>
  <c r="AL31" i="3"/>
  <c r="M8" i="4"/>
  <c r="C8" i="6"/>
  <c r="T32" i="12"/>
  <c r="AL38" i="3"/>
  <c r="O5" i="12"/>
  <c r="P5" i="12" s="1"/>
  <c r="T37" i="12"/>
  <c r="AL43" i="3"/>
  <c r="C8" i="5"/>
  <c r="J8" i="4"/>
  <c r="T27" i="12"/>
  <c r="AL33" i="3"/>
  <c r="T30" i="12"/>
  <c r="AL36" i="3"/>
  <c r="AP36" i="3" s="1"/>
  <c r="T33" i="12"/>
  <c r="AL39" i="3"/>
  <c r="F3" i="5"/>
  <c r="N47" i="5" s="1"/>
  <c r="N8" i="4"/>
  <c r="C8" i="4"/>
  <c r="T29" i="12"/>
  <c r="AL35" i="3"/>
  <c r="AP35" i="3" s="1"/>
  <c r="T28" i="12"/>
  <c r="AL34" i="3"/>
  <c r="AP34" i="3" s="1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E45" i="11" s="1"/>
  <c r="T29" i="10"/>
  <c r="T32" i="10"/>
  <c r="AP38" i="3"/>
  <c r="T24" i="10"/>
  <c r="AP30" i="3"/>
  <c r="T37" i="10"/>
  <c r="AP43" i="3"/>
  <c r="C6" i="6"/>
  <c r="T27" i="10"/>
  <c r="AP33" i="3"/>
  <c r="O5" i="10"/>
  <c r="P5" i="10" s="1"/>
  <c r="AP37" i="3"/>
  <c r="T31" i="10"/>
  <c r="T26" i="10"/>
  <c r="AP32" i="3"/>
  <c r="T33" i="10"/>
  <c r="AP39" i="3"/>
  <c r="T23" i="10"/>
  <c r="O3" i="10"/>
  <c r="H7" i="3"/>
  <c r="K6" i="4" s="1"/>
  <c r="T35" i="10"/>
  <c r="AP41" i="3"/>
  <c r="T34" i="10"/>
  <c r="AP40" i="3"/>
  <c r="O4" i="10"/>
  <c r="P4" i="10" s="1"/>
  <c r="M7" i="3"/>
  <c r="T36" i="10"/>
  <c r="AP42" i="3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F3" i="4"/>
  <c r="M47" i="4" s="1"/>
  <c r="D5" i="6"/>
  <c r="L3" i="2"/>
  <c r="L50" i="2" s="1"/>
  <c r="AP9" i="3"/>
  <c r="L4" i="2"/>
  <c r="L51" i="2" s="1"/>
  <c r="AP8" i="3"/>
  <c r="E45" i="12" l="1"/>
  <c r="D9" i="3" s="1"/>
  <c r="S6" i="3" s="1"/>
  <c r="J6" i="4"/>
  <c r="J41" i="4" s="1"/>
  <c r="C6" i="5"/>
  <c r="G3" i="5" s="1"/>
  <c r="N48" i="5" s="1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U6" i="3" l="1"/>
  <c r="C41" i="5"/>
  <c r="H43" i="5"/>
  <c r="AE7" i="2" s="1"/>
  <c r="AD21" i="2" s="1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<sst xmlns="http://schemas.openxmlformats.org/spreadsheetml/2006/main" count="1438" uniqueCount="228">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</sst>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2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0.25</c:v>
                </c:pt>
                <c:pt idx="1">
                  <c:v>0.68181818181818177</c:v>
                </c:pt>
                <c:pt idx="2">
                  <c:v>6.8181818181818177E-2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3" dataDxfId="22">
  <autoFilter ref="M3:V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1" dataDxfId="10">
  <autoFilter ref="I4:R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'2901'!T3+'3001'!T3+'3101'!T3</calculatedColumnFormula>
    </tableColumn>
    <tableColumn id="3" xr3:uid="{460771D3-3BD8-4DA3-AF1B-1A0F98EF1499}" name="Finishes" dataDxfId="43">
      <calculatedColumnFormula>'2901'!U3+'3001'!U3+'3101'!U3</calculatedColumnFormula>
    </tableColumn>
    <tableColumn id="4" xr3:uid="{3C08B2D7-823D-49C3-A627-A5848E664B2F}" name="Midranges" dataDxfId="42">
      <calculatedColumnFormula>'2901'!V3+'3001'!V3+'3101'!V3</calculatedColumnFormula>
    </tableColumn>
    <tableColumn id="5" xr3:uid="{E88F45FB-4C46-4674-86D5-74808E7E5368}" name="Threes" dataDxfId="41">
      <calculatedColumnFormula>'2901'!W3+'3001'!W3+'3101'!W3</calculatedColumnFormula>
    </tableColumn>
    <tableColumn id="6" xr3:uid="{0C0E8016-1E6E-4F25-9675-4EE061FFD0F7}" name="Avg P" dataDxfId="40">
      <calculatedColumnFormula>Table21128[[#This Row],[Points]]/($AL$27-$AT29)</calculatedColumnFormula>
    </tableColumn>
    <tableColumn id="7" xr3:uid="{F7AC350B-AE4B-4912-B21D-16D99E2AE8BF}" name="Avg F" dataDxfId="39">
      <calculatedColumnFormula>Table21128[[#This Row],[Finishes]]/($AL$27-$AT29)</calculatedColumnFormula>
    </tableColumn>
    <tableColumn id="8" xr3:uid="{F451E5CA-B9C4-4EFA-A647-CEDB2FB39550}" name="Avg M" dataDxfId="38">
      <calculatedColumnFormula>Table21128[[#This Row],[Midranges]]/($AL$27-$AT29)</calculatedColumnFormula>
    </tableColumn>
    <tableColumn id="9" xr3:uid="{ED1D92B5-05F1-40CE-A89F-E6627FAB4A59}" name="Avg T" dataDxfId="37">
      <calculatedColumnFormula>Table21128[[#This Row],[Threes]]/($AL$27-$AT29)</calculatedColumnFormula>
    </tableColumn>
    <tableColumn id="10" xr3:uid="{48A4808A-3DE6-4644-83F5-C2AEDDFC3E5E}" name="Missed Games" dataDxfId="36">
      <calculatedColumnFormula>COUNTIF('2901'!X3,TRUE)+COUNTIF('3001'!X3,TRUE)+COUNTIF('3101'!X3,TRUE)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5" dataDxfId="34">
  <autoFilter ref="P3:Y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2" t="s">
        <v>173</v>
      </c>
      <c r="D3" s="5">
        <f>'Stats Global'!AB8</f>
        <v>0.6</v>
      </c>
      <c r="E3" s="1">
        <f>'Stats Global'!AA8</f>
        <v>3</v>
      </c>
      <c r="F3" s="5">
        <f>'Stats Global'!AD8</f>
        <v>0.2</v>
      </c>
      <c r="G3" s="1">
        <f>'Stats Global'!AC8</f>
        <v>1</v>
      </c>
      <c r="H3" s="5">
        <f>'Stats Global'!AF8</f>
        <v>0.4</v>
      </c>
      <c r="I3" s="1">
        <f>'Stats Global'!AE8</f>
        <v>2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19,14,13],</v>
      </c>
    </row>
    <row r="4" spans="2:31" ht="14.25" customHeight="1" x14ac:dyDescent="0.45">
      <c r="B4" s="1" t="s">
        <v>26</v>
      </c>
      <c r="C4" s="102" t="s">
        <v>171</v>
      </c>
      <c r="D4" s="5">
        <f>'Stats Global'!AB9</f>
        <v>0.4</v>
      </c>
      <c r="E4" s="1">
        <f>'Stats Global'!AA9</f>
        <v>2</v>
      </c>
      <c r="F4" s="5">
        <f>'Stats Global'!AD9</f>
        <v>0</v>
      </c>
      <c r="G4" s="1">
        <f>'Stats Global'!AC9</f>
        <v>0</v>
      </c>
      <c r="H4" s="5">
        <f>'Stats Global'!AF9</f>
        <v>0.4</v>
      </c>
      <c r="I4" s="1">
        <f>'Stats Global'!AE9</f>
        <v>2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15,"Rudy Hoschke",15,"Rudy Hoschke",5,"Ryan Pattemore",0,"N/A"],</v>
      </c>
    </row>
    <row r="5" spans="2:31" ht="14.25" customHeight="1" x14ac:dyDescent="0.45">
      <c r="B5" s="1" t="s">
        <v>27</v>
      </c>
      <c r="C5" s="112" t="s">
        <v>173</v>
      </c>
      <c r="D5" s="5">
        <f>'Stats Global'!AB10</f>
        <v>3</v>
      </c>
      <c r="E5" s="1">
        <f>'Stats Global'!AA10</f>
        <v>12</v>
      </c>
      <c r="F5" s="5">
        <f>'Stats Global'!AD10</f>
        <v>3</v>
      </c>
      <c r="G5" s="1">
        <f>'Stats Global'!AC10</f>
        <v>12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1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8.4,6.4,2,0,3.8,2.8],</v>
      </c>
    </row>
    <row r="6" spans="2:31" ht="14.25" customHeight="1" x14ac:dyDescent="0.45">
      <c r="B6" s="1" t="s">
        <v>30</v>
      </c>
      <c r="C6" s="112" t="s">
        <v>173</v>
      </c>
      <c r="D6" s="5">
        <f>'Stats Global'!AB11</f>
        <v>3</v>
      </c>
      <c r="E6" s="1">
        <f>'Stats Global'!AA11</f>
        <v>15</v>
      </c>
      <c r="F6" s="5">
        <f>'Stats Global'!AD11</f>
        <v>3</v>
      </c>
      <c r="G6" s="1">
        <f>'Stats Global'!AC11</f>
        <v>15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10,2,83.3,9,7,56.3],</v>
      </c>
    </row>
    <row r="7" spans="2:31" ht="14.25" customHeight="1" x14ac:dyDescent="0.45">
      <c r="B7" s="1" t="s">
        <v>32</v>
      </c>
      <c r="C7" s="112" t="s">
        <v>171</v>
      </c>
      <c r="D7" s="5">
        <f>'Stats Global'!AB12</f>
        <v>1.6</v>
      </c>
      <c r="E7" s="1">
        <f>'Stats Global'!AA12</f>
        <v>8</v>
      </c>
      <c r="F7" s="5">
        <f>'Stats Global'!AD12</f>
        <v>1.2</v>
      </c>
      <c r="G7" s="1">
        <f>'Stats Global'!AC12</f>
        <v>6</v>
      </c>
      <c r="H7" s="5">
        <f>'Stats Global'!AF12</f>
        <v>0.4</v>
      </c>
      <c r="I7" s="1">
        <f>'Stats Global'!AE12</f>
        <v>2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6,17,6.5],</v>
      </c>
    </row>
    <row r="8" spans="2:31" ht="14.25" customHeight="1" x14ac:dyDescent="0.45">
      <c r="B8" s="1" t="s">
        <v>37</v>
      </c>
      <c r="C8" s="112" t="s">
        <v>171</v>
      </c>
      <c r="D8" s="5">
        <f>'Stats Global'!AB13</f>
        <v>1.4</v>
      </c>
      <c r="E8" s="1">
        <f>'Stats Global'!AA13</f>
        <v>7</v>
      </c>
      <c r="F8" s="5">
        <f>'Stats Global'!AD13</f>
        <v>1.2</v>
      </c>
      <c r="G8" s="1">
        <f>'Stats Global'!AC13</f>
        <v>6</v>
      </c>
      <c r="H8" s="5">
        <f>'Stats Global'!AF13</f>
        <v>0.2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7,"Angus Walker",1,"William Kim",3,"Sam James",2,"Angus Walker"],</v>
      </c>
    </row>
    <row r="9" spans="2:31" ht="14.25" customHeight="1" x14ac:dyDescent="0.45">
      <c r="B9" t="s">
        <v>91</v>
      </c>
      <c r="C9" s="112" t="s">
        <v>172</v>
      </c>
      <c r="D9" s="5">
        <f>'Stats Global'!AB14</f>
        <v>0.6</v>
      </c>
      <c r="E9" s="1">
        <f>'Stats Global'!AA14</f>
        <v>3</v>
      </c>
      <c r="F9" s="5">
        <f>'Stats Global'!AD14</f>
        <v>0</v>
      </c>
      <c r="G9" s="1">
        <f>'Stats Global'!AC14</f>
        <v>0</v>
      </c>
      <c r="H9" s="5">
        <f>'Stats Global'!AF14</f>
        <v>0.6</v>
      </c>
      <c r="I9" s="1">
        <f>'Stats Global'!AE14</f>
        <v>3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8.4,0.4,1.4,0.6,1.2,3.4],</v>
      </c>
    </row>
    <row r="10" spans="2:31" ht="14.25" customHeight="1" x14ac:dyDescent="0.45">
      <c r="B10" s="1" t="s">
        <v>39</v>
      </c>
      <c r="C10" s="102" t="s">
        <v>172</v>
      </c>
      <c r="D10" s="5">
        <f>'Stats Global'!AB15</f>
        <v>0.4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0.2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2,10,16.7,7,4,63.6],</v>
      </c>
    </row>
    <row r="11" spans="2:31" ht="14.25" customHeight="1" x14ac:dyDescent="0.45">
      <c r="B11" s="1" t="s">
        <v>41</v>
      </c>
      <c r="C11" s="110" t="s">
        <v>172</v>
      </c>
      <c r="D11" s="5">
        <f>'Stats Global'!AB16</f>
        <v>0.75</v>
      </c>
      <c r="E11" s="1">
        <f>'Stats Global'!AA16</f>
        <v>3</v>
      </c>
      <c r="F11" s="5">
        <f>'Stats Global'!AD16</f>
        <v>0.25</v>
      </c>
      <c r="G11" s="1">
        <f>'Stats Global'!AC16</f>
        <v>1</v>
      </c>
      <c r="H11" s="5">
        <f>'Stats Global'!AF16</f>
        <v>0.5</v>
      </c>
      <c r="I11" s="1">
        <f>'Stats Global'!AE16</f>
        <v>2</v>
      </c>
      <c r="J11" s="5">
        <f>'Stats Global'!AH16</f>
        <v>0</v>
      </c>
      <c r="K11" s="1">
        <f>'Stats Global'!AG16</f>
        <v>0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14,13,10.5],</v>
      </c>
    </row>
    <row r="12" spans="2:31" ht="14.25" customHeight="1" x14ac:dyDescent="0.45">
      <c r="B12" s="1" t="s">
        <v>44</v>
      </c>
      <c r="C12" s="112" t="s">
        <v>171</v>
      </c>
      <c r="D12" s="5">
        <f>'Stats Global'!AB17</f>
        <v>3</v>
      </c>
      <c r="E12" s="1">
        <f>'Stats Global'!AA17</f>
        <v>15</v>
      </c>
      <c r="F12" s="5">
        <f>'Stats Global'!AD17</f>
        <v>1.2</v>
      </c>
      <c r="G12" s="1">
        <f>'Stats Global'!AC17</f>
        <v>6</v>
      </c>
      <c r="H12" s="5">
        <f>'Stats Global'!AF17</f>
        <v>1.8</v>
      </c>
      <c r="I12" s="1">
        <f>'Stats Global'!AE17</f>
        <v>9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15,"Samuel McConaghy",6,"N/A",9,"N/A",0,"N/A"],</v>
      </c>
    </row>
    <row r="13" spans="2:31" ht="14.25" customHeight="1" x14ac:dyDescent="0.45">
      <c r="B13" s="1" t="s">
        <v>46</v>
      </c>
      <c r="C13" s="102" t="s">
        <v>173</v>
      </c>
      <c r="D13" s="5">
        <f>'Stats Global'!AB18</f>
        <v>1.25</v>
      </c>
      <c r="E13" s="1">
        <f>'Stats Global'!AA18</f>
        <v>5</v>
      </c>
      <c r="F13" s="5">
        <f>'Stats Global'!AD18</f>
        <v>0</v>
      </c>
      <c r="G13" s="1">
        <f>'Stats Global'!AC18</f>
        <v>0</v>
      </c>
      <c r="H13" s="5">
        <f>'Stats Global'!AF18</f>
        <v>1.25</v>
      </c>
      <c r="I13" s="1">
        <f>'Stats Global'!AE18</f>
        <v>5</v>
      </c>
      <c r="J13" s="5">
        <f>'Stats Global'!AH18</f>
        <v>0</v>
      </c>
      <c r="K13" s="1">
        <f>'Stats Global'!AG18</f>
        <v>0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6.8,4,2.8,0,2.8,2.6],</v>
      </c>
    </row>
    <row r="14" spans="2:31" ht="14.25" customHeight="1" x14ac:dyDescent="0.45">
      <c r="B14" s="1" t="s">
        <v>49</v>
      </c>
      <c r="C14" s="112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7,9,43.8,4,7,36.4],</v>
      </c>
    </row>
    <row r="15" spans="2:31" ht="14.25" customHeight="1" x14ac:dyDescent="0.45">
      <c r="B15" s="1" t="s">
        <v>52</v>
      </c>
      <c r="C15" s="112" t="s">
        <v>173</v>
      </c>
      <c r="D15" s="5">
        <f>'Stats Global'!AB20</f>
        <v>1.75</v>
      </c>
      <c r="E15" s="1">
        <f>'Stats Global'!AA20</f>
        <v>7</v>
      </c>
      <c r="F15" s="5">
        <f>'Stats Global'!AD20</f>
        <v>1</v>
      </c>
      <c r="G15" s="1">
        <f>'Stats Global'!AC20</f>
        <v>4</v>
      </c>
      <c r="H15" s="5">
        <f>'Stats Global'!AF20</f>
        <v>0.75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2" t="s">
        <v>172</v>
      </c>
      <c r="D16" s="5">
        <f>'Stats Global'!AB21</f>
        <v>1.4</v>
      </c>
      <c r="E16" s="1">
        <f>'Stats Global'!AA21</f>
        <v>7</v>
      </c>
      <c r="F16" s="5">
        <f>'Stats Global'!AD21</f>
        <v>0.2</v>
      </c>
      <c r="G16" s="1">
        <f>'Stats Global'!AC21</f>
        <v>1</v>
      </c>
      <c r="H16" s="5">
        <f>'Stats Global'!AF21</f>
        <v>0.4</v>
      </c>
      <c r="I16" s="1">
        <f>'Stats Global'!AE21</f>
        <v>2</v>
      </c>
      <c r="J16" s="5">
        <f>'Stats Global'!AH21</f>
        <v>0.4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2" t="s">
        <v>171</v>
      </c>
      <c r="D17" s="5">
        <f>'Stats Global'!AB22</f>
        <v>0.4</v>
      </c>
      <c r="E17" s="1">
        <f>'Stats Global'!AA22</f>
        <v>2</v>
      </c>
      <c r="F17" s="5">
        <f>'Stats Global'!AD22</f>
        <v>0.4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4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"PartACT":[19,14,13],</v>
      </c>
    </row>
    <row r="18" spans="2:30" ht="14.25" customHeight="1" x14ac:dyDescent="0.45">
      <c r="B18" t="s">
        <v>206</v>
      </c>
      <c r="C18" s="120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"PartBCT":[15,"Rudy Hoschke",15,"Rudy Hoschke",5,"Ryan Pattemore",0,"N/A"],</v>
      </c>
    </row>
    <row r="19" spans="2:30" ht="14.25" customHeight="1" x14ac:dyDescent="0.45">
      <c r="B19" s="1"/>
      <c r="C19" s="87"/>
      <c r="D19" s="5"/>
      <c r="E19" s="1"/>
      <c r="F19" s="5"/>
      <c r="G19" s="1"/>
      <c r="H19" s="5"/>
      <c r="I19" s="1"/>
      <c r="J19" s="5"/>
      <c r="K19" s="1"/>
      <c r="L19" s="13"/>
      <c r="U19" s="87"/>
      <c r="V19" s="1"/>
      <c r="W19" s="1"/>
      <c r="Y19" s="1" t="s">
        <v>60</v>
      </c>
      <c r="AD19" s="35" t="str">
        <f t="shared" si="3"/>
        <v>"PartCCT":[8.4,6.4,2,0,3.8,2.8],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"PartDCT":[10,2,83.3,9,7,56.3],</v>
      </c>
    </row>
    <row r="21" spans="2:30" ht="14.25" customHeight="1" x14ac:dyDescent="0.45">
      <c r="Y21" t="s">
        <v>144</v>
      </c>
      <c r="AD21" s="35" t="str">
        <f t="shared" si="3"/>
        <v>"PartATC":[6,17,6.5],</v>
      </c>
    </row>
    <row r="22" spans="2:30" ht="14.25" customHeight="1" x14ac:dyDescent="0.9">
      <c r="B22" s="131" t="s">
        <v>95</v>
      </c>
      <c r="C22" s="131"/>
      <c r="D22" s="64"/>
      <c r="Y22" s="1" t="s">
        <v>103</v>
      </c>
      <c r="AD22" s="35" t="str">
        <f t="shared" si="3"/>
        <v>"PartBTC":[7,"Angus Walker",1,"William Kim",3,"Sam James",2,"Angus Walker"],</v>
      </c>
    </row>
    <row r="23" spans="2:30" ht="14.25" customHeight="1" x14ac:dyDescent="0.9">
      <c r="B23" s="131"/>
      <c r="C23" s="131"/>
      <c r="D23" s="64"/>
      <c r="Y23" s="1" t="s">
        <v>62</v>
      </c>
      <c r="AD23" s="35" t="str">
        <f t="shared" si="3"/>
        <v>"PartCTC":[8.4,0.4,1.4,0.6,1.2,3.4],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"PartDTC":[2,10,16.7,7,4,63.6],</v>
      </c>
    </row>
    <row r="25" spans="2:30" ht="14.25" customHeight="1" x14ac:dyDescent="0.9">
      <c r="B25" s="113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"PartAGM":[14,13,10.5],</v>
      </c>
    </row>
    <row r="26" spans="2:30" ht="14.25" customHeight="1" x14ac:dyDescent="0.9">
      <c r="B26" s="113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"PartBGM":[15,"Samuel McConaghy",6,"N/A",9,"N/A",0,"N/A"],</v>
      </c>
    </row>
    <row r="27" spans="2:30" ht="14.25" customHeight="1" x14ac:dyDescent="0.45">
      <c r="B27" s="113" t="str">
        <f>D49&amp;":["&amp;D50&amp;D51&amp;D52&amp;D53&amp;D54&amp;D55&amp;D56&amp;D57&amp;D58&amp;D59&amp;D60&amp;D61&amp;D62&amp;D63&amp;D64&amp;D65&amp;"],"</f>
        <v>"PPG":[0.6,0.4,3,3,1.6,1.4,0.6,0.4,0.75,3,1.25,0,1.75,1.4,0.4,"0"],</v>
      </c>
      <c r="AD27" s="35" t="str">
        <f t="shared" si="3"/>
        <v>"PartCGM":[6.8,4,2.8,0,2.8,2.6],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"TP":[3,2,12,15,8,7,3,2,3,15,5,0,7,7,2,"0"],</v>
      </c>
      <c r="AD28" s="35" t="str">
        <f t="shared" si="3"/>
        <v>"PartDGM":[7,9,43.8,4,7,36.4],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"FPG":[0.2,0,3,3,1.2,1.2,0,0,0.25,1.2,0,0,1,0.2,0.4,"0"],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"TF":[1,0,12,15,6,6,0,0,1,6,0,0,4,1,2,"0"],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"MPG":[0.4,0.4,0,0,0.4,0.2,0.6,0,0.5,1.8,1.25,0,0.75,0.4,0,"0"],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"TM":[2,2,0,0,2,1,3,0,2,9,5,0,3,2,0,"0"],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"TPG":[0,0,0,0,0,0,0,0.2,0,0,0,0,0,0.4,0,"0"],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"Missed":[0,0,1,0,0,0,0,0,1,0,1,1,0,0,4,"0"],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0.6,</v>
      </c>
      <c r="E50" s="12" t="str">
        <f t="shared" ref="E50:E64" si="7">E3&amp;","</f>
        <v>3,</v>
      </c>
      <c r="F50" s="12" t="str">
        <f t="shared" ref="F50:F64" si="8">ROUND(F3,2)&amp;","</f>
        <v>0.2,</v>
      </c>
      <c r="G50" s="12" t="str">
        <f t="shared" ref="G50:G64" si="9">G3&amp;","</f>
        <v>1,</v>
      </c>
      <c r="H50" s="12" t="str">
        <f t="shared" ref="H50:H64" si="10">ROUND(H3,2)&amp;","</f>
        <v>0.4,</v>
      </c>
      <c r="I50" s="12" t="str">
        <f t="shared" ref="I50:I64" si="11">I3&amp;","</f>
        <v>2,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0.4,</v>
      </c>
      <c r="E51" s="12" t="str">
        <f t="shared" si="7"/>
        <v>2,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0.4,</v>
      </c>
      <c r="I51" s="12" t="str">
        <f t="shared" si="11"/>
        <v>2,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3,</v>
      </c>
      <c r="E52" s="12" t="str">
        <f t="shared" si="7"/>
        <v>12,</v>
      </c>
      <c r="F52" s="12" t="str">
        <f t="shared" si="8"/>
        <v>3,</v>
      </c>
      <c r="G52" s="12" t="str">
        <f t="shared" si="9"/>
        <v>12,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1,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3,</v>
      </c>
      <c r="E53" s="12" t="str">
        <f t="shared" si="7"/>
        <v>15,</v>
      </c>
      <c r="F53" s="12" t="str">
        <f t="shared" si="8"/>
        <v>3,</v>
      </c>
      <c r="G53" s="12" t="str">
        <f t="shared" si="9"/>
        <v>15,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1.6,</v>
      </c>
      <c r="E54" s="12" t="str">
        <f t="shared" si="7"/>
        <v>8,</v>
      </c>
      <c r="F54" s="12" t="str">
        <f t="shared" si="8"/>
        <v>1.2,</v>
      </c>
      <c r="G54" s="12" t="str">
        <f t="shared" si="9"/>
        <v>6,</v>
      </c>
      <c r="H54" s="12" t="str">
        <f t="shared" si="10"/>
        <v>0.4,</v>
      </c>
      <c r="I54" s="12" t="str">
        <f t="shared" si="11"/>
        <v>2,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1.4,</v>
      </c>
      <c r="E55" s="12" t="str">
        <f t="shared" si="7"/>
        <v>7,</v>
      </c>
      <c r="F55" s="12" t="str">
        <f t="shared" si="8"/>
        <v>1.2,</v>
      </c>
      <c r="G55" s="12" t="str">
        <f t="shared" si="9"/>
        <v>6,</v>
      </c>
      <c r="H55" s="12" t="str">
        <f t="shared" si="10"/>
        <v>0.2,</v>
      </c>
      <c r="I55" s="12" t="str">
        <f t="shared" si="11"/>
        <v>1,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0.6,</v>
      </c>
      <c r="E56" s="12" t="str">
        <f t="shared" si="7"/>
        <v>3,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0.6,</v>
      </c>
      <c r="I56" s="12" t="str">
        <f t="shared" si="11"/>
        <v>3,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0.4,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0.2,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0.75,</v>
      </c>
      <c r="E58" s="12" t="str">
        <f t="shared" si="7"/>
        <v>3,</v>
      </c>
      <c r="F58" s="12" t="str">
        <f t="shared" si="8"/>
        <v>0.25,</v>
      </c>
      <c r="G58" s="12" t="str">
        <f t="shared" si="9"/>
        <v>1,</v>
      </c>
      <c r="H58" s="12" t="str">
        <f t="shared" si="10"/>
        <v>0.5,</v>
      </c>
      <c r="I58" s="12" t="str">
        <f t="shared" si="11"/>
        <v>2,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3,</v>
      </c>
      <c r="E59" s="12" t="str">
        <f t="shared" si="7"/>
        <v>15,</v>
      </c>
      <c r="F59" s="12" t="str">
        <f t="shared" si="8"/>
        <v>1.2,</v>
      </c>
      <c r="G59" s="12" t="str">
        <f t="shared" si="9"/>
        <v>6,</v>
      </c>
      <c r="H59" s="12" t="str">
        <f t="shared" si="10"/>
        <v>1.8,</v>
      </c>
      <c r="I59" s="12" t="str">
        <f t="shared" si="11"/>
        <v>9,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1.25,</v>
      </c>
      <c r="E60" s="12" t="str">
        <f t="shared" si="7"/>
        <v>5,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1.25,</v>
      </c>
      <c r="I60" s="12" t="str">
        <f t="shared" si="11"/>
        <v>5,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1.75,</v>
      </c>
      <c r="E62" s="12" t="str">
        <f t="shared" si="7"/>
        <v>7,</v>
      </c>
      <c r="F62" s="12" t="str">
        <f t="shared" si="8"/>
        <v>1,</v>
      </c>
      <c r="G62" s="12" t="str">
        <f t="shared" si="9"/>
        <v>4,</v>
      </c>
      <c r="H62" s="12" t="str">
        <f t="shared" si="10"/>
        <v>0.75,</v>
      </c>
      <c r="I62" s="12" t="str">
        <f t="shared" si="11"/>
        <v>3,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1.4,</v>
      </c>
      <c r="E63" s="12" t="str">
        <f t="shared" si="7"/>
        <v>7,</v>
      </c>
      <c r="F63" s="12" t="str">
        <f t="shared" si="8"/>
        <v>0.2,</v>
      </c>
      <c r="G63" s="12" t="str">
        <f t="shared" si="9"/>
        <v>1,</v>
      </c>
      <c r="H63" s="12" t="str">
        <f t="shared" si="10"/>
        <v>0.4,</v>
      </c>
      <c r="I63" s="12" t="str">
        <f t="shared" si="11"/>
        <v>2,</v>
      </c>
      <c r="J63" s="12" t="str">
        <f t="shared" si="12"/>
        <v>0.4,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0.4,</v>
      </c>
      <c r="E64" s="12" t="str">
        <f t="shared" si="7"/>
        <v>2,</v>
      </c>
      <c r="F64" s="12" t="str">
        <f t="shared" si="8"/>
        <v>0.4,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4,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223</v>
      </c>
      <c r="C4" s="126">
        <v>1</v>
      </c>
      <c r="D4" s="126" t="s">
        <v>173</v>
      </c>
      <c r="E4" s="126" t="s">
        <v>171</v>
      </c>
      <c r="F4" s="126" t="s">
        <v>217</v>
      </c>
      <c r="G4" s="126" t="s">
        <v>52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173</v>
      </c>
      <c r="F5" s="126" t="s">
        <v>221</v>
      </c>
      <c r="G5" s="126" t="s">
        <v>44</v>
      </c>
      <c r="H5" s="126" t="s">
        <v>83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173</v>
      </c>
      <c r="E6" s="126" t="s">
        <v>171</v>
      </c>
      <c r="F6" s="126" t="s">
        <v>220</v>
      </c>
      <c r="G6" s="126" t="s">
        <v>30</v>
      </c>
      <c r="H6" s="126" t="s">
        <v>218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173</v>
      </c>
      <c r="E7" s="126" t="s">
        <v>172</v>
      </c>
      <c r="F7" s="126" t="s">
        <v>217</v>
      </c>
      <c r="G7" s="126" t="s">
        <v>52</v>
      </c>
      <c r="H7" s="126" t="s">
        <v>83</v>
      </c>
      <c r="I7" s="126" t="s">
        <v>219</v>
      </c>
      <c r="J7" s="126" t="s">
        <v>219</v>
      </c>
      <c r="K7" s="126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173</v>
      </c>
      <c r="E8" s="126" t="s">
        <v>172</v>
      </c>
      <c r="F8" s="126" t="s">
        <v>215</v>
      </c>
      <c r="G8" s="126" t="s">
        <v>30</v>
      </c>
      <c r="H8" s="126" t="s">
        <v>218</v>
      </c>
      <c r="I8" s="126">
        <v>2</v>
      </c>
      <c r="J8" s="126">
        <v>1</v>
      </c>
      <c r="K8" s="126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171</v>
      </c>
      <c r="E9" s="126" t="s">
        <v>173</v>
      </c>
      <c r="F9" s="126" t="s">
        <v>217</v>
      </c>
      <c r="G9" s="126" t="s">
        <v>44</v>
      </c>
      <c r="H9" s="126" t="s">
        <v>83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173</v>
      </c>
      <c r="E10" s="126" t="s">
        <v>171</v>
      </c>
      <c r="F10" s="126" t="s">
        <v>221</v>
      </c>
      <c r="G10" s="126" t="s">
        <v>27</v>
      </c>
      <c r="H10" s="126" t="s">
        <v>218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171</v>
      </c>
      <c r="E11" s="126" t="s">
        <v>173</v>
      </c>
      <c r="F11" s="126" t="s">
        <v>220</v>
      </c>
      <c r="G11" s="126" t="s">
        <v>37</v>
      </c>
      <c r="H11" s="126" t="s">
        <v>218</v>
      </c>
      <c r="I11" s="126">
        <v>1</v>
      </c>
      <c r="J11" s="126">
        <v>1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171</v>
      </c>
      <c r="E12" s="126" t="s">
        <v>172</v>
      </c>
      <c r="F12" s="126" t="s">
        <v>217</v>
      </c>
      <c r="G12" s="126" t="s">
        <v>44</v>
      </c>
      <c r="H12" s="126" t="s">
        <v>83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172</v>
      </c>
      <c r="E13" s="126" t="s">
        <v>171</v>
      </c>
      <c r="F13" s="126" t="s">
        <v>220</v>
      </c>
      <c r="G13" s="126" t="s">
        <v>55</v>
      </c>
      <c r="H13" s="126" t="s">
        <v>216</v>
      </c>
      <c r="I13" s="126">
        <v>1</v>
      </c>
      <c r="J13" s="126">
        <v>1</v>
      </c>
      <c r="K13" s="126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/>
      <c r="D14" s="126"/>
      <c r="E14" s="126"/>
      <c r="F14" s="126"/>
      <c r="G14" s="126"/>
      <c r="H14" s="126"/>
      <c r="I14" s="126"/>
      <c r="J14" s="126"/>
      <c r="K14" s="126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/>
      <c r="D15" s="126"/>
      <c r="E15" s="126"/>
      <c r="F15" s="126"/>
      <c r="G15" s="126"/>
      <c r="H15" s="126"/>
      <c r="I15" s="126"/>
      <c r="J15" s="126"/>
      <c r="K15" s="126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164</v>
      </c>
      <c r="AB3" s="103" t="s">
        <v>35</v>
      </c>
      <c r="AC3" s="1"/>
    </row>
    <row r="4" spans="2:31" ht="14.25" customHeight="1" x14ac:dyDescent="0.5">
      <c r="B4" s="123" t="s">
        <v>212</v>
      </c>
      <c r="C4" s="126">
        <v>1</v>
      </c>
      <c r="D4" s="126" t="s">
        <v>172</v>
      </c>
      <c r="E4" s="126" t="s">
        <v>173</v>
      </c>
      <c r="F4" s="126" t="s">
        <v>215</v>
      </c>
      <c r="G4" s="126" t="s">
        <v>39</v>
      </c>
      <c r="H4" s="126" t="s">
        <v>216</v>
      </c>
      <c r="I4" s="126">
        <v>1</v>
      </c>
      <c r="J4" s="126">
        <v>1</v>
      </c>
      <c r="K4" s="126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6">
        <v>2</v>
      </c>
      <c r="D5" s="126" t="s">
        <v>171</v>
      </c>
      <c r="E5" s="126" t="s">
        <v>172</v>
      </c>
      <c r="F5" s="126" t="s">
        <v>217</v>
      </c>
      <c r="G5" s="126" t="s">
        <v>32</v>
      </c>
      <c r="H5" s="126" t="s">
        <v>218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172</v>
      </c>
      <c r="E6" s="126" t="s">
        <v>171</v>
      </c>
      <c r="F6" s="126" t="s">
        <v>220</v>
      </c>
      <c r="G6" s="126" t="s">
        <v>55</v>
      </c>
      <c r="H6" s="126" t="s">
        <v>216</v>
      </c>
      <c r="I6" s="126">
        <v>2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6">
        <v>3</v>
      </c>
      <c r="D7" s="126" t="s">
        <v>173</v>
      </c>
      <c r="E7" s="126" t="s">
        <v>172</v>
      </c>
      <c r="F7" s="126" t="s">
        <v>217</v>
      </c>
      <c r="G7" s="126" t="s">
        <v>27</v>
      </c>
      <c r="H7" s="126" t="s">
        <v>218</v>
      </c>
      <c r="I7" s="126" t="s">
        <v>219</v>
      </c>
      <c r="J7" s="126" t="s">
        <v>219</v>
      </c>
      <c r="K7" s="126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173</v>
      </c>
      <c r="E8" s="126" t="s">
        <v>172</v>
      </c>
      <c r="F8" s="126" t="s">
        <v>215</v>
      </c>
      <c r="G8" s="126" t="s">
        <v>52</v>
      </c>
      <c r="H8" s="126" t="s">
        <v>218</v>
      </c>
      <c r="I8" s="126">
        <v>1</v>
      </c>
      <c r="J8" s="126">
        <v>1</v>
      </c>
      <c r="K8" s="126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4</v>
      </c>
      <c r="D9" s="126" t="s">
        <v>173</v>
      </c>
      <c r="E9" s="126" t="s">
        <v>171</v>
      </c>
      <c r="F9" s="126" t="s">
        <v>217</v>
      </c>
      <c r="G9" s="126" t="s">
        <v>27</v>
      </c>
      <c r="H9" s="126" t="s">
        <v>218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171</v>
      </c>
      <c r="E10" s="126" t="s">
        <v>173</v>
      </c>
      <c r="F10" s="126" t="s">
        <v>221</v>
      </c>
      <c r="G10" s="126" t="s">
        <v>32</v>
      </c>
      <c r="H10" s="126" t="s">
        <v>83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171</v>
      </c>
      <c r="E11" s="126" t="s">
        <v>173</v>
      </c>
      <c r="F11" s="126" t="s">
        <v>220</v>
      </c>
      <c r="G11" s="126" t="s">
        <v>192</v>
      </c>
      <c r="H11" s="126" t="s">
        <v>218</v>
      </c>
      <c r="I11" s="126">
        <v>1</v>
      </c>
      <c r="J11" s="126">
        <v>1</v>
      </c>
      <c r="K11" s="126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171</v>
      </c>
      <c r="E12" s="126" t="s">
        <v>172</v>
      </c>
      <c r="F12" s="126" t="s">
        <v>217</v>
      </c>
      <c r="G12" s="126" t="s">
        <v>44</v>
      </c>
      <c r="H12" s="126" t="s">
        <v>218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171</v>
      </c>
      <c r="E13" s="126" t="s">
        <v>172</v>
      </c>
      <c r="F13" s="126" t="s">
        <v>215</v>
      </c>
      <c r="G13" s="126" t="s">
        <v>32</v>
      </c>
      <c r="H13" s="126" t="s">
        <v>218</v>
      </c>
      <c r="I13" s="126">
        <v>2</v>
      </c>
      <c r="J13" s="126">
        <v>2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173</v>
      </c>
      <c r="E14" s="126" t="s">
        <v>171</v>
      </c>
      <c r="F14" s="126" t="s">
        <v>217</v>
      </c>
      <c r="G14" s="126" t="s">
        <v>27</v>
      </c>
      <c r="H14" s="126" t="s">
        <v>218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173</v>
      </c>
      <c r="E15" s="126" t="s">
        <v>171</v>
      </c>
      <c r="F15" s="126" t="s">
        <v>215</v>
      </c>
      <c r="G15" s="126" t="s">
        <v>27</v>
      </c>
      <c r="H15" s="126" t="s">
        <v>218</v>
      </c>
      <c r="I15" s="126">
        <v>1</v>
      </c>
      <c r="J15" s="126">
        <v>1</v>
      </c>
      <c r="K15" s="126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7</v>
      </c>
      <c r="D16" s="126" t="s">
        <v>173</v>
      </c>
      <c r="E16" s="126" t="s">
        <v>172</v>
      </c>
      <c r="F16" s="126" t="s">
        <v>217</v>
      </c>
      <c r="G16" s="126" t="s">
        <v>46</v>
      </c>
      <c r="H16" s="126" t="s">
        <v>83</v>
      </c>
      <c r="I16" s="126" t="s">
        <v>219</v>
      </c>
      <c r="J16" s="126" t="s">
        <v>219</v>
      </c>
      <c r="K16" s="126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172</v>
      </c>
      <c r="E17" s="126" t="s">
        <v>173</v>
      </c>
      <c r="F17" s="126" t="s">
        <v>221</v>
      </c>
      <c r="G17" s="126" t="s">
        <v>41</v>
      </c>
      <c r="H17" s="126" t="s">
        <v>218</v>
      </c>
      <c r="I17" s="126" t="s">
        <v>219</v>
      </c>
      <c r="J17" s="126" t="s">
        <v>219</v>
      </c>
      <c r="K17" s="126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173</v>
      </c>
      <c r="E18" s="126" t="s">
        <v>172</v>
      </c>
      <c r="F18" s="126" t="s">
        <v>220</v>
      </c>
      <c r="G18" s="126" t="s">
        <v>27</v>
      </c>
      <c r="H18" s="126" t="s">
        <v>218</v>
      </c>
      <c r="I18" s="126">
        <v>2</v>
      </c>
      <c r="J18" s="126">
        <v>3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8</v>
      </c>
      <c r="D19" s="126" t="s">
        <v>173</v>
      </c>
      <c r="E19" s="126" t="s">
        <v>171</v>
      </c>
      <c r="F19" s="126" t="s">
        <v>217</v>
      </c>
      <c r="G19" s="126" t="s">
        <v>30</v>
      </c>
      <c r="H19" s="126" t="s">
        <v>218</v>
      </c>
      <c r="I19" s="126" t="s">
        <v>219</v>
      </c>
      <c r="J19" s="126" t="s">
        <v>219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171</v>
      </c>
      <c r="E20" s="126" t="s">
        <v>173</v>
      </c>
      <c r="F20" s="126" t="s">
        <v>221</v>
      </c>
      <c r="G20" s="126" t="s">
        <v>44</v>
      </c>
      <c r="H20" s="126" t="s">
        <v>218</v>
      </c>
      <c r="I20" s="126" t="s">
        <v>219</v>
      </c>
      <c r="J20" s="126" t="s">
        <v>219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173</v>
      </c>
      <c r="E21" s="126" t="s">
        <v>171</v>
      </c>
      <c r="F21" s="126" t="s">
        <v>220</v>
      </c>
      <c r="G21" s="126" t="s">
        <v>30</v>
      </c>
      <c r="H21" s="126" t="s">
        <v>218</v>
      </c>
      <c r="I21" s="126">
        <v>3</v>
      </c>
      <c r="J21" s="126">
        <v>2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R1" zoomScale="87" workbookViewId="0">
      <selection activeCell="AL28" sqref="AL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0.25</v>
      </c>
    </row>
    <row r="5" spans="1:55" ht="14.25" customHeight="1" x14ac:dyDescent="0.45">
      <c r="B5" s="119" t="str">
        <f>'2401'!C45</f>
        <v>24 January</v>
      </c>
      <c r="C5" s="119">
        <f>'2401'!D45</f>
        <v>4</v>
      </c>
      <c r="D5" s="119">
        <f>'2401'!E45</f>
        <v>12</v>
      </c>
      <c r="E5" s="119">
        <f>'2401'!F45</f>
        <v>2</v>
      </c>
      <c r="F5" s="119">
        <f>'2401'!G45</f>
        <v>4</v>
      </c>
      <c r="G5" s="119">
        <f>'2401'!H45</f>
        <v>1</v>
      </c>
      <c r="H5" s="119">
        <f>'2401'!I45</f>
        <v>1</v>
      </c>
      <c r="I5" s="119">
        <f>'2401'!J45</f>
        <v>2</v>
      </c>
      <c r="J5" s="119">
        <f>'2401'!K45</f>
        <v>2</v>
      </c>
      <c r="K5" s="119">
        <f>'2401'!L45</f>
        <v>1</v>
      </c>
      <c r="L5" s="119">
        <f>'2401'!M45</f>
        <v>2</v>
      </c>
      <c r="M5" s="119">
        <f>'2401'!N45</f>
        <v>2</v>
      </c>
      <c r="N5" s="119">
        <f>'2401'!O45</f>
        <v>1</v>
      </c>
      <c r="O5" s="119">
        <f>'2401'!P45</f>
        <v>3</v>
      </c>
      <c r="P5" s="119">
        <f>'2401'!Q45</f>
        <v>1.5</v>
      </c>
      <c r="Q5" s="119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17.600000000000001</v>
      </c>
      <c r="T6" s="111">
        <f>AVERAGE(C5:C40)</f>
        <v>4.4000000000000004</v>
      </c>
      <c r="U6" s="111">
        <f>AVERAGE(D5:D40)</f>
        <v>12</v>
      </c>
      <c r="V6" s="111">
        <f>AVERAGE(E5:E40)</f>
        <v>1.2</v>
      </c>
      <c r="Z6" s="48" t="s">
        <v>134</v>
      </c>
      <c r="AA6" s="6">
        <f>AA47+AA67+AA27+AL47+AL67+AA87+AL27</f>
        <v>5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 t="str">
        <f>'2901'!C45</f>
        <v>29 January</v>
      </c>
      <c r="C7" s="74">
        <f>'2901'!D45</f>
        <v>3</v>
      </c>
      <c r="D7" s="74">
        <f>'2901'!E45</f>
        <v>8</v>
      </c>
      <c r="E7" s="74">
        <f>'2901'!F45</f>
        <v>1</v>
      </c>
      <c r="F7" s="74">
        <f>'2901'!G45</f>
        <v>1</v>
      </c>
      <c r="G7" s="74">
        <f>'2901'!H45</f>
        <v>2</v>
      </c>
      <c r="H7" s="74">
        <f>'2901'!I45</f>
        <v>0</v>
      </c>
      <c r="I7" s="74">
        <f>'2901'!J45</f>
        <v>3</v>
      </c>
      <c r="J7" s="74">
        <f>'2901'!K45</f>
        <v>0</v>
      </c>
      <c r="K7" s="74">
        <f>'2901'!L45</f>
        <v>1</v>
      </c>
      <c r="L7" s="74">
        <f>'2901'!M45</f>
        <v>1</v>
      </c>
      <c r="M7" s="74">
        <f>'2901'!N45</f>
        <v>1</v>
      </c>
      <c r="N7" s="74">
        <f>'2901'!O45</f>
        <v>1</v>
      </c>
      <c r="O7" s="74">
        <f>'2901'!P45</f>
        <v>2</v>
      </c>
      <c r="P7" s="74">
        <f>'2901'!Q45</f>
        <v>3</v>
      </c>
      <c r="Q7" s="74">
        <f>'2901'!R45</f>
        <v>1</v>
      </c>
      <c r="S7" s="2" t="s">
        <v>72</v>
      </c>
      <c r="T7" s="4">
        <f>T6/$S$6</f>
        <v>0.25</v>
      </c>
      <c r="U7" s="4">
        <f>U6/$S$6</f>
        <v>0.68181818181818177</v>
      </c>
      <c r="V7" s="4">
        <f>V6/$S$6</f>
        <v>6.8181818181818177E-2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4"/>
      <c r="AR7" s="85" t="s">
        <v>153</v>
      </c>
      <c r="AS7" s="39" t="s">
        <v>154</v>
      </c>
      <c r="AT7" s="90" t="s">
        <v>157</v>
      </c>
      <c r="AU7" s="92" t="s">
        <v>158</v>
      </c>
      <c r="AW7" s="1"/>
      <c r="AX7" s="89"/>
      <c r="AY7" s="89"/>
      <c r="AZ7" s="89"/>
      <c r="BA7" s="89"/>
      <c r="BB7" s="89"/>
      <c r="BC7" s="89"/>
    </row>
    <row r="8" spans="1:55" ht="14.25" customHeight="1" x14ac:dyDescent="0.45">
      <c r="A8" s="50"/>
      <c r="B8" s="74" t="str">
        <f>'3001'!C45</f>
        <v>30 January</v>
      </c>
      <c r="C8" s="74">
        <f>'3001'!D45</f>
        <v>5</v>
      </c>
      <c r="D8" s="74">
        <f>'3001'!E45</f>
        <v>17</v>
      </c>
      <c r="E8" s="74">
        <f>'3001'!F45</f>
        <v>2</v>
      </c>
      <c r="F8" s="74">
        <f>'3001'!G45</f>
        <v>4</v>
      </c>
      <c r="G8" s="74">
        <f>'3001'!H45</f>
        <v>2</v>
      </c>
      <c r="H8" s="74">
        <f>'3001'!I45</f>
        <v>1</v>
      </c>
      <c r="I8" s="74">
        <f>'3001'!J45</f>
        <v>5</v>
      </c>
      <c r="J8" s="74">
        <f>'3001'!K45</f>
        <v>2</v>
      </c>
      <c r="K8" s="74">
        <f>'3001'!L45</f>
        <v>1</v>
      </c>
      <c r="L8" s="74">
        <f>'3001'!M45</f>
        <v>2</v>
      </c>
      <c r="M8" s="74">
        <f>'3001'!N45</f>
        <v>2</v>
      </c>
      <c r="N8" s="74">
        <f>'3001'!O45</f>
        <v>3</v>
      </c>
      <c r="O8" s="74">
        <f>'3001'!P45</f>
        <v>2</v>
      </c>
      <c r="P8" s="74">
        <f>'3001'!Q45</f>
        <v>3</v>
      </c>
      <c r="Q8" s="74">
        <f>'3001'!R45</f>
        <v>1</v>
      </c>
      <c r="Z8" s="95" t="str">
        <f>SfW!B3</f>
        <v>Jasper Collier</v>
      </c>
      <c r="AA8" s="96">
        <f t="shared" ref="AA8:AA23" si="0">SUM(AA29,AA49,AL49,AA69,AL69,AA89,AL29)</f>
        <v>3</v>
      </c>
      <c r="AB8" s="97">
        <f>IF($AA$6-Table1[[#This Row],[Missed Games]]=0, 0,Table1[[#This Row],[Points]]/($AA$6-Table1[[#This Row],[Missed Games]]))</f>
        <v>0.6</v>
      </c>
      <c r="AC8" s="98">
        <f t="shared" ref="AC8:AC23" si="1">SUM(AB29,AB49,AM49,AB69,AM69,AB89,AM29)</f>
        <v>1</v>
      </c>
      <c r="AD8" s="95">
        <f>IF($AA$6-Table1[[#This Row],[Missed Games]]=0, 0,Table1[[#This Row],[Finishes]]/($AA$6-Table1[[#This Row],[Missed Games]]))</f>
        <v>0.2</v>
      </c>
      <c r="AE8" s="98">
        <f t="shared" ref="AE8:AE23" si="2">SUM(AC29,AC49,AN49,AC69,AN69,AC89,AN29)</f>
        <v>2</v>
      </c>
      <c r="AF8" s="95">
        <f>IF($AA$6-Table1[[#This Row],[Missed Games]]=0, 0,Table1[[#This Row],[Midranges]]/($AA$6-Table1[[#This Row],[Missed Games]]))</f>
        <v>0.4</v>
      </c>
      <c r="AG8" s="98">
        <f t="shared" ref="AG8:AG23" si="3">SUM(AD29,AD49,AO49,AD69,AO69,AD89,AO29)</f>
        <v>0</v>
      </c>
      <c r="AH8" s="95">
        <f>IF($AA$6-Table1[[#This Row],[Missed Games]]=0, 0,Table1[[#This Row],[Threes]]/($AA$6-Table1[[#This Row],[Missed Games]]))</f>
        <v>0</v>
      </c>
      <c r="AI8" s="95" t="str">
        <f>SfW!C3</f>
        <v>Choc-Tops</v>
      </c>
      <c r="AJ8" s="99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1.2218749999999998</v>
      </c>
      <c r="AN8" s="77">
        <f>MEDIAN(Table1[Average])</f>
        <v>1</v>
      </c>
      <c r="AO8" s="23"/>
      <c r="AP8" s="13">
        <f>_xlfn.CEILING.MATH('[1]Stats Global'!R8*(20-$AA$5-$AJ8))</f>
        <v>9</v>
      </c>
      <c r="AQ8" s="20">
        <f>Table1[[#This Row],[Points]]/AP8</f>
        <v>0.33333333333333331</v>
      </c>
      <c r="AR8" s="80">
        <f>AP8-Table1[[#This Row],[Points]]</f>
        <v>6</v>
      </c>
      <c r="AS8" s="86">
        <f>Table1[[#This Row],[Points]]/(20-AA$5-Table1[[#This Row],[Missed Games]])</f>
        <v>0.15</v>
      </c>
      <c r="AT8" s="91">
        <f>Table1[[#This Row],[Average]]-'[1]Stats Global'!R8</f>
        <v>0.18823529411764706</v>
      </c>
      <c r="AU8" s="20">
        <f>(Table1[[#This Row],[Average]]-'[1]Stats Global'!R8)/'[1]Stats Global'!R8</f>
        <v>0.45714285714285718</v>
      </c>
      <c r="AW8" s="1"/>
    </row>
    <row r="9" spans="1:55" ht="14.25" customHeight="1" x14ac:dyDescent="0.45">
      <c r="A9" s="50"/>
      <c r="B9" s="74" t="str">
        <f>'3101'!C45</f>
        <v>31 January</v>
      </c>
      <c r="C9" s="74">
        <f>'3101'!D45</f>
        <v>8</v>
      </c>
      <c r="D9" s="74">
        <f>'3101'!E45</f>
        <v>16</v>
      </c>
      <c r="E9" s="74">
        <f>'3101'!F45</f>
        <v>0</v>
      </c>
      <c r="F9" s="74">
        <f>'3101'!G45</f>
        <v>8</v>
      </c>
      <c r="G9" s="74">
        <f>'3101'!H45</f>
        <v>1</v>
      </c>
      <c r="H9" s="74">
        <f>'3101'!I45</f>
        <v>0</v>
      </c>
      <c r="I9" s="74">
        <f>'3101'!J45</f>
        <v>3</v>
      </c>
      <c r="J9" s="74">
        <f>'3101'!K45</f>
        <v>4</v>
      </c>
      <c r="K9" s="74">
        <f>'3101'!L45</f>
        <v>0</v>
      </c>
      <c r="L9" s="74">
        <f>'3101'!M45</f>
        <v>0</v>
      </c>
      <c r="M9" s="74">
        <f>'3101'!N45</f>
        <v>4</v>
      </c>
      <c r="N9" s="74">
        <f>'3101'!O45</f>
        <v>2</v>
      </c>
      <c r="O9" s="74">
        <f>'3101'!P45</f>
        <v>3</v>
      </c>
      <c r="P9" s="74">
        <f>'3101'!Q45</f>
        <v>2</v>
      </c>
      <c r="Q9" s="74">
        <f>'3101'!R45</f>
        <v>1</v>
      </c>
      <c r="Z9" s="95" t="str">
        <f>SfW!B4</f>
        <v>Conor Farrington</v>
      </c>
      <c r="AA9" s="96">
        <f t="shared" si="0"/>
        <v>2</v>
      </c>
      <c r="AB9" s="97">
        <f>IF($AA$6-Table1[[#This Row],[Missed Games]]=0, 0,Table1[[#This Row],[Points]]/($AA$6-Table1[[#This Row],[Missed Games]]))</f>
        <v>0.4</v>
      </c>
      <c r="AC9" s="98">
        <f t="shared" si="1"/>
        <v>0</v>
      </c>
      <c r="AD9" s="95">
        <f>IF($AA$6-Table1[[#This Row],[Missed Games]]=0, 0,Table1[[#This Row],[Finishes]]/($AA$6-Table1[[#This Row],[Missed Games]]))</f>
        <v>0</v>
      </c>
      <c r="AE9" s="98">
        <f t="shared" si="2"/>
        <v>2</v>
      </c>
      <c r="AF9" s="95">
        <f>IF($AA$6-Table1[[#This Row],[Missed Games]]=0, 0,Table1[[#This Row],[Midranges]]/($AA$6-Table1[[#This Row],[Missed Games]]))</f>
        <v>0.4</v>
      </c>
      <c r="AG9" s="98">
        <f t="shared" si="3"/>
        <v>0</v>
      </c>
      <c r="AH9" s="95">
        <f>IF($AA$6-Table1[[#This Row],[Missed Games]]=0, 0,Table1[[#This Row],[Threes]]/($AA$6-Table1[[#This Row],[Missed Games]]))</f>
        <v>0</v>
      </c>
      <c r="AI9" s="95" t="str">
        <f>SfW!C4</f>
        <v>Gentle, Men</v>
      </c>
      <c r="AJ9" s="99">
        <f t="shared" si="4"/>
        <v>0</v>
      </c>
      <c r="AK9" s="42"/>
      <c r="AL9" s="78" t="s">
        <v>1</v>
      </c>
      <c r="AM9" s="77">
        <f>AVERAGE(Table1[Finishes])</f>
        <v>3.375</v>
      </c>
      <c r="AN9" s="77">
        <f>MEDIAN(Table1[Finishes])</f>
        <v>1</v>
      </c>
      <c r="AO9" s="81"/>
      <c r="AP9" s="13">
        <f>_xlfn.CEILING.MATH('[1]Stats Global'!R9*(20-$AA$5-$AJ9))</f>
        <v>12</v>
      </c>
      <c r="AQ9" s="20">
        <f>Table1[[#This Row],[Points]]/AP9</f>
        <v>0.16666666666666666</v>
      </c>
      <c r="AR9" s="80">
        <f>AP9-Table1[[#This Row],[Points]]</f>
        <v>10</v>
      </c>
      <c r="AS9" s="86">
        <f>Table1[[#This Row],[Points]]/(20-AA$5-Table1[[#This Row],[Missed Games]])</f>
        <v>0.1</v>
      </c>
      <c r="AT9" s="91">
        <f>Table1[[#This Row],[Average]]-'[1]Stats Global'!R9</f>
        <v>-0.19999999999999996</v>
      </c>
      <c r="AU9" s="20">
        <f>(Table1[[#This Row],[Average]]-'[1]Stats Global'!R9)/'[1]Stats Global'!R9</f>
        <v>-0.33333333333333326</v>
      </c>
      <c r="AW9" s="1"/>
    </row>
    <row r="10" spans="1:55" ht="14.25" customHeight="1" x14ac:dyDescent="0.45">
      <c r="A10" s="50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Z10" s="95" t="str">
        <f>SfW!B5</f>
        <v>Alexander Galt</v>
      </c>
      <c r="AA10" s="44">
        <f t="shared" si="0"/>
        <v>12</v>
      </c>
      <c r="AB10" s="45">
        <f>IF($AA$6-Table1[[#This Row],[Missed Games]]=0, 0,Table1[[#This Row],[Points]]/($AA$6-Table1[[#This Row],[Missed Games]]))</f>
        <v>3</v>
      </c>
      <c r="AC10" s="46">
        <f t="shared" si="1"/>
        <v>12</v>
      </c>
      <c r="AD10" s="43">
        <f>IF($AA$6-Table1[[#This Row],[Missed Games]]=0, 0,Table1[[#This Row],[Finishes]]/($AA$6-Table1[[#This Row],[Missed Games]]))</f>
        <v>3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1</v>
      </c>
      <c r="AK10" s="42"/>
      <c r="AL10" s="78" t="s">
        <v>146</v>
      </c>
      <c r="AM10" s="77">
        <f>AVERAGE(Table1[Midranges])</f>
        <v>1.9375</v>
      </c>
      <c r="AN10" s="77">
        <f>MEDIAN(Table1[Midranges])</f>
        <v>2</v>
      </c>
      <c r="AO10" s="23"/>
      <c r="AP10" s="13">
        <f>_xlfn.CEILING.MATH('[1]Stats Global'!R10*(20-$AA$5-$AJ10))</f>
        <v>60</v>
      </c>
      <c r="AQ10" s="20">
        <f>Table1[[#This Row],[Points]]/AP10</f>
        <v>0.2</v>
      </c>
      <c r="AR10" s="80">
        <f>AP10-Table1[[#This Row],[Points]]</f>
        <v>48</v>
      </c>
      <c r="AS10" s="86">
        <f>Table1[[#This Row],[Points]]/(20-AA$5-Table1[[#This Row],[Missed Games]])</f>
        <v>0.63157894736842102</v>
      </c>
      <c r="AT10" s="91">
        <f>Table1[[#This Row],[Average]]-'[1]Stats Global'!R10</f>
        <v>-0.14285714285714279</v>
      </c>
      <c r="AU10" s="20">
        <f>(Table1[[#This Row],[Average]]-'[1]Stats Global'!R10)/'[1]Stats Global'!R10</f>
        <v>-4.5454545454545435E-2</v>
      </c>
      <c r="AW10" s="1"/>
    </row>
    <row r="11" spans="1:55" ht="14.25" customHeight="1" x14ac:dyDescent="0.45">
      <c r="A11" s="50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Z11" s="95" t="str">
        <f>SfW!B6</f>
        <v>Rudy Hoschke</v>
      </c>
      <c r="AA11" s="44">
        <f t="shared" si="0"/>
        <v>15</v>
      </c>
      <c r="AB11" s="45">
        <f>IF($AA$6-Table1[[#This Row],[Missed Games]]=0, 0,Table1[[#This Row],[Points]]/($AA$6-Table1[[#This Row],[Missed Games]]))</f>
        <v>3</v>
      </c>
      <c r="AC11" s="46">
        <f t="shared" si="1"/>
        <v>15</v>
      </c>
      <c r="AD11" s="43">
        <f>IF($AA$6-Table1[[#This Row],[Missed Games]]=0, 0,Table1[[#This Row],[Finishes]]/($AA$6-Table1[[#This Row],[Missed Games]]))</f>
        <v>3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0.26315789473684209</v>
      </c>
      <c r="AR11" s="80">
        <f>AP11-Table1[[#This Row],[Points]]</f>
        <v>42</v>
      </c>
      <c r="AS11" s="86">
        <f>Table1[[#This Row],[Points]]/(20-AA$5-Table1[[#This Row],[Missed Games]])</f>
        <v>0.75</v>
      </c>
      <c r="AT11" s="91">
        <f>Table1[[#This Row],[Average]]-'[1]Stats Global'!R11</f>
        <v>0.1875</v>
      </c>
      <c r="AU11" s="20">
        <f>(Table1[[#This Row],[Average]]-'[1]Stats Global'!R11)/'[1]Stats Global'!R11</f>
        <v>6.6666666666666666E-2</v>
      </c>
      <c r="AW11" s="1"/>
    </row>
    <row r="12" spans="1:55" ht="14.25" customHeight="1" x14ac:dyDescent="0.45">
      <c r="A12" s="50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Z12" s="95" t="str">
        <f>SfW!B7</f>
        <v>Michael Iffland</v>
      </c>
      <c r="AA12" s="44">
        <f t="shared" si="0"/>
        <v>8</v>
      </c>
      <c r="AB12" s="45">
        <f>IF($AA$6-Table1[[#This Row],[Missed Games]]=0, 0,Table1[[#This Row],[Points]]/($AA$6-Table1[[#This Row],[Missed Games]]))</f>
        <v>1.6</v>
      </c>
      <c r="AC12" s="46">
        <f t="shared" si="1"/>
        <v>6</v>
      </c>
      <c r="AD12" s="43">
        <f>IF($AA$6-Table1[[#This Row],[Missed Games]]=0, 0,Table1[[#This Row],[Finishes]]/($AA$6-Table1[[#This Row],[Missed Games]]))</f>
        <v>1.2</v>
      </c>
      <c r="AE12" s="46">
        <f t="shared" si="2"/>
        <v>2</v>
      </c>
      <c r="AF12" s="43">
        <f>IF($AA$6-Table1[[#This Row],[Missed Games]]=0, 0,Table1[[#This Row],[Midranges]]/($AA$6-Table1[[#This Row],[Missed Games]]))</f>
        <v>0.4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0.19047619047619047</v>
      </c>
      <c r="AR12" s="80">
        <f>AP12-Table1[[#This Row],[Points]]</f>
        <v>34</v>
      </c>
      <c r="AS12" s="86">
        <f>Table1[[#This Row],[Points]]/(20-AA$5-Table1[[#This Row],[Missed Games]])</f>
        <v>0.4</v>
      </c>
      <c r="AT12" s="91">
        <f>Table1[[#This Row],[Average]]-'[1]Stats Global'!R12</f>
        <v>-0.45882352941176441</v>
      </c>
      <c r="AU12" s="20">
        <f>(Table1[[#This Row],[Average]]-'[1]Stats Global'!R12)/'[1]Stats Global'!R12</f>
        <v>-0.22285714285714273</v>
      </c>
      <c r="AW12" s="1"/>
    </row>
    <row r="13" spans="1:55" ht="14.25" customHeight="1" x14ac:dyDescent="0.45">
      <c r="A13" s="50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Z13" s="95" t="str">
        <f>SfW!B8</f>
        <v>Lukas Johnston</v>
      </c>
      <c r="AA13" s="96">
        <f t="shared" si="0"/>
        <v>7</v>
      </c>
      <c r="AB13" s="97">
        <f>IF($AA$6-Table1[[#This Row],[Missed Games]]=0, 0,Table1[[#This Row],[Points]]/($AA$6-Table1[[#This Row],[Missed Games]]))</f>
        <v>1.4</v>
      </c>
      <c r="AC13" s="98">
        <f t="shared" si="1"/>
        <v>6</v>
      </c>
      <c r="AD13" s="95">
        <f>IF($AA$6-Table1[[#This Row],[Missed Games]]=0, 0,Table1[[#This Row],[Finishes]]/($AA$6-Table1[[#This Row],[Missed Games]]))</f>
        <v>1.2</v>
      </c>
      <c r="AE13" s="98">
        <f t="shared" si="2"/>
        <v>1</v>
      </c>
      <c r="AF13" s="95">
        <f>IF($AA$6-Table1[[#This Row],[Missed Games]]=0, 0,Table1[[#This Row],[Midranges]]/($AA$6-Table1[[#This Row],[Missed Games]]))</f>
        <v>0.2</v>
      </c>
      <c r="AG13" s="98">
        <f t="shared" si="3"/>
        <v>0</v>
      </c>
      <c r="AH13" s="95">
        <f>IF($AA$6-Table1[[#This Row],[Missed Games]]=0, 0,Table1[[#This Row],[Threes]]/($AA$6-Table1[[#This Row],[Missed Games]]))</f>
        <v>0</v>
      </c>
      <c r="AI13" s="95" t="str">
        <f>SfW!C8</f>
        <v>Gentle, Men</v>
      </c>
      <c r="AJ13" s="99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0.30434782608695654</v>
      </c>
      <c r="AR13" s="80">
        <f>AP13-Table1[[#This Row],[Points]]</f>
        <v>16</v>
      </c>
      <c r="AS13" s="86">
        <f>Table1[[#This Row],[Points]]/(20-AA$5-Table1[[#This Row],[Missed Games]])</f>
        <v>0.35</v>
      </c>
      <c r="AT13" s="91">
        <f>Table1[[#This Row],[Average]]-'[1]Stats Global'!R13</f>
        <v>0.25714285714285712</v>
      </c>
      <c r="AU13" s="20">
        <f>(Table1[[#This Row],[Average]]-'[1]Stats Global'!R13)/'[1]Stats Global'!R13</f>
        <v>0.22499999999999998</v>
      </c>
      <c r="AW13" s="1"/>
    </row>
    <row r="14" spans="1:55" ht="14.25" customHeight="1" x14ac:dyDescent="0.45">
      <c r="A14" s="50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Z14" s="95" t="str">
        <f>SfW!B9</f>
        <v>Sam James</v>
      </c>
      <c r="AA14" s="96">
        <f t="shared" si="0"/>
        <v>3</v>
      </c>
      <c r="AB14" s="97">
        <f>IF($AA$6-Table1[[#This Row],[Missed Games]]=0, 0,Table1[[#This Row],[Points]]/($AA$6-Table1[[#This Row],[Missed Games]]))</f>
        <v>0.6</v>
      </c>
      <c r="AC14" s="98">
        <f t="shared" si="1"/>
        <v>0</v>
      </c>
      <c r="AD14" s="95">
        <f>IF($AA$6-Table1[[#This Row],[Missed Games]]=0, 0,Table1[[#This Row],[Finishes]]/($AA$6-Table1[[#This Row],[Missed Games]]))</f>
        <v>0</v>
      </c>
      <c r="AE14" s="98">
        <f t="shared" si="2"/>
        <v>3</v>
      </c>
      <c r="AF14" s="95">
        <f>IF($AA$6-Table1[[#This Row],[Missed Games]]=0, 0,Table1[[#This Row],[Midranges]]/($AA$6-Table1[[#This Row],[Missed Games]]))</f>
        <v>0.6</v>
      </c>
      <c r="AG14" s="98">
        <f t="shared" si="3"/>
        <v>0</v>
      </c>
      <c r="AH14" s="95">
        <f>IF($AA$6-Table1[[#This Row],[Missed Games]]=0, 0,Table1[[#This Row],[Threes]]/($AA$6-Table1[[#This Row],[Missed Games]]))</f>
        <v>0</v>
      </c>
      <c r="AI14" s="95" t="str">
        <f>SfW!C9</f>
        <v>Traffic Controllers</v>
      </c>
      <c r="AJ14" s="99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0.42857142857142855</v>
      </c>
      <c r="AR14" s="80">
        <f>AP14-Table1[[#This Row],[Points]]</f>
        <v>4</v>
      </c>
      <c r="AS14" s="86">
        <f>Table1[[#This Row],[Points]]/(20-AA$5-Table1[[#This Row],[Missed Games]])</f>
        <v>0.15</v>
      </c>
      <c r="AT14" s="91">
        <f>Table1[[#This Row],[Average]]-'[1]Stats Global'!R23</f>
        <v>0.28749999999999998</v>
      </c>
      <c r="AU14" s="20">
        <f>(Table1[[#This Row],[Average]]-'[1]Stats Global'!R23)/'[1]Stats Global'!R23</f>
        <v>0.91999999999999993</v>
      </c>
    </row>
    <row r="15" spans="1:55" ht="14.25" customHeight="1" x14ac:dyDescent="0.45">
      <c r="A15" s="50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Z15" s="95" t="str">
        <f>SfW!B10</f>
        <v>Clarrie Jones</v>
      </c>
      <c r="AA15" s="96">
        <f t="shared" si="0"/>
        <v>2</v>
      </c>
      <c r="AB15" s="97">
        <f>IF($AA$6-Table1[[#This Row],[Missed Games]]=0, 0,Table1[[#This Row],[Points]]/($AA$6-Table1[[#This Row],[Missed Games]]))</f>
        <v>0.4</v>
      </c>
      <c r="AC15" s="98">
        <f t="shared" si="1"/>
        <v>0</v>
      </c>
      <c r="AD15" s="95">
        <f>IF($AA$6-Table1[[#This Row],[Missed Games]]=0, 0,Table1[[#This Row],[Finishes]]/($AA$6-Table1[[#This Row],[Missed Games]]))</f>
        <v>0</v>
      </c>
      <c r="AE15" s="98">
        <f t="shared" si="2"/>
        <v>0</v>
      </c>
      <c r="AF15" s="95">
        <f>IF($AA$6-Table1[[#This Row],[Missed Games]]=0, 0,Table1[[#This Row],[Midranges]]/($AA$6-Table1[[#This Row],[Missed Games]]))</f>
        <v>0</v>
      </c>
      <c r="AG15" s="98">
        <f t="shared" si="3"/>
        <v>1</v>
      </c>
      <c r="AH15" s="95">
        <f>IF($AA$6-Table1[[#This Row],[Missed Games]]=0, 0,Table1[[#This Row],[Threes]]/($AA$6-Table1[[#This Row],[Missed Games]]))</f>
        <v>0.2</v>
      </c>
      <c r="AI15" s="95" t="str">
        <f>SfW!C10</f>
        <v>Traffic Controllers</v>
      </c>
      <c r="AJ15" s="99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0">
        <f>AP15-Table1[[#This Row],[Points]]</f>
        <v>30</v>
      </c>
      <c r="AS15" s="86">
        <f>Table1[[#This Row],[Points]]/(20-AA$5-Table1[[#This Row],[Missed Games]])</f>
        <v>0.1</v>
      </c>
      <c r="AT15" s="91">
        <f>Table1[[#This Row],[Average]]-'[1]Stats Global'!R14</f>
        <v>-1.1882352941176468</v>
      </c>
      <c r="AU15" s="20">
        <f>(Table1[[#This Row],[Average]]-'[1]Stats Global'!R14)/'[1]Stats Global'!R14</f>
        <v>-0.74814814814814801</v>
      </c>
      <c r="AW15" s="1"/>
    </row>
    <row r="16" spans="1:55" ht="14.25" customHeight="1" x14ac:dyDescent="0.45">
      <c r="A16" s="50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Z16" s="95" t="str">
        <f>SfW!B11</f>
        <v>William Kim</v>
      </c>
      <c r="AA16" s="44">
        <f t="shared" si="0"/>
        <v>3</v>
      </c>
      <c r="AB16" s="45">
        <f>IF($AA$6-Table1[[#This Row],[Missed Games]]=0, 0,Table1[[#This Row],[Points]]/($AA$6-Table1[[#This Row],[Missed Games]]))</f>
        <v>0.75</v>
      </c>
      <c r="AC16" s="46">
        <f t="shared" si="1"/>
        <v>1</v>
      </c>
      <c r="AD16" s="43">
        <f>IF($AA$6-Table1[[#This Row],[Missed Games]]=0, 0,Table1[[#This Row],[Finishes]]/($AA$6-Table1[[#This Row],[Missed Games]]))</f>
        <v>0.25</v>
      </c>
      <c r="AE16" s="46">
        <f t="shared" si="2"/>
        <v>2</v>
      </c>
      <c r="AF16" s="43">
        <f>IF($AA$6-Table1[[#This Row],[Missed Games]]=0, 0,Table1[[#This Row],[Midranges]]/($AA$6-Table1[[#This Row],[Missed Games]]))</f>
        <v>0.5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0.1111111111111111</v>
      </c>
      <c r="AR16" s="80">
        <f>AP16-Table1[[#This Row],[Points]]</f>
        <v>24</v>
      </c>
      <c r="AS16" s="86">
        <f>Table1[[#This Row],[Points]]/(20-AA$5-Table1[[#This Row],[Missed Games]])</f>
        <v>0.15789473684210525</v>
      </c>
      <c r="AT16" s="91">
        <f>Table1[[#This Row],[Average]]-'[1]Stats Global'!R15</f>
        <v>-0.66176470588235303</v>
      </c>
      <c r="AU16" s="20">
        <f>(Table1[[#This Row],[Average]]-'[1]Stats Global'!R15)/'[1]Stats Global'!R15</f>
        <v>-0.46875000000000006</v>
      </c>
      <c r="AW16" s="1"/>
    </row>
    <row r="17" spans="2:49" ht="14.25" customHeight="1" x14ac:dyDescent="0.45"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Z17" s="95" t="str">
        <f>SfW!B12</f>
        <v>Samuel McConaghy</v>
      </c>
      <c r="AA17" s="44">
        <f t="shared" si="0"/>
        <v>15</v>
      </c>
      <c r="AB17" s="45">
        <f>IF($AA$6-Table1[[#This Row],[Missed Games]]=0, 0,Table1[[#This Row],[Points]]/($AA$6-Table1[[#This Row],[Missed Games]]))</f>
        <v>3</v>
      </c>
      <c r="AC17" s="46">
        <f t="shared" si="1"/>
        <v>6</v>
      </c>
      <c r="AD17" s="43">
        <f>IF($AA$6-Table1[[#This Row],[Missed Games]]=0, 0,Table1[[#This Row],[Finishes]]/($AA$6-Table1[[#This Row],[Missed Games]]))</f>
        <v>1.2</v>
      </c>
      <c r="AE17" s="46">
        <f t="shared" si="2"/>
        <v>9</v>
      </c>
      <c r="AF17" s="43">
        <f>IF($AA$6-Table1[[#This Row],[Missed Games]]=0, 0,Table1[[#This Row],[Midranges]]/($AA$6-Table1[[#This Row],[Missed Games]]))</f>
        <v>1.8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0.29411764705882354</v>
      </c>
      <c r="AR17" s="80">
        <f>AP17-Table1[[#This Row],[Points]]</f>
        <v>36</v>
      </c>
      <c r="AS17" s="86">
        <f>Table1[[#This Row],[Points]]/(20-AA$5-Table1[[#This Row],[Missed Games]])</f>
        <v>0.75</v>
      </c>
      <c r="AT17" s="91">
        <f>Table1[[#This Row],[Average]]-'[1]Stats Global'!R16</f>
        <v>0.46666666666666679</v>
      </c>
      <c r="AU17" s="20">
        <f>(Table1[[#This Row],[Average]]-'[1]Stats Global'!R16)/'[1]Stats Global'!R16</f>
        <v>0.18421052631578952</v>
      </c>
      <c r="AW17" s="1"/>
    </row>
    <row r="18" spans="2:49" ht="14.25" customHeight="1" x14ac:dyDescent="0.45"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Z18" s="95" t="str">
        <f>SfW!B13</f>
        <v>Ryan Pattemore</v>
      </c>
      <c r="AA18" s="96">
        <f t="shared" si="0"/>
        <v>5</v>
      </c>
      <c r="AB18" s="97">
        <f>IF($AA$6-Table1[[#This Row],[Missed Games]]=0, 0,Table1[[#This Row],[Points]]/($AA$6-Table1[[#This Row],[Missed Games]]))</f>
        <v>1.25</v>
      </c>
      <c r="AC18" s="98">
        <f t="shared" si="1"/>
        <v>0</v>
      </c>
      <c r="AD18" s="95">
        <f>IF($AA$6-Table1[[#This Row],[Missed Games]]=0, 0,Table1[[#This Row],[Finishes]]/($AA$6-Table1[[#This Row],[Missed Games]]))</f>
        <v>0</v>
      </c>
      <c r="AE18" s="98">
        <f t="shared" si="2"/>
        <v>5</v>
      </c>
      <c r="AF18" s="95">
        <f>IF($AA$6-Table1[[#This Row],[Missed Games]]=0, 0,Table1[[#This Row],[Midranges]]/($AA$6-Table1[[#This Row],[Missed Games]]))</f>
        <v>1.25</v>
      </c>
      <c r="AG18" s="98">
        <f t="shared" si="3"/>
        <v>0</v>
      </c>
      <c r="AH18" s="95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99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0.29411764705882354</v>
      </c>
      <c r="AR18" s="80">
        <f>AP18-Table1[[#This Row],[Points]]</f>
        <v>12</v>
      </c>
      <c r="AS18" s="86">
        <f>Table1[[#This Row],[Points]]/(20-AA$5-Table1[[#This Row],[Missed Games]])</f>
        <v>0.26315789473684209</v>
      </c>
      <c r="AT18" s="91">
        <f>Table1[[#This Row],[Average]]-'[1]Stats Global'!R17</f>
        <v>0.375</v>
      </c>
      <c r="AU18" s="20">
        <f>(Table1[[#This Row],[Average]]-'[1]Stats Global'!R17)/'[1]Stats Global'!R17</f>
        <v>0.42857142857142855</v>
      </c>
      <c r="AW18" s="1"/>
    </row>
    <row r="19" spans="2:49" ht="14.25" customHeight="1" x14ac:dyDescent="0.45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Z19" s="95" t="str">
        <f>SfW!B14</f>
        <v>Nicholas Szogi</v>
      </c>
      <c r="AA19" s="96">
        <f t="shared" si="0"/>
        <v>0</v>
      </c>
      <c r="AB19" s="97">
        <f>IF($AA$6-Table1[[#This Row],[Missed Games]]=0, 0,Table1[[#This Row],[Points]]/($AA$6-Table1[[#This Row],[Missed Games]]))</f>
        <v>0</v>
      </c>
      <c r="AC19" s="98">
        <f t="shared" si="1"/>
        <v>0</v>
      </c>
      <c r="AD19" s="95">
        <f>IF($AA$6-Table1[[#This Row],[Missed Games]]=0, 0,Table1[[#This Row],[Finishes]]/($AA$6-Table1[[#This Row],[Missed Games]]))</f>
        <v>0</v>
      </c>
      <c r="AE19" s="98">
        <f t="shared" si="2"/>
        <v>0</v>
      </c>
      <c r="AF19" s="95">
        <f>IF($AA$6-Table1[[#This Row],[Missed Games]]=0, 0,Table1[[#This Row],[Midranges]]/($AA$6-Table1[[#This Row],[Missed Games]]))</f>
        <v>0</v>
      </c>
      <c r="AG19" s="98">
        <f t="shared" si="3"/>
        <v>0</v>
      </c>
      <c r="AH19" s="95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99">
        <f t="shared" si="4"/>
        <v>5</v>
      </c>
      <c r="AK19" s="42"/>
      <c r="AL19" s="42"/>
      <c r="AM19" s="42"/>
      <c r="AO19" s="23"/>
      <c r="AP19" s="13">
        <v>0</v>
      </c>
      <c r="AQ19" s="20">
        <v>1</v>
      </c>
      <c r="AR19" s="80">
        <f>AP19-Table1[[#This Row],[Points]]</f>
        <v>0</v>
      </c>
      <c r="AS19" s="86">
        <f>Table1[[#This Row],[Points]]/(20-AA$5-Table1[[#This Row],[Missed Games]])</f>
        <v>0</v>
      </c>
      <c r="AT19" s="91">
        <v>0</v>
      </c>
      <c r="AU19" s="25">
        <v>0</v>
      </c>
      <c r="AW19" s="1"/>
    </row>
    <row r="20" spans="2:49" ht="14.25" customHeight="1" x14ac:dyDescent="0.45"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Z20" s="95" t="str">
        <f>SfW!B15</f>
        <v>Christopher Tomkinson</v>
      </c>
      <c r="AA20" s="96">
        <f t="shared" si="0"/>
        <v>7</v>
      </c>
      <c r="AB20" s="97">
        <f>IF($AA$6-Table1[[#This Row],[Missed Games]]=0, 0,Table1[[#This Row],[Points]]/($AA$6-Table1[[#This Row],[Missed Games]]))</f>
        <v>1.75</v>
      </c>
      <c r="AC20" s="98">
        <f t="shared" si="1"/>
        <v>4</v>
      </c>
      <c r="AD20" s="95">
        <f>IF($AA$6-Table1[[#This Row],[Missed Games]]=0, 0,Table1[[#This Row],[Finishes]]/($AA$6-Table1[[#This Row],[Missed Games]]))</f>
        <v>1</v>
      </c>
      <c r="AE20" s="98">
        <f t="shared" si="2"/>
        <v>3</v>
      </c>
      <c r="AF20" s="95">
        <f>IF($AA$6-Table1[[#This Row],[Missed Games]]=0, 0,Table1[[#This Row],[Midranges]]/($AA$6-Table1[[#This Row],[Missed Games]]))</f>
        <v>0.75</v>
      </c>
      <c r="AG20" s="98">
        <f t="shared" si="3"/>
        <v>0</v>
      </c>
      <c r="AH20" s="95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99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0.33333333333333331</v>
      </c>
      <c r="AR20" s="80">
        <f>AP20-Table1[[#This Row],[Points]]</f>
        <v>14</v>
      </c>
      <c r="AS20" s="86">
        <f>Table1[[#This Row],[Points]]/(20-AA$5-Table1[[#This Row],[Missed Games]])</f>
        <v>0.36842105263157893</v>
      </c>
      <c r="AT20" s="91">
        <f>Table1[[#This Row],[Average]]-'[1]Stats Global'!R18</f>
        <v>0.68333333333333335</v>
      </c>
      <c r="AU20" s="20">
        <f>(Table1[[#This Row],[Average]]-'[1]Stats Global'!R18)/'[1]Stats Global'!R18</f>
        <v>0.640625</v>
      </c>
      <c r="AW20" s="1"/>
    </row>
    <row r="21" spans="2:49" ht="14.25" customHeight="1" x14ac:dyDescent="0.45"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Z21" s="95" t="str">
        <f>SfW!B16</f>
        <v>Angus Walker</v>
      </c>
      <c r="AA21" s="96">
        <f t="shared" si="0"/>
        <v>7</v>
      </c>
      <c r="AB21" s="97">
        <f>IF($AA$6-Table1[[#This Row],[Missed Games]]=0, 0,Table1[[#This Row],[Points]]/($AA$6-Table1[[#This Row],[Missed Games]]))</f>
        <v>1.4</v>
      </c>
      <c r="AC21" s="98">
        <f t="shared" si="1"/>
        <v>1</v>
      </c>
      <c r="AD21" s="95">
        <f>IF($AA$6-Table1[[#This Row],[Missed Games]]=0, 0,Table1[[#This Row],[Finishes]]/($AA$6-Table1[[#This Row],[Missed Games]]))</f>
        <v>0.2</v>
      </c>
      <c r="AE21" s="98">
        <f t="shared" si="2"/>
        <v>2</v>
      </c>
      <c r="AF21" s="95">
        <f>IF($AA$6-Table1[[#This Row],[Missed Games]]=0, 0,Table1[[#This Row],[Midranges]]/($AA$6-Table1[[#This Row],[Missed Games]]))</f>
        <v>0.4</v>
      </c>
      <c r="AG21" s="98">
        <f t="shared" si="3"/>
        <v>2</v>
      </c>
      <c r="AH21" s="95">
        <f>IF($AA$6-Table1[[#This Row],[Missed Games]]=0, 0,Table1[[#This Row],[Threes]]/($AA$6-Table1[[#This Row],[Missed Games]]))</f>
        <v>0.4</v>
      </c>
      <c r="AI21" s="43" t="str">
        <f>SfW!C16</f>
        <v>Traffic Controllers</v>
      </c>
      <c r="AJ21" s="99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0.31818181818181818</v>
      </c>
      <c r="AR21" s="80">
        <f>AP21-Table1[[#This Row],[Points]]</f>
        <v>15</v>
      </c>
      <c r="AS21" s="86">
        <f>Table1[[#This Row],[Points]]/(20-AA$5-Table1[[#This Row],[Missed Games]])</f>
        <v>0.35</v>
      </c>
      <c r="AT21" s="91">
        <f>Table1[[#This Row],[Average]]-'[1]Stats Global'!R19</f>
        <v>0.34117647058823519</v>
      </c>
      <c r="AU21" s="20">
        <f>(Table1[[#This Row],[Average]]-'[1]Stats Global'!R19)/'[1]Stats Global'!R19</f>
        <v>0.32222222222222213</v>
      </c>
      <c r="AW21" s="1"/>
    </row>
    <row r="22" spans="2:49" ht="14.25" customHeight="1" x14ac:dyDescent="0.45"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Z22" s="95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0.4</v>
      </c>
      <c r="AC22" s="46">
        <f t="shared" si="1"/>
        <v>2</v>
      </c>
      <c r="AD22" s="72">
        <f>IF($AA$6-Table1[[#This Row],[Missed Games]]=0, 0,Table1[[#This Row],[Finishes]]/($AA$6-Table1[[#This Row],[Missed Games]]))</f>
        <v>0.4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80">
        <f>AP22-Table1[[#This Row],[Points]]</f>
        <v>47</v>
      </c>
      <c r="AS22" s="86">
        <f>Table1[[#This Row],[Points]]/(20-AA$5-Table1[[#This Row],[Missed Games]])</f>
        <v>0.1</v>
      </c>
      <c r="AT22" s="91">
        <f>Table1[[#This Row],[Average]]-'[1]Stats Global'!R20</f>
        <v>-2.0285714285714285</v>
      </c>
      <c r="AU22" s="20">
        <f>(Table1[[#This Row],[Average]]-'[1]Stats Global'!R20)/'[1]Stats Global'!R20</f>
        <v>-0.83529411764705885</v>
      </c>
      <c r="AW22" s="1"/>
    </row>
    <row r="23" spans="2:49" ht="14.25" customHeight="1" x14ac:dyDescent="0.45"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Z23" s="95" t="str">
        <f>SfW!B18</f>
        <v>Mitch Yue</v>
      </c>
      <c r="AA23" s="96">
        <f t="shared" si="0"/>
        <v>0</v>
      </c>
      <c r="AB23" s="101">
        <f>IF($AA$6-Table1[[#This Row],[Missed Games]]=0, 0,Table1[[#This Row],[Points]]/($AA$6-Table1[[#This Row],[Missed Games]]))</f>
        <v>0</v>
      </c>
      <c r="AC23" s="98">
        <f t="shared" si="1"/>
        <v>0</v>
      </c>
      <c r="AD23" s="100">
        <f>IF($AA$6-Table1[[#This Row],[Missed Games]]=0, 0,Table1[[#This Row],[Finishes]]/($AA$6-Table1[[#This Row],[Missed Games]]))</f>
        <v>0</v>
      </c>
      <c r="AE23" s="98">
        <f t="shared" si="2"/>
        <v>0</v>
      </c>
      <c r="AF23" s="100">
        <f>IF($AA$6-Table1[[#This Row],[Missed Games]]=0, 0,Table1[[#This Row],[Midranges]]/($AA$6-Table1[[#This Row],[Missed Games]]))</f>
        <v>0</v>
      </c>
      <c r="AG23" s="98">
        <f t="shared" si="3"/>
        <v>0</v>
      </c>
      <c r="AH23" s="100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99">
        <f t="shared" si="4"/>
        <v>4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0">
        <f>AP23-Table1[[#This Row],[Points]]</f>
        <v>2</v>
      </c>
      <c r="AS23" s="86">
        <f>Table1[[#This Row],[Points]]/(20-AA$5-Table1[[#This Row],[Missed Games]])</f>
        <v>0</v>
      </c>
      <c r="AT23" s="91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Z24" s="95"/>
      <c r="AA24" s="96"/>
      <c r="AB24" s="97"/>
      <c r="AC24" s="98"/>
      <c r="AD24" s="95"/>
      <c r="AE24" s="98"/>
      <c r="AF24" s="95"/>
      <c r="AG24" s="98"/>
      <c r="AH24" s="95"/>
      <c r="AI24" s="95"/>
      <c r="AJ24" s="99"/>
      <c r="AL24" s="30"/>
      <c r="AN24" s="3"/>
      <c r="AP24" s="13"/>
      <c r="AQ24" s="20"/>
      <c r="AR24" s="80"/>
      <c r="AS24" s="86"/>
      <c r="AT24" s="91"/>
      <c r="AU24" s="20"/>
      <c r="AW24" s="1"/>
    </row>
    <row r="25" spans="2:49" ht="14.25" customHeight="1" x14ac:dyDescent="0.45"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AB25" s="12"/>
      <c r="AP25" s="12"/>
      <c r="AQ25" s="20"/>
    </row>
    <row r="26" spans="2:49" ht="14.25" customHeight="1" x14ac:dyDescent="0.45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</row>
    <row r="27" spans="2:49" ht="14.25" customHeight="1" x14ac:dyDescent="0.45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Z27" s="1" t="s">
        <v>101</v>
      </c>
      <c r="AA27" s="1">
        <v>2</v>
      </c>
      <c r="AI27" s="2"/>
      <c r="AK27" s="1" t="s">
        <v>102</v>
      </c>
      <c r="AL27" s="1">
        <v>3</v>
      </c>
      <c r="AT27" s="2"/>
    </row>
    <row r="28" spans="2:49" ht="14.25" customHeight="1" x14ac:dyDescent="0.45"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</f>
        <v>3</v>
      </c>
      <c r="AM29" s="22">
        <f>'2901'!U3+'3001'!U3+'3101'!U3</f>
        <v>1</v>
      </c>
      <c r="AN29" s="22">
        <f>'2901'!V3+'3001'!V3+'3101'!V3</f>
        <v>2</v>
      </c>
      <c r="AO29" s="22">
        <f>'2901'!W3+'3001'!W3+'3101'!W3</f>
        <v>0</v>
      </c>
      <c r="AP29" s="22">
        <f>Table21128[[#This Row],[Points]]/($AL$27-$AT29)</f>
        <v>1</v>
      </c>
      <c r="AQ29" s="22">
        <f>Table21128[[#This Row],[Finishes]]/($AL$27-$AT29)</f>
        <v>0.33333333333333331</v>
      </c>
      <c r="AR29" s="22">
        <f>Table21128[[#This Row],[Midranges]]/($AL$27-$AT29)</f>
        <v>0.66666666666666663</v>
      </c>
      <c r="AS29" s="22">
        <f>Table21128[[#This Row],[Threes]]/($AL$27-$AT29)</f>
        <v>0</v>
      </c>
      <c r="AT29" s="22">
        <f>COUNTIF('2901'!X3,TRUE)+COUNTIF('3001'!X3,TRUE)+COUNTIF('3101'!X3,TRUE)</f>
        <v>0</v>
      </c>
    </row>
    <row r="30" spans="2:49" ht="14.25" customHeight="1" x14ac:dyDescent="0.45"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</f>
        <v>2</v>
      </c>
      <c r="AM30" s="22">
        <f>'2901'!U4+'3001'!U4+'3101'!U4</f>
        <v>0</v>
      </c>
      <c r="AN30" s="22">
        <f>'2901'!V4+'3001'!V4+'3101'!V4</f>
        <v>2</v>
      </c>
      <c r="AO30" s="22">
        <f>'2901'!W4+'3001'!W4+'3101'!W4</f>
        <v>0</v>
      </c>
      <c r="AP30" s="22">
        <f>Table21128[[#This Row],[Points]]/($AL$27-$AT30)</f>
        <v>0.66666666666666663</v>
      </c>
      <c r="AQ30" s="22">
        <f>Table21128[[#This Row],[Finishes]]/($AL$27-$AT30)</f>
        <v>0</v>
      </c>
      <c r="AR30" s="22">
        <f>Table21128[[#This Row],[Midranges]]/($AL$27-$AT30)</f>
        <v>0.66666666666666663</v>
      </c>
      <c r="AS30" s="22">
        <f>Table21128[[#This Row],[Threes]]/($AL$27-$AT30)</f>
        <v>0</v>
      </c>
      <c r="AT30" s="22">
        <f>COUNTIF('2901'!X4,TRUE)+COUNTIF('3001'!X4,TRUE)+COUNTIF('3101'!X4,TRUE)</f>
        <v>0</v>
      </c>
    </row>
    <row r="31" spans="2:49" ht="14.25" customHeight="1" x14ac:dyDescent="0.45"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</f>
        <v>6</v>
      </c>
      <c r="AM31" s="22">
        <f>'2901'!U5+'3001'!U5+'3101'!U5</f>
        <v>6</v>
      </c>
      <c r="AN31" s="22">
        <f>'2901'!V5+'3001'!V5+'3101'!V5</f>
        <v>0</v>
      </c>
      <c r="AO31" s="22">
        <f>'2901'!W5+'3001'!W5+'3101'!W5</f>
        <v>0</v>
      </c>
      <c r="AP31" s="22">
        <f>Table21128[[#This Row],[Points]]/($AL$27-$AT31)</f>
        <v>3</v>
      </c>
      <c r="AQ31" s="22">
        <f>Table21128[[#This Row],[Finishes]]/($AL$27-$AT31)</f>
        <v>3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</f>
        <v>1</v>
      </c>
    </row>
    <row r="32" spans="2:49" ht="14.25" customHeight="1" x14ac:dyDescent="0.45"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</f>
        <v>11</v>
      </c>
      <c r="AM32" s="22">
        <f>'2901'!U6+'3001'!U6+'3101'!U6</f>
        <v>11</v>
      </c>
      <c r="AN32" s="22">
        <f>'2901'!V6+'3001'!V6+'3101'!V6</f>
        <v>0</v>
      </c>
      <c r="AO32" s="22">
        <f>'2901'!W6+'3001'!W6+'3101'!W6</f>
        <v>0</v>
      </c>
      <c r="AP32" s="22">
        <f>Table21128[[#This Row],[Points]]/($AL$27-$AT32)</f>
        <v>3.6666666666666665</v>
      </c>
      <c r="AQ32" s="22">
        <f>Table21128[[#This Row],[Finishes]]/($AL$27-$AT32)</f>
        <v>3.6666666666666665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</f>
        <v>0</v>
      </c>
    </row>
    <row r="33" spans="2:46" ht="14.25" customHeight="1" x14ac:dyDescent="0.45"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</f>
        <v>5</v>
      </c>
      <c r="AM33" s="22">
        <f>'2901'!U7+'3001'!U7+'3101'!U7</f>
        <v>4</v>
      </c>
      <c r="AN33" s="22">
        <f>'2901'!V7+'3001'!V7+'3101'!V7</f>
        <v>1</v>
      </c>
      <c r="AO33" s="22">
        <f>'2901'!W7+'3001'!W7+'3101'!W7</f>
        <v>0</v>
      </c>
      <c r="AP33" s="22">
        <f>Table21128[[#This Row],[Points]]/($AL$27-$AT33)</f>
        <v>1.6666666666666667</v>
      </c>
      <c r="AQ33" s="22">
        <f>Table21128[[#This Row],[Finishes]]/($AL$27-$AT33)</f>
        <v>1.3333333333333333</v>
      </c>
      <c r="AR33" s="22">
        <f>Table21128[[#This Row],[Midranges]]/($AL$27-$AT33)</f>
        <v>0.33333333333333331</v>
      </c>
      <c r="AS33" s="22">
        <f>Table21128[[#This Row],[Threes]]/($AL$27-$AT33)</f>
        <v>0</v>
      </c>
      <c r="AT33" s="22">
        <f>COUNTIF('2901'!X7,TRUE)+COUNTIF('3001'!X7,TRUE)+COUNTIF('3101'!X7,TRUE)</f>
        <v>0</v>
      </c>
    </row>
    <row r="34" spans="2:46" ht="14.25" customHeight="1" x14ac:dyDescent="0.45"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</f>
        <v>6</v>
      </c>
      <c r="AM34" s="22">
        <f>'2901'!U8+'3001'!U8+'3101'!U8</f>
        <v>5</v>
      </c>
      <c r="AN34" s="22">
        <f>'2901'!V8+'3001'!V8+'3101'!V8</f>
        <v>1</v>
      </c>
      <c r="AO34" s="22">
        <f>'2901'!W8+'3001'!W8+'3101'!W8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</f>
        <v>0</v>
      </c>
    </row>
    <row r="35" spans="2:46" ht="14.25" customHeight="1" x14ac:dyDescent="0.45"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</f>
        <v>3</v>
      </c>
      <c r="AM35" s="22">
        <f>'2901'!U9+'3001'!U9+'3101'!U9</f>
        <v>0</v>
      </c>
      <c r="AN35" s="22">
        <f>'2901'!V9+'3001'!V9+'3101'!V9</f>
        <v>3</v>
      </c>
      <c r="AO35" s="22">
        <f>'2901'!W9+'3001'!W9+'3101'!W9</f>
        <v>0</v>
      </c>
      <c r="AP35" s="22">
        <f>Table21128[[#This Row],[Points]]/($AL$27-$AT35)</f>
        <v>1</v>
      </c>
      <c r="AQ35" s="22">
        <f>Table21128[[#This Row],[Finishes]]/($AL$27-$AT35)</f>
        <v>0</v>
      </c>
      <c r="AR35" s="22">
        <f>Table21128[[#This Row],[Midranges]]/($AL$27-$AT35)</f>
        <v>1</v>
      </c>
      <c r="AS35" s="22">
        <f>Table21128[[#This Row],[Threes]]/($AL$27-$AT35)</f>
        <v>0</v>
      </c>
      <c r="AT35" s="22">
        <f>COUNTIF('2901'!X9,TRUE)+COUNTIF('3001'!X9,TRUE)+COUNTIF('3101'!X9,TRUE)</f>
        <v>0</v>
      </c>
    </row>
    <row r="36" spans="2:46" ht="14.25" customHeight="1" x14ac:dyDescent="0.45"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</f>
        <v>0</v>
      </c>
      <c r="AM36" s="22">
        <f>'2901'!U10+'3001'!U10+'3101'!U10</f>
        <v>0</v>
      </c>
      <c r="AN36" s="22">
        <f>'2901'!V10+'3001'!V10+'3101'!V10</f>
        <v>0</v>
      </c>
      <c r="AO36" s="22">
        <f>'2901'!W10+'3001'!W10+'3101'!W10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COUNTIF('2901'!X10,TRUE)+COUNTIF('3001'!X10,TRUE)+COUNTIF('3101'!X10,TRUE)</f>
        <v>0</v>
      </c>
    </row>
    <row r="37" spans="2:46" ht="14.25" customHeight="1" x14ac:dyDescent="0.45"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</f>
        <v>2</v>
      </c>
      <c r="AM37" s="22">
        <f>'2901'!U11+'3001'!U11+'3101'!U11</f>
        <v>0</v>
      </c>
      <c r="AN37" s="22">
        <f>'2901'!V11+'3001'!V11+'3101'!V11</f>
        <v>2</v>
      </c>
      <c r="AO37" s="22">
        <f>'2901'!W11+'3001'!W11+'3101'!W11</f>
        <v>0</v>
      </c>
      <c r="AP37" s="22">
        <f>Table21128[[#This Row],[Points]]/($AL$27-$AT37)</f>
        <v>1</v>
      </c>
      <c r="AQ37" s="22">
        <f>Table21128[[#This Row],[Finishes]]/($AL$27-$AT37)</f>
        <v>0</v>
      </c>
      <c r="AR37" s="22">
        <f>Table21128[[#This Row],[Midranges]]/($AL$27-$AT37)</f>
        <v>1</v>
      </c>
      <c r="AS37" s="22">
        <f>Table21128[[#This Row],[Threes]]/($AL$27-$AT37)</f>
        <v>0</v>
      </c>
      <c r="AT37" s="22">
        <f>COUNTIF('2901'!X11,TRUE)+COUNTIF('3001'!X11,TRUE)+COUNTIF('3101'!X11,TRUE)</f>
        <v>1</v>
      </c>
    </row>
    <row r="38" spans="2:46" ht="14.25" customHeight="1" x14ac:dyDescent="0.45"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</f>
        <v>10</v>
      </c>
      <c r="AM38" s="22">
        <f>'2901'!U12+'3001'!U12+'3101'!U12</f>
        <v>4</v>
      </c>
      <c r="AN38" s="22">
        <f>'2901'!V12+'3001'!V12+'3101'!V12</f>
        <v>6</v>
      </c>
      <c r="AO38" s="22">
        <f>'2901'!W12+'3001'!W12+'3101'!W12</f>
        <v>0</v>
      </c>
      <c r="AP38" s="22">
        <f>Table21128[[#This Row],[Points]]/($AL$27-$AT38)</f>
        <v>3.3333333333333335</v>
      </c>
      <c r="AQ38" s="22">
        <f>Table21128[[#This Row],[Finishes]]/($AL$27-$AT38)</f>
        <v>1.3333333333333333</v>
      </c>
      <c r="AR38" s="22">
        <f>Table21128[[#This Row],[Midranges]]/($AL$27-$AT38)</f>
        <v>2</v>
      </c>
      <c r="AS38" s="22">
        <f>Table21128[[#This Row],[Threes]]/($AL$27-$AT38)</f>
        <v>0</v>
      </c>
      <c r="AT38" s="22">
        <f>COUNTIF('2901'!X12,TRUE)+COUNTIF('3001'!X12,TRUE)+COUNTIF('3101'!X12,TRUE)</f>
        <v>0</v>
      </c>
    </row>
    <row r="39" spans="2:46" ht="14.25" customHeight="1" x14ac:dyDescent="0.45"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</f>
        <v>4</v>
      </c>
      <c r="AM39" s="22">
        <f>'2901'!U13+'3001'!U13+'3101'!U13</f>
        <v>0</v>
      </c>
      <c r="AN39" s="22">
        <f>'2901'!V13+'3001'!V13+'3101'!V13</f>
        <v>4</v>
      </c>
      <c r="AO39" s="22">
        <f>'2901'!W13+'3001'!W13+'3101'!W13</f>
        <v>0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2</v>
      </c>
      <c r="AS39" s="22">
        <f>Table21128[[#This Row],[Threes]]/($AL$27-$AT39)</f>
        <v>0</v>
      </c>
      <c r="AT39" s="22">
        <f>COUNTIF('2901'!X13,TRUE)+COUNTIF('3001'!X13,TRUE)+COUNTIF('3101'!X13,TRUE)</f>
        <v>1</v>
      </c>
    </row>
    <row r="40" spans="2:46" ht="14.25" customHeight="1" x14ac:dyDescent="0.45"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</f>
        <v>0</v>
      </c>
      <c r="AM40" s="22">
        <f>'2901'!U14+'3001'!U14+'3101'!U14</f>
        <v>0</v>
      </c>
      <c r="AN40" s="22">
        <f>'2901'!V14+'3001'!V14+'3101'!V14</f>
        <v>0</v>
      </c>
      <c r="AO40" s="22">
        <f>'2901'!W14+'3001'!W14+'3101'!W14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</f>
        <v>3</v>
      </c>
    </row>
    <row r="41" spans="2:46" ht="14.25" customHeight="1" x14ac:dyDescent="0.45">
      <c r="R41" s="10" t="s">
        <v>163</v>
      </c>
      <c r="S41">
        <f>'Statistics CT'!H3</f>
        <v>13</v>
      </c>
      <c r="T41" s="79">
        <f>S41/SUM(S41:S43)</f>
        <v>0.43333333333333335</v>
      </c>
      <c r="U41" s="82">
        <v>0.32188841201716739</v>
      </c>
      <c r="V41" s="30">
        <v>0.36899999999999999</v>
      </c>
      <c r="W41">
        <f>T41*(6*(20-AA$5))</f>
        <v>52</v>
      </c>
      <c r="X41" s="13">
        <f>((MAX(U41:U43)+MAX(V41:V43))/2)*6*(20-AA5)</f>
        <v>43.255879828326172</v>
      </c>
      <c r="Y41" s="83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</f>
        <v>4</v>
      </c>
      <c r="AM41" s="22">
        <f>'2901'!U15+'3001'!U15+'3101'!U15</f>
        <v>2</v>
      </c>
      <c r="AN41" s="22">
        <f>'2901'!V15+'3001'!V15+'3101'!V15</f>
        <v>2</v>
      </c>
      <c r="AO41" s="22">
        <f>'2901'!W15+'3001'!W15+'3101'!W15</f>
        <v>0</v>
      </c>
      <c r="AP41" s="22">
        <f>Table21128[[#This Row],[Points]]/($AL$27-$AT41)</f>
        <v>2</v>
      </c>
      <c r="AQ41" s="22">
        <f>Table21128[[#This Row],[Finishes]]/($AL$27-$AT41)</f>
        <v>1</v>
      </c>
      <c r="AR41" s="22">
        <f>Table21128[[#This Row],[Midranges]]/($AL$27-$AT41)</f>
        <v>1</v>
      </c>
      <c r="AS41" s="22">
        <f>Table21128[[#This Row],[Threes]]/($AL$27-$AT41)</f>
        <v>0</v>
      </c>
      <c r="AT41" s="22">
        <f>COUNTIF('2901'!X15,TRUE)+COUNTIF('3001'!X15,TRUE)+COUNTIF('3101'!X15,TRUE)</f>
        <v>1</v>
      </c>
    </row>
    <row r="42" spans="2:46" ht="14.25" customHeight="1" x14ac:dyDescent="0.45">
      <c r="R42" s="10" t="s">
        <v>164</v>
      </c>
      <c r="S42">
        <f>'Statistics TC'!H3</f>
        <v>6.5</v>
      </c>
      <c r="T42" s="82">
        <f>S42/SUM(S41:S43)</f>
        <v>0.21666666666666667</v>
      </c>
      <c r="U42" s="82">
        <v>0.35193133047210301</v>
      </c>
      <c r="V42" s="30">
        <v>0.26200000000000001</v>
      </c>
      <c r="W42">
        <f t="shared" ref="W42:W43" si="5">T42*(6*(20-AA$5))</f>
        <v>26</v>
      </c>
      <c r="X42" s="13">
        <f>6*(20-AA5)-X41-X43</f>
        <v>41.710815450643778</v>
      </c>
      <c r="Y42" s="83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</f>
        <v>3</v>
      </c>
      <c r="AM42" s="22">
        <f>'2901'!U16+'3001'!U16+'3101'!U16</f>
        <v>1</v>
      </c>
      <c r="AN42" s="22">
        <f>'2901'!V16+'3001'!V16+'3101'!V16</f>
        <v>2</v>
      </c>
      <c r="AO42" s="22">
        <f>'2901'!W16+'3001'!W16+'3101'!W16</f>
        <v>0</v>
      </c>
      <c r="AP42" s="22">
        <f>Table21128[[#This Row],[Points]]/($AL$27-$AT42)</f>
        <v>1</v>
      </c>
      <c r="AQ42" s="22">
        <f>Table21128[[#This Row],[Finishes]]/($AL$27-$AT42)</f>
        <v>0.33333333333333331</v>
      </c>
      <c r="AR42" s="22">
        <f>Table21128[[#This Row],[Midranges]]/($AL$27-$AT42)</f>
        <v>0.66666666666666663</v>
      </c>
      <c r="AS42" s="22">
        <f>Table21128[[#This Row],[Threes]]/($AL$27-$AT42)</f>
        <v>0</v>
      </c>
      <c r="AT42" s="22">
        <f>COUNTIF('2901'!X16,TRUE)+COUNTIF('3001'!X16,TRUE)+COUNTIF('3101'!X16,TRUE)</f>
        <v>0</v>
      </c>
    </row>
    <row r="43" spans="2:46" ht="14.25" customHeight="1" x14ac:dyDescent="0.45">
      <c r="R43" s="10" t="s">
        <v>35</v>
      </c>
      <c r="S43">
        <f>'Statistics GM'!G3</f>
        <v>10.5</v>
      </c>
      <c r="T43" s="82">
        <f>S43/SUM(S41:S43)</f>
        <v>0.35</v>
      </c>
      <c r="U43" s="82">
        <v>0.3261802575107296</v>
      </c>
      <c r="V43" s="30">
        <v>0.36899999999999999</v>
      </c>
      <c r="W43">
        <f t="shared" si="5"/>
        <v>42</v>
      </c>
      <c r="X43" s="13">
        <f>((MIN(U41:U43)+MIN(V41:V43))/2)*6*(20-AA5)</f>
        <v>35.033304721030049</v>
      </c>
      <c r="Y43" s="83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'2901'!T17+'3001'!T17+'3101'!T17</f>
        <v>1</v>
      </c>
      <c r="AM43" s="22">
        <f>'2901'!U17+'3001'!U17+'3101'!U17</f>
        <v>1</v>
      </c>
      <c r="AN43" s="22">
        <f>'2901'!V17+'3001'!V17+'3101'!V17</f>
        <v>0</v>
      </c>
      <c r="AO43" s="22">
        <f>'2901'!W17+'3001'!W17+'3101'!W17</f>
        <v>0</v>
      </c>
      <c r="AP43" s="22">
        <f>Table21128[[#This Row],[Points]]/($AL$27-$AT43)</f>
        <v>0.33333333333333331</v>
      </c>
      <c r="AQ43" s="22">
        <f>Table21128[[#This Row],[Finishes]]/($AL$27-$AT43)</f>
        <v>0.33333333333333331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'2901'!T18+'3001'!T18+'3101'!T18</f>
        <v>0</v>
      </c>
      <c r="AM44" s="22">
        <f>'2901'!U18+'3001'!U18+'3101'!U18</f>
        <v>0</v>
      </c>
      <c r="AN44" s="22">
        <f>'2901'!V18+'3001'!V18+'3101'!V18</f>
        <v>0</v>
      </c>
      <c r="AO44" s="22">
        <f>'2901'!W18+'3001'!W18+'3101'!W18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</f>
        <v>2</v>
      </c>
    </row>
    <row r="45" spans="2:46" ht="14.25" customHeight="1" x14ac:dyDescent="0.45">
      <c r="T45" t="s">
        <v>155</v>
      </c>
      <c r="W45">
        <f>(20-AA6-AA5)*2</f>
        <v>30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11.75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54</v>
      </c>
      <c r="V49" s="12">
        <f>U49/AA6</f>
        <v>10.8</v>
      </c>
      <c r="W49" s="20">
        <f>U49/SUM($U$49:$U$51)</f>
        <v>0.61363636363636365</v>
      </c>
      <c r="Z49" s="1" t="s">
        <v>25</v>
      </c>
      <c r="AA49" s="22"/>
      <c r="AB49" s="22"/>
      <c r="AC49" s="22"/>
      <c r="AD49" s="22"/>
      <c r="AE49" s="88"/>
      <c r="AF49" s="88"/>
      <c r="AG49" s="88"/>
      <c r="AH49" s="88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31</v>
      </c>
      <c r="V50" s="12">
        <f>U50/AA6</f>
        <v>6.2</v>
      </c>
      <c r="W50" s="20">
        <f>U50/SUM($U$49:$U$51)</f>
        <v>0.35227272727272729</v>
      </c>
      <c r="Z50" s="1" t="s">
        <v>26</v>
      </c>
      <c r="AA50" s="22"/>
      <c r="AB50" s="22"/>
      <c r="AC50" s="22"/>
      <c r="AD50" s="22"/>
      <c r="AE50" s="88"/>
      <c r="AF50" s="88"/>
      <c r="AG50" s="88"/>
      <c r="AH50" s="88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0.6</v>
      </c>
      <c r="W51" s="20">
        <f>U51/SUM($U$49:$U$51)</f>
        <v>3.4090909090909088E-2</v>
      </c>
      <c r="Z51" s="1" t="s">
        <v>27</v>
      </c>
      <c r="AA51" s="22"/>
      <c r="AB51" s="22"/>
      <c r="AC51" s="22"/>
      <c r="AD51" s="22"/>
      <c r="AE51" s="88"/>
      <c r="AF51" s="88"/>
      <c r="AG51" s="88"/>
      <c r="AH51" s="88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8"/>
      <c r="AF52" s="88"/>
      <c r="AG52" s="88"/>
      <c r="AH52" s="88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8"/>
      <c r="AF53" s="88"/>
      <c r="AG53" s="88"/>
      <c r="AH53" s="88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8"/>
      <c r="AF54" s="88"/>
      <c r="AG54" s="88"/>
      <c r="AH54" s="88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0.83333333333333337</v>
      </c>
      <c r="V55" s="25">
        <f>'Statistics CT'!M42</f>
        <v>0.5625</v>
      </c>
      <c r="W55" s="25">
        <f>AVERAGE(U55:V55)</f>
        <v>0.69791666666666674</v>
      </c>
      <c r="Z55" t="s">
        <v>91</v>
      </c>
      <c r="AA55" s="22"/>
      <c r="AB55" s="22"/>
      <c r="AC55" s="22"/>
      <c r="AD55" s="22"/>
      <c r="AE55" s="88"/>
      <c r="AF55" s="88"/>
      <c r="AG55" s="88"/>
      <c r="AH55" s="88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0.16666666666666663</v>
      </c>
      <c r="U56" s="27" t="s">
        <v>105</v>
      </c>
      <c r="V56" s="25">
        <f>'Statistics TC'!J42</f>
        <v>0.63636363636363635</v>
      </c>
      <c r="W56" s="25">
        <f>AVERAGE(T56:V56)</f>
        <v>0.40151515151515149</v>
      </c>
      <c r="Z56" s="1" t="s">
        <v>39</v>
      </c>
      <c r="AA56" s="22"/>
      <c r="AB56" s="22"/>
      <c r="AC56" s="22"/>
      <c r="AD56" s="22"/>
      <c r="AE56" s="88"/>
      <c r="AF56" s="88"/>
      <c r="AG56" s="88"/>
      <c r="AH56" s="88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0.4375</v>
      </c>
      <c r="U57" s="25">
        <f>1-V56</f>
        <v>0.36363636363636365</v>
      </c>
      <c r="V57" s="27" t="s">
        <v>105</v>
      </c>
      <c r="W57" s="25">
        <f>AVERAGE(T57:V57)</f>
        <v>0.40056818181818182</v>
      </c>
      <c r="Z57" s="1" t="s">
        <v>41</v>
      </c>
      <c r="AA57" s="22"/>
      <c r="AB57" s="22"/>
      <c r="AC57" s="22"/>
      <c r="AD57" s="22"/>
      <c r="AE57" s="88"/>
      <c r="AF57" s="88"/>
      <c r="AG57" s="88"/>
      <c r="AH57" s="88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8"/>
      <c r="AF58" s="88"/>
      <c r="AG58" s="88"/>
      <c r="AH58" s="88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8"/>
      <c r="AF59" s="88"/>
      <c r="AG59" s="88"/>
      <c r="AH59" s="88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8"/>
      <c r="AF60" s="88"/>
      <c r="AG60" s="88"/>
      <c r="AH60" s="88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8"/>
      <c r="AF61" s="88"/>
      <c r="AG61" s="88"/>
      <c r="AH61" s="88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8"/>
      <c r="AF62" s="88"/>
      <c r="AG62" s="88"/>
      <c r="AH62" s="88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8"/>
      <c r="AF63" s="88"/>
      <c r="AG63" s="88"/>
      <c r="AH63" s="88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8"/>
      <c r="AF64" s="88"/>
      <c r="AG64" s="88"/>
      <c r="AH64" s="88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8"/>
      <c r="AF65" s="88"/>
      <c r="AG65" s="88"/>
      <c r="AH65" s="88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8"/>
      <c r="AF69" s="88"/>
      <c r="AG69" s="88"/>
      <c r="AH69" s="88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5</v>
      </c>
      <c r="U80">
        <f>U79+'Statistics TC'!D9</f>
        <v>2</v>
      </c>
      <c r="V80">
        <f>V79+'Statistics GM'!D9</f>
        <v>5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5</v>
      </c>
      <c r="U81">
        <f>U80+'Statistics TC'!D10</f>
        <v>2</v>
      </c>
      <c r="V81">
        <f>V80+'Statistics GM'!D10</f>
        <v>5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5</v>
      </c>
      <c r="U82">
        <f>U81+'Statistics TC'!D11</f>
        <v>2</v>
      </c>
      <c r="V82">
        <f>V81+'Statistics GM'!D11</f>
        <v>5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5</v>
      </c>
      <c r="U83">
        <f>U82+'Statistics TC'!D12</f>
        <v>2</v>
      </c>
      <c r="V83">
        <f>V82+'Statistics GM'!D12</f>
        <v>5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5</v>
      </c>
      <c r="U84">
        <f>U83+'Statistics TC'!D13</f>
        <v>2</v>
      </c>
      <c r="V84">
        <f>V83+'Statistics GM'!D13</f>
        <v>5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5</v>
      </c>
      <c r="U85">
        <f>U84+'Statistics TC'!D14</f>
        <v>2</v>
      </c>
      <c r="V85">
        <f>V84+'Statistics GM'!D14</f>
        <v>5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5</v>
      </c>
      <c r="U86">
        <f>U85+'Statistics TC'!D15</f>
        <v>2</v>
      </c>
      <c r="V86">
        <f>V85+'Statistics GM'!D15</f>
        <v>5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5</v>
      </c>
      <c r="U87">
        <f>U86+'Statistics TC'!D16</f>
        <v>2</v>
      </c>
      <c r="V87">
        <f>V86+'Statistics GM'!D16</f>
        <v>5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5</v>
      </c>
      <c r="U88">
        <f>U87+'Statistics TC'!D17</f>
        <v>2</v>
      </c>
      <c r="V88">
        <f>V87+'Statistics GM'!D17</f>
        <v>5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5</v>
      </c>
      <c r="U89">
        <f>U88+'Statistics TC'!D18</f>
        <v>2</v>
      </c>
      <c r="V89">
        <f>V88+'Statistics GM'!D18</f>
        <v>5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5</v>
      </c>
      <c r="U90">
        <f>U89+'Statistics TC'!D19</f>
        <v>2</v>
      </c>
      <c r="V90">
        <f>V89+'Statistics GM'!D19</f>
        <v>5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5</v>
      </c>
      <c r="U91">
        <f>U90+'Statistics TC'!D20</f>
        <v>2</v>
      </c>
      <c r="V91">
        <f>V90+'Statistics GM'!D20</f>
        <v>5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5</v>
      </c>
      <c r="U92">
        <f>U91+'Statistics TC'!D21</f>
        <v>2</v>
      </c>
      <c r="V92">
        <f>V91+'Statistics GM'!D21</f>
        <v>5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5</v>
      </c>
      <c r="U93">
        <f>U92+'Statistics TC'!D22</f>
        <v>2</v>
      </c>
      <c r="V93">
        <f>V92+'Statistics GM'!D22</f>
        <v>5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5</v>
      </c>
      <c r="U94">
        <f>U93+'Statistics TC'!D23</f>
        <v>2</v>
      </c>
      <c r="V94">
        <f>V93+'Statistics GM'!D23</f>
        <v>5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5</v>
      </c>
      <c r="U95">
        <f>U94+'Statistics TC'!D24</f>
        <v>2</v>
      </c>
      <c r="V95">
        <f>V94+'Statistics GM'!D24</f>
        <v>5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5</v>
      </c>
      <c r="U96">
        <f>U95+'Statistics TC'!D25</f>
        <v>2</v>
      </c>
      <c r="V96">
        <f>V95+'Statistics GM'!D25</f>
        <v>5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4">
        <f>SUM(B4:B40)</f>
        <v>19</v>
      </c>
      <c r="G3" s="104">
        <f>SUM(C4:C40)</f>
        <v>14</v>
      </c>
      <c r="H3" s="104">
        <f>SUM(D4:D40)</f>
        <v>13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5" t="str">
        <f>'Stats Global'!B5</f>
        <v>24 January</v>
      </c>
      <c r="B4" s="105">
        <f>'Stats Global'!F5</f>
        <v>4</v>
      </c>
      <c r="C4" s="105">
        <f>'Stats Global'!G5+'Stats Global'!G5</f>
        <v>2</v>
      </c>
      <c r="D4" s="105">
        <f>'Stats Global'!O5</f>
        <v>3</v>
      </c>
      <c r="H4" s="54"/>
      <c r="J4" s="124">
        <f>'Stats Global'!M5</f>
        <v>2</v>
      </c>
      <c r="K4" s="124">
        <f>'Stats Global'!H5</f>
        <v>1</v>
      </c>
      <c r="L4" s="56"/>
      <c r="M4" s="124">
        <f>'Stats Global'!J5</f>
        <v>2</v>
      </c>
      <c r="N4" s="124">
        <f>'Stats Global'!G5</f>
        <v>1</v>
      </c>
      <c r="P4" s="70" t="str">
        <f>'Stats Global'!Z18</f>
        <v>Ryan Pattemore</v>
      </c>
      <c r="Q4" s="70">
        <f>'Stats Global'!AA18</f>
        <v>5</v>
      </c>
      <c r="R4" s="70">
        <f>'Stats Global'!AB18</f>
        <v>1.25</v>
      </c>
      <c r="S4" s="70">
        <f>'Stats Global'!AC18</f>
        <v>0</v>
      </c>
      <c r="T4" s="70">
        <f>'Stats Global'!AD18</f>
        <v>0</v>
      </c>
      <c r="U4" s="70">
        <f>'Stats Global'!AE18</f>
        <v>5</v>
      </c>
      <c r="V4" s="70">
        <f>'Stats Global'!AF18</f>
        <v>1.25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5" t="str">
        <f>'Stats Global'!B6</f>
        <v>25 January</v>
      </c>
      <c r="B5" s="105">
        <f>'Stats Global'!F6</f>
        <v>2</v>
      </c>
      <c r="C5" s="105">
        <f>'Stats Global'!G6+'Stats Global'!G6</f>
        <v>2</v>
      </c>
      <c r="D5" s="105">
        <f>'Stats Global'!O6</f>
        <v>3</v>
      </c>
      <c r="G5" s="52"/>
      <c r="H5" s="54"/>
      <c r="J5" s="124">
        <f>'Stats Global'!M6</f>
        <v>1</v>
      </c>
      <c r="K5" s="124">
        <f>'Stats Global'!H6</f>
        <v>0</v>
      </c>
      <c r="L5" s="56"/>
      <c r="M5" s="124">
        <f>'Stats Global'!J6</f>
        <v>1</v>
      </c>
      <c r="N5" s="124">
        <f>'Stats Global'!G6</f>
        <v>1</v>
      </c>
      <c r="P5" s="54" t="str">
        <f>'Stats Global'!Z8</f>
        <v>Jasper Collier</v>
      </c>
      <c r="Q5" s="54">
        <f>'Stats Global'!AA8</f>
        <v>3</v>
      </c>
      <c r="R5" s="54">
        <f>'Stats Global'!AB8</f>
        <v>0.6</v>
      </c>
      <c r="S5" s="54">
        <f>'Stats Global'!AC8</f>
        <v>1</v>
      </c>
      <c r="T5" s="54">
        <f>'Stats Global'!AD8</f>
        <v>0.2</v>
      </c>
      <c r="U5" s="54">
        <f>'Stats Global'!AE8</f>
        <v>2</v>
      </c>
      <c r="V5" s="54">
        <f>'Stats Global'!AF8</f>
        <v>0.4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5" t="str">
        <f>'Stats Global'!B7</f>
        <v>29 January</v>
      </c>
      <c r="B6" s="105">
        <f>'Stats Global'!F7</f>
        <v>1</v>
      </c>
      <c r="C6" s="105">
        <f>'Stats Global'!G7+'Stats Global'!G7</f>
        <v>4</v>
      </c>
      <c r="D6" s="105">
        <f>'Stats Global'!O7</f>
        <v>2</v>
      </c>
      <c r="G6" s="52"/>
      <c r="H6" s="54"/>
      <c r="J6" s="124">
        <f>'Stats Global'!M7</f>
        <v>1</v>
      </c>
      <c r="K6" s="124">
        <f>'Stats Global'!H7</f>
        <v>0</v>
      </c>
      <c r="L6" s="56"/>
      <c r="M6" s="124">
        <f>'Stats Global'!J7</f>
        <v>0</v>
      </c>
      <c r="N6" s="124">
        <f>'Stats Global'!G7</f>
        <v>2</v>
      </c>
      <c r="P6" s="63" t="str">
        <f>'Stats Global'!Z10</f>
        <v>Alexander Galt</v>
      </c>
      <c r="Q6" s="63">
        <f>'Stats Global'!AA10</f>
        <v>12</v>
      </c>
      <c r="R6" s="63">
        <f>'Stats Global'!AB10</f>
        <v>3</v>
      </c>
      <c r="S6" s="63">
        <f>'Stats Global'!AC10</f>
        <v>12</v>
      </c>
      <c r="T6" s="63">
        <f>'Stats Global'!AD10</f>
        <v>3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1</v>
      </c>
    </row>
    <row r="7" spans="1:25" ht="14.55" customHeight="1" x14ac:dyDescent="0.45">
      <c r="A7" s="105" t="str">
        <f>'Stats Global'!B8</f>
        <v>30 January</v>
      </c>
      <c r="B7" s="105">
        <f>'Stats Global'!F8</f>
        <v>4</v>
      </c>
      <c r="C7" s="105">
        <f>'Stats Global'!G8+'Stats Global'!G8</f>
        <v>4</v>
      </c>
      <c r="D7" s="105">
        <f>'Stats Global'!O8</f>
        <v>2</v>
      </c>
      <c r="G7" s="52"/>
      <c r="H7" s="54"/>
      <c r="J7" s="124">
        <f>'Stats Global'!M8</f>
        <v>2</v>
      </c>
      <c r="K7" s="124">
        <f>'Stats Global'!H8</f>
        <v>1</v>
      </c>
      <c r="L7" s="56"/>
      <c r="M7" s="124">
        <f>'Stats Global'!J8</f>
        <v>2</v>
      </c>
      <c r="N7" s="124">
        <f>'Stats Global'!G8</f>
        <v>2</v>
      </c>
      <c r="P7" s="54" t="str">
        <f>'Stats Global'!Z11</f>
        <v>Rudy Hoschke</v>
      </c>
      <c r="Q7" s="54">
        <f>'Stats Global'!AA11</f>
        <v>15</v>
      </c>
      <c r="R7" s="54">
        <f>'Stats Global'!AB11</f>
        <v>3</v>
      </c>
      <c r="S7" s="54">
        <f>'Stats Global'!AC11</f>
        <v>15</v>
      </c>
      <c r="T7" s="54">
        <f>'Stats Global'!AD11</f>
        <v>3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5" t="str">
        <f>'Stats Global'!B9</f>
        <v>31 January</v>
      </c>
      <c r="B8" s="105">
        <f>'Stats Global'!F9</f>
        <v>8</v>
      </c>
      <c r="C8" s="105">
        <f>'Stats Global'!G9+'Stats Global'!G9</f>
        <v>2</v>
      </c>
      <c r="D8" s="105">
        <f>'Stats Global'!O9</f>
        <v>3</v>
      </c>
      <c r="G8" s="52"/>
      <c r="H8" s="54"/>
      <c r="J8" s="124">
        <f>'Stats Global'!M9</f>
        <v>4</v>
      </c>
      <c r="K8" s="124">
        <f>'Stats Global'!H9</f>
        <v>0</v>
      </c>
      <c r="L8" s="56"/>
      <c r="M8" s="124">
        <f>'Stats Global'!J9</f>
        <v>4</v>
      </c>
      <c r="N8" s="124">
        <f>'Stats Global'!G9</f>
        <v>1</v>
      </c>
      <c r="P8" s="54" t="str">
        <f>'Stats Global'!Z20</f>
        <v>Christopher Tomkinson</v>
      </c>
      <c r="Q8" s="54">
        <f>'Stats Global'!AA20</f>
        <v>7</v>
      </c>
      <c r="R8" s="54">
        <f>'Stats Global'!AB20</f>
        <v>1.75</v>
      </c>
      <c r="S8" s="54">
        <f>'Stats Global'!AC20</f>
        <v>4</v>
      </c>
      <c r="T8" s="54">
        <f>'Stats Global'!AD20</f>
        <v>1</v>
      </c>
      <c r="U8" s="54">
        <f>'Stats Global'!AE20</f>
        <v>3</v>
      </c>
      <c r="V8" s="54">
        <f>'Stats Global'!AF20</f>
        <v>0.75</v>
      </c>
      <c r="W8" s="54">
        <f>'Stats Global'!AG20</f>
        <v>0</v>
      </c>
      <c r="X8" s="54">
        <f>'Stats Global'!AH20</f>
        <v>0</v>
      </c>
      <c r="Y8" s="63">
        <f>'Stats Global'!AJ20</f>
        <v>1</v>
      </c>
    </row>
    <row r="9" spans="1:25" ht="14.55" customHeight="1" x14ac:dyDescent="0.45">
      <c r="A9" s="105">
        <f>'Stats Global'!B10</f>
        <v>0</v>
      </c>
      <c r="B9" s="105">
        <f>'Stats Global'!F10</f>
        <v>0</v>
      </c>
      <c r="C9" s="105">
        <f>'Stats Global'!G10+'Stats Global'!G10</f>
        <v>0</v>
      </c>
      <c r="D9" s="105">
        <f>'Stats Global'!O10</f>
        <v>0</v>
      </c>
      <c r="G9" s="52"/>
      <c r="H9" s="54"/>
      <c r="J9" s="124">
        <f>'Stats Global'!M10</f>
        <v>0</v>
      </c>
      <c r="K9" s="124">
        <f>'Stats Global'!H10</f>
        <v>0</v>
      </c>
      <c r="L9" s="56"/>
      <c r="M9" s="124">
        <f>'Stats Global'!J10</f>
        <v>0</v>
      </c>
      <c r="N9" s="124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5">
        <f>'Stats Global'!B11</f>
        <v>0</v>
      </c>
      <c r="B10" s="105">
        <f>'Stats Global'!F11</f>
        <v>0</v>
      </c>
      <c r="C10" s="105">
        <f>'Stats Global'!G11+'Stats Global'!G11</f>
        <v>0</v>
      </c>
      <c r="D10" s="105">
        <f>'Stats Global'!O11</f>
        <v>0</v>
      </c>
      <c r="G10" s="52"/>
      <c r="H10" s="54"/>
      <c r="J10" s="124">
        <f>'Stats Global'!M11</f>
        <v>0</v>
      </c>
      <c r="K10" s="124">
        <f>'Stats Global'!H11</f>
        <v>0</v>
      </c>
      <c r="L10" s="56"/>
      <c r="M10" s="124">
        <f>'Stats Global'!J11</f>
        <v>0</v>
      </c>
      <c r="N10" s="124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5">
        <f>'Stats Global'!B12</f>
        <v>0</v>
      </c>
      <c r="B11" s="105">
        <f>'Stats Global'!F12</f>
        <v>0</v>
      </c>
      <c r="C11" s="105">
        <f>'Stats Global'!G12+'Stats Global'!G12</f>
        <v>0</v>
      </c>
      <c r="D11" s="105">
        <f>'Stats Global'!O12</f>
        <v>0</v>
      </c>
      <c r="G11" s="52"/>
      <c r="H11" s="54"/>
      <c r="J11" s="124">
        <f>'Stats Global'!M12</f>
        <v>0</v>
      </c>
      <c r="K11" s="124">
        <f>'Stats Global'!H12</f>
        <v>0</v>
      </c>
      <c r="L11" s="56"/>
      <c r="M11" s="124">
        <f>'Stats Global'!J12</f>
        <v>0</v>
      </c>
      <c r="N11" s="124">
        <f>'Stats Global'!G12</f>
        <v>0</v>
      </c>
      <c r="P11" s="35"/>
      <c r="Q11" s="35"/>
    </row>
    <row r="12" spans="1:25" ht="14.55" customHeight="1" x14ac:dyDescent="0.45">
      <c r="A12" s="105">
        <f>'Stats Global'!B13</f>
        <v>0</v>
      </c>
      <c r="B12" s="105">
        <f>'Stats Global'!F13</f>
        <v>0</v>
      </c>
      <c r="C12" s="105">
        <f>'Stats Global'!G13+'Stats Global'!G13</f>
        <v>0</v>
      </c>
      <c r="D12" s="105">
        <f>'Stats Global'!O13</f>
        <v>0</v>
      </c>
      <c r="G12" s="52"/>
      <c r="H12" s="54"/>
      <c r="J12" s="124">
        <f>'Stats Global'!M13</f>
        <v>0</v>
      </c>
      <c r="K12" s="124">
        <f>'Stats Global'!H13</f>
        <v>0</v>
      </c>
      <c r="L12" s="56"/>
      <c r="M12" s="124">
        <f>'Stats Global'!J13</f>
        <v>0</v>
      </c>
      <c r="N12" s="124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5">
        <f>'Stats Global'!B14</f>
        <v>0</v>
      </c>
      <c r="B13" s="105">
        <f>'Stats Global'!F14</f>
        <v>0</v>
      </c>
      <c r="C13" s="105">
        <f>'Stats Global'!G14+'Stats Global'!G14</f>
        <v>0</v>
      </c>
      <c r="D13" s="105">
        <f>'Stats Global'!O14</f>
        <v>0</v>
      </c>
      <c r="H13" s="54"/>
      <c r="J13" s="124">
        <f>'Stats Global'!M14</f>
        <v>0</v>
      </c>
      <c r="K13" s="124">
        <f>'Stats Global'!H14</f>
        <v>0</v>
      </c>
      <c r="L13" s="56"/>
      <c r="M13" s="124">
        <f>'Stats Global'!J14</f>
        <v>0</v>
      </c>
      <c r="N13" s="124">
        <f>'Stats Global'!G14</f>
        <v>0</v>
      </c>
    </row>
    <row r="14" spans="1:25" ht="14.55" customHeight="1" x14ac:dyDescent="0.45">
      <c r="A14" s="105">
        <f>'Stats Global'!B15</f>
        <v>0</v>
      </c>
      <c r="B14" s="105">
        <f>'Stats Global'!F15</f>
        <v>0</v>
      </c>
      <c r="C14" s="105">
        <f>'Stats Global'!G15+'Stats Global'!G15</f>
        <v>0</v>
      </c>
      <c r="D14" s="105">
        <f>'Stats Global'!O15</f>
        <v>0</v>
      </c>
      <c r="H14" s="54"/>
      <c r="J14" s="124">
        <f>'Stats Global'!M15</f>
        <v>0</v>
      </c>
      <c r="K14" s="124">
        <f>'Stats Global'!H15</f>
        <v>0</v>
      </c>
      <c r="L14" s="56"/>
      <c r="M14" s="124">
        <f>'Stats Global'!J15</f>
        <v>0</v>
      </c>
      <c r="N14" s="124">
        <f>'Stats Global'!G15</f>
        <v>0</v>
      </c>
    </row>
    <row r="15" spans="1:25" ht="14.55" customHeight="1" x14ac:dyDescent="0.45">
      <c r="A15" s="105">
        <f>'Stats Global'!B16</f>
        <v>0</v>
      </c>
      <c r="B15" s="105">
        <f>'Stats Global'!F16</f>
        <v>0</v>
      </c>
      <c r="C15" s="105">
        <f>'Stats Global'!G16+'Stats Global'!G16</f>
        <v>0</v>
      </c>
      <c r="D15" s="105">
        <f>'Stats Global'!O16</f>
        <v>0</v>
      </c>
      <c r="H15" s="54"/>
      <c r="J15" s="124">
        <f>'Stats Global'!M16</f>
        <v>0</v>
      </c>
      <c r="K15" s="124">
        <f>'Stats Global'!H16</f>
        <v>0</v>
      </c>
      <c r="L15" s="56"/>
      <c r="M15" s="124">
        <f>'Stats Global'!J16</f>
        <v>0</v>
      </c>
      <c r="N15" s="124">
        <f>'Stats Global'!G16</f>
        <v>0</v>
      </c>
    </row>
    <row r="16" spans="1:25" ht="14.55" customHeight="1" x14ac:dyDescent="0.45">
      <c r="A16" s="105">
        <f>'Stats Global'!B17</f>
        <v>0</v>
      </c>
      <c r="B16" s="105">
        <f>'Stats Global'!F17</f>
        <v>0</v>
      </c>
      <c r="C16" s="105">
        <f>'Stats Global'!G17+'Stats Global'!G17</f>
        <v>0</v>
      </c>
      <c r="D16" s="105">
        <f>'Stats Global'!O17</f>
        <v>0</v>
      </c>
      <c r="H16" s="54"/>
      <c r="J16" s="124">
        <f>'Stats Global'!M17</f>
        <v>0</v>
      </c>
      <c r="K16" s="124">
        <f>'Stats Global'!H17</f>
        <v>0</v>
      </c>
      <c r="L16" s="56"/>
      <c r="M16" s="124">
        <f>'Stats Global'!J17</f>
        <v>0</v>
      </c>
      <c r="N16" s="124">
        <f>'Stats Global'!G17</f>
        <v>0</v>
      </c>
    </row>
    <row r="17" spans="1:14" ht="14.55" customHeight="1" x14ac:dyDescent="0.45">
      <c r="A17" s="105">
        <f>'Stats Global'!B18</f>
        <v>0</v>
      </c>
      <c r="B17" s="105">
        <f>'Stats Global'!F18</f>
        <v>0</v>
      </c>
      <c r="C17" s="105">
        <f>'Stats Global'!G18+'Stats Global'!G18</f>
        <v>0</v>
      </c>
      <c r="D17" s="105">
        <f>'Stats Global'!O18</f>
        <v>0</v>
      </c>
      <c r="E17" s="114"/>
      <c r="H17" s="54"/>
      <c r="J17" s="124">
        <f>'Stats Global'!M18</f>
        <v>0</v>
      </c>
      <c r="K17" s="124">
        <f>'Stats Global'!H18</f>
        <v>0</v>
      </c>
      <c r="L17" s="56"/>
      <c r="M17" s="124">
        <f>'Stats Global'!J18</f>
        <v>0</v>
      </c>
      <c r="N17" s="124">
        <f>'Stats Global'!G18</f>
        <v>0</v>
      </c>
    </row>
    <row r="18" spans="1:14" ht="14.55" customHeight="1" x14ac:dyDescent="0.45">
      <c r="A18" s="105">
        <f>'Stats Global'!B19</f>
        <v>0</v>
      </c>
      <c r="B18" s="105">
        <f>'Stats Global'!F19</f>
        <v>0</v>
      </c>
      <c r="C18" s="105">
        <f>'Stats Global'!G19+'Stats Global'!G19</f>
        <v>0</v>
      </c>
      <c r="D18" s="105">
        <f>'Stats Global'!O19</f>
        <v>0</v>
      </c>
      <c r="E18" s="115"/>
      <c r="H18" s="54"/>
      <c r="J18" s="124">
        <f>'Stats Global'!M19</f>
        <v>0</v>
      </c>
      <c r="K18" s="124">
        <f>'Stats Global'!H19</f>
        <v>0</v>
      </c>
      <c r="L18" s="56"/>
      <c r="M18" s="124">
        <f>'Stats Global'!J19</f>
        <v>0</v>
      </c>
      <c r="N18" s="124">
        <f>'Stats Global'!G19</f>
        <v>0</v>
      </c>
    </row>
    <row r="19" spans="1:14" ht="14.55" customHeight="1" x14ac:dyDescent="0.45">
      <c r="A19" s="105">
        <f>'Stats Global'!B20</f>
        <v>0</v>
      </c>
      <c r="B19" s="105">
        <f>'Stats Global'!F20</f>
        <v>0</v>
      </c>
      <c r="C19" s="105">
        <f>'Stats Global'!G20+'Stats Global'!G20</f>
        <v>0</v>
      </c>
      <c r="D19" s="105">
        <f>'Stats Global'!O20</f>
        <v>0</v>
      </c>
      <c r="E19" s="116"/>
      <c r="H19" s="54"/>
      <c r="J19" s="124">
        <f>'Stats Global'!M20</f>
        <v>0</v>
      </c>
      <c r="K19" s="124">
        <f>'Stats Global'!H20</f>
        <v>0</v>
      </c>
      <c r="L19" s="56"/>
      <c r="M19" s="124">
        <f>'Stats Global'!J20</f>
        <v>0</v>
      </c>
      <c r="N19" s="124">
        <f>'Stats Global'!G20</f>
        <v>0</v>
      </c>
    </row>
    <row r="20" spans="1:14" ht="14.55" customHeight="1" x14ac:dyDescent="0.45">
      <c r="A20" s="105">
        <f>'Stats Global'!B21</f>
        <v>0</v>
      </c>
      <c r="B20" s="105">
        <f>'Stats Global'!F21</f>
        <v>0</v>
      </c>
      <c r="C20" s="105">
        <f>'Stats Global'!G21+'Stats Global'!G21</f>
        <v>0</v>
      </c>
      <c r="D20" s="105">
        <f>'Stats Global'!O21</f>
        <v>0</v>
      </c>
      <c r="E20" s="117"/>
      <c r="H20" s="54"/>
      <c r="J20" s="124">
        <f>'Stats Global'!M21</f>
        <v>0</v>
      </c>
      <c r="K20" s="124">
        <f>'Stats Global'!H21</f>
        <v>0</v>
      </c>
      <c r="L20" s="56"/>
      <c r="M20" s="124">
        <f>'Stats Global'!J21</f>
        <v>0</v>
      </c>
      <c r="N20" s="124">
        <f>'Stats Global'!G21</f>
        <v>0</v>
      </c>
    </row>
    <row r="21" spans="1:14" ht="14.55" customHeight="1" x14ac:dyDescent="0.45">
      <c r="A21" s="105">
        <f>'Stats Global'!B22</f>
        <v>0</v>
      </c>
      <c r="B21" s="105">
        <f>'Stats Global'!F22</f>
        <v>0</v>
      </c>
      <c r="C21" s="105">
        <f>'Stats Global'!G22+'Stats Global'!G22</f>
        <v>0</v>
      </c>
      <c r="D21" s="105">
        <f>'Stats Global'!O22</f>
        <v>0</v>
      </c>
      <c r="H21" s="54"/>
      <c r="J21" s="124">
        <f>'Stats Global'!M22</f>
        <v>0</v>
      </c>
      <c r="K21" s="124">
        <f>'Stats Global'!H22</f>
        <v>0</v>
      </c>
      <c r="L21" s="56"/>
      <c r="M21" s="124">
        <f>'Stats Global'!J22</f>
        <v>0</v>
      </c>
      <c r="N21" s="124">
        <f>'Stats Global'!G22</f>
        <v>0</v>
      </c>
    </row>
    <row r="22" spans="1:14" ht="14.55" customHeight="1" x14ac:dyDescent="0.45">
      <c r="A22" s="105">
        <f>'Stats Global'!B23</f>
        <v>0</v>
      </c>
      <c r="B22" s="105">
        <f>'Stats Global'!F23</f>
        <v>0</v>
      </c>
      <c r="C22" s="105">
        <f>'Stats Global'!G23+'Stats Global'!G23</f>
        <v>0</v>
      </c>
      <c r="D22" s="105">
        <f>'Stats Global'!O23</f>
        <v>0</v>
      </c>
      <c r="F22" s="57"/>
      <c r="H22" s="54"/>
      <c r="J22" s="124">
        <f>'Stats Global'!M23</f>
        <v>0</v>
      </c>
      <c r="K22" s="124">
        <f>'Stats Global'!H23</f>
        <v>0</v>
      </c>
      <c r="L22" s="56"/>
      <c r="M22" s="124">
        <f>'Stats Global'!J23</f>
        <v>0</v>
      </c>
      <c r="N22" s="124">
        <f>'Stats Global'!G23</f>
        <v>0</v>
      </c>
    </row>
    <row r="23" spans="1:14" ht="14.55" customHeight="1" x14ac:dyDescent="0.45">
      <c r="A23" s="105">
        <f>'Stats Global'!B24</f>
        <v>0</v>
      </c>
      <c r="B23" s="105">
        <f>'Stats Global'!F24</f>
        <v>0</v>
      </c>
      <c r="C23" s="105">
        <f>'Stats Global'!G24+'Stats Global'!G24</f>
        <v>0</v>
      </c>
      <c r="D23" s="105">
        <f>'Stats Global'!O24</f>
        <v>0</v>
      </c>
      <c r="E23" s="118"/>
      <c r="F23" s="57"/>
      <c r="H23" s="54"/>
      <c r="J23" s="124">
        <f>'Stats Global'!M24</f>
        <v>0</v>
      </c>
      <c r="K23" s="124">
        <f>'Stats Global'!H24</f>
        <v>0</v>
      </c>
      <c r="L23" s="56"/>
      <c r="M23" s="124">
        <f>'Stats Global'!J24</f>
        <v>0</v>
      </c>
      <c r="N23" s="124">
        <f>'Stats Global'!G24</f>
        <v>0</v>
      </c>
    </row>
    <row r="24" spans="1:14" ht="14.55" customHeight="1" x14ac:dyDescent="0.45">
      <c r="A24" s="105">
        <f>'Stats Global'!B25</f>
        <v>0</v>
      </c>
      <c r="B24" s="105">
        <f>'Stats Global'!F25</f>
        <v>0</v>
      </c>
      <c r="C24" s="105">
        <f>'Stats Global'!G25+'Stats Global'!G25</f>
        <v>0</v>
      </c>
      <c r="D24" s="105">
        <f>'Stats Global'!O25</f>
        <v>0</v>
      </c>
      <c r="E24" s="57"/>
      <c r="F24" s="57"/>
      <c r="H24" s="54"/>
      <c r="J24" s="124">
        <f>'Stats Global'!M25</f>
        <v>0</v>
      </c>
      <c r="K24" s="124">
        <f>'Stats Global'!H25</f>
        <v>0</v>
      </c>
      <c r="L24" s="56"/>
      <c r="M24" s="124">
        <f>'Stats Global'!J25</f>
        <v>0</v>
      </c>
      <c r="N24" s="124">
        <f>'Stats Global'!G25</f>
        <v>0</v>
      </c>
    </row>
    <row r="25" spans="1:14" ht="14.55" customHeight="1" x14ac:dyDescent="0.45">
      <c r="A25" s="105">
        <f>'Stats Global'!B26</f>
        <v>0</v>
      </c>
      <c r="B25" s="105">
        <f>'Stats Global'!F26</f>
        <v>0</v>
      </c>
      <c r="C25" s="105">
        <f>'Stats Global'!G26+'Stats Global'!G26</f>
        <v>0</v>
      </c>
      <c r="D25" s="105">
        <f>'Stats Global'!O26</f>
        <v>0</v>
      </c>
      <c r="E25" s="57"/>
      <c r="H25" s="54"/>
      <c r="J25" s="124">
        <f>'Stats Global'!M26</f>
        <v>0</v>
      </c>
      <c r="K25" s="124">
        <f>'Stats Global'!H26</f>
        <v>0</v>
      </c>
      <c r="L25" s="56"/>
      <c r="M25" s="124">
        <f>'Stats Global'!J26</f>
        <v>0</v>
      </c>
      <c r="N25" s="124">
        <f>'Stats Global'!G26</f>
        <v>0</v>
      </c>
    </row>
    <row r="26" spans="1:14" ht="14.55" customHeight="1" x14ac:dyDescent="0.45">
      <c r="A26" s="105">
        <f>'Stats Global'!B27</f>
        <v>0</v>
      </c>
      <c r="B26" s="105">
        <f>'Stats Global'!F27</f>
        <v>0</v>
      </c>
      <c r="C26" s="105">
        <f>'Stats Global'!G27+'Stats Global'!G27</f>
        <v>0</v>
      </c>
      <c r="D26" s="105">
        <f>'Stats Global'!O27</f>
        <v>0</v>
      </c>
      <c r="H26" s="54"/>
      <c r="J26" s="124">
        <f>'Stats Global'!M27</f>
        <v>0</v>
      </c>
      <c r="K26" s="124">
        <f>'Stats Global'!H27</f>
        <v>0</v>
      </c>
      <c r="L26" s="56"/>
      <c r="M26" s="124">
        <f>'Stats Global'!J27</f>
        <v>0</v>
      </c>
      <c r="N26" s="124">
        <f>'Stats Global'!G27</f>
        <v>0</v>
      </c>
    </row>
    <row r="27" spans="1:14" ht="14.55" customHeight="1" x14ac:dyDescent="0.45">
      <c r="A27" s="105">
        <f>'Stats Global'!B28</f>
        <v>0</v>
      </c>
      <c r="B27" s="105">
        <f>'Stats Global'!F28</f>
        <v>0</v>
      </c>
      <c r="C27" s="105">
        <f>'Stats Global'!G28+'Stats Global'!G28</f>
        <v>0</v>
      </c>
      <c r="D27" s="105">
        <f>'Stats Global'!O28</f>
        <v>0</v>
      </c>
      <c r="H27" s="54"/>
      <c r="J27" s="124">
        <f>'Stats Global'!M28</f>
        <v>0</v>
      </c>
      <c r="K27" s="124">
        <f>'Stats Global'!H28</f>
        <v>0</v>
      </c>
      <c r="L27" s="56"/>
      <c r="M27" s="124">
        <f>'Stats Global'!J28</f>
        <v>0</v>
      </c>
      <c r="N27" s="124">
        <f>'Stats Global'!G28</f>
        <v>0</v>
      </c>
    </row>
    <row r="28" spans="1:14" ht="14.55" customHeight="1" x14ac:dyDescent="0.45">
      <c r="A28" s="105">
        <f>'Stats Global'!B29</f>
        <v>0</v>
      </c>
      <c r="B28" s="105">
        <f>'Stats Global'!F29</f>
        <v>0</v>
      </c>
      <c r="C28" s="105">
        <f>'Stats Global'!G29+'Stats Global'!G29</f>
        <v>0</v>
      </c>
      <c r="D28" s="105">
        <f>'Stats Global'!O29</f>
        <v>0</v>
      </c>
      <c r="H28" s="54"/>
      <c r="J28" s="124">
        <f>'Stats Global'!M29</f>
        <v>0</v>
      </c>
      <c r="K28" s="124">
        <f>'Stats Global'!H29</f>
        <v>0</v>
      </c>
      <c r="L28" s="56"/>
      <c r="M28" s="124">
        <f>'Stats Global'!J29</f>
        <v>0</v>
      </c>
      <c r="N28" s="124">
        <f>'Stats Global'!G29</f>
        <v>0</v>
      </c>
    </row>
    <row r="29" spans="1:14" ht="14.55" customHeight="1" x14ac:dyDescent="0.45">
      <c r="A29" s="105">
        <f>'Stats Global'!B30</f>
        <v>0</v>
      </c>
      <c r="B29" s="105">
        <f>'Stats Global'!F30</f>
        <v>0</v>
      </c>
      <c r="C29" s="105">
        <f>'Stats Global'!G30+'Stats Global'!G30</f>
        <v>0</v>
      </c>
      <c r="D29" s="105">
        <f>'Stats Global'!O30</f>
        <v>0</v>
      </c>
      <c r="H29" s="54"/>
      <c r="J29" s="124">
        <f>'Stats Global'!M30</f>
        <v>0</v>
      </c>
      <c r="K29" s="124">
        <f>'Stats Global'!H30</f>
        <v>0</v>
      </c>
      <c r="L29" s="56"/>
      <c r="M29" s="124">
        <f>'Stats Global'!J30</f>
        <v>0</v>
      </c>
      <c r="N29" s="124">
        <f>'Stats Global'!G30</f>
        <v>0</v>
      </c>
    </row>
    <row r="30" spans="1:14" ht="14.55" customHeight="1" x14ac:dyDescent="0.45">
      <c r="A30" s="105">
        <f>'Stats Global'!B31</f>
        <v>0</v>
      </c>
      <c r="B30" s="105">
        <f>'Stats Global'!F31</f>
        <v>0</v>
      </c>
      <c r="C30" s="105">
        <f>'Stats Global'!G31+'Stats Global'!G31</f>
        <v>0</v>
      </c>
      <c r="D30" s="105">
        <f>'Stats Global'!O31</f>
        <v>0</v>
      </c>
      <c r="J30" s="124">
        <f>'Stats Global'!M31</f>
        <v>0</v>
      </c>
      <c r="K30" s="124">
        <f>'Stats Global'!H31</f>
        <v>0</v>
      </c>
      <c r="L30" s="56"/>
      <c r="M30" s="124">
        <f>'Stats Global'!J31</f>
        <v>0</v>
      </c>
      <c r="N30" s="124">
        <f>'Stats Global'!G31</f>
        <v>0</v>
      </c>
    </row>
    <row r="31" spans="1:14" ht="14.55" customHeight="1" x14ac:dyDescent="0.45">
      <c r="A31" s="105">
        <f>'Stats Global'!B32</f>
        <v>0</v>
      </c>
      <c r="B31" s="105">
        <f>'Stats Global'!F32</f>
        <v>0</v>
      </c>
      <c r="C31" s="105">
        <f>'Stats Global'!G32+'Stats Global'!G32</f>
        <v>0</v>
      </c>
      <c r="D31" s="105">
        <f>'Stats Global'!O32</f>
        <v>0</v>
      </c>
      <c r="J31" s="124">
        <f>'Stats Global'!M32</f>
        <v>0</v>
      </c>
      <c r="K31" s="124">
        <f>'Stats Global'!H32</f>
        <v>0</v>
      </c>
      <c r="L31" s="56"/>
      <c r="M31" s="124">
        <f>'Stats Global'!J32</f>
        <v>0</v>
      </c>
      <c r="N31" s="124">
        <f>'Stats Global'!G32</f>
        <v>0</v>
      </c>
    </row>
    <row r="32" spans="1:14" ht="14.55" customHeight="1" x14ac:dyDescent="0.45">
      <c r="A32" s="105">
        <f>'Stats Global'!B33</f>
        <v>0</v>
      </c>
      <c r="B32" s="105">
        <f>'Stats Global'!F33</f>
        <v>0</v>
      </c>
      <c r="C32" s="105">
        <f>'Stats Global'!G33+'Stats Global'!G33</f>
        <v>0</v>
      </c>
      <c r="D32" s="105">
        <f>'Stats Global'!O33</f>
        <v>0</v>
      </c>
      <c r="J32" s="124">
        <f>'Stats Global'!M33</f>
        <v>0</v>
      </c>
      <c r="K32" s="124">
        <f>'Stats Global'!H33</f>
        <v>0</v>
      </c>
      <c r="L32" s="56"/>
      <c r="M32" s="124">
        <f>'Stats Global'!J33</f>
        <v>0</v>
      </c>
      <c r="N32" s="124">
        <f>'Stats Global'!G33</f>
        <v>0</v>
      </c>
    </row>
    <row r="33" spans="1:14" ht="14.55" customHeight="1" x14ac:dyDescent="0.45">
      <c r="A33" s="105">
        <f>'Stats Global'!B34</f>
        <v>0</v>
      </c>
      <c r="B33" s="105">
        <f>'Stats Global'!F34</f>
        <v>0</v>
      </c>
      <c r="C33" s="105">
        <f>'Stats Global'!G34+'Stats Global'!G34</f>
        <v>0</v>
      </c>
      <c r="D33" s="105">
        <f>'Stats Global'!O34</f>
        <v>0</v>
      </c>
      <c r="J33" s="124">
        <f>'Stats Global'!M34</f>
        <v>0</v>
      </c>
      <c r="K33" s="124">
        <f>'Stats Global'!H34</f>
        <v>0</v>
      </c>
      <c r="L33" s="56"/>
      <c r="M33" s="124">
        <f>'Stats Global'!J34</f>
        <v>0</v>
      </c>
      <c r="N33" s="124">
        <f>'Stats Global'!G34</f>
        <v>0</v>
      </c>
    </row>
    <row r="34" spans="1:14" ht="14.25" customHeight="1" x14ac:dyDescent="0.45">
      <c r="A34" s="105">
        <f>'Stats Global'!B35</f>
        <v>0</v>
      </c>
      <c r="B34" s="105">
        <f>'Stats Global'!F35</f>
        <v>0</v>
      </c>
      <c r="C34" s="105">
        <f>'Stats Global'!G35+'Stats Global'!G35</f>
        <v>0</v>
      </c>
      <c r="D34" s="105">
        <f>'Stats Global'!O35</f>
        <v>0</v>
      </c>
      <c r="J34" s="124">
        <f>'Stats Global'!M35</f>
        <v>0</v>
      </c>
      <c r="K34" s="124">
        <f>'Stats Global'!H35</f>
        <v>0</v>
      </c>
      <c r="L34" s="56"/>
      <c r="M34" s="124">
        <f>'Stats Global'!J35</f>
        <v>0</v>
      </c>
      <c r="N34" s="124">
        <f>'Stats Global'!G35</f>
        <v>0</v>
      </c>
    </row>
    <row r="35" spans="1:14" ht="14.25" customHeight="1" x14ac:dyDescent="0.45">
      <c r="A35" s="105">
        <f>'Stats Global'!B36</f>
        <v>0</v>
      </c>
      <c r="B35" s="105">
        <f>'Stats Global'!F36</f>
        <v>0</v>
      </c>
      <c r="C35" s="105">
        <f>'Stats Global'!G36+'Stats Global'!G36</f>
        <v>0</v>
      </c>
      <c r="D35" s="105">
        <f>'Stats Global'!O36</f>
        <v>0</v>
      </c>
      <c r="J35" s="124">
        <f>'Stats Global'!M36</f>
        <v>0</v>
      </c>
      <c r="K35" s="124">
        <f>'Stats Global'!H36</f>
        <v>0</v>
      </c>
      <c r="L35" s="56"/>
      <c r="M35" s="124">
        <f>'Stats Global'!J36</f>
        <v>0</v>
      </c>
      <c r="N35" s="124">
        <f>'Stats Global'!G36</f>
        <v>0</v>
      </c>
    </row>
    <row r="36" spans="1:14" ht="14.25" customHeight="1" x14ac:dyDescent="0.45">
      <c r="A36" s="105">
        <f>'Stats Global'!B37</f>
        <v>0</v>
      </c>
      <c r="B36" s="105">
        <f>'Stats Global'!F37</f>
        <v>0</v>
      </c>
      <c r="C36" s="105">
        <f>'Stats Global'!G37+'Stats Global'!G37</f>
        <v>0</v>
      </c>
      <c r="D36" s="105">
        <f>'Stats Global'!O37</f>
        <v>0</v>
      </c>
      <c r="J36" s="124">
        <f>'Stats Global'!M37</f>
        <v>0</v>
      </c>
      <c r="K36" s="124">
        <f>'Stats Global'!H37</f>
        <v>0</v>
      </c>
      <c r="L36" s="56"/>
      <c r="M36" s="124">
        <f>'Stats Global'!J37</f>
        <v>0</v>
      </c>
      <c r="N36" s="124">
        <f>'Stats Global'!G37</f>
        <v>0</v>
      </c>
    </row>
    <row r="37" spans="1:14" ht="14.25" customHeight="1" x14ac:dyDescent="0.45">
      <c r="A37" s="105">
        <f>'Stats Global'!B38</f>
        <v>0</v>
      </c>
      <c r="B37" s="105">
        <f>'Stats Global'!F38</f>
        <v>0</v>
      </c>
      <c r="C37" s="105">
        <f>'Stats Global'!G38+'Stats Global'!G38</f>
        <v>0</v>
      </c>
      <c r="D37" s="105">
        <f>'Stats Global'!O38</f>
        <v>0</v>
      </c>
      <c r="J37" s="124">
        <f>'Stats Global'!M38</f>
        <v>0</v>
      </c>
      <c r="K37" s="124">
        <f>'Stats Global'!H38</f>
        <v>0</v>
      </c>
      <c r="L37" s="56"/>
      <c r="M37" s="124">
        <f>'Stats Global'!J38</f>
        <v>0</v>
      </c>
      <c r="N37" s="124">
        <f>'Stats Global'!G38</f>
        <v>0</v>
      </c>
    </row>
    <row r="38" spans="1:14" ht="14.25" customHeight="1" x14ac:dyDescent="0.45">
      <c r="A38" s="105">
        <f>'Stats Global'!B39</f>
        <v>0</v>
      </c>
      <c r="B38" s="105">
        <f>'Stats Global'!F39</f>
        <v>0</v>
      </c>
      <c r="C38" s="105">
        <f>'Stats Global'!G39+'Stats Global'!G39</f>
        <v>0</v>
      </c>
      <c r="D38" s="105">
        <f>'Stats Global'!O39</f>
        <v>0</v>
      </c>
      <c r="J38" s="124">
        <f>'Stats Global'!M39</f>
        <v>0</v>
      </c>
      <c r="K38" s="124">
        <f>'Stats Global'!H39</f>
        <v>0</v>
      </c>
      <c r="L38" s="56"/>
      <c r="M38" s="124">
        <f>'Stats Global'!J39</f>
        <v>0</v>
      </c>
      <c r="N38" s="124">
        <f>'Stats Global'!G39</f>
        <v>0</v>
      </c>
    </row>
    <row r="39" spans="1:14" ht="14.25" customHeight="1" x14ac:dyDescent="0.45">
      <c r="A39" s="105">
        <f>'Stats Global'!B40</f>
        <v>0</v>
      </c>
      <c r="B39" s="105">
        <f>'Stats Global'!F40</f>
        <v>0</v>
      </c>
      <c r="C39" s="105">
        <f>'Stats Global'!G40+'Stats Global'!G40</f>
        <v>0</v>
      </c>
      <c r="D39" s="105">
        <f>'Stats Global'!O40</f>
        <v>0</v>
      </c>
      <c r="J39" s="124">
        <f>'Stats Global'!M40</f>
        <v>0</v>
      </c>
      <c r="K39" s="124">
        <f>'Stats Global'!H40</f>
        <v>0</v>
      </c>
      <c r="L39" s="56"/>
      <c r="M39" s="124">
        <f>'Stats Global'!J40</f>
        <v>0</v>
      </c>
      <c r="N39" s="124">
        <f>'Stats Global'!G40</f>
        <v>0</v>
      </c>
    </row>
    <row r="40" spans="1:14" ht="14.25" customHeight="1" x14ac:dyDescent="0.45">
      <c r="A40" s="105">
        <f>'Stats Global'!B41</f>
        <v>0</v>
      </c>
      <c r="B40" s="105">
        <f>'Stats Global'!F41</f>
        <v>0</v>
      </c>
      <c r="C40" s="105">
        <f>'Stats Global'!G41+'Stats Global'!G41</f>
        <v>0</v>
      </c>
      <c r="D40" s="105">
        <f>'Stats Global'!O41</f>
        <v>0</v>
      </c>
      <c r="J40" s="124">
        <f>'Stats Global'!M41</f>
        <v>0</v>
      </c>
      <c r="K40" s="124">
        <f>'Stats Global'!H41</f>
        <v>0</v>
      </c>
      <c r="L40" s="56"/>
      <c r="M40" s="124">
        <f>'Stats Global'!J41</f>
        <v>0</v>
      </c>
      <c r="N40" s="124">
        <f>'Stats Global'!G41</f>
        <v>0</v>
      </c>
    </row>
    <row r="41" spans="1:14" ht="14.25" customHeight="1" x14ac:dyDescent="0.45">
      <c r="C41" s="76">
        <f>SUM(B4:B40)/SUM(B4:C40)</f>
        <v>0.5757575757575758</v>
      </c>
      <c r="H41" s="54"/>
      <c r="I41" s="52" t="s">
        <v>81</v>
      </c>
      <c r="J41" s="108">
        <f>SUM(J4:J40)</f>
        <v>10</v>
      </c>
      <c r="K41" s="108">
        <f>SUM(K4:K40)</f>
        <v>2</v>
      </c>
      <c r="L41" s="54"/>
      <c r="M41" s="108">
        <f>SUM(M4:M40)</f>
        <v>9</v>
      </c>
      <c r="N41" s="108">
        <f>SUM(N4:N40)</f>
        <v>7</v>
      </c>
    </row>
    <row r="42" spans="1:14" ht="14.25" customHeight="1" x14ac:dyDescent="0.45">
      <c r="J42" s="58">
        <f>IFERROR(J41/(K41+J41),0)</f>
        <v>0.83333333333333337</v>
      </c>
      <c r="M42" s="58">
        <f>IFERROR(M41/(N41+M41),0)</f>
        <v>0.5625</v>
      </c>
    </row>
    <row r="43" spans="1:14" ht="14.25" customHeight="1" x14ac:dyDescent="0.45">
      <c r="G43" s="59" t="str">
        <f>F3&amp;","&amp;G3&amp;","&amp;H3&amp;"],"</f>
        <v>19,14,13],</v>
      </c>
      <c r="I43" s="36" t="s">
        <v>106</v>
      </c>
      <c r="K43" s="36" t="s">
        <v>110</v>
      </c>
      <c r="M43" s="60">
        <f>IFERROR(ROUND((SUM(Table1114[Points]))/'Stats Global'!AA6,1),0)</f>
        <v>8.4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15,"Rudy Hoschke",15,"Rudy Hoschke",5,"Ryan Pattemore",0,"N/A"],</v>
      </c>
      <c r="I44" s="36" t="s">
        <v>107</v>
      </c>
      <c r="K44" s="61">
        <f>MAX(Table1114[Points])</f>
        <v>15</v>
      </c>
      <c r="L44" s="36" t="str">
        <f>IF(K44&lt;&gt;0, _xlfn.XLOOKUP(K44,Table1114[Points],Table1114[Name], "N/A"), "N/A")</f>
        <v>Rudy Hoschke</v>
      </c>
      <c r="M44" s="60">
        <f>IFERROR(ROUND((SUM(Table1114[Finishes]))/'Stats Global'!AA6,1),0)</f>
        <v>6.4</v>
      </c>
    </row>
    <row r="45" spans="1:14" ht="14.25" customHeight="1" x14ac:dyDescent="0.45">
      <c r="G45" s="36" t="str">
        <f>M43&amp;","&amp;M44&amp;","&amp;M45&amp;","&amp;M46&amp;","&amp;M47&amp;","&amp;M48&amp;"],"</f>
        <v>8.4,6.4,2,0,3.8,2.8],</v>
      </c>
      <c r="I45" s="36" t="s">
        <v>108</v>
      </c>
      <c r="K45" s="61">
        <f>MAX(Table1114[Finishes])</f>
        <v>15</v>
      </c>
      <c r="L45" s="36" t="str">
        <f>IF(K45&lt;&gt;0, _xlfn.XLOOKUP(K45,Table1114[Finishes],Table1114[Name], "N/A"), "N/A")</f>
        <v>Rudy Hoschke</v>
      </c>
      <c r="M45" s="60">
        <f>IFERROR(ROUND((SUM(Table1114[Midranges]))/'Stats Global'!AA6,1),0)</f>
        <v>2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10,2,83.3,9,7,56.3],</v>
      </c>
      <c r="I46" s="36" t="s">
        <v>109</v>
      </c>
      <c r="K46" s="61">
        <f>MAX(Table1114[Midranges])</f>
        <v>5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3.8</v>
      </c>
    </row>
    <row r="48" spans="1:14" ht="14.25" customHeight="1" x14ac:dyDescent="0.45">
      <c r="M48" s="36">
        <f>IFERROR(ROUND(G3/'Stats Global'!AA6,1),0)</f>
        <v>2.8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7">
        <f>SUM(B4:B40)</f>
        <v>6</v>
      </c>
      <c r="G3" s="107">
        <f>SUM(C4:C40)</f>
        <v>17</v>
      </c>
      <c r="H3" s="107">
        <f>SUM(D4:D40)</f>
        <v>6.5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5" t="str">
        <f>'Stats Global'!B5</f>
        <v>24 January</v>
      </c>
      <c r="B4" s="106">
        <f>'Stats Global'!L5</f>
        <v>2</v>
      </c>
      <c r="C4" s="106">
        <f>'Stats Global'!M5+'Stats Global'!N5</f>
        <v>3</v>
      </c>
      <c r="D4" s="106">
        <f>'Stats Global'!Q5</f>
        <v>1.5</v>
      </c>
      <c r="J4" s="125">
        <f>'Stats Global'!K5</f>
        <v>1</v>
      </c>
      <c r="K4" s="125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0.4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0.2</v>
      </c>
      <c r="V4" s="63">
        <f>'Stats Global'!AJ15</f>
        <v>0</v>
      </c>
    </row>
    <row r="5" spans="1:22" ht="14.25" customHeight="1" x14ac:dyDescent="0.45">
      <c r="A5" s="105" t="str">
        <f>'Stats Global'!B6</f>
        <v>25 January</v>
      </c>
      <c r="B5" s="106">
        <f>'Stats Global'!L6</f>
        <v>1</v>
      </c>
      <c r="C5" s="106">
        <f>'Stats Global'!M6+'Stats Global'!N6</f>
        <v>1</v>
      </c>
      <c r="D5" s="106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3</v>
      </c>
      <c r="O5" s="54">
        <f>'Stats Global'!AB14</f>
        <v>0.6</v>
      </c>
      <c r="P5" s="54">
        <f>'Stats Global'!AC14</f>
        <v>0</v>
      </c>
      <c r="Q5" s="54">
        <f>'Stats Global'!AD14</f>
        <v>0</v>
      </c>
      <c r="R5" s="54">
        <f>'Stats Global'!AE14</f>
        <v>3</v>
      </c>
      <c r="S5" s="54">
        <f>'Stats Global'!AF14</f>
        <v>0.6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5" t="str">
        <f>'Stats Global'!B7</f>
        <v>29 January</v>
      </c>
      <c r="B6" s="106">
        <f>'Stats Global'!L7</f>
        <v>1</v>
      </c>
      <c r="C6" s="106">
        <f>'Stats Global'!M7+'Stats Global'!N7</f>
        <v>2</v>
      </c>
      <c r="D6" s="106">
        <f>'Stats Global'!Q7</f>
        <v>1</v>
      </c>
      <c r="G6" s="52"/>
      <c r="H6" s="54"/>
      <c r="J6" s="55">
        <f>'Stats Global'!N7</f>
        <v>1</v>
      </c>
      <c r="K6" s="55">
        <f>'Stats Global'!K7</f>
        <v>1</v>
      </c>
      <c r="L6" s="56"/>
      <c r="M6" s="54" t="str">
        <f>'Stats Global'!Z16</f>
        <v>William Kim</v>
      </c>
      <c r="N6" s="54">
        <f>'Stats Global'!AA16</f>
        <v>3</v>
      </c>
      <c r="O6" s="54">
        <f>'Stats Global'!AB16</f>
        <v>0.75</v>
      </c>
      <c r="P6" s="54">
        <f>'Stats Global'!AC16</f>
        <v>1</v>
      </c>
      <c r="Q6" s="54">
        <f>'Stats Global'!AD16</f>
        <v>0.25</v>
      </c>
      <c r="R6" s="54">
        <f>'Stats Global'!AE16</f>
        <v>2</v>
      </c>
      <c r="S6" s="54">
        <f>'Stats Global'!AF16</f>
        <v>0.5</v>
      </c>
      <c r="T6" s="54">
        <f>'Stats Global'!AG16</f>
        <v>0</v>
      </c>
      <c r="U6" s="54">
        <f>'Stats Global'!AH16</f>
        <v>0</v>
      </c>
      <c r="V6" s="63">
        <f>'Stats Global'!AJ16</f>
        <v>1</v>
      </c>
    </row>
    <row r="7" spans="1:22" ht="14.25" customHeight="1" x14ac:dyDescent="0.45">
      <c r="A7" s="105" t="str">
        <f>'Stats Global'!B8</f>
        <v>30 January</v>
      </c>
      <c r="B7" s="106">
        <f>'Stats Global'!L8</f>
        <v>2</v>
      </c>
      <c r="C7" s="106">
        <f>'Stats Global'!M8+'Stats Global'!N8</f>
        <v>5</v>
      </c>
      <c r="D7" s="106">
        <f>'Stats Global'!Q8</f>
        <v>1</v>
      </c>
      <c r="G7" s="52"/>
      <c r="H7" s="54"/>
      <c r="J7" s="55">
        <f>'Stats Global'!N8</f>
        <v>3</v>
      </c>
      <c r="K7" s="55">
        <f>'Stats Global'!K8</f>
        <v>1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5</v>
      </c>
    </row>
    <row r="8" spans="1:22" ht="14.25" customHeight="1" x14ac:dyDescent="0.45">
      <c r="A8" s="105" t="str">
        <f>'Stats Global'!B9</f>
        <v>31 January</v>
      </c>
      <c r="B8" s="106">
        <f>'Stats Global'!L9</f>
        <v>0</v>
      </c>
      <c r="C8" s="106">
        <f>'Stats Global'!M9+'Stats Global'!N9</f>
        <v>6</v>
      </c>
      <c r="D8" s="106">
        <f>'Stats Global'!Q9</f>
        <v>1</v>
      </c>
      <c r="G8" s="52"/>
      <c r="H8" s="54"/>
      <c r="J8" s="55">
        <f>'Stats Global'!N9</f>
        <v>2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7</v>
      </c>
      <c r="O8" s="54">
        <f>'Stats Global'!AB21</f>
        <v>1.4</v>
      </c>
      <c r="P8" s="54">
        <f>'Stats Global'!AC21</f>
        <v>1</v>
      </c>
      <c r="Q8" s="54">
        <f>'Stats Global'!AD21</f>
        <v>0.2</v>
      </c>
      <c r="R8" s="54">
        <f>'Stats Global'!AE21</f>
        <v>2</v>
      </c>
      <c r="S8" s="54">
        <f>'Stats Global'!AF21</f>
        <v>0.4</v>
      </c>
      <c r="T8" s="54">
        <f>'Stats Global'!AG21</f>
        <v>2</v>
      </c>
      <c r="U8" s="54">
        <f>'Stats Global'!AH21</f>
        <v>0.4</v>
      </c>
      <c r="V8" s="63">
        <f>'Stats Global'!AJ21</f>
        <v>0</v>
      </c>
    </row>
    <row r="9" spans="1:22" ht="14.25" customHeight="1" x14ac:dyDescent="0.45">
      <c r="A9" s="105">
        <f>'Stats Global'!B10</f>
        <v>0</v>
      </c>
      <c r="B9" s="106">
        <f>'Stats Global'!L10</f>
        <v>0</v>
      </c>
      <c r="C9" s="106">
        <f>'Stats Global'!M10+'Stats Global'!N10</f>
        <v>0</v>
      </c>
      <c r="D9" s="106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5">
        <f>'Stats Global'!B11</f>
        <v>0</v>
      </c>
      <c r="B10" s="106">
        <f>'Stats Global'!L11</f>
        <v>0</v>
      </c>
      <c r="C10" s="106">
        <f>'Stats Global'!M11+'Stats Global'!N11</f>
        <v>0</v>
      </c>
      <c r="D10" s="106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5">
        <f>'Stats Global'!B12</f>
        <v>0</v>
      </c>
      <c r="B11" s="106">
        <f>'Stats Global'!L12</f>
        <v>0</v>
      </c>
      <c r="C11" s="106">
        <f>'Stats Global'!M12+'Stats Global'!N12</f>
        <v>0</v>
      </c>
      <c r="D11" s="106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5">
        <f>'Stats Global'!B13</f>
        <v>0</v>
      </c>
      <c r="B12" s="106">
        <f>'Stats Global'!L13</f>
        <v>0</v>
      </c>
      <c r="C12" s="106">
        <f>'Stats Global'!M13+'Stats Global'!N13</f>
        <v>0</v>
      </c>
      <c r="D12" s="106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5">
        <f>'Stats Global'!B14</f>
        <v>0</v>
      </c>
      <c r="B13" s="106">
        <f>'Stats Global'!L14</f>
        <v>0</v>
      </c>
      <c r="C13" s="106">
        <f>'Stats Global'!M14+'Stats Global'!N14</f>
        <v>0</v>
      </c>
      <c r="D13" s="106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5">
        <f>'Stats Global'!B15</f>
        <v>0</v>
      </c>
      <c r="B14" s="106">
        <f>'Stats Global'!L15</f>
        <v>0</v>
      </c>
      <c r="C14" s="106">
        <f>'Stats Global'!M15+'Stats Global'!N15</f>
        <v>0</v>
      </c>
      <c r="D14" s="106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5">
        <f>'Stats Global'!B16</f>
        <v>0</v>
      </c>
      <c r="B15" s="106">
        <f>'Stats Global'!L16</f>
        <v>0</v>
      </c>
      <c r="C15" s="106">
        <f>'Stats Global'!M16+'Stats Global'!N16</f>
        <v>0</v>
      </c>
      <c r="D15" s="106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5">
        <f>'Stats Global'!B17</f>
        <v>0</v>
      </c>
      <c r="B16" s="106">
        <f>'Stats Global'!L17</f>
        <v>0</v>
      </c>
      <c r="C16" s="106">
        <f>'Stats Global'!M17+'Stats Global'!N17</f>
        <v>0</v>
      </c>
      <c r="D16" s="106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5">
        <f>'Stats Global'!B18</f>
        <v>0</v>
      </c>
      <c r="B17" s="106">
        <f>'Stats Global'!L18</f>
        <v>0</v>
      </c>
      <c r="C17" s="106">
        <f>'Stats Global'!M18+'Stats Global'!N18</f>
        <v>0</v>
      </c>
      <c r="D17" s="106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5">
        <f>'Stats Global'!B19</f>
        <v>0</v>
      </c>
      <c r="B18" s="106">
        <f>'Stats Global'!L19</f>
        <v>0</v>
      </c>
      <c r="C18" s="106">
        <f>'Stats Global'!M19+'Stats Global'!N19</f>
        <v>0</v>
      </c>
      <c r="D18" s="106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5">
        <f>'Stats Global'!B20</f>
        <v>0</v>
      </c>
      <c r="B19" s="106">
        <f>'Stats Global'!L20</f>
        <v>0</v>
      </c>
      <c r="C19" s="106">
        <f>'Stats Global'!M20+'Stats Global'!N20</f>
        <v>0</v>
      </c>
      <c r="D19" s="106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5">
        <f>'Stats Global'!B21</f>
        <v>0</v>
      </c>
      <c r="B20" s="106">
        <f>'Stats Global'!L21</f>
        <v>0</v>
      </c>
      <c r="C20" s="106">
        <f>'Stats Global'!M21+'Stats Global'!N21</f>
        <v>0</v>
      </c>
      <c r="D20" s="106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5">
        <f>'Stats Global'!B22</f>
        <v>0</v>
      </c>
      <c r="B21" s="106">
        <f>'Stats Global'!L22</f>
        <v>0</v>
      </c>
      <c r="C21" s="106">
        <f>'Stats Global'!M22+'Stats Global'!N22</f>
        <v>0</v>
      </c>
      <c r="D21" s="106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5">
        <f>'Stats Global'!B23</f>
        <v>0</v>
      </c>
      <c r="B22" s="106">
        <f>'Stats Global'!L23</f>
        <v>0</v>
      </c>
      <c r="C22" s="106">
        <f>'Stats Global'!M23+'Stats Global'!N23</f>
        <v>0</v>
      </c>
      <c r="D22" s="106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5">
        <f>'Stats Global'!B24</f>
        <v>0</v>
      </c>
      <c r="B23" s="106">
        <f>'Stats Global'!L24</f>
        <v>0</v>
      </c>
      <c r="C23" s="106">
        <f>'Stats Global'!M24+'Stats Global'!N24</f>
        <v>0</v>
      </c>
      <c r="D23" s="106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5">
        <f>'Stats Global'!B25</f>
        <v>0</v>
      </c>
      <c r="B24" s="106">
        <f>'Stats Global'!L25</f>
        <v>0</v>
      </c>
      <c r="C24" s="106">
        <f>'Stats Global'!M25+'Stats Global'!N25</f>
        <v>0</v>
      </c>
      <c r="D24" s="106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5">
        <f>'Stats Global'!B26</f>
        <v>0</v>
      </c>
      <c r="B25" s="106">
        <f>'Stats Global'!L26</f>
        <v>0</v>
      </c>
      <c r="C25" s="106">
        <f>'Stats Global'!M26+'Stats Global'!N26</f>
        <v>0</v>
      </c>
      <c r="D25" s="106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5">
        <f>'Stats Global'!B27</f>
        <v>0</v>
      </c>
      <c r="B26" s="106">
        <f>'Stats Global'!L27</f>
        <v>0</v>
      </c>
      <c r="C26" s="106">
        <f>'Stats Global'!M27+'Stats Global'!N27</f>
        <v>0</v>
      </c>
      <c r="D26" s="106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5">
        <f>'Stats Global'!B28</f>
        <v>0</v>
      </c>
      <c r="B27" s="106">
        <f>'Stats Global'!L28</f>
        <v>0</v>
      </c>
      <c r="C27" s="106">
        <f>'Stats Global'!M28+'Stats Global'!N28</f>
        <v>0</v>
      </c>
      <c r="D27" s="106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5">
        <f>'Stats Global'!B29</f>
        <v>0</v>
      </c>
      <c r="B28" s="106">
        <f>'Stats Global'!L29</f>
        <v>0</v>
      </c>
      <c r="C28" s="106">
        <f>'Stats Global'!M29+'Stats Global'!N29</f>
        <v>0</v>
      </c>
      <c r="D28" s="106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5">
        <f>'Stats Global'!B30</f>
        <v>0</v>
      </c>
      <c r="B29" s="106">
        <f>'Stats Global'!L30</f>
        <v>0</v>
      </c>
      <c r="C29" s="106">
        <f>'Stats Global'!M30+'Stats Global'!N30</f>
        <v>0</v>
      </c>
      <c r="D29" s="106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5">
        <f>'Stats Global'!B31</f>
        <v>0</v>
      </c>
      <c r="B30" s="106">
        <f>'Stats Global'!L31</f>
        <v>0</v>
      </c>
      <c r="C30" s="106">
        <f>'Stats Global'!M31+'Stats Global'!N31</f>
        <v>0</v>
      </c>
      <c r="D30" s="106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5">
        <f>'Stats Global'!B32</f>
        <v>0</v>
      </c>
      <c r="B31" s="106">
        <f>'Stats Global'!L32</f>
        <v>0</v>
      </c>
      <c r="C31" s="106">
        <f>'Stats Global'!M32+'Stats Global'!N32</f>
        <v>0</v>
      </c>
      <c r="D31" s="106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5">
        <f>'Stats Global'!B33</f>
        <v>0</v>
      </c>
      <c r="B32" s="106">
        <f>'Stats Global'!L33</f>
        <v>0</v>
      </c>
      <c r="C32" s="106">
        <f>'Stats Global'!M33+'Stats Global'!N33</f>
        <v>0</v>
      </c>
      <c r="D32" s="106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5">
        <f>'Stats Global'!B34</f>
        <v>0</v>
      </c>
      <c r="B33" s="106">
        <f>'Stats Global'!L34</f>
        <v>0</v>
      </c>
      <c r="C33" s="106">
        <f>'Stats Global'!M34+'Stats Global'!N34</f>
        <v>0</v>
      </c>
      <c r="D33" s="106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5">
        <f>'Stats Global'!B35</f>
        <v>0</v>
      </c>
      <c r="B34" s="106">
        <f>'Stats Global'!L35</f>
        <v>0</v>
      </c>
      <c r="C34" s="106">
        <f>'Stats Global'!M35+'Stats Global'!N35</f>
        <v>0</v>
      </c>
      <c r="D34" s="106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5">
        <f>'Stats Global'!B36</f>
        <v>0</v>
      </c>
      <c r="B35" s="106">
        <f>'Stats Global'!L36</f>
        <v>0</v>
      </c>
      <c r="C35" s="106">
        <f>'Stats Global'!M36+'Stats Global'!N36</f>
        <v>0</v>
      </c>
      <c r="D35" s="106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5">
        <f>'Stats Global'!B37</f>
        <v>0</v>
      </c>
      <c r="B36" s="106">
        <f>'Stats Global'!L37</f>
        <v>0</v>
      </c>
      <c r="C36" s="106">
        <f>'Stats Global'!M37+'Stats Global'!N37</f>
        <v>0</v>
      </c>
      <c r="D36" s="106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5">
        <f>'Stats Global'!B38</f>
        <v>0</v>
      </c>
      <c r="B37" s="106">
        <f>'Stats Global'!L38</f>
        <v>0</v>
      </c>
      <c r="C37" s="106">
        <f>'Stats Global'!M38+'Stats Global'!N38</f>
        <v>0</v>
      </c>
      <c r="D37" s="106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5">
        <f>'Stats Global'!B39</f>
        <v>0</v>
      </c>
      <c r="B38" s="106">
        <f>'Stats Global'!L39</f>
        <v>0</v>
      </c>
      <c r="C38" s="106">
        <f>'Stats Global'!M39+'Stats Global'!N39</f>
        <v>0</v>
      </c>
      <c r="D38" s="106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5">
        <f>'Stats Global'!B40</f>
        <v>0</v>
      </c>
      <c r="B39" s="106">
        <f>'Stats Global'!L40</f>
        <v>0</v>
      </c>
      <c r="C39" s="106">
        <f>'Stats Global'!M40+'Stats Global'!N40</f>
        <v>0</v>
      </c>
      <c r="D39" s="106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5">
        <f>'Stats Global'!B41</f>
        <v>0</v>
      </c>
      <c r="B40" s="106">
        <f>'Stats Global'!L41</f>
        <v>0</v>
      </c>
      <c r="C40" s="106">
        <f>'Stats Global'!M41+'Stats Global'!N41</f>
        <v>0</v>
      </c>
      <c r="D40" s="106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0.2608695652173913</v>
      </c>
      <c r="H41" s="54"/>
      <c r="I41" s="36" t="s">
        <v>81</v>
      </c>
      <c r="J41" s="109">
        <f>SUM(J4:J40)</f>
        <v>7</v>
      </c>
      <c r="K41" s="109">
        <f>SUM(K4:K40)</f>
        <v>4</v>
      </c>
      <c r="L41" s="54"/>
      <c r="M41" s="54"/>
    </row>
    <row r="42" spans="1:14" ht="14.25" customHeight="1" x14ac:dyDescent="0.45">
      <c r="J42" s="58">
        <f>IFERROR(J41/(K41+J41),0)</f>
        <v>0.63636363636363635</v>
      </c>
    </row>
    <row r="43" spans="1:14" ht="14.25" customHeight="1" x14ac:dyDescent="0.45">
      <c r="H43" s="59" t="str">
        <f>F3&amp;","&amp;G3&amp;","&amp;H3&amp;"],"</f>
        <v>6,17,6.5],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8.4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7,"Angus Walker",1,"William Kim",3,"Sam James",2,"Angus Walker"],</v>
      </c>
      <c r="J44" s="36" t="s">
        <v>107</v>
      </c>
      <c r="L44" s="61">
        <f>MAX(Table1113[Points])</f>
        <v>7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0.4</v>
      </c>
    </row>
    <row r="45" spans="1:14" ht="14.25" customHeight="1" x14ac:dyDescent="0.45">
      <c r="H45" s="36" t="str">
        <f>N43&amp;","&amp;N44&amp;","&amp;N45&amp;","&amp;N46&amp;","&amp;N47&amp;","&amp;N48&amp;"],"</f>
        <v>8.4,0.4,1.4,0.6,1.2,3.4],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1.4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2,10,16.7,7,4,63.6],</v>
      </c>
      <c r="J46" s="36" t="s">
        <v>109</v>
      </c>
      <c r="L46" s="61">
        <f>MAX(Table1113[Midranges])</f>
        <v>3</v>
      </c>
      <c r="M46" s="36" t="str">
        <f>IF(L46&lt;&gt;0, _xlfn.XLOOKUP(L46,Table1113[Midranges],Table1113[Name], "N/A"), "N/A")</f>
        <v>Sam James</v>
      </c>
      <c r="N46" s="60">
        <f>IFERROR(ROUND((SUM(Table1113[Threes]))/'Stats Global'!AA6,1),0)</f>
        <v>0.6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1.2</v>
      </c>
    </row>
    <row r="48" spans="1:14" ht="14.25" customHeight="1" x14ac:dyDescent="0.45">
      <c r="N48" s="36">
        <f>IFERROR(ROUND(G3/'Stats Global'!AA6,1),0)</f>
        <v>3.4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7">
        <f>SUM(B4:B40)</f>
        <v>14</v>
      </c>
      <c r="F3" s="107">
        <f>SUM(C4:C40)</f>
        <v>13</v>
      </c>
      <c r="G3" s="107">
        <f>SUM(D4:D40)</f>
        <v>10.5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5" t="str">
        <f>'Stats Global'!B5</f>
        <v>24 January</v>
      </c>
      <c r="B4" s="106">
        <f>'Stats Global'!I5</f>
        <v>2</v>
      </c>
      <c r="C4" s="106">
        <f>'Stats Global'!J5+'Stats Global'!K5</f>
        <v>3</v>
      </c>
      <c r="D4" s="106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5" t="str">
        <f>'Stats Global'!B6</f>
        <v>25 January</v>
      </c>
      <c r="B5" s="106">
        <f>'Stats Global'!I6</f>
        <v>1</v>
      </c>
      <c r="C5" s="106">
        <f>'Stats Global'!J6+'Stats Global'!K6</f>
        <v>2</v>
      </c>
      <c r="D5" s="106">
        <f>'Stats Global'!P6</f>
        <v>1</v>
      </c>
      <c r="H5" s="54"/>
      <c r="I5" s="54" t="str">
        <f>'Stats Global'!Z9</f>
        <v>Conor Farrington</v>
      </c>
      <c r="J5" s="54">
        <f>'Stats Global'!AA9</f>
        <v>2</v>
      </c>
      <c r="K5" s="54">
        <f>'Stats Global'!AB9</f>
        <v>0.4</v>
      </c>
      <c r="L5" s="54">
        <f>'Stats Global'!AC9</f>
        <v>0</v>
      </c>
      <c r="M5" s="54">
        <f>'Stats Global'!AD9</f>
        <v>0</v>
      </c>
      <c r="N5" s="54">
        <f>'Stats Global'!AE9</f>
        <v>2</v>
      </c>
      <c r="O5" s="54">
        <f>'Stats Global'!AF9</f>
        <v>0.4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5" t="str">
        <f>'Stats Global'!B7</f>
        <v>29 January</v>
      </c>
      <c r="B6" s="106">
        <f>'Stats Global'!I7</f>
        <v>3</v>
      </c>
      <c r="C6" s="106">
        <f>'Stats Global'!J7+'Stats Global'!K7</f>
        <v>1</v>
      </c>
      <c r="D6" s="106">
        <f>'Stats Global'!P7</f>
        <v>3</v>
      </c>
      <c r="E6" s="52"/>
      <c r="F6" s="62"/>
      <c r="H6" s="54"/>
      <c r="I6" s="54" t="str">
        <f>'Stats Global'!Z12</f>
        <v>Michael Iffland</v>
      </c>
      <c r="J6" s="54">
        <f>'Stats Global'!AA12</f>
        <v>8</v>
      </c>
      <c r="K6" s="54">
        <f>'Stats Global'!AB12</f>
        <v>1.6</v>
      </c>
      <c r="L6" s="54">
        <f>'Stats Global'!AC12</f>
        <v>6</v>
      </c>
      <c r="M6" s="54">
        <f>'Stats Global'!AD12</f>
        <v>1.2</v>
      </c>
      <c r="N6" s="54">
        <f>'Stats Global'!AE12</f>
        <v>2</v>
      </c>
      <c r="O6" s="54">
        <f>'Stats Global'!AF12</f>
        <v>0.4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5" t="str">
        <f>'Stats Global'!B8</f>
        <v>30 January</v>
      </c>
      <c r="B7" s="106">
        <f>'Stats Global'!I8</f>
        <v>5</v>
      </c>
      <c r="C7" s="106">
        <f>'Stats Global'!J8+'Stats Global'!K8</f>
        <v>3</v>
      </c>
      <c r="D7" s="106">
        <f>'Stats Global'!P8</f>
        <v>3</v>
      </c>
      <c r="E7" s="52"/>
      <c r="F7" s="62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1.4</v>
      </c>
      <c r="L7" s="54">
        <f>'Stats Global'!AC13</f>
        <v>6</v>
      </c>
      <c r="M7" s="54">
        <f>'Stats Global'!AD13</f>
        <v>1.2</v>
      </c>
      <c r="N7" s="54">
        <f>'Stats Global'!AE13</f>
        <v>1</v>
      </c>
      <c r="O7" s="54">
        <f>'Stats Global'!AF13</f>
        <v>0.2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5" t="str">
        <f>'Stats Global'!B9</f>
        <v>31 January</v>
      </c>
      <c r="B8" s="106">
        <f>'Stats Global'!I9</f>
        <v>3</v>
      </c>
      <c r="C8" s="106">
        <f>'Stats Global'!J9+'Stats Global'!K9</f>
        <v>4</v>
      </c>
      <c r="D8" s="106">
        <f>'Stats Global'!P9</f>
        <v>2</v>
      </c>
      <c r="E8" s="52"/>
      <c r="F8" s="62"/>
      <c r="H8" s="54"/>
      <c r="I8" s="54" t="str">
        <f>'Stats Global'!Z17</f>
        <v>Samuel McConaghy</v>
      </c>
      <c r="J8" s="54">
        <f>'Stats Global'!AA17</f>
        <v>15</v>
      </c>
      <c r="K8" s="54">
        <f>'Stats Global'!AB17</f>
        <v>3</v>
      </c>
      <c r="L8" s="54">
        <f>'Stats Global'!AC17</f>
        <v>6</v>
      </c>
      <c r="M8" s="54">
        <f>'Stats Global'!AD17</f>
        <v>1.2</v>
      </c>
      <c r="N8" s="54">
        <f>'Stats Global'!AE17</f>
        <v>9</v>
      </c>
      <c r="O8" s="54">
        <f>'Stats Global'!AF17</f>
        <v>1.8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5">
        <f>'Stats Global'!B10</f>
        <v>0</v>
      </c>
      <c r="B9" s="106">
        <f>'Stats Global'!I10</f>
        <v>0</v>
      </c>
      <c r="C9" s="106">
        <f>'Stats Global'!J10+'Stats Global'!K10</f>
        <v>0</v>
      </c>
      <c r="D9" s="106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0.4</v>
      </c>
      <c r="L9" s="54">
        <f>'Stats Global'!AC22</f>
        <v>2</v>
      </c>
      <c r="M9" s="54">
        <f>'Stats Global'!AD22</f>
        <v>0.4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5">
        <f>'Stats Global'!B11</f>
        <v>0</v>
      </c>
      <c r="B10" s="106">
        <f>'Stats Global'!I11</f>
        <v>0</v>
      </c>
      <c r="C10" s="106">
        <f>'Stats Global'!J11+'Stats Global'!K11</f>
        <v>0</v>
      </c>
      <c r="D10" s="106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4</v>
      </c>
      <c r="V10" s="54"/>
      <c r="W10" s="54"/>
      <c r="X10" s="54"/>
    </row>
    <row r="11" spans="1:24" ht="14.25" customHeight="1" x14ac:dyDescent="0.45">
      <c r="A11" s="105">
        <f>'Stats Global'!B12</f>
        <v>0</v>
      </c>
      <c r="B11" s="106">
        <f>'Stats Global'!I12</f>
        <v>0</v>
      </c>
      <c r="C11" s="106">
        <f>'Stats Global'!J12+'Stats Global'!K12</f>
        <v>0</v>
      </c>
      <c r="D11" s="106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5">
        <f>'Stats Global'!B13</f>
        <v>0</v>
      </c>
      <c r="B12" s="106">
        <f>'Stats Global'!I13</f>
        <v>0</v>
      </c>
      <c r="C12" s="106">
        <f>'Stats Global'!J13+'Stats Global'!K13</f>
        <v>0</v>
      </c>
      <c r="D12" s="106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5">
        <f>'Stats Global'!B14</f>
        <v>0</v>
      </c>
      <c r="B13" s="106">
        <f>'Stats Global'!I14</f>
        <v>0</v>
      </c>
      <c r="C13" s="106">
        <f>'Stats Global'!J14+'Stats Global'!K14</f>
        <v>0</v>
      </c>
      <c r="D13" s="106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5">
        <f>'Stats Global'!B15</f>
        <v>0</v>
      </c>
      <c r="B14" s="106">
        <f>'Stats Global'!I15</f>
        <v>0</v>
      </c>
      <c r="C14" s="106">
        <f>'Stats Global'!J15+'Stats Global'!K15</f>
        <v>0</v>
      </c>
      <c r="D14" s="106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5">
        <f>'Stats Global'!B16</f>
        <v>0</v>
      </c>
      <c r="B15" s="106">
        <f>'Stats Global'!I16</f>
        <v>0</v>
      </c>
      <c r="C15" s="106">
        <f>'Stats Global'!J16+'Stats Global'!K16</f>
        <v>0</v>
      </c>
      <c r="D15" s="106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5">
        <f>'Stats Global'!B17</f>
        <v>0</v>
      </c>
      <c r="B16" s="106">
        <f>'Stats Global'!I17</f>
        <v>0</v>
      </c>
      <c r="C16" s="106">
        <f>'Stats Global'!J17+'Stats Global'!K17</f>
        <v>0</v>
      </c>
      <c r="D16" s="106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5">
        <f>'Stats Global'!B18</f>
        <v>0</v>
      </c>
      <c r="B17" s="106">
        <f>'Stats Global'!I18</f>
        <v>0</v>
      </c>
      <c r="C17" s="106">
        <f>'Stats Global'!J18+'Stats Global'!K18</f>
        <v>0</v>
      </c>
      <c r="D17" s="106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5">
        <f>'Stats Global'!B19</f>
        <v>0</v>
      </c>
      <c r="B18" s="106">
        <f>'Stats Global'!I19</f>
        <v>0</v>
      </c>
      <c r="C18" s="106">
        <f>'Stats Global'!J19+'Stats Global'!K19</f>
        <v>0</v>
      </c>
      <c r="D18" s="106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5">
        <f>'Stats Global'!B20</f>
        <v>0</v>
      </c>
      <c r="B19" s="106">
        <f>'Stats Global'!I20</f>
        <v>0</v>
      </c>
      <c r="C19" s="106">
        <f>'Stats Global'!J20+'Stats Global'!K20</f>
        <v>0</v>
      </c>
      <c r="D19" s="106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5">
        <f>'Stats Global'!B21</f>
        <v>0</v>
      </c>
      <c r="B20" s="106">
        <f>'Stats Global'!I21</f>
        <v>0</v>
      </c>
      <c r="C20" s="106">
        <f>'Stats Global'!J21+'Stats Global'!K21</f>
        <v>0</v>
      </c>
      <c r="D20" s="106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5">
        <f>'Stats Global'!B22</f>
        <v>0</v>
      </c>
      <c r="B21" s="106">
        <f>'Stats Global'!I22</f>
        <v>0</v>
      </c>
      <c r="C21" s="106">
        <f>'Stats Global'!J22+'Stats Global'!K22</f>
        <v>0</v>
      </c>
      <c r="D21" s="106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5">
        <f>'Stats Global'!B23</f>
        <v>0</v>
      </c>
      <c r="B22" s="106">
        <f>'Stats Global'!I23</f>
        <v>0</v>
      </c>
      <c r="C22" s="106">
        <f>'Stats Global'!J23+'Stats Global'!K23</f>
        <v>0</v>
      </c>
      <c r="D22" s="106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5">
        <f>'Stats Global'!B24</f>
        <v>0</v>
      </c>
      <c r="B23" s="106">
        <f>'Stats Global'!I24</f>
        <v>0</v>
      </c>
      <c r="C23" s="106">
        <f>'Stats Global'!J24+'Stats Global'!K24</f>
        <v>0</v>
      </c>
      <c r="D23" s="106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5">
        <f>'Stats Global'!B25</f>
        <v>0</v>
      </c>
      <c r="B24" s="106">
        <f>'Stats Global'!I25</f>
        <v>0</v>
      </c>
      <c r="C24" s="106">
        <f>'Stats Global'!J25+'Stats Global'!K25</f>
        <v>0</v>
      </c>
      <c r="D24" s="106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5">
        <f>'Stats Global'!B26</f>
        <v>0</v>
      </c>
      <c r="B25" s="106">
        <f>'Stats Global'!I26</f>
        <v>0</v>
      </c>
      <c r="C25" s="106">
        <f>'Stats Global'!J26+'Stats Global'!K26</f>
        <v>0</v>
      </c>
      <c r="D25" s="106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5">
        <f>'Stats Global'!B27</f>
        <v>0</v>
      </c>
      <c r="B26" s="106">
        <f>'Stats Global'!I27</f>
        <v>0</v>
      </c>
      <c r="C26" s="106">
        <f>'Stats Global'!J27+'Stats Global'!K27</f>
        <v>0</v>
      </c>
      <c r="D26" s="106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5">
        <f>'Stats Global'!B28</f>
        <v>0</v>
      </c>
      <c r="B27" s="106">
        <f>'Stats Global'!I28</f>
        <v>0</v>
      </c>
      <c r="C27" s="106">
        <f>'Stats Global'!J28+'Stats Global'!K28</f>
        <v>0</v>
      </c>
      <c r="D27" s="106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5">
        <f>'Stats Global'!B29</f>
        <v>0</v>
      </c>
      <c r="B28" s="106">
        <f>'Stats Global'!I29</f>
        <v>0</v>
      </c>
      <c r="C28" s="106">
        <f>'Stats Global'!J29+'Stats Global'!K29</f>
        <v>0</v>
      </c>
      <c r="D28" s="106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5">
        <f>'Stats Global'!B30</f>
        <v>0</v>
      </c>
      <c r="B29" s="106">
        <f>'Stats Global'!I30</f>
        <v>0</v>
      </c>
      <c r="C29" s="106">
        <f>'Stats Global'!J30+'Stats Global'!K30</f>
        <v>0</v>
      </c>
      <c r="D29" s="106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5">
        <f>'Stats Global'!B31</f>
        <v>0</v>
      </c>
      <c r="B30" s="106">
        <f>'Stats Global'!I31</f>
        <v>0</v>
      </c>
      <c r="C30" s="106">
        <f>'Stats Global'!J31+'Stats Global'!K31</f>
        <v>0</v>
      </c>
      <c r="D30" s="106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5">
        <f>'Stats Global'!B32</f>
        <v>0</v>
      </c>
      <c r="B31" s="106">
        <f>'Stats Global'!I32</f>
        <v>0</v>
      </c>
      <c r="C31" s="106">
        <f>'Stats Global'!J32+'Stats Global'!K32</f>
        <v>0</v>
      </c>
      <c r="D31" s="106">
        <f>'Stats Global'!P32</f>
        <v>0</v>
      </c>
      <c r="G31" s="52"/>
      <c r="N31" s="58"/>
    </row>
    <row r="32" spans="1:24" ht="14.25" customHeight="1" x14ac:dyDescent="0.45">
      <c r="A32" s="105">
        <f>'Stats Global'!B33</f>
        <v>0</v>
      </c>
      <c r="B32" s="106">
        <f>'Stats Global'!I33</f>
        <v>0</v>
      </c>
      <c r="C32" s="106">
        <f>'Stats Global'!J33+'Stats Global'!K33</f>
        <v>0</v>
      </c>
      <c r="D32" s="106">
        <f>'Stats Global'!P33</f>
        <v>0</v>
      </c>
      <c r="G32" s="52"/>
      <c r="H32" s="59" t="str">
        <f>E3&amp;","&amp;F3&amp;","&amp;G3&amp;"],"</f>
        <v>14,13,10.5],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6.8</v>
      </c>
    </row>
    <row r="33" spans="1:14" ht="14.25" customHeight="1" x14ac:dyDescent="0.45">
      <c r="A33" s="105">
        <f>'Stats Global'!B34</f>
        <v>0</v>
      </c>
      <c r="B33" s="106">
        <f>'Stats Global'!I34</f>
        <v>0</v>
      </c>
      <c r="C33" s="106">
        <f>'Stats Global'!J34+'Stats Global'!K34</f>
        <v>0</v>
      </c>
      <c r="D33" s="106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15,"Samuel McConaghy",6,"N/A",9,"N/A",0,"N/A"],</v>
      </c>
      <c r="J33" s="36" t="s">
        <v>107</v>
      </c>
      <c r="L33" s="61">
        <f>MAX(Table11[Points])</f>
        <v>15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4</v>
      </c>
    </row>
    <row r="34" spans="1:14" ht="14.25" customHeight="1" x14ac:dyDescent="0.45">
      <c r="A34" s="105">
        <f>'Stats Global'!B35</f>
        <v>0</v>
      </c>
      <c r="B34" s="106">
        <f>'Stats Global'!I35</f>
        <v>0</v>
      </c>
      <c r="C34" s="106">
        <f>'Stats Global'!J35+'Stats Global'!K35</f>
        <v>0</v>
      </c>
      <c r="D34" s="106">
        <f>'Stats Global'!P35</f>
        <v>0</v>
      </c>
      <c r="H34" s="36" t="str">
        <f>N32&amp;","&amp;N33&amp;","&amp;N34&amp;","&amp;N35&amp;","&amp;N36&amp;","&amp;N37&amp;"],"</f>
        <v>6.8,4,2.8,0,2.8,2.6],</v>
      </c>
      <c r="J34" s="36" t="s">
        <v>108</v>
      </c>
      <c r="L34" s="61">
        <f>MAX(Table11[Finishes])</f>
        <v>6</v>
      </c>
      <c r="M34" s="36" t="str">
        <f>IF(L33&lt;&gt;0, _xlfn.XLOOKUP(L33,K5:K10,I5:I10, "N/A"), "N/A")</f>
        <v>N/A</v>
      </c>
      <c r="N34" s="60">
        <f>IFERROR(ROUND((SUM(Table11[Midranges]))/'Stats Global'!AA6,1),0)</f>
        <v>2.8</v>
      </c>
    </row>
    <row r="35" spans="1:14" ht="14.25" customHeight="1" x14ac:dyDescent="0.45">
      <c r="A35" s="105">
        <f>'Stats Global'!B36</f>
        <v>0</v>
      </c>
      <c r="B35" s="106">
        <f>'Stats Global'!I36</f>
        <v>0</v>
      </c>
      <c r="C35" s="106">
        <f>'Stats Global'!J36+'Stats Global'!K36</f>
        <v>0</v>
      </c>
      <c r="D35" s="106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7,9,43.8,4,7,36.4],</v>
      </c>
      <c r="J35" s="36" t="s">
        <v>109</v>
      </c>
      <c r="L35" s="61">
        <f>MAX(Table11[Midranges])</f>
        <v>9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5">
        <f>'Stats Global'!B37</f>
        <v>0</v>
      </c>
      <c r="B36" s="106">
        <f>'Stats Global'!I37</f>
        <v>0</v>
      </c>
      <c r="C36" s="106">
        <f>'Stats Global'!J37+'Stats Global'!K37</f>
        <v>0</v>
      </c>
      <c r="D36" s="106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2.8</v>
      </c>
    </row>
    <row r="37" spans="1:14" ht="14.25" customHeight="1" x14ac:dyDescent="0.45">
      <c r="A37" s="105">
        <f>'Stats Global'!B38</f>
        <v>0</v>
      </c>
      <c r="B37" s="106">
        <f>'Stats Global'!I38</f>
        <v>0</v>
      </c>
      <c r="C37" s="106">
        <f>'Stats Global'!J38+'Stats Global'!K38</f>
        <v>0</v>
      </c>
      <c r="D37" s="106">
        <f>'Stats Global'!P38</f>
        <v>0</v>
      </c>
      <c r="N37" s="36">
        <f>IFERROR(ROUND(F3/'Stats Global'!AA6,1),0)</f>
        <v>2.6</v>
      </c>
    </row>
    <row r="38" spans="1:14" ht="14.25" customHeight="1" x14ac:dyDescent="0.45">
      <c r="A38" s="105">
        <f>'Stats Global'!B39</f>
        <v>0</v>
      </c>
      <c r="B38" s="106">
        <f>'Stats Global'!I39</f>
        <v>0</v>
      </c>
      <c r="C38" s="106">
        <f>'Stats Global'!J39+'Stats Global'!K39</f>
        <v>0</v>
      </c>
      <c r="D38" s="106">
        <f>'Stats Global'!P39</f>
        <v>0</v>
      </c>
    </row>
    <row r="39" spans="1:14" ht="14.25" customHeight="1" x14ac:dyDescent="0.45">
      <c r="A39" s="105">
        <f>'Stats Global'!B40</f>
        <v>0</v>
      </c>
      <c r="B39" s="106">
        <f>'Stats Global'!I40</f>
        <v>0</v>
      </c>
      <c r="C39" s="106">
        <f>'Stats Global'!J40+'Stats Global'!K40</f>
        <v>0</v>
      </c>
      <c r="D39" s="106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5">
        <f>'Stats Global'!B41</f>
        <v>0</v>
      </c>
      <c r="B40" s="106">
        <f>'Stats Global'!I41</f>
        <v>0</v>
      </c>
      <c r="C40" s="106">
        <f>'Stats Global'!J41+'Stats Global'!K41</f>
        <v>0</v>
      </c>
      <c r="D40" s="106">
        <f>'Stats Global'!P41</f>
        <v>0</v>
      </c>
    </row>
    <row r="41" spans="1:14" ht="14.25" customHeight="1" x14ac:dyDescent="0.45">
      <c r="C41" s="76">
        <f>SUM(B4:B40)/SUM(B4:C40)</f>
        <v>0.51851851851851849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223</v>
      </c>
      <c r="C4" s="126"/>
      <c r="D4" s="126"/>
      <c r="E4" s="126"/>
      <c r="F4" s="126"/>
      <c r="G4" s="126"/>
      <c r="H4" s="126"/>
      <c r="I4" s="126"/>
      <c r="J4" s="126"/>
      <c r="K4" s="126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/>
      <c r="D5" s="126"/>
      <c r="E5" s="126"/>
      <c r="F5" s="126"/>
      <c r="G5" s="126"/>
      <c r="H5" s="126"/>
      <c r="I5" s="126"/>
      <c r="J5" s="126"/>
      <c r="K5" s="126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/>
      <c r="D6" s="126"/>
      <c r="E6" s="126"/>
      <c r="F6" s="126"/>
      <c r="G6" s="126"/>
      <c r="H6" s="126"/>
      <c r="I6" s="126"/>
      <c r="J6" s="126"/>
      <c r="K6" s="126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/>
      <c r="D7" s="126"/>
      <c r="E7" s="126"/>
      <c r="F7" s="126"/>
      <c r="G7" s="126"/>
      <c r="H7" s="126"/>
      <c r="I7" s="126"/>
      <c r="J7" s="126"/>
      <c r="K7" s="126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/>
      <c r="D8" s="126"/>
      <c r="E8" s="126"/>
      <c r="F8" s="126"/>
      <c r="G8" s="126"/>
      <c r="H8" s="126"/>
      <c r="I8" s="126"/>
      <c r="J8" s="126"/>
      <c r="K8" s="126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/>
      <c r="D9" s="126"/>
      <c r="E9" s="126"/>
      <c r="F9" s="126"/>
      <c r="G9" s="126"/>
      <c r="H9" s="126"/>
      <c r="I9" s="126"/>
      <c r="J9" s="126"/>
      <c r="K9" s="126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/>
      <c r="D10" s="126"/>
      <c r="E10" s="126"/>
      <c r="F10" s="126"/>
      <c r="G10" s="126"/>
      <c r="H10" s="126"/>
      <c r="I10" s="126"/>
      <c r="J10" s="126"/>
      <c r="K10" s="126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/>
      <c r="D11" s="126"/>
      <c r="E11" s="126"/>
      <c r="F11" s="126"/>
      <c r="G11" s="126"/>
      <c r="H11" s="126"/>
      <c r="I11" s="126"/>
      <c r="J11" s="126"/>
      <c r="K11" s="126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/>
      <c r="D12" s="126"/>
      <c r="E12" s="126"/>
      <c r="F12" s="126"/>
      <c r="G12" s="126"/>
      <c r="H12" s="126"/>
      <c r="I12" s="126"/>
      <c r="J12" s="126"/>
      <c r="K12" s="126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/>
      <c r="D13" s="126"/>
      <c r="E13" s="126"/>
      <c r="F13" s="126"/>
      <c r="G13" s="126"/>
      <c r="H13" s="126"/>
      <c r="I13" s="126"/>
      <c r="J13" s="126"/>
      <c r="K13" s="126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/>
      <c r="D14" s="126"/>
      <c r="E14" s="126"/>
      <c r="F14" s="126"/>
      <c r="G14" s="126"/>
      <c r="H14" s="126"/>
      <c r="I14" s="126"/>
      <c r="J14" s="126"/>
      <c r="K14" s="126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/>
      <c r="D15" s="126"/>
      <c r="E15" s="126"/>
      <c r="F15" s="126"/>
      <c r="G15" s="126"/>
      <c r="H15" s="126"/>
      <c r="I15" s="126"/>
      <c r="J15" s="126"/>
      <c r="K15" s="126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dimension ref="B1:AF1000"/>
  <sheetViews>
    <sheetView tabSelected="1" zoomScale="57" zoomScaleNormal="50" workbookViewId="0">
      <selection activeCell="Q6" sqref="Q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227</v>
      </c>
      <c r="C4" s="127">
        <v>1</v>
      </c>
      <c r="D4" s="127" t="s">
        <v>171</v>
      </c>
      <c r="E4" s="127" t="s">
        <v>172</v>
      </c>
      <c r="F4" s="127" t="s">
        <v>217</v>
      </c>
      <c r="G4" s="127" t="s">
        <v>32</v>
      </c>
      <c r="H4" s="127" t="s">
        <v>218</v>
      </c>
      <c r="I4" s="127" t="s">
        <v>219</v>
      </c>
      <c r="J4" s="127" t="s">
        <v>219</v>
      </c>
      <c r="K4" s="127">
        <v>1</v>
      </c>
      <c r="M4" s="1" t="s">
        <v>164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>
        <v>1</v>
      </c>
      <c r="D5" s="127" t="s">
        <v>171</v>
      </c>
      <c r="E5" s="127" t="s">
        <v>172</v>
      </c>
      <c r="F5" s="127" t="s">
        <v>215</v>
      </c>
      <c r="G5" s="127" t="s">
        <v>26</v>
      </c>
      <c r="H5" s="127" t="s">
        <v>83</v>
      </c>
      <c r="I5" s="127">
        <v>1</v>
      </c>
      <c r="J5" s="127">
        <v>1</v>
      </c>
      <c r="K5" s="127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>
        <v>2</v>
      </c>
      <c r="D6" s="127" t="s">
        <v>173</v>
      </c>
      <c r="E6" s="127" t="s">
        <v>171</v>
      </c>
      <c r="F6" s="127" t="s">
        <v>217</v>
      </c>
      <c r="G6" s="127" t="s">
        <v>46</v>
      </c>
      <c r="H6" s="127" t="s">
        <v>83</v>
      </c>
      <c r="I6" s="127" t="s">
        <v>219</v>
      </c>
      <c r="J6" s="127" t="s">
        <v>219</v>
      </c>
      <c r="K6" s="127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>
        <v>2</v>
      </c>
      <c r="D7" s="127" t="s">
        <v>173</v>
      </c>
      <c r="E7" s="127" t="s">
        <v>171</v>
      </c>
      <c r="F7" s="127" t="s">
        <v>215</v>
      </c>
      <c r="G7" s="127" t="s">
        <v>52</v>
      </c>
      <c r="H7" s="127" t="s">
        <v>218</v>
      </c>
      <c r="I7" s="127">
        <v>1</v>
      </c>
      <c r="J7" s="127">
        <v>1</v>
      </c>
      <c r="K7" s="127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>
        <v>3</v>
      </c>
      <c r="D8" s="127" t="s">
        <v>173</v>
      </c>
      <c r="E8" s="127" t="s">
        <v>172</v>
      </c>
      <c r="F8" s="127" t="s">
        <v>217</v>
      </c>
      <c r="G8" s="127" t="s">
        <v>52</v>
      </c>
      <c r="H8" s="127" t="s">
        <v>218</v>
      </c>
      <c r="I8" s="127" t="s">
        <v>219</v>
      </c>
      <c r="J8" s="127" t="s">
        <v>219</v>
      </c>
      <c r="K8" s="127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>
        <v>3</v>
      </c>
      <c r="D9" s="127" t="s">
        <v>173</v>
      </c>
      <c r="E9" s="127" t="s">
        <v>172</v>
      </c>
      <c r="F9" s="127" t="s">
        <v>215</v>
      </c>
      <c r="G9" s="127" t="s">
        <v>27</v>
      </c>
      <c r="H9" s="127" t="s">
        <v>218</v>
      </c>
      <c r="I9" s="127">
        <v>2</v>
      </c>
      <c r="J9" s="127">
        <v>2</v>
      </c>
      <c r="K9" s="127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>
        <v>4</v>
      </c>
      <c r="D10" s="127" t="s">
        <v>173</v>
      </c>
      <c r="E10" s="127" t="s">
        <v>171</v>
      </c>
      <c r="F10" s="127" t="s">
        <v>217</v>
      </c>
      <c r="G10" s="127" t="s">
        <v>52</v>
      </c>
      <c r="H10" s="127" t="s">
        <v>83</v>
      </c>
      <c r="I10" s="127" t="s">
        <v>219</v>
      </c>
      <c r="J10" s="127" t="s">
        <v>219</v>
      </c>
      <c r="K10" s="127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>
        <v>4</v>
      </c>
      <c r="D11" s="127" t="s">
        <v>173</v>
      </c>
      <c r="E11" s="127" t="s">
        <v>171</v>
      </c>
      <c r="F11" s="127" t="s">
        <v>215</v>
      </c>
      <c r="G11" s="127" t="s">
        <v>25</v>
      </c>
      <c r="H11" s="127" t="s">
        <v>83</v>
      </c>
      <c r="I11" s="127">
        <v>3</v>
      </c>
      <c r="J11" s="127">
        <v>2</v>
      </c>
      <c r="K11" s="127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>
        <v>5</v>
      </c>
      <c r="D12" s="127" t="s">
        <v>173</v>
      </c>
      <c r="E12" s="127" t="s">
        <v>172</v>
      </c>
      <c r="F12" s="127" t="s">
        <v>217</v>
      </c>
      <c r="G12" s="127" t="s">
        <v>30</v>
      </c>
      <c r="H12" s="127" t="s">
        <v>218</v>
      </c>
      <c r="I12" s="127" t="s">
        <v>219</v>
      </c>
      <c r="J12" s="127" t="s">
        <v>219</v>
      </c>
      <c r="K12" s="127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>
        <v>5</v>
      </c>
      <c r="D13" s="127" t="s">
        <v>173</v>
      </c>
      <c r="E13" s="127" t="s">
        <v>172</v>
      </c>
      <c r="F13" s="127" t="s">
        <v>215</v>
      </c>
      <c r="G13" s="127" t="s">
        <v>27</v>
      </c>
      <c r="H13" s="127" t="s">
        <v>218</v>
      </c>
      <c r="I13" s="127">
        <v>4</v>
      </c>
      <c r="J13" s="127">
        <v>3</v>
      </c>
      <c r="K13" s="127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>
        <v>6</v>
      </c>
      <c r="D14" s="127" t="s">
        <v>171</v>
      </c>
      <c r="E14" s="127" t="s">
        <v>173</v>
      </c>
      <c r="F14" s="127" t="s">
        <v>217</v>
      </c>
      <c r="G14" s="127" t="s">
        <v>37</v>
      </c>
      <c r="H14" s="127" t="s">
        <v>83</v>
      </c>
      <c r="I14" s="127" t="s">
        <v>219</v>
      </c>
      <c r="J14" s="127" t="s">
        <v>219</v>
      </c>
      <c r="K14" s="127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>
        <v>6</v>
      </c>
      <c r="D15" s="127" t="s">
        <v>173</v>
      </c>
      <c r="E15" s="127" t="s">
        <v>171</v>
      </c>
      <c r="F15" s="128" t="s">
        <v>221</v>
      </c>
      <c r="G15" s="127" t="s">
        <v>27</v>
      </c>
      <c r="H15" s="127" t="s">
        <v>218</v>
      </c>
      <c r="I15" s="127" t="s">
        <v>219</v>
      </c>
      <c r="J15" s="127" t="s">
        <v>219</v>
      </c>
      <c r="K15" s="127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>
        <v>6</v>
      </c>
      <c r="D16" s="127" t="s">
        <v>173</v>
      </c>
      <c r="E16" s="127" t="s">
        <v>171</v>
      </c>
      <c r="F16" s="128" t="s">
        <v>220</v>
      </c>
      <c r="G16" s="127" t="s">
        <v>30</v>
      </c>
      <c r="H16" s="127" t="s">
        <v>218</v>
      </c>
      <c r="I16" s="127">
        <v>5</v>
      </c>
      <c r="J16" s="127">
        <v>3</v>
      </c>
      <c r="K16" s="127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>
        <v>7</v>
      </c>
      <c r="D17" s="127" t="s">
        <v>173</v>
      </c>
      <c r="E17" s="127" t="s">
        <v>172</v>
      </c>
      <c r="F17" s="127" t="s">
        <v>217</v>
      </c>
      <c r="G17" s="127" t="s">
        <v>27</v>
      </c>
      <c r="H17" s="127" t="s">
        <v>218</v>
      </c>
      <c r="I17" s="127" t="s">
        <v>219</v>
      </c>
      <c r="J17" s="127" t="s">
        <v>219</v>
      </c>
      <c r="K17" s="127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>
        <v>7</v>
      </c>
      <c r="D18" s="127" t="s">
        <v>172</v>
      </c>
      <c r="E18" s="127" t="s">
        <v>173</v>
      </c>
      <c r="F18" s="128" t="s">
        <v>221</v>
      </c>
      <c r="G18" s="127" t="s">
        <v>55</v>
      </c>
      <c r="H18" s="127" t="s">
        <v>83</v>
      </c>
      <c r="I18" s="127" t="s">
        <v>219</v>
      </c>
      <c r="J18" s="127" t="s">
        <v>219</v>
      </c>
      <c r="K18" s="127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>
        <v>7</v>
      </c>
      <c r="D19" s="127" t="s">
        <v>173</v>
      </c>
      <c r="E19" s="127" t="s">
        <v>172</v>
      </c>
      <c r="F19" s="128" t="s">
        <v>220</v>
      </c>
      <c r="G19" s="127" t="s">
        <v>25</v>
      </c>
      <c r="H19" s="127" t="s">
        <v>218</v>
      </c>
      <c r="I19" s="127">
        <v>6</v>
      </c>
      <c r="J19" s="127">
        <v>4</v>
      </c>
      <c r="K19" s="127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>
        <v>8</v>
      </c>
      <c r="D20" s="127" t="s">
        <v>173</v>
      </c>
      <c r="E20" s="127" t="s">
        <v>171</v>
      </c>
      <c r="F20" s="127" t="s">
        <v>217</v>
      </c>
      <c r="G20" s="127" t="s">
        <v>30</v>
      </c>
      <c r="H20" s="127" t="s">
        <v>218</v>
      </c>
      <c r="I20" s="127" t="s">
        <v>219</v>
      </c>
      <c r="J20" s="127" t="s">
        <v>219</v>
      </c>
      <c r="K20" s="127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>
        <v>8</v>
      </c>
      <c r="D21" s="127" t="s">
        <v>173</v>
      </c>
      <c r="E21" s="127" t="s">
        <v>171</v>
      </c>
      <c r="F21" s="127" t="s">
        <v>215</v>
      </c>
      <c r="G21" s="127" t="s">
        <v>25</v>
      </c>
      <c r="H21" s="127" t="s">
        <v>83</v>
      </c>
      <c r="I21" s="127">
        <v>7</v>
      </c>
      <c r="J21" s="127">
        <v>4</v>
      </c>
      <c r="K21" s="127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172</v>
      </c>
      <c r="F22" t="s">
        <v>217</v>
      </c>
      <c r="G22" t="s">
        <v>30</v>
      </c>
      <c r="H22" t="s">
        <v>218</v>
      </c>
      <c r="I22" t="s">
        <v>219</v>
      </c>
      <c r="J22" t="s">
        <v>219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172</v>
      </c>
      <c r="F23" t="s">
        <v>215</v>
      </c>
      <c r="G23" t="s">
        <v>30</v>
      </c>
      <c r="H23" t="s">
        <v>218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2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C24">
        <v>10</v>
      </c>
      <c r="D24" t="s">
        <v>171</v>
      </c>
      <c r="E24" t="s">
        <v>173</v>
      </c>
      <c r="F24" t="s">
        <v>217</v>
      </c>
      <c r="G24" t="s">
        <v>44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171</v>
      </c>
      <c r="E25" t="s">
        <v>173</v>
      </c>
      <c r="F25" t="s">
        <v>215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37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COUNT(C4:C42)-D45-F45</f>
        <v>16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226</v>
      </c>
      <c r="C4" s="127">
        <v>1</v>
      </c>
      <c r="D4" s="127" t="s">
        <v>171</v>
      </c>
      <c r="E4" s="127" t="s">
        <v>172</v>
      </c>
      <c r="F4" s="127" t="s">
        <v>217</v>
      </c>
      <c r="G4" s="127" t="s">
        <v>44</v>
      </c>
      <c r="H4" s="127" t="s">
        <v>218</v>
      </c>
      <c r="I4" s="127" t="s">
        <v>219</v>
      </c>
      <c r="J4" s="127" t="s">
        <v>219</v>
      </c>
      <c r="K4" s="127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7">
        <v>1</v>
      </c>
      <c r="D5" s="127" t="s">
        <v>171</v>
      </c>
      <c r="E5" s="127" t="s">
        <v>172</v>
      </c>
      <c r="F5" s="127" t="s">
        <v>215</v>
      </c>
      <c r="G5" s="127" t="s">
        <v>44</v>
      </c>
      <c r="H5" s="127" t="s">
        <v>83</v>
      </c>
      <c r="I5" s="127">
        <v>1</v>
      </c>
      <c r="J5" s="127">
        <v>1</v>
      </c>
      <c r="K5" s="127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7">
        <v>2</v>
      </c>
      <c r="D6" s="127" t="s">
        <v>171</v>
      </c>
      <c r="E6" s="127" t="s">
        <v>173</v>
      </c>
      <c r="F6" s="127" t="s">
        <v>217</v>
      </c>
      <c r="G6" s="127" t="s">
        <v>44</v>
      </c>
      <c r="H6" s="127" t="s">
        <v>83</v>
      </c>
      <c r="I6" s="127" t="s">
        <v>219</v>
      </c>
      <c r="J6" s="127" t="s">
        <v>219</v>
      </c>
      <c r="K6" s="127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7">
        <v>2</v>
      </c>
      <c r="D7" s="127" t="s">
        <v>171</v>
      </c>
      <c r="E7" s="127" t="s">
        <v>173</v>
      </c>
      <c r="F7" s="127" t="s">
        <v>215</v>
      </c>
      <c r="G7" s="127" t="s">
        <v>44</v>
      </c>
      <c r="H7" s="127" t="s">
        <v>83</v>
      </c>
      <c r="I7" s="127">
        <v>2</v>
      </c>
      <c r="J7" s="127">
        <v>1</v>
      </c>
      <c r="K7" s="127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>
        <v>3</v>
      </c>
      <c r="D8" s="127" t="s">
        <v>171</v>
      </c>
      <c r="E8" s="127" t="s">
        <v>172</v>
      </c>
      <c r="F8" s="127" t="s">
        <v>217</v>
      </c>
      <c r="G8" s="127" t="s">
        <v>44</v>
      </c>
      <c r="H8" s="127" t="s">
        <v>218</v>
      </c>
      <c r="I8" s="127" t="s">
        <v>219</v>
      </c>
      <c r="J8" s="127" t="s">
        <v>219</v>
      </c>
      <c r="K8" s="127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7">
        <v>3</v>
      </c>
      <c r="D9" s="127" t="s">
        <v>172</v>
      </c>
      <c r="E9" s="127" t="s">
        <v>171</v>
      </c>
      <c r="F9" s="128" t="s">
        <v>221</v>
      </c>
      <c r="G9" s="127" t="s">
        <v>91</v>
      </c>
      <c r="H9" s="127" t="s">
        <v>83</v>
      </c>
      <c r="I9" s="127" t="s">
        <v>219</v>
      </c>
      <c r="J9" s="127" t="s">
        <v>219</v>
      </c>
      <c r="K9" s="127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>
        <v>3</v>
      </c>
      <c r="D10" s="127" t="s">
        <v>172</v>
      </c>
      <c r="E10" s="127" t="s">
        <v>171</v>
      </c>
      <c r="F10" s="128" t="s">
        <v>220</v>
      </c>
      <c r="G10" s="127" t="s">
        <v>55</v>
      </c>
      <c r="H10" s="127" t="s">
        <v>83</v>
      </c>
      <c r="I10" s="127">
        <v>1</v>
      </c>
      <c r="J10" s="127">
        <v>1</v>
      </c>
      <c r="K10" s="127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>
        <v>4</v>
      </c>
      <c r="D11" s="127" t="s">
        <v>173</v>
      </c>
      <c r="E11" s="127" t="s">
        <v>172</v>
      </c>
      <c r="F11" s="127" t="s">
        <v>217</v>
      </c>
      <c r="G11" s="127" t="s">
        <v>30</v>
      </c>
      <c r="H11" s="127" t="s">
        <v>218</v>
      </c>
      <c r="I11" s="127" t="s">
        <v>219</v>
      </c>
      <c r="J11" s="127" t="s">
        <v>219</v>
      </c>
      <c r="K11" s="127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7">
        <v>4</v>
      </c>
      <c r="D12" s="127" t="s">
        <v>173</v>
      </c>
      <c r="E12" s="127" t="s">
        <v>172</v>
      </c>
      <c r="F12" s="127" t="s">
        <v>215</v>
      </c>
      <c r="G12" s="127" t="s">
        <v>27</v>
      </c>
      <c r="H12" s="127" t="s">
        <v>218</v>
      </c>
      <c r="I12" s="127">
        <v>1</v>
      </c>
      <c r="J12" s="127">
        <v>1</v>
      </c>
      <c r="K12" s="127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>
        <v>5</v>
      </c>
      <c r="D13" s="127" t="s">
        <v>173</v>
      </c>
      <c r="E13" s="127" t="s">
        <v>171</v>
      </c>
      <c r="F13" s="127" t="s">
        <v>217</v>
      </c>
      <c r="G13" s="127" t="s">
        <v>27</v>
      </c>
      <c r="H13" s="127" t="s">
        <v>218</v>
      </c>
      <c r="I13" s="127" t="s">
        <v>219</v>
      </c>
      <c r="J13" s="127" t="s">
        <v>219</v>
      </c>
      <c r="K13" s="127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>
        <v>5</v>
      </c>
      <c r="D14" s="127" t="s">
        <v>171</v>
      </c>
      <c r="E14" s="127" t="s">
        <v>173</v>
      </c>
      <c r="F14" s="128" t="s">
        <v>221</v>
      </c>
      <c r="G14" s="127" t="s">
        <v>37</v>
      </c>
      <c r="H14" s="127" t="s">
        <v>218</v>
      </c>
      <c r="I14" s="127" t="s">
        <v>219</v>
      </c>
      <c r="J14" s="127" t="s">
        <v>219</v>
      </c>
      <c r="K14" s="127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>
        <v>5</v>
      </c>
      <c r="D15" s="127" t="s">
        <v>171</v>
      </c>
      <c r="E15" s="127" t="s">
        <v>173</v>
      </c>
      <c r="F15" s="128" t="s">
        <v>220</v>
      </c>
      <c r="G15" s="127" t="s">
        <v>192</v>
      </c>
      <c r="H15" s="127" t="s">
        <v>218</v>
      </c>
      <c r="I15" s="127">
        <v>1</v>
      </c>
      <c r="J15" s="127">
        <v>1</v>
      </c>
      <c r="K15" s="127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>
        <v>6</v>
      </c>
      <c r="D16" s="127" t="s">
        <v>171</v>
      </c>
      <c r="E16" s="127" t="s">
        <v>172</v>
      </c>
      <c r="F16" s="127" t="s">
        <v>217</v>
      </c>
      <c r="G16" s="127" t="s">
        <v>44</v>
      </c>
      <c r="H16" s="127" t="s">
        <v>218</v>
      </c>
      <c r="I16" s="127" t="s">
        <v>219</v>
      </c>
      <c r="J16" s="127" t="s">
        <v>219</v>
      </c>
      <c r="K16" s="127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7">
        <v>6</v>
      </c>
      <c r="D17" s="127" t="s">
        <v>171</v>
      </c>
      <c r="E17" s="127" t="s">
        <v>172</v>
      </c>
      <c r="F17" s="127" t="s">
        <v>215</v>
      </c>
      <c r="G17" s="127" t="s">
        <v>44</v>
      </c>
      <c r="H17" s="127" t="s">
        <v>83</v>
      </c>
      <c r="I17" s="127">
        <v>2</v>
      </c>
      <c r="J17" s="127">
        <v>2</v>
      </c>
      <c r="K17" s="127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>
        <v>7</v>
      </c>
      <c r="D18" s="127" t="s">
        <v>173</v>
      </c>
      <c r="E18" s="127" t="s">
        <v>171</v>
      </c>
      <c r="F18" s="127" t="s">
        <v>217</v>
      </c>
      <c r="G18" s="127" t="s">
        <v>30</v>
      </c>
      <c r="H18" s="127" t="s">
        <v>218</v>
      </c>
      <c r="I18" s="127" t="s">
        <v>219</v>
      </c>
      <c r="J18" s="127" t="s">
        <v>219</v>
      </c>
      <c r="K18" s="127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7">
        <v>7</v>
      </c>
      <c r="D19" s="127" t="s">
        <v>173</v>
      </c>
      <c r="E19" s="127" t="s">
        <v>171</v>
      </c>
      <c r="F19" s="127" t="s">
        <v>215</v>
      </c>
      <c r="G19" s="127" t="s">
        <v>30</v>
      </c>
      <c r="H19" s="127" t="s">
        <v>218</v>
      </c>
      <c r="I19" s="127">
        <v>1</v>
      </c>
      <c r="J19" s="127">
        <v>1</v>
      </c>
      <c r="K19" s="127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>
        <v>8</v>
      </c>
      <c r="D20" s="127" t="s">
        <v>173</v>
      </c>
      <c r="E20" s="127" t="s">
        <v>172</v>
      </c>
      <c r="F20" s="127" t="s">
        <v>217</v>
      </c>
      <c r="G20" s="127" t="s">
        <v>46</v>
      </c>
      <c r="H20" s="127" t="s">
        <v>83</v>
      </c>
      <c r="I20" s="127" t="s">
        <v>219</v>
      </c>
      <c r="J20" s="127" t="s">
        <v>219</v>
      </c>
      <c r="K20" s="127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2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2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2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2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2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2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224</v>
      </c>
      <c r="C4" s="127">
        <v>1</v>
      </c>
      <c r="D4" s="127" t="s">
        <v>173</v>
      </c>
      <c r="E4" s="127" t="s">
        <v>171</v>
      </c>
      <c r="F4" s="127" t="s">
        <v>217</v>
      </c>
      <c r="G4" s="127" t="s">
        <v>30</v>
      </c>
      <c r="H4" s="127" t="s">
        <v>218</v>
      </c>
      <c r="I4" s="127" t="s">
        <v>219</v>
      </c>
      <c r="J4" s="127" t="s">
        <v>219</v>
      </c>
      <c r="K4" s="127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>
        <v>1</v>
      </c>
      <c r="D5" s="127" t="s">
        <v>171</v>
      </c>
      <c r="E5" s="127" t="s">
        <v>173</v>
      </c>
      <c r="F5" s="127" t="s">
        <v>221</v>
      </c>
      <c r="G5" s="127" t="s">
        <v>32</v>
      </c>
      <c r="H5" s="127" t="s">
        <v>218</v>
      </c>
      <c r="I5" s="127" t="s">
        <v>219</v>
      </c>
      <c r="J5" s="127" t="s">
        <v>219</v>
      </c>
      <c r="K5" s="127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>
        <v>1</v>
      </c>
      <c r="D6" s="127" t="s">
        <v>171</v>
      </c>
      <c r="E6" s="127" t="s">
        <v>173</v>
      </c>
      <c r="F6" s="127" t="s">
        <v>220</v>
      </c>
      <c r="G6" s="127" t="s">
        <v>37</v>
      </c>
      <c r="H6" s="127" t="s">
        <v>218</v>
      </c>
      <c r="I6" s="127">
        <v>1</v>
      </c>
      <c r="J6" s="127">
        <v>1</v>
      </c>
      <c r="K6" s="127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7">
        <v>2</v>
      </c>
      <c r="D7" s="127" t="s">
        <v>171</v>
      </c>
      <c r="E7" s="127" t="s">
        <v>172</v>
      </c>
      <c r="F7" s="127" t="s">
        <v>217</v>
      </c>
      <c r="G7" s="127" t="s">
        <v>37</v>
      </c>
      <c r="H7" s="127" t="s">
        <v>218</v>
      </c>
      <c r="I7" s="127" t="s">
        <v>219</v>
      </c>
      <c r="J7" s="127" t="s">
        <v>219</v>
      </c>
      <c r="K7" s="127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>
        <v>2</v>
      </c>
      <c r="D8" s="127" t="s">
        <v>172</v>
      </c>
      <c r="E8" s="127" t="s">
        <v>171</v>
      </c>
      <c r="F8" s="127" t="s">
        <v>221</v>
      </c>
      <c r="G8" s="127" t="s">
        <v>91</v>
      </c>
      <c r="H8" s="127" t="s">
        <v>83</v>
      </c>
      <c r="I8" s="127" t="s">
        <v>219</v>
      </c>
      <c r="J8" s="127" t="s">
        <v>219</v>
      </c>
      <c r="K8" s="127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>
        <v>2</v>
      </c>
      <c r="D9" s="127" t="s">
        <v>171</v>
      </c>
      <c r="E9" s="127" t="s">
        <v>172</v>
      </c>
      <c r="F9" s="127" t="s">
        <v>220</v>
      </c>
      <c r="G9" s="127" t="s">
        <v>32</v>
      </c>
      <c r="H9" s="127" t="s">
        <v>218</v>
      </c>
      <c r="I9" s="127">
        <v>2</v>
      </c>
      <c r="J9" s="127">
        <v>1</v>
      </c>
      <c r="K9" s="127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7">
        <v>3</v>
      </c>
      <c r="D10" s="127" t="s">
        <v>171</v>
      </c>
      <c r="E10" s="127" t="s">
        <v>173</v>
      </c>
      <c r="F10" s="127" t="s">
        <v>217</v>
      </c>
      <c r="G10" s="127" t="s">
        <v>37</v>
      </c>
      <c r="H10" s="127" t="s">
        <v>218</v>
      </c>
      <c r="I10" s="127" t="s">
        <v>219</v>
      </c>
      <c r="J10" s="127" t="s">
        <v>219</v>
      </c>
      <c r="K10" s="127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>
        <v>3</v>
      </c>
      <c r="D11" s="127" t="s">
        <v>171</v>
      </c>
      <c r="E11" s="127" t="s">
        <v>173</v>
      </c>
      <c r="F11" s="127" t="s">
        <v>215</v>
      </c>
      <c r="G11" s="127" t="s">
        <v>32</v>
      </c>
      <c r="H11" s="127" t="s">
        <v>83</v>
      </c>
      <c r="I11" s="127">
        <v>3</v>
      </c>
      <c r="J11" s="127">
        <v>2</v>
      </c>
      <c r="K11" s="127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7">
        <v>4</v>
      </c>
      <c r="D12" s="127" t="s">
        <v>172</v>
      </c>
      <c r="E12" s="127" t="s">
        <v>171</v>
      </c>
      <c r="F12" s="127" t="s">
        <v>217</v>
      </c>
      <c r="G12" s="127" t="s">
        <v>41</v>
      </c>
      <c r="H12" s="127" t="s">
        <v>83</v>
      </c>
      <c r="I12" s="127" t="s">
        <v>219</v>
      </c>
      <c r="J12" s="127" t="s">
        <v>219</v>
      </c>
      <c r="K12" s="127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>
        <v>4</v>
      </c>
      <c r="D13" s="127" t="s">
        <v>172</v>
      </c>
      <c r="E13" s="127" t="s">
        <v>171</v>
      </c>
      <c r="F13" s="127" t="s">
        <v>215</v>
      </c>
      <c r="G13" s="127" t="s">
        <v>41</v>
      </c>
      <c r="H13" s="127" t="s">
        <v>83</v>
      </c>
      <c r="I13" s="127">
        <v>1</v>
      </c>
      <c r="J13" s="127">
        <v>1</v>
      </c>
      <c r="K13" s="127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7">
        <v>5</v>
      </c>
      <c r="D14" s="127" t="s">
        <v>173</v>
      </c>
      <c r="E14" s="127" t="s">
        <v>172</v>
      </c>
      <c r="F14" s="127" t="s">
        <v>217</v>
      </c>
      <c r="G14" s="127" t="s">
        <v>52</v>
      </c>
      <c r="H14" s="127" t="s">
        <v>83</v>
      </c>
      <c r="I14" s="127" t="s">
        <v>219</v>
      </c>
      <c r="J14" s="127" t="s">
        <v>219</v>
      </c>
      <c r="K14" s="127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>
        <v>5</v>
      </c>
      <c r="D15" s="127" t="s">
        <v>173</v>
      </c>
      <c r="E15" s="127" t="s">
        <v>172</v>
      </c>
      <c r="F15" s="127" t="s">
        <v>215</v>
      </c>
      <c r="G15" s="127" t="s">
        <v>30</v>
      </c>
      <c r="H15" s="127" t="s">
        <v>218</v>
      </c>
      <c r="I15" s="127">
        <v>1</v>
      </c>
      <c r="J15" s="127">
        <v>1</v>
      </c>
      <c r="K15" s="127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2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CT</vt:lpstr>
      <vt:lpstr>Statistics TC</vt:lpstr>
      <vt:lpstr>Statistics GM</vt:lpstr>
      <vt:lpstr>Template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2024-01-31T04:12:01Z</dcterms:modified>
</cp:coreProperties>
</file>