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98D9D210-ED12-43A0-AD58-AB2124D19C51}" xr6:coauthVersionLast="47" xr6:coauthVersionMax="47" xr10:uidLastSave="{00000000-0000-0000-0000-000000000000}"/>
  <bookViews>
    <workbookView xWindow="-98" yWindow="-98" windowWidth="22695" windowHeight="14595" activeTab="5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5" l="1"/>
  <c r="K35" i="6" s="1"/>
  <c r="AE14" i="2" s="1"/>
  <c r="AD28" i="2" s="1"/>
  <c r="O42" i="4"/>
  <c r="L42" i="4"/>
  <c r="J46" i="5" s="1"/>
  <c r="AE10" i="2" s="1"/>
  <c r="AD24" i="2" s="1"/>
  <c r="AD25" i="2"/>
  <c r="AD26" i="2"/>
  <c r="AD27" i="2"/>
  <c r="AD21" i="2"/>
  <c r="AD22" i="2"/>
  <c r="AD23" i="2"/>
  <c r="AD19" i="2"/>
  <c r="AD18" i="2"/>
  <c r="AD17" i="2"/>
  <c r="AE12" i="2"/>
  <c r="AE13" i="2"/>
  <c r="AE11" i="2"/>
  <c r="K34" i="6"/>
  <c r="K33" i="6"/>
  <c r="K32" i="6"/>
  <c r="AE8" i="2"/>
  <c r="AE9" i="2"/>
  <c r="AE7" i="2"/>
  <c r="J45" i="5"/>
  <c r="J44" i="5"/>
  <c r="J43" i="5"/>
  <c r="AE4" i="2"/>
  <c r="AE5" i="2"/>
  <c r="AE3" i="2"/>
  <c r="O4" i="4"/>
  <c r="P4" i="4"/>
  <c r="M4" i="4"/>
  <c r="L4" i="4"/>
  <c r="L41" i="4"/>
  <c r="I45" i="4"/>
  <c r="I44" i="4"/>
  <c r="I43" i="4"/>
  <c r="U5" i="2"/>
  <c r="U6" i="2"/>
  <c r="U7" i="2"/>
  <c r="U8" i="2"/>
  <c r="U9" i="2"/>
  <c r="U11" i="2"/>
  <c r="U12" i="2"/>
  <c r="U15" i="2"/>
  <c r="U16" i="2"/>
  <c r="U17" i="2"/>
  <c r="U18" i="2"/>
  <c r="U65" i="2" s="1"/>
  <c r="U3" i="2"/>
  <c r="L8" i="6"/>
  <c r="L7" i="6"/>
  <c r="O8" i="5"/>
  <c r="O7" i="5"/>
  <c r="O5" i="5"/>
  <c r="R8" i="4"/>
  <c r="R6" i="4"/>
  <c r="B6" i="4"/>
  <c r="C6" i="4"/>
  <c r="B6" i="6"/>
  <c r="B6" i="5"/>
  <c r="D6" i="4"/>
  <c r="D6" i="6"/>
  <c r="D6" i="5"/>
  <c r="A6" i="6"/>
  <c r="A5" i="6"/>
  <c r="B5" i="6"/>
  <c r="B5" i="5"/>
  <c r="Z9" i="3"/>
  <c r="Z10" i="3"/>
  <c r="Z11" i="3"/>
  <c r="Z12" i="3"/>
  <c r="Z13" i="3"/>
  <c r="Z14" i="3"/>
  <c r="R7" i="4" s="1"/>
  <c r="Z15" i="3"/>
  <c r="Z16" i="3"/>
  <c r="Z17" i="3"/>
  <c r="Z18" i="3"/>
  <c r="Z19" i="3"/>
  <c r="Z20" i="3"/>
  <c r="Z21" i="3"/>
  <c r="Z22" i="3"/>
  <c r="R5" i="4" s="1"/>
  <c r="Z23" i="3"/>
  <c r="L9" i="6" s="1"/>
  <c r="Z8" i="3"/>
  <c r="B4" i="5"/>
  <c r="L4" i="5"/>
  <c r="D4" i="4"/>
  <c r="C4" i="4"/>
  <c r="B4" i="4"/>
  <c r="A4" i="4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B4" i="6"/>
  <c r="D4" i="6"/>
  <c r="D4" i="5"/>
  <c r="A4" i="5"/>
  <c r="M5" i="7"/>
  <c r="L5" i="7"/>
  <c r="L4" i="7"/>
  <c r="M4" i="7"/>
  <c r="M3" i="7"/>
  <c r="L3" i="7"/>
  <c r="L6" i="6"/>
  <c r="L5" i="6"/>
  <c r="O6" i="5"/>
  <c r="O4" i="5"/>
  <c r="AA4" i="4"/>
  <c r="R4" i="4"/>
  <c r="T65" i="2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A4" i="6" l="1"/>
  <c r="C6" i="5"/>
  <c r="C6" i="6"/>
  <c r="A6" i="4"/>
  <c r="A6" i="5"/>
  <c r="A5" i="4"/>
  <c r="A5" i="5"/>
  <c r="H3" i="5"/>
  <c r="H3" i="6"/>
  <c r="C5" i="4"/>
  <c r="I3" i="4" s="1"/>
  <c r="V6" i="3"/>
  <c r="D5" i="5"/>
  <c r="J3" i="5" s="1"/>
  <c r="B5" i="4"/>
  <c r="C5" i="5"/>
  <c r="J45" i="7"/>
  <c r="M4" i="5"/>
  <c r="AJ9" i="3"/>
  <c r="U5" i="6" s="1"/>
  <c r="AJ8" i="3"/>
  <c r="X5" i="5" s="1"/>
  <c r="AA4" i="3"/>
  <c r="X42" i="3"/>
  <c r="C4" i="6" l="1"/>
  <c r="C4" i="5"/>
  <c r="C5" i="6"/>
  <c r="I3" i="6" s="1"/>
  <c r="I3" i="5"/>
  <c r="C41" i="5"/>
  <c r="C41" i="6"/>
  <c r="C41" i="4"/>
  <c r="H3" i="4"/>
  <c r="D5" i="6"/>
  <c r="J3" i="6" s="1"/>
  <c r="U6" i="3"/>
  <c r="D5" i="4"/>
  <c r="J3" i="4" s="1"/>
  <c r="L3" i="2"/>
  <c r="L50" i="2" s="1"/>
  <c r="AP9" i="3"/>
  <c r="L4" i="2"/>
  <c r="L51" i="2" s="1"/>
  <c r="AP8" i="3"/>
  <c r="T6" i="3" l="1"/>
  <c r="S6" i="3"/>
  <c r="AJ10" i="3"/>
  <c r="U7" i="6" s="1"/>
  <c r="AJ11" i="3"/>
  <c r="AJ12" i="3"/>
  <c r="AA8" i="4" s="1"/>
  <c r="AJ13" i="3"/>
  <c r="U8" i="6" s="1"/>
  <c r="AJ14" i="3"/>
  <c r="AA7" i="4" s="1"/>
  <c r="AJ15" i="3"/>
  <c r="AJ17" i="3"/>
  <c r="AJ19" i="3"/>
  <c r="L14" i="2" s="1"/>
  <c r="L61" i="2" s="1"/>
  <c r="AJ20" i="3"/>
  <c r="AA6" i="4" s="1"/>
  <c r="AJ21" i="3"/>
  <c r="X8" i="5" s="1"/>
  <c r="AJ22" i="3"/>
  <c r="AA5" i="4" s="1"/>
  <c r="AJ23" i="3"/>
  <c r="AJ16" i="3"/>
  <c r="X7" i="5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AA16" i="3"/>
  <c r="P7" i="5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R5" i="5" s="1"/>
  <c r="AE17" i="3"/>
  <c r="T6" i="5" s="1"/>
  <c r="AE20" i="3"/>
  <c r="W6" i="4" s="1"/>
  <c r="AC21" i="3"/>
  <c r="R8" i="5" s="1"/>
  <c r="AC11" i="3"/>
  <c r="O6" i="6" s="1"/>
  <c r="AC20" i="3"/>
  <c r="U6" i="4" s="1"/>
  <c r="AC23" i="3"/>
  <c r="O9" i="6" s="1"/>
  <c r="AG23" i="3"/>
  <c r="S9" i="6" s="1"/>
  <c r="AG13" i="3"/>
  <c r="S8" i="6" s="1"/>
  <c r="AE11" i="3"/>
  <c r="Q6" i="6" s="1"/>
  <c r="AE18" i="3"/>
  <c r="W4" i="4" s="1"/>
  <c r="AG22" i="3"/>
  <c r="Y5" i="4" s="1"/>
  <c r="AG8" i="3"/>
  <c r="V5" i="5" s="1"/>
  <c r="AG10" i="3"/>
  <c r="S7" i="6" s="1"/>
  <c r="AE16" i="3"/>
  <c r="T7" i="5" s="1"/>
  <c r="AC14" i="3"/>
  <c r="U7" i="4" s="1"/>
  <c r="AG14" i="3"/>
  <c r="Y7" i="4" s="1"/>
  <c r="AG20" i="3"/>
  <c r="Y6" i="4" s="1"/>
  <c r="AE8" i="3"/>
  <c r="T5" i="5" s="1"/>
  <c r="AC10" i="3"/>
  <c r="O7" i="6" s="1"/>
  <c r="AE13" i="3"/>
  <c r="Q8" i="6" s="1"/>
  <c r="AC19" i="3"/>
  <c r="AG16" i="3"/>
  <c r="V7" i="5" s="1"/>
  <c r="AG17" i="3"/>
  <c r="V6" i="5" s="1"/>
  <c r="AG9" i="3"/>
  <c r="S5" i="6" s="1"/>
  <c r="AG12" i="3"/>
  <c r="Y8" i="4" s="1"/>
  <c r="AE10" i="3"/>
  <c r="Q7" i="6" s="1"/>
  <c r="AC16" i="3"/>
  <c r="R7" i="5" s="1"/>
  <c r="AG21" i="3"/>
  <c r="V8" i="5" s="1"/>
  <c r="AE19" i="3"/>
  <c r="AE9" i="3"/>
  <c r="Q5" i="6" s="1"/>
  <c r="AE12" i="3"/>
  <c r="W8" i="4" s="1"/>
  <c r="AE15" i="3"/>
  <c r="T4" i="5" s="1"/>
  <c r="AC13" i="3"/>
  <c r="O8" i="6" s="1"/>
  <c r="AG18" i="3"/>
  <c r="Y4" i="4" s="1"/>
  <c r="AC22" i="3"/>
  <c r="U5" i="4" s="1"/>
  <c r="AC12" i="3"/>
  <c r="U8" i="4" s="1"/>
  <c r="AC15" i="3"/>
  <c r="R4" i="5" s="1"/>
  <c r="AC18" i="3"/>
  <c r="U4" i="4" s="1"/>
  <c r="AG15" i="3"/>
  <c r="V4" i="5" s="1"/>
  <c r="AE21" i="3"/>
  <c r="T8" i="5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B43" i="2" s="1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P8" i="5" s="1"/>
  <c r="AA9" i="3"/>
  <c r="AA20" i="3"/>
  <c r="S6" i="4" s="1"/>
  <c r="AA15" i="3"/>
  <c r="AA18" i="3"/>
  <c r="AA8" i="3"/>
  <c r="P5" i="5" s="1"/>
  <c r="AS16" i="3"/>
  <c r="AA10" i="3"/>
  <c r="M7" i="6" s="1"/>
  <c r="AA19" i="3"/>
  <c r="AA14" i="3"/>
  <c r="S7" i="4" s="1"/>
  <c r="AA22" i="3"/>
  <c r="S5" i="4" s="1"/>
  <c r="AA23" i="3"/>
  <c r="M9" i="6" s="1"/>
  <c r="AA12" i="3"/>
  <c r="S8" i="4" s="1"/>
  <c r="AA13" i="3"/>
  <c r="M8" i="6" s="1"/>
  <c r="AA11" i="3"/>
  <c r="M6" i="6" s="1"/>
  <c r="AA17" i="3"/>
  <c r="P6" i="5" s="1"/>
  <c r="K14" i="2"/>
  <c r="K61" i="2" s="1"/>
  <c r="G14" i="2"/>
  <c r="G61" i="2" s="1"/>
  <c r="O45" i="7"/>
  <c r="P45" i="7"/>
  <c r="AD13" i="3"/>
  <c r="P8" i="6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R8" i="6" s="1"/>
  <c r="AF10" i="3"/>
  <c r="R7" i="6" s="1"/>
  <c r="AF14" i="3"/>
  <c r="X7" i="4" s="1"/>
  <c r="AF12" i="3"/>
  <c r="X8" i="4" s="1"/>
  <c r="AF17" i="3"/>
  <c r="U6" i="5" s="1"/>
  <c r="AD8" i="3"/>
  <c r="S5" i="5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T8" i="6" s="1"/>
  <c r="AS18" i="3" l="1"/>
  <c r="S4" i="4"/>
  <c r="AS15" i="3"/>
  <c r="P4" i="5"/>
  <c r="AS14" i="3"/>
  <c r="AS21" i="3"/>
  <c r="AS9" i="3"/>
  <c r="M5" i="6"/>
  <c r="AS8" i="3"/>
  <c r="P43" i="5"/>
  <c r="Q32" i="6"/>
  <c r="O47" i="4"/>
  <c r="Q36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T8" i="4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P48" i="5"/>
  <c r="O5" i="4"/>
  <c r="O41" i="4" s="1"/>
  <c r="Q37" i="6"/>
  <c r="O48" i="4"/>
  <c r="AB16" i="3"/>
  <c r="Q7" i="5" s="1"/>
  <c r="AD20" i="3"/>
  <c r="V6" i="4" s="1"/>
  <c r="AF20" i="3"/>
  <c r="X6" i="4" s="1"/>
  <c r="O35" i="6"/>
  <c r="P35" i="6" s="1"/>
  <c r="AB20" i="3"/>
  <c r="T6" i="4" s="1"/>
  <c r="AF15" i="3"/>
  <c r="U4" i="5" s="1"/>
  <c r="AH18" i="3"/>
  <c r="Z4" i="4" s="1"/>
  <c r="AD9" i="3"/>
  <c r="P5" i="6" s="1"/>
  <c r="AD17" i="3"/>
  <c r="S6" i="5" s="1"/>
  <c r="AD21" i="3"/>
  <c r="S8" i="5" s="1"/>
  <c r="AH10" i="3"/>
  <c r="T7" i="6" s="1"/>
  <c r="AF21" i="3"/>
  <c r="U8" i="5" s="1"/>
  <c r="AD14" i="3"/>
  <c r="V7" i="4" s="1"/>
  <c r="AF9" i="3"/>
  <c r="R5" i="6" s="1"/>
  <c r="AD10" i="3"/>
  <c r="P7" i="6" s="1"/>
  <c r="AH12" i="3"/>
  <c r="Z8" i="4" s="1"/>
  <c r="AD16" i="3"/>
  <c r="S7" i="5" s="1"/>
  <c r="AH21" i="3"/>
  <c r="W8" i="5" s="1"/>
  <c r="AF22" i="3"/>
  <c r="AD22" i="3"/>
  <c r="AF18" i="3"/>
  <c r="X4" i="4" s="1"/>
  <c r="AH16" i="3"/>
  <c r="W7" i="5" s="1"/>
  <c r="AF16" i="3"/>
  <c r="U7" i="5" s="1"/>
  <c r="AD23" i="3"/>
  <c r="P9" i="6" s="1"/>
  <c r="AH8" i="3"/>
  <c r="W5" i="5" s="1"/>
  <c r="AB15" i="3"/>
  <c r="Q4" i="5" s="1"/>
  <c r="AB8" i="3"/>
  <c r="Q5" i="5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N7" i="6" s="1"/>
  <c r="AH11" i="3"/>
  <c r="T6" i="6" s="1"/>
  <c r="O43" i="4"/>
  <c r="F15" i="2"/>
  <c r="D15" i="2"/>
  <c r="H15" i="2"/>
  <c r="AB13" i="3"/>
  <c r="N8" i="6" s="1"/>
  <c r="AH20" i="3"/>
  <c r="Z6" i="4" s="1"/>
  <c r="AH23" i="3"/>
  <c r="T9" i="6" s="1"/>
  <c r="M45" i="4"/>
  <c r="N45" i="4" s="1"/>
  <c r="AH9" i="3"/>
  <c r="T5" i="6" s="1"/>
  <c r="AH22" i="3"/>
  <c r="AD12" i="3"/>
  <c r="V8" i="4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U5" i="5" s="1"/>
  <c r="AB14" i="3"/>
  <c r="T7" i="4" s="1"/>
  <c r="M44" i="4"/>
  <c r="N44" i="4" s="1"/>
  <c r="AB21" i="3"/>
  <c r="Q8" i="5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K49" i="2" l="1"/>
  <c r="J49" i="2"/>
  <c r="I49" i="2"/>
  <c r="H49" i="2"/>
  <c r="G49" i="2"/>
  <c r="F49" i="2"/>
  <c r="E49" i="2"/>
  <c r="D49" i="2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T56" i="3" l="1"/>
  <c r="W56" i="3" s="1"/>
  <c r="I46" i="4"/>
  <c r="AE6" i="2" s="1"/>
  <c r="AD20" i="2" s="1"/>
  <c r="B30" i="2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U55" i="3"/>
  <c r="W55" i="3" s="1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D3" i="2"/>
  <c r="D50" i="2" s="1"/>
  <c r="D10" i="2"/>
  <c r="D57" i="2" s="1"/>
  <c r="D6" i="2"/>
  <c r="D53" i="2" s="1"/>
  <c r="D11" i="2"/>
  <c r="D58" i="2" s="1"/>
  <c r="D64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<sst xmlns="http://schemas.openxmlformats.org/spreadsheetml/2006/main" count="620" uniqueCount="224">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</sst>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33">
    <xf numFmtId="0" fontId="0" fillId="0" borderId="0" xfId="0"/>
    <xf numFmtId="0" fontId="21" fillId="0" borderId="0" xfId="0" applyFo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16" fontId="21" fillId="0" borderId="0" xfId="0" applyNumberFormat="1" applyFont="1"/>
    <xf numFmtId="0" fontId="26" fillId="0" borderId="0" xfId="0" applyFont="1"/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6" fillId="0" borderId="3" xfId="0" applyFont="1" applyBorder="1"/>
    <xf numFmtId="0" fontId="26" fillId="0" borderId="4" xfId="0" applyFont="1" applyBorder="1"/>
    <xf numFmtId="0" fontId="27" fillId="0" borderId="4" xfId="0" applyFont="1" applyBorder="1"/>
    <xf numFmtId="0" fontId="23" fillId="0" borderId="5" xfId="0" applyFont="1" applyBorder="1"/>
    <xf numFmtId="0" fontId="32" fillId="0" borderId="0" xfId="0" applyFont="1"/>
    <xf numFmtId="9" fontId="0" fillId="0" borderId="0" xfId="2" applyFont="1" applyAlignment="1"/>
    <xf numFmtId="0" fontId="27" fillId="0" borderId="0" xfId="0" applyFont="1"/>
    <xf numFmtId="1" fontId="0" fillId="0" borderId="0" xfId="0" quotePrefix="1" applyNumberFormat="1"/>
    <xf numFmtId="165" fontId="0" fillId="0" borderId="0" xfId="0" applyNumberFormat="1"/>
    <xf numFmtId="0" fontId="27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/>
    <xf numFmtId="165" fontId="32" fillId="0" borderId="0" xfId="0" applyNumberFormat="1" applyFont="1"/>
    <xf numFmtId="10" fontId="0" fillId="0" borderId="0" xfId="0" applyNumberFormat="1"/>
    <xf numFmtId="0" fontId="18" fillId="0" borderId="0" xfId="0" applyFont="1"/>
    <xf numFmtId="16" fontId="19" fillId="0" borderId="0" xfId="0" applyNumberFormat="1" applyFo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3" fillId="0" borderId="1" xfId="0" applyFont="1" applyBorder="1" applyAlignment="1">
      <alignment vertical="center"/>
    </xf>
    <xf numFmtId="0" fontId="27" fillId="0" borderId="1" xfId="0" applyFont="1" applyBorder="1"/>
    <xf numFmtId="10" fontId="0" fillId="0" borderId="1" xfId="2" applyNumberFormat="1" applyFont="1" applyFill="1" applyBorder="1" applyAlignment="1"/>
    <xf numFmtId="0" fontId="21" fillId="0" borderId="2" xfId="0" applyFont="1" applyBorder="1"/>
    <xf numFmtId="1" fontId="0" fillId="0" borderId="2" xfId="0" quotePrefix="1" applyNumberFormat="1" applyBorder="1"/>
    <xf numFmtId="2" fontId="22" fillId="0" borderId="2" xfId="0" applyNumberFormat="1" applyFont="1" applyBorder="1"/>
    <xf numFmtId="1" fontId="21" fillId="0" borderId="2" xfId="0" applyNumberFormat="1" applyFont="1" applyBorder="1"/>
    <xf numFmtId="1" fontId="22" fillId="0" borderId="6" xfId="0" applyNumberFormat="1" applyFont="1" applyBorder="1"/>
    <xf numFmtId="0" fontId="16" fillId="0" borderId="0" xfId="0" applyFont="1"/>
    <xf numFmtId="0" fontId="22" fillId="0" borderId="0" xfId="0" applyFont="1" applyAlignment="1">
      <alignment horizontal="center"/>
    </xf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Border="1" applyAlignment="1">
      <alignment vertical="center"/>
    </xf>
    <xf numFmtId="0" fontId="31" fillId="0" borderId="1" xfId="0" applyFont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2" fillId="0" borderId="1" xfId="0" applyFont="1" applyBorder="1" applyAlignment="1">
      <alignment vertical="center"/>
    </xf>
    <xf numFmtId="0" fontId="26" fillId="3" borderId="2" xfId="0" applyFont="1" applyFill="1" applyBorder="1"/>
    <xf numFmtId="0" fontId="0" fillId="0" borderId="2" xfId="0" applyBorder="1"/>
    <xf numFmtId="1" fontId="22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0" fillId="0" borderId="0" xfId="0" applyNumberFormat="1" applyFont="1"/>
    <xf numFmtId="10" fontId="0" fillId="0" borderId="0" xfId="2" applyNumberFormat="1" applyFont="1" applyAlignment="1">
      <alignment vertical="center"/>
    </xf>
    <xf numFmtId="0" fontId="22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7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Border="1"/>
    <xf numFmtId="2" fontId="0" fillId="0" borderId="1" xfId="2" applyNumberFormat="1" applyFont="1" applyFill="1" applyBorder="1" applyAlignment="1"/>
    <xf numFmtId="0" fontId="12" fillId="0" borderId="0" xfId="0" applyFont="1"/>
    <xf numFmtId="0" fontId="22" fillId="0" borderId="0" xfId="0" applyFont="1" applyAlignment="1">
      <alignment vertical="center"/>
    </xf>
    <xf numFmtId="165" fontId="0" fillId="0" borderId="0" xfId="0" quotePrefix="1" applyNumberFormat="1"/>
    <xf numFmtId="0" fontId="11" fillId="0" borderId="0" xfId="0" applyFont="1"/>
    <xf numFmtId="0" fontId="32" fillId="0" borderId="1" xfId="0" applyFont="1" applyBorder="1"/>
    <xf numFmtId="166" fontId="22" fillId="0" borderId="1" xfId="0" applyNumberFormat="1" applyFont="1" applyBorder="1"/>
    <xf numFmtId="0" fontId="10" fillId="0" borderId="0" xfId="0" applyFont="1"/>
    <xf numFmtId="0" fontId="9" fillId="3" borderId="0" xfId="0" applyFont="1" applyFill="1" applyAlignment="1">
      <alignment vertical="center"/>
    </xf>
    <xf numFmtId="49" fontId="22" fillId="3" borderId="2" xfId="0" applyNumberFormat="1" applyFont="1" applyFill="1" applyBorder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9" xfId="0" applyFont="1" applyBorder="1"/>
    <xf numFmtId="0" fontId="6" fillId="0" borderId="8" xfId="0" applyFont="1" applyBorder="1"/>
    <xf numFmtId="0" fontId="5" fillId="3" borderId="0" xfId="0" applyFont="1" applyFill="1" applyAlignment="1">
      <alignment vertical="center"/>
    </xf>
    <xf numFmtId="0" fontId="36" fillId="0" borderId="2" xfId="0" applyFont="1" applyBorder="1"/>
    <xf numFmtId="1" fontId="36" fillId="0" borderId="2" xfId="0" quotePrefix="1" applyNumberFormat="1" applyFont="1" applyBorder="1"/>
    <xf numFmtId="2" fontId="37" fillId="0" borderId="2" xfId="0" applyNumberFormat="1" applyFont="1" applyBorder="1"/>
    <xf numFmtId="1" fontId="36" fillId="0" borderId="2" xfId="0" applyNumberFormat="1" applyFont="1" applyBorder="1"/>
    <xf numFmtId="1" fontId="37" fillId="0" borderId="6" xfId="0" applyNumberFormat="1" applyFont="1" applyBorder="1"/>
    <xf numFmtId="0" fontId="36" fillId="0" borderId="7" xfId="0" applyFont="1" applyBorder="1"/>
    <xf numFmtId="2" fontId="37" fillId="0" borderId="7" xfId="0" applyNumberFormat="1" applyFont="1" applyBorder="1"/>
    <xf numFmtId="0" fontId="3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/>
    <xf numFmtId="0" fontId="27" fillId="3" borderId="0" xfId="0" applyFont="1" applyFill="1"/>
    <xf numFmtId="49" fontId="0" fillId="3" borderId="2" xfId="0" quotePrefix="1" applyNumberFormat="1" applyFill="1" applyBorder="1"/>
    <xf numFmtId="1" fontId="0" fillId="3" borderId="2" xfId="0" quotePrefix="1" applyNumberFormat="1" applyFill="1" applyBorder="1"/>
    <xf numFmtId="1" fontId="22" fillId="5" borderId="1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2" fillId="3" borderId="0" xfId="0" applyNumberFormat="1" applyFont="1" applyFill="1" applyAlignment="1">
      <alignment vertical="center"/>
    </xf>
    <xf numFmtId="1" fontId="22" fillId="3" borderId="0" xfId="0" applyNumberFormat="1" applyFont="1" applyFill="1" applyAlignment="1">
      <alignment vertical="center"/>
    </xf>
    <xf numFmtId="1" fontId="21" fillId="0" borderId="0" xfId="0" applyNumberFormat="1" applyFont="1" applyAlignment="1">
      <alignment vertical="center"/>
    </xf>
    <xf numFmtId="49" fontId="22" fillId="4" borderId="1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vertical="center"/>
    </xf>
    <xf numFmtId="0" fontId="2" fillId="0" borderId="0" xfId="0" applyFont="1"/>
    <xf numFmtId="1" fontId="14" fillId="0" borderId="0" xfId="0" applyNumberFormat="1" applyFont="1"/>
    <xf numFmtId="0" fontId="1" fillId="0" borderId="0" xfId="0" applyFont="1"/>
    <xf numFmtId="0" fontId="31" fillId="0" borderId="1" xfId="0" applyFont="1" applyBorder="1" applyAlignment="1">
      <alignment horizontal="center"/>
    </xf>
    <xf numFmtId="2" fontId="26" fillId="0" borderId="0" xfId="0" applyNumberFormat="1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>
      <calculatedColumnFormula>SfW!B3</calculatedColumnFormula>
    </tableColumn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/>
    <tableColumn id="3" xr3:uid="{C2C49EF0-4D8C-4F8C-8D19-CDD1481D9568}" name="Finishes" dataDxfId="127"/>
    <tableColumn id="4" xr3:uid="{7E789F8C-B8F3-4D6E-AB6C-C9454835B062}" name="Midranges" dataDxfId="126"/>
    <tableColumn id="5" xr3:uid="{18C990F2-A6D0-4F57-B96A-D00066DCC8D8}" name="Threes" dataDxfId="125"/>
    <tableColumn id="6" xr3:uid="{40526534-76CA-42BA-A8B6-AB092D9CE18F}" name="Avg P" dataDxfId="124"/>
    <tableColumn id="7" xr3:uid="{693AF117-21F6-4887-B78D-D59235BABA44}" name="Avg F" dataDxfId="123"/>
    <tableColumn id="8" xr3:uid="{02AC8FBF-EBB3-4AFC-BAC5-B773E33B7279}" name="Avg M" dataDxfId="122"/>
    <tableColumn id="9" xr3:uid="{CCF75EB4-34C4-4D47-9D51-E8D85C07E38B}" name="Avg T" dataDxfId="121"/>
    <tableColumn id="10" xr3:uid="{1A786A5C-D0C2-4ABC-904C-983180542D5F}" name="Missed Games" dataDxfId="1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19" dataDxfId="118">
  <autoFilter ref="AK28:AT44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/>
    <tableColumn id="3" xr3:uid="{2D436F37-54B6-4820-9145-F48B4EF9B294}" name="Finishes" dataDxfId="115"/>
    <tableColumn id="4" xr3:uid="{1D9B6A22-B682-47F3-B738-7C138F317A41}" name="Midranges" dataDxfId="114"/>
    <tableColumn id="5" xr3:uid="{9966C9A0-3872-44E9-BB39-05DE197EAA68}" name="Threes" dataDxfId="113"/>
    <tableColumn id="6" xr3:uid="{CC4AB646-735F-425F-8528-C5EFE7FE11DC}" name="Avg P" dataDxfId="112"/>
    <tableColumn id="7" xr3:uid="{F8D0247E-C6F7-467A-9F38-46084D44F8AB}" name="Avg F" dataDxfId="111"/>
    <tableColumn id="8" xr3:uid="{7CCF1C77-9DB0-4EB2-B7D0-FD0BDBEBFA0E}" name="Avg M" dataDxfId="110"/>
    <tableColumn id="9" xr3:uid="{582A1A4E-5383-4383-A480-735408867046}" name="Avg T" dataDxfId="109"/>
    <tableColumn id="10" xr3:uid="{E547AEB5-F9BA-4C5F-8DCE-34B6A8FF303A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07" dataDxfId="106">
  <autoFilter ref="Z48:AI64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/>
    <tableColumn id="3" xr3:uid="{8090861E-1FDF-44F4-9DB6-BB814E32C754}" name="Finishes" dataDxfId="103"/>
    <tableColumn id="4" xr3:uid="{972D0347-DAB3-4985-A738-E5D78740D498}" name="Midranges" dataDxfId="102"/>
    <tableColumn id="5" xr3:uid="{48F5F884-1753-4988-9056-632B5EB6BBCB}" name="Threes" dataDxfId="101"/>
    <tableColumn id="6" xr3:uid="{6953B627-EA05-418F-A758-FD59263EA60D}" name="Avg P" dataDxfId="100"/>
    <tableColumn id="7" xr3:uid="{BE057C9C-5ECD-4AC2-A9C0-18C89CFB52BC}" name="Avg F" dataDxfId="99"/>
    <tableColumn id="8" xr3:uid="{0FDEBEE7-CD5E-4A44-A0AE-74F044F1FF46}" name="Avg M" dataDxfId="98"/>
    <tableColumn id="9" xr3:uid="{76975BB6-3677-41A8-BC24-7536B1D876D3}" name="Avg T" dataDxfId="97"/>
    <tableColumn id="10" xr3:uid="{E5ADB69B-3BA2-4019-8C83-8B02221F187E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95" dataDxfId="94">
  <autoFilter ref="AK48:AT64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/>
    <tableColumn id="3" xr3:uid="{6CA15B41-F560-4B43-8836-163F5BB5689C}" name="Finishes" dataDxfId="91"/>
    <tableColumn id="4" xr3:uid="{8FF05262-0051-44F7-966E-8D405318BA69}" name="Midranges" dataDxfId="90"/>
    <tableColumn id="5" xr3:uid="{F0D843FC-7A93-4C9A-BCCF-E789F7811B3B}" name="Threes" dataDxfId="89"/>
    <tableColumn id="6" xr3:uid="{F0498F8A-F646-4C1F-A3CF-E89E73750FC1}" name="Avg P" dataDxfId="88"/>
    <tableColumn id="7" xr3:uid="{A387BC88-F45C-4386-8503-EFEA33BDAC38}" name="Avg F" dataDxfId="87"/>
    <tableColumn id="8" xr3:uid="{BEA82919-0828-4351-A01A-D72E13E63FAB}" name="Avg M" dataDxfId="86"/>
    <tableColumn id="9" xr3:uid="{ABEBCE01-BCA4-4342-966C-27301889B607}" name="Avg T" dataDxfId="85"/>
    <tableColumn id="10" xr3:uid="{65E7A8E7-4C51-42E4-AB0F-B7FF6099D7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83" dataDxfId="82">
  <autoFilter ref="AK68:AT84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/>
    <tableColumn id="3" xr3:uid="{E91D98A2-80BD-4E5C-9036-2FCC8185369F}" name="Finishes" dataDxfId="79"/>
    <tableColumn id="4" xr3:uid="{D2E5029E-4811-4E9B-9A2D-5F5F8F322B0D}" name="Midranges" dataDxfId="78"/>
    <tableColumn id="5" xr3:uid="{B3E76CEE-33DA-4B18-8DCE-8EBC7EE592D7}" name="Threes" dataDxfId="77"/>
    <tableColumn id="6" xr3:uid="{6ABE1879-8018-4498-A9A1-22CF831F0364}" name="Avg P" dataDxfId="76"/>
    <tableColumn id="7" xr3:uid="{8DA4DD79-8A2A-49E4-996F-C1ACCED3C565}" name="Avg F" dataDxfId="75"/>
    <tableColumn id="8" xr3:uid="{256EA4BC-BA61-49E2-969F-0786AA9AA6EA}" name="Avg M" dataDxfId="74"/>
    <tableColumn id="9" xr3:uid="{0E5566B2-99EC-4B03-A074-8705C4EDA484}" name="Avg T" dataDxfId="73"/>
    <tableColumn id="10" xr3:uid="{3E2357F0-493E-401D-AC75-9AAB260F684E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1" dataDxfId="70">
  <autoFilter ref="Z68:AI84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/>
    <tableColumn id="3" xr3:uid="{9537269D-8C1D-42B5-866F-D03CE61A8512}" name="Finishes" dataDxfId="67"/>
    <tableColumn id="4" xr3:uid="{AC590DDB-BE19-4A14-8B98-1E5E2430AA45}" name="Midranges" dataDxfId="66"/>
    <tableColumn id="5" xr3:uid="{C96D3ACD-F34D-477E-86DE-4650EE56BC94}" name="Threes" dataDxfId="65"/>
    <tableColumn id="6" xr3:uid="{A43DE5E9-BB01-49FA-A204-66EE7BAA2E9F}" name="Avg P" dataDxfId="64"/>
    <tableColumn id="7" xr3:uid="{C75A19FF-6041-45C2-BACB-E347F06B6329}" name="Avg F" dataDxfId="63"/>
    <tableColumn id="8" xr3:uid="{00D3FCFC-C9C5-4C96-BE0E-8E1FDC95D07C}" name="Avg M" dataDxfId="62"/>
    <tableColumn id="9" xr3:uid="{0448FF4E-9D2D-47F6-89B7-F17D36B05E8A}" name="Avg T" dataDxfId="61"/>
    <tableColumn id="10" xr3:uid="{D5BDFA2D-095B-44F8-8567-15B3B1520E5A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59" dataDxfId="58">
  <autoFilter ref="Z88:AI104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/>
    <tableColumn id="3" xr3:uid="{09859CE1-290D-4977-B02C-46F4E5A6FDC2}" name="Finishes" dataDxfId="55"/>
    <tableColumn id="4" xr3:uid="{7D751A0E-2895-46DF-B5E2-5A8AA5531CD2}" name="Midranges" dataDxfId="54"/>
    <tableColumn id="5" xr3:uid="{591CDC71-B0EA-413B-B6C1-77884E7E50D4}" name="Threes" dataDxfId="53"/>
    <tableColumn id="6" xr3:uid="{52ED768C-5557-42DC-9824-7A4D9B547153}" name="Avg P" dataDxfId="52"/>
    <tableColumn id="7" xr3:uid="{FC79BE87-72E2-4F5E-83D6-CDCE645EB943}" name="Avg F" dataDxfId="51"/>
    <tableColumn id="8" xr3:uid="{BA012C22-0D65-4C11-98A7-4F958703D04B}" name="Avg M" dataDxfId="50"/>
    <tableColumn id="9" xr3:uid="{63344F2B-5D94-417D-85E2-C2BFBACE3E7E}" name="Avg T" dataDxfId="49"/>
    <tableColumn id="10" xr3:uid="{1AD5A604-8909-45B3-8E43-11D407451CEA}" name="Missed Games" dataDxfId="48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47" dataDxfId="46">
  <autoFilter ref="AK88:AT104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Template!AC51</calculatedColumnFormula>
    </tableColumn>
    <tableColumn id="3" xr3:uid="{460771D3-3BD8-4DA3-AF1B-1A0F98EF1499}" name="Finishes" dataDxfId="43">
      <calculatedColumnFormula>Template!AD51</calculatedColumnFormula>
    </tableColumn>
    <tableColumn id="4" xr3:uid="{3C08B2D7-823D-49C3-A627-A5848E664B2F}" name="Midranges" dataDxfId="42">
      <calculatedColumnFormula>Template!AE51</calculatedColumnFormula>
    </tableColumn>
    <tableColumn id="5" xr3:uid="{E88F45FB-4C46-4674-86D5-74808E7E5368}" name="Threes" dataDxfId="41">
      <calculatedColumnFormula>Template!AF51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E1000"/>
  <sheetViews>
    <sheetView topLeftCell="A2" zoomScale="49" zoomScaleNormal="55" workbookViewId="0">
      <selection activeCell="B25" sqref="B25:B47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1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1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164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31" ht="14.25" customHeight="1" x14ac:dyDescent="0.45">
      <c r="B3" s="1" t="s">
        <v>25</v>
      </c>
      <c r="C3" s="130" t="s">
        <v>190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211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1" t="s">
        <v>191</v>
      </c>
      <c r="AD3" t="s">
        <v>212</v>
      </c>
      <c r="AE3" t="str">
        <f>'Statistics CT'!I43</f>
        <v>0,0,0],</v>
      </c>
    </row>
    <row r="4" spans="2:31" ht="14.25" customHeight="1" x14ac:dyDescent="0.45">
      <c r="B4" s="1" t="s">
        <v>26</v>
      </c>
      <c r="C4" s="117" t="s">
        <v>188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185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192</v>
      </c>
      <c r="AD4" t="s">
        <v>213</v>
      </c>
      <c r="AE4" t="str">
        <f>'Statistics CT'!I44</f>
        <v>0,"N/A",0,"N/A",0,"N/A",0,"N/A"],</v>
      </c>
    </row>
    <row r="5" spans="2:31" ht="14.25" customHeight="1" x14ac:dyDescent="0.45">
      <c r="B5" s="1" t="s">
        <v>27</v>
      </c>
      <c r="C5" s="130" t="s">
        <v>190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132</v>
      </c>
      <c r="P5" t="s">
        <v>133</v>
      </c>
      <c r="U5" t="str">
        <f t="shared" ref="U5:U18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193</v>
      </c>
      <c r="AD5" t="s">
        <v>214</v>
      </c>
      <c r="AE5" t="str">
        <f>'Statistics CT'!I45</f>
        <v>0,0,0,0,0,0],</v>
      </c>
    </row>
    <row r="6" spans="2:31" ht="14.25" customHeight="1" x14ac:dyDescent="0.45">
      <c r="B6" s="1" t="s">
        <v>30</v>
      </c>
      <c r="C6" s="130" t="s">
        <v>190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132</v>
      </c>
      <c r="Q6" t="s">
        <v>133</v>
      </c>
      <c r="R6" t="s">
        <v>136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142</v>
      </c>
      <c r="AD6" t="s">
        <v>215</v>
      </c>
      <c r="AE6" t="str">
        <f>'Statistics CT'!I46</f>
        <v>0,0,0,0,0,0],</v>
      </c>
    </row>
    <row r="7" spans="2:31" ht="14.25" customHeight="1" x14ac:dyDescent="0.45">
      <c r="B7" s="1" t="s">
        <v>32</v>
      </c>
      <c r="C7" s="130" t="s">
        <v>188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132</v>
      </c>
      <c r="P7" t="s">
        <v>134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  <c r="AD7" t="s">
        <v>216</v>
      </c>
      <c r="AE7" t="str">
        <f>'Statistics TC'!J43</f>
        <v>0,0,0],</v>
      </c>
    </row>
    <row r="8" spans="2:31" ht="14.25" customHeight="1" x14ac:dyDescent="0.45">
      <c r="B8" s="1" t="s">
        <v>37</v>
      </c>
      <c r="C8" s="130" t="s">
        <v>188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  <c r="AD8" t="s">
        <v>217</v>
      </c>
      <c r="AE8" t="str">
        <f>'Statistics TC'!J44</f>
        <v>0,"N/A",0,"N/A",0,"N/A",0,"N/A"],</v>
      </c>
    </row>
    <row r="9" spans="2:31" ht="14.25" customHeight="1" x14ac:dyDescent="0.45">
      <c r="B9" t="s">
        <v>97</v>
      </c>
      <c r="C9" s="130" t="s">
        <v>189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161</v>
      </c>
      <c r="N9" t="s">
        <v>137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  <c r="AD9" t="s">
        <v>218</v>
      </c>
      <c r="AE9" t="str">
        <f>'Statistics TC'!J45</f>
        <v>0,0,0,0,0,0],</v>
      </c>
    </row>
    <row r="10" spans="2:31" ht="14.25" customHeight="1" x14ac:dyDescent="0.45">
      <c r="B10" s="1" t="s">
        <v>39</v>
      </c>
      <c r="C10" s="117" t="s">
        <v>189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140</v>
      </c>
      <c r="N10" s="1" t="s">
        <v>29</v>
      </c>
      <c r="O10" s="1" t="s">
        <v>139</v>
      </c>
      <c r="P10" t="s">
        <v>131</v>
      </c>
      <c r="Q10" t="s">
        <v>135</v>
      </c>
      <c r="R10" t="s">
        <v>134</v>
      </c>
      <c r="S10" t="s">
        <v>137</v>
      </c>
      <c r="U10" t="s">
        <v>187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  <c r="AD10" t="s">
        <v>219</v>
      </c>
      <c r="AE10" t="str">
        <f>'Statistics TC'!J46</f>
        <v>0,0,100,0,0,0],</v>
      </c>
    </row>
    <row r="11" spans="2:31" ht="14.25" customHeight="1" x14ac:dyDescent="0.45">
      <c r="B11" s="1" t="s">
        <v>41</v>
      </c>
      <c r="C11" s="128" t="s">
        <v>189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135</v>
      </c>
      <c r="Q11" t="s">
        <v>133</v>
      </c>
      <c r="R11" t="s">
        <v>137</v>
      </c>
      <c r="S11" t="s">
        <v>138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  <c r="AD11" t="s">
        <v>220</v>
      </c>
      <c r="AE11" t="str">
        <f>'Statistics GM'!K32</f>
        <v>0,0,0],</v>
      </c>
    </row>
    <row r="12" spans="2:31" ht="14.25" customHeight="1" x14ac:dyDescent="0.45">
      <c r="B12" s="1" t="s">
        <v>44</v>
      </c>
      <c r="C12" s="130" t="s">
        <v>188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132</v>
      </c>
      <c r="Q12" t="s">
        <v>133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  <c r="AD12" t="s">
        <v>221</v>
      </c>
      <c r="AE12" t="str">
        <f>'Statistics GM'!K33</f>
        <v>0,"N/A",0,"N/A",0,"N/A",0,"N/A"],</v>
      </c>
    </row>
    <row r="13" spans="2:31" ht="14.25" customHeight="1" x14ac:dyDescent="0.45">
      <c r="B13" s="1" t="s">
        <v>46</v>
      </c>
      <c r="C13" s="117" t="s">
        <v>190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186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  <c r="AD13" t="s">
        <v>222</v>
      </c>
      <c r="AE13" t="str">
        <f>'Statistics GM'!K34</f>
        <v>0,0,0,0,0,0],</v>
      </c>
    </row>
    <row r="14" spans="2:31" ht="14.25" customHeight="1" x14ac:dyDescent="0.45">
      <c r="B14" s="1" t="s">
        <v>157</v>
      </c>
      <c r="C14" s="94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0</v>
      </c>
      <c r="M14" t="s">
        <v>160</v>
      </c>
      <c r="N14" s="1"/>
      <c r="U14" t="s">
        <v>197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  <c r="AD14" t="s">
        <v>223</v>
      </c>
      <c r="AE14" t="str">
        <f>'Statistics GM'!K35</f>
        <v>0,0,100,0,0,100],</v>
      </c>
    </row>
    <row r="15" spans="2:31" ht="14.25" customHeight="1" x14ac:dyDescent="0.45">
      <c r="B15" s="1" t="s">
        <v>49</v>
      </c>
      <c r="C15" s="130" t="s">
        <v>189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129</v>
      </c>
      <c r="P15" t="s">
        <v>130</v>
      </c>
      <c r="Q15" t="s">
        <v>135</v>
      </c>
      <c r="R15" t="s">
        <v>134</v>
      </c>
      <c r="U15" t="str">
        <f t="shared" si="2"/>
        <v>Drafted by Traffic Controllers</v>
      </c>
      <c r="V15" s="1" t="str">
        <f t="shared" si="1"/>
        <v>../Images/TC_Final.png</v>
      </c>
      <c r="W15" s="1" t="str">
        <f t="shared" si="0"/>
        <v>../Images/Players/Nicholas.png</v>
      </c>
      <c r="Y15" s="1" t="s">
        <v>54</v>
      </c>
    </row>
    <row r="16" spans="2:31" ht="14.25" customHeight="1" x14ac:dyDescent="0.45">
      <c r="B16" s="1" t="s">
        <v>52</v>
      </c>
      <c r="C16" s="130" t="s">
        <v>190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126</v>
      </c>
      <c r="O16" t="s">
        <v>127</v>
      </c>
      <c r="P16" t="s">
        <v>135</v>
      </c>
      <c r="Q16" t="s">
        <v>134</v>
      </c>
      <c r="R16" t="s">
        <v>137</v>
      </c>
      <c r="U16" t="str">
        <f t="shared" si="2"/>
        <v>Drafted by Choc-Tops</v>
      </c>
      <c r="V16" s="1" t="str">
        <f t="shared" si="1"/>
        <v>../Images/CT_Final.png</v>
      </c>
      <c r="W16" s="1" t="str">
        <f t="shared" si="0"/>
        <v>../Images/Players/Chris.png</v>
      </c>
      <c r="Y16" t="s">
        <v>81</v>
      </c>
    </row>
    <row r="17" spans="2:30" ht="14.25" customHeight="1" x14ac:dyDescent="0.45">
      <c r="B17" s="1" t="s">
        <v>55</v>
      </c>
      <c r="C17" s="130" t="s">
        <v>189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" t="s">
        <v>141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132</v>
      </c>
      <c r="S17" t="s">
        <v>133</v>
      </c>
      <c r="T17" t="s">
        <v>137</v>
      </c>
      <c r="U17" t="str">
        <f t="shared" si="2"/>
        <v>Drafted by Traffic Controllers</v>
      </c>
      <c r="V17" s="1" t="str">
        <f t="shared" si="1"/>
        <v>../Images/TC_Final.png</v>
      </c>
      <c r="W17" s="1" t="str">
        <f t="shared" si="0"/>
        <v>../Images/Players/Angus.png</v>
      </c>
      <c r="Y17" s="1" t="s">
        <v>57</v>
      </c>
      <c r="AD17" s="36" t="str">
        <f>CHAR(34)&amp;AD3&amp;CHAR(34)&amp;":["&amp;AE3</f>
        <v>"PartACT":[0,0,0],</v>
      </c>
    </row>
    <row r="18" spans="2:30" ht="14.25" customHeight="1" x14ac:dyDescent="0.45">
      <c r="B18" s="1" t="s">
        <v>210</v>
      </c>
      <c r="C18" s="130" t="s">
        <v>188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128</v>
      </c>
      <c r="U18" t="str">
        <f t="shared" si="2"/>
        <v>Drafted by Gentle, Men</v>
      </c>
      <c r="V18" s="1" t="str">
        <f t="shared" si="1"/>
        <v>../Images/GM_Final.png</v>
      </c>
      <c r="W18" s="1" t="str">
        <f t="shared" si="0"/>
        <v>../Images/Players/Will.png</v>
      </c>
      <c r="Y18" s="1" t="s">
        <v>59</v>
      </c>
      <c r="AD18" s="36" t="str">
        <f>CHAR(34)&amp;AD4&amp;CHAR(34)&amp;":["&amp;AE4</f>
        <v>"PartBCT":[0,"N/A",0,"N/A",0,"N/A",0,"N/A"],</v>
      </c>
    </row>
    <row r="19" spans="2:30" ht="14.25" customHeight="1" x14ac:dyDescent="0.45">
      <c r="B19" s="1"/>
      <c r="C19" s="94"/>
      <c r="D19" s="5"/>
      <c r="E19" s="1"/>
      <c r="F19" s="5"/>
      <c r="G19" s="1"/>
      <c r="H19" s="5"/>
      <c r="I19" s="1"/>
      <c r="J19" s="5"/>
      <c r="K19" s="1"/>
      <c r="L19" s="13"/>
      <c r="U19" s="94"/>
      <c r="V19" s="1"/>
      <c r="W19" s="1"/>
      <c r="Y19" s="1" t="s">
        <v>60</v>
      </c>
      <c r="AD19" s="36" t="str">
        <f>CHAR(34)&amp;AD5&amp;CHAR(34)&amp;":["&amp;AE5</f>
        <v>"PartCCT":[0,0,0,0,0,0],</v>
      </c>
    </row>
    <row r="20" spans="2:30" ht="14.25" customHeight="1" x14ac:dyDescent="0.45">
      <c r="B20" s="1"/>
      <c r="D20" s="12"/>
      <c r="F20" s="12"/>
      <c r="H20" s="12"/>
      <c r="J20" s="12"/>
      <c r="Y20" s="1" t="s">
        <v>61</v>
      </c>
      <c r="AD20" s="36" t="str">
        <f>CHAR(34)&amp;AD6&amp;CHAR(34)&amp;":["&amp;AE6</f>
        <v>"PartDCT":[0,0,0,0,0,0],</v>
      </c>
    </row>
    <row r="21" spans="2:30" ht="14.25" customHeight="1" x14ac:dyDescent="0.45">
      <c r="Y21" t="s">
        <v>159</v>
      </c>
      <c r="AD21" s="36" t="str">
        <f>CHAR(34)&amp;AD7&amp;CHAR(34)&amp;":["&amp;AE7</f>
        <v>"PartATC":[0,0,0],</v>
      </c>
    </row>
    <row r="22" spans="2:30" ht="14.25" customHeight="1" x14ac:dyDescent="0.9">
      <c r="B22" s="131" t="s">
        <v>101</v>
      </c>
      <c r="C22" s="131"/>
      <c r="D22" s="69"/>
      <c r="Y22" s="1" t="s">
        <v>110</v>
      </c>
      <c r="AD22" s="36" t="str">
        <f>CHAR(34)&amp;AD8&amp;CHAR(34)&amp;":["&amp;AE8</f>
        <v>"PartBTC":[0,"N/A",0,"N/A",0,"N/A",0,"N/A"],</v>
      </c>
    </row>
    <row r="23" spans="2:30" ht="14.25" customHeight="1" x14ac:dyDescent="0.9">
      <c r="B23" s="131"/>
      <c r="C23" s="131"/>
      <c r="D23" s="69"/>
      <c r="Y23" s="1" t="s">
        <v>62</v>
      </c>
      <c r="AD23" s="36" t="str">
        <f>CHAR(34)&amp;AD9&amp;CHAR(34)&amp;":["&amp;AE9</f>
        <v>"PartCTC":[0,0,0,0,0,0],</v>
      </c>
    </row>
    <row r="24" spans="2:30" ht="14.25" customHeight="1" x14ac:dyDescent="0.9">
      <c r="C24" s="33"/>
      <c r="D24" s="33"/>
      <c r="Y24" s="1" t="s">
        <v>64</v>
      </c>
      <c r="AD24" s="36" t="str">
        <f>CHAR(34)&amp;AD10&amp;CHAR(34)&amp;":["&amp;AE10</f>
        <v>"PartDTC":[0,0,100,0,0,0],</v>
      </c>
    </row>
    <row r="25" spans="2:30" ht="14.25" customHeight="1" x14ac:dyDescent="0.9">
      <c r="B25" s="13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159</v>
      </c>
      <c r="AD25" s="36" t="str">
        <f>CHAR(34)&amp;AD11&amp;CHAR(34)&amp;":["&amp;AE11</f>
        <v>"PartAGM":[0,0,0],</v>
      </c>
    </row>
    <row r="26" spans="2:30" ht="14.25" customHeight="1" x14ac:dyDescent="0.9">
      <c r="B26" s="132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Men","Choc-Tops","","Traffic Controllers","Choc-Tops","Traffic Controllers","Gentle, Men"],</v>
      </c>
      <c r="F26" s="33"/>
      <c r="Y26" s="1"/>
      <c r="AD26" s="36" t="str">
        <f>CHAR(34)&amp;AD12&amp;CHAR(34)&amp;":["&amp;AE12</f>
        <v>"PartBGM":[0,"N/A",0,"N/A",0,"N/A",0,"N/A"],</v>
      </c>
    </row>
    <row r="27" spans="2:30" ht="14.25" customHeight="1" x14ac:dyDescent="0.45">
      <c r="B27" s="132" t="str">
        <f>D49&amp;":["&amp;D50&amp;D51&amp;D52&amp;D53&amp;D54&amp;D55&amp;D56&amp;D57&amp;D58&amp;D59&amp;D60&amp;D61&amp;D62&amp;D63&amp;D64&amp;D65&amp;"],"</f>
        <v>"PPG":[0,0,0,0,0,0,0,0,0,0,0,0,0,0,0,0],</v>
      </c>
      <c r="AD27" s="36" t="str">
        <f>CHAR(34)&amp;AD13&amp;CHAR(34)&amp;":["&amp;AE13</f>
        <v>"PartCGM":[0,0,0,0,0,0],</v>
      </c>
    </row>
    <row r="28" spans="2:30" ht="14.25" customHeight="1" x14ac:dyDescent="0.45">
      <c r="B28" s="10" t="str">
        <f>E49&amp;":["&amp;E50&amp;E51&amp;E52&amp;E53&amp;E54&amp;E55&amp;E56&amp;E57&amp;E58&amp;E59&amp;E60&amp;E61&amp;E62&amp;E63&amp;E64&amp;E65&amp;"],"</f>
        <v>"TP":[0,0,0,0,0,0,0,0,0,0,0,0,0,0,0,0],</v>
      </c>
      <c r="AD28" s="36" t="str">
        <f>CHAR(34)&amp;AD14&amp;CHAR(34)&amp;":["&amp;AE14</f>
        <v>"PartDGM":[0,0,100,0,0,100],</v>
      </c>
    </row>
    <row r="29" spans="2:30" ht="14.25" customHeight="1" x14ac:dyDescent="0.45">
      <c r="B29" s="10" t="str">
        <f>F49&amp;":["&amp;F50&amp;F51&amp;F52&amp;F53&amp;F54&amp;F55&amp;F56&amp;F57&amp;F58&amp;F59&amp;F60&amp;F61&amp;F62&amp;F63&amp;F64&amp;F65&amp;"],"</f>
        <v>"FPG":[0,0,0,0,0,0,0,0,0,0,0,0,0,0,0,0],</v>
      </c>
    </row>
    <row r="30" spans="2:30" ht="14.25" customHeight="1" x14ac:dyDescent="0.45">
      <c r="B30" s="10" t="str">
        <f>G49&amp;":["&amp;G50&amp;G51&amp;G52&amp;G53&amp;G54&amp;G55&amp;G56&amp;G57&amp;G58&amp;G59&amp;G60&amp;G61&amp;G62&amp;G63&amp;G64&amp;G65&amp;"],"</f>
        <v>"TF":[0,0,0,0,0,0,0,0,0,0,0,0,0,0,0,0],</v>
      </c>
    </row>
    <row r="31" spans="2:30" ht="14.25" customHeight="1" x14ac:dyDescent="0.45">
      <c r="B31" s="10" t="str">
        <f>H49&amp;":["&amp;H50&amp;H51&amp;H52&amp;H53&amp;H54&amp;H55&amp;H56&amp;H57&amp;H58&amp;H59&amp;H60&amp;H61&amp;H62&amp;H63&amp;H64&amp;H65&amp;"],"</f>
        <v>"MPG":[0,0,0,0,0,0,0,0,0,0,0,0,0,0,0,0],</v>
      </c>
    </row>
    <row r="32" spans="2:30" ht="14.25" customHeight="1" x14ac:dyDescent="0.45">
      <c r="B32" s="10" t="str">
        <f>I49&amp;":["&amp;I50&amp;I51&amp;I52&amp;I53&amp;I54&amp;I55&amp;I56&amp;I57&amp;I58&amp;I59&amp;I60&amp;I61&amp;I62&amp;I63&amp;I64&amp;I65&amp;"],"</f>
        <v>"TM":[0,0,0,0,0,0,0,0,0,0,0,0,0,0,0,0],</v>
      </c>
    </row>
    <row r="33" spans="2:2" ht="14.25" customHeight="1" x14ac:dyDescent="0.45">
      <c r="B33" s="10" t="str">
        <f>J49&amp;":["&amp;J50&amp;J51&amp;J52&amp;J53&amp;J54&amp;J55&amp;J56&amp;J57&amp;J58&amp;J59&amp;J60&amp;J61&amp;J62&amp;J63&amp;J64&amp;J65&amp;"],"</f>
        <v>"TPG":[0,0,0,0,0,0,0,0,0,0,0,0,0,0,0,0],</v>
      </c>
    </row>
    <row r="34" spans="2:2" ht="14.25" customHeight="1" x14ac:dyDescent="0.45">
      <c r="B34" s="10" t="str">
        <f>K49&amp;":["&amp;K50&amp;K51&amp;K52&amp;K53&amp;K54&amp;K55&amp;K56&amp;K57&amp;K58&amp;K59&amp;K60&amp;K61&amp;K62&amp;K63&amp;K64&amp;K65&amp;"],"</f>
        <v>"TT":[0,0,0,0,0,0,0,0,0,0,0,0,0,0,0,0],</v>
      </c>
    </row>
    <row r="35" spans="2:2" ht="14.25" customHeight="1" x14ac:dyDescent="0.45">
      <c r="B35" s="10" t="str">
        <f>L49&amp;":["&amp;L50&amp;L51&amp;L52&amp;L53&amp;L54&amp;L55&amp;L56&amp;L57&amp;L58&amp;L59&amp;L60&amp;L61&amp;L62&amp;L63&amp;L64&amp;L65&amp;"],"</f>
        <v>"Missed":[0,0,0,0,0,0,0,0,0,0,0,0,0,0,0,0],</v>
      </c>
    </row>
    <row r="36" spans="2:2" ht="14.25" customHeight="1" x14ac:dyDescent="0.45">
      <c r="B36" s="10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45">
      <c r="B37" s="10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45">
      <c r="B38" s="10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45">
      <c r="B39" s="10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45">
      <c r="B40" s="1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45">
      <c r="B41" s="10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45">
      <c r="B42" s="10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45">
      <c r="B43" s="10" t="str">
        <f>T49&amp;":["&amp;T50&amp;T51&amp;T52&amp;T53&amp;T54&amp;T55&amp;T56&amp;T57&amp;T58&amp;T59&amp;T60&amp;T61&amp;T62&amp;T63&amp;T64&amp;T65&amp;"],"</f>
        <v>"AccoladesEight":[" ","","","","","","","","","","","","","","Champion T2",""],</v>
      </c>
    </row>
    <row r="44" spans="2:2" ht="14.25" customHeight="1" x14ac:dyDescent="0.45">
      <c r="B44" s="10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Choc-Tops","Unsigned","Drafted by Traffic Controllers","Drafted by Choc-Tops","Drafted by Traffic Controllers","Drafted by Gentle, Men"],</v>
      </c>
    </row>
    <row r="45" spans="2:2" ht="14.25" customHeight="1" x14ac:dyDescent="0.45">
      <c r="B45" s="10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Logo.png","../Images/TC_Final.png","../Images/CT_Final.png","../Images/TC_Final.png","../Images/GM_Final.png"],</v>
      </c>
    </row>
    <row r="46" spans="2:2" ht="14.25" customHeight="1" x14ac:dyDescent="0.45">
      <c r="B46" s="10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holas.png","../Images/Players/Chris.png","../Images/Players/Angus.png","../Images/Players/Will.png"],</v>
      </c>
    </row>
    <row r="47" spans="2:2" ht="14.25" customHeight="1" x14ac:dyDescent="0.45">
      <c r="B47" s="10"/>
    </row>
    <row r="48" spans="2:2" ht="14.25" customHeight="1" x14ac:dyDescent="0.45"/>
    <row r="49" spans="2:23" ht="14.25" customHeight="1" x14ac:dyDescent="0.4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3">CHAR(34)&amp;M2&amp;CHAR(34)</f>
        <v>"AccoladesOne"</v>
      </c>
      <c r="N49" s="12" t="str">
        <f t="shared" si="3"/>
        <v>"AccoladesTwo"</v>
      </c>
      <c r="O49" s="12" t="str">
        <f t="shared" si="3"/>
        <v>"AccoladesThree"</v>
      </c>
      <c r="P49" s="12" t="str">
        <f t="shared" si="3"/>
        <v>"AccoladesFour"</v>
      </c>
      <c r="Q49" s="12" t="str">
        <f t="shared" si="3"/>
        <v>"AccoladesFive"</v>
      </c>
      <c r="R49" s="12" t="str">
        <f t="shared" si="3"/>
        <v>"AccoladesSix"</v>
      </c>
      <c r="S49" s="12" t="str">
        <f t="shared" si="3"/>
        <v>"AccoladesSeven"</v>
      </c>
      <c r="T49" s="12" t="str">
        <f t="shared" si="3"/>
        <v>"AccoladesEight"</v>
      </c>
      <c r="U49" s="12" t="str">
        <f t="shared" si="3"/>
        <v>"History"</v>
      </c>
      <c r="V49" s="12" t="str">
        <f t="shared" si="3"/>
        <v>"TeamImage"</v>
      </c>
      <c r="W49" s="12" t="str">
        <f t="shared" si="3"/>
        <v>"PlayerImage"</v>
      </c>
    </row>
    <row r="50" spans="2:23" ht="14.25" customHeight="1" x14ac:dyDescent="0.45">
      <c r="B50" s="12" t="str">
        <f t="shared" ref="B50:C64" si="4">CHAR(34)&amp;B3&amp;CHAR(34)&amp;","</f>
        <v>"Jasper Collier",</v>
      </c>
      <c r="C50" s="12" t="str">
        <f t="shared" si="4"/>
        <v>"Choc-Tops",</v>
      </c>
      <c r="D50" s="12" t="str">
        <f t="shared" ref="D50:D64" si="5">ROUND(D3,2)&amp;","</f>
        <v>0,</v>
      </c>
      <c r="E50" s="12" t="str">
        <f t="shared" ref="E50:E64" si="6">E3&amp;","</f>
        <v>0,</v>
      </c>
      <c r="F50" s="12" t="str">
        <f t="shared" ref="F50:F64" si="7">ROUND(F3,2)&amp;","</f>
        <v>0,</v>
      </c>
      <c r="G50" s="12" t="str">
        <f t="shared" ref="G50:G64" si="8">G3&amp;","</f>
        <v>0,</v>
      </c>
      <c r="H50" s="12" t="str">
        <f t="shared" ref="H50:H64" si="9">ROUND(H3,2)&amp;","</f>
        <v>0,</v>
      </c>
      <c r="I50" s="12" t="str">
        <f t="shared" ref="I50:I64" si="10">I3&amp;","</f>
        <v>0,</v>
      </c>
      <c r="J50" s="12" t="str">
        <f t="shared" ref="J50:J64" si="11">ROUND(J3,2)&amp;","</f>
        <v>0,</v>
      </c>
      <c r="K50" s="12" t="str">
        <f t="shared" ref="K50:L64" si="12">K3&amp;","</f>
        <v>0,</v>
      </c>
      <c r="L50" s="12" t="str">
        <f t="shared" si="12"/>
        <v>0,</v>
      </c>
      <c r="M50" s="12" t="str">
        <f t="shared" ref="M50:W50" si="13">CHAR(34)&amp;M3&amp;CHAR(34)&amp;","</f>
        <v>"",</v>
      </c>
      <c r="N50" s="12" t="str">
        <f t="shared" si="13"/>
        <v>"",</v>
      </c>
      <c r="O50" s="12" t="str">
        <f t="shared" si="13"/>
        <v>"",</v>
      </c>
      <c r="P50" s="12" t="str">
        <f t="shared" si="13"/>
        <v>"",</v>
      </c>
      <c r="Q50" s="12" t="str">
        <f t="shared" si="13"/>
        <v>"",</v>
      </c>
      <c r="R50" s="12" t="str">
        <f t="shared" si="13"/>
        <v>"",</v>
      </c>
      <c r="S50" s="12" t="str">
        <f t="shared" si="13"/>
        <v>"",</v>
      </c>
      <c r="T50" s="12" t="str">
        <f t="shared" si="13"/>
        <v>" ",</v>
      </c>
      <c r="U50" s="12" t="str">
        <f t="shared" si="13"/>
        <v>"Drafted by Choc-Tops",</v>
      </c>
      <c r="V50" s="12" t="str">
        <f t="shared" si="13"/>
        <v>"../Images/CT_Final.png",</v>
      </c>
      <c r="W50" s="12" t="str">
        <f t="shared" si="13"/>
        <v>"../Images/Players/Jasper.png",</v>
      </c>
    </row>
    <row r="51" spans="2:23" ht="14.25" customHeight="1" x14ac:dyDescent="0.45">
      <c r="B51" s="12" t="str">
        <f t="shared" si="4"/>
        <v>"Conor Farrington",</v>
      </c>
      <c r="C51" s="12" t="str">
        <f t="shared" si="4"/>
        <v>"Gentle, Men",</v>
      </c>
      <c r="D51" s="12" t="str">
        <f t="shared" si="5"/>
        <v>0,</v>
      </c>
      <c r="E51" s="12" t="str">
        <f t="shared" si="6"/>
        <v>0,</v>
      </c>
      <c r="F51" s="12" t="str">
        <f t="shared" si="7"/>
        <v>0,</v>
      </c>
      <c r="G51" s="12" t="str">
        <f t="shared" si="8"/>
        <v>0,</v>
      </c>
      <c r="H51" s="12" t="str">
        <f t="shared" si="9"/>
        <v>0,</v>
      </c>
      <c r="I51" s="12" t="str">
        <f t="shared" si="10"/>
        <v>0,</v>
      </c>
      <c r="J51" s="12" t="str">
        <f t="shared" si="11"/>
        <v>0,</v>
      </c>
      <c r="K51" s="12" t="str">
        <f t="shared" si="12"/>
        <v>0,</v>
      </c>
      <c r="L51" s="12" t="str">
        <f t="shared" si="12"/>
        <v>0,</v>
      </c>
      <c r="M51" s="12" t="str">
        <f t="shared" ref="M51:W51" si="14">CHAR(34)&amp;M4&amp;CHAR(34)&amp;","</f>
        <v>"",</v>
      </c>
      <c r="N51" s="12" t="str">
        <f t="shared" si="14"/>
        <v>"",</v>
      </c>
      <c r="O51" s="12" t="str">
        <f t="shared" si="14"/>
        <v>"",</v>
      </c>
      <c r="P51" s="12" t="str">
        <f t="shared" si="14"/>
        <v>"",</v>
      </c>
      <c r="Q51" s="12" t="str">
        <f t="shared" si="14"/>
        <v>"",</v>
      </c>
      <c r="R51" s="12" t="str">
        <f t="shared" si="14"/>
        <v>"",</v>
      </c>
      <c r="S51" s="12" t="str">
        <f t="shared" si="14"/>
        <v>"",</v>
      </c>
      <c r="T51" s="12" t="str">
        <f t="shared" si="14"/>
        <v>"",</v>
      </c>
      <c r="U51" s="12" t="str">
        <f t="shared" si="14"/>
        <v>"GM of Gentle, Men",</v>
      </c>
      <c r="V51" s="12" t="str">
        <f t="shared" si="14"/>
        <v>"../Images/GM_Final.png",</v>
      </c>
      <c r="W51" s="12" t="str">
        <f t="shared" si="14"/>
        <v>"../Images/Players/Conor.png",</v>
      </c>
    </row>
    <row r="52" spans="2:23" ht="14.25" customHeight="1" x14ac:dyDescent="0.45">
      <c r="B52" s="12" t="str">
        <f t="shared" si="4"/>
        <v>"Alexander Galt",</v>
      </c>
      <c r="C52" s="12" t="str">
        <f t="shared" si="4"/>
        <v>"Choc-Tops",</v>
      </c>
      <c r="D52" s="12" t="str">
        <f t="shared" si="5"/>
        <v>0,</v>
      </c>
      <c r="E52" s="12" t="str">
        <f t="shared" si="6"/>
        <v>0,</v>
      </c>
      <c r="F52" s="12" t="str">
        <f t="shared" si="7"/>
        <v>0,</v>
      </c>
      <c r="G52" s="12" t="str">
        <f t="shared" si="8"/>
        <v>0,</v>
      </c>
      <c r="H52" s="12" t="str">
        <f t="shared" si="9"/>
        <v>0,</v>
      </c>
      <c r="I52" s="12" t="str">
        <f t="shared" si="10"/>
        <v>0,</v>
      </c>
      <c r="J52" s="12" t="str">
        <f t="shared" si="11"/>
        <v>0,</v>
      </c>
      <c r="K52" s="12" t="str">
        <f t="shared" si="12"/>
        <v>0,</v>
      </c>
      <c r="L52" s="12" t="str">
        <f t="shared" si="12"/>
        <v>0,</v>
      </c>
      <c r="M52" s="12" t="str">
        <f t="shared" ref="M52:W52" si="15">CHAR(34)&amp;M5&amp;CHAR(34)&amp;","</f>
        <v>"All-Defence Team T1",</v>
      </c>
      <c r="N52" s="12" t="str">
        <f t="shared" si="15"/>
        <v>"Champion T1",</v>
      </c>
      <c r="O52" s="12" t="str">
        <f t="shared" si="15"/>
        <v>"All-Offence Team T2",</v>
      </c>
      <c r="P52" s="12" t="str">
        <f t="shared" si="15"/>
        <v>"All-Defence Team T2",</v>
      </c>
      <c r="Q52" s="12" t="str">
        <f t="shared" si="15"/>
        <v>"",</v>
      </c>
      <c r="R52" s="12" t="str">
        <f t="shared" si="15"/>
        <v>"",</v>
      </c>
      <c r="S52" s="12" t="str">
        <f t="shared" si="15"/>
        <v>"",</v>
      </c>
      <c r="T52" s="12" t="str">
        <f t="shared" si="15"/>
        <v>"",</v>
      </c>
      <c r="U52" s="12" t="str">
        <f t="shared" si="15"/>
        <v>"Drafted by Choc-Tops",</v>
      </c>
      <c r="V52" s="12" t="str">
        <f t="shared" si="15"/>
        <v>"../Images/CT_Final.png",</v>
      </c>
      <c r="W52" s="12" t="str">
        <f t="shared" si="15"/>
        <v>"../Images/Players/Alex.png",</v>
      </c>
    </row>
    <row r="53" spans="2:23" ht="14.25" customHeight="1" x14ac:dyDescent="0.45">
      <c r="B53" s="12" t="str">
        <f t="shared" si="4"/>
        <v>"Rudy Hoschke",</v>
      </c>
      <c r="C53" s="12" t="str">
        <f t="shared" si="4"/>
        <v>"Choc-Tops",</v>
      </c>
      <c r="D53" s="12" t="str">
        <f t="shared" si="5"/>
        <v>0,</v>
      </c>
      <c r="E53" s="12" t="str">
        <f t="shared" si="6"/>
        <v>0,</v>
      </c>
      <c r="F53" s="12" t="str">
        <f t="shared" si="7"/>
        <v>0,</v>
      </c>
      <c r="G53" s="12" t="str">
        <f t="shared" si="8"/>
        <v>0,</v>
      </c>
      <c r="H53" s="12" t="str">
        <f t="shared" si="9"/>
        <v>0,</v>
      </c>
      <c r="I53" s="12" t="str">
        <f t="shared" si="10"/>
        <v>0,</v>
      </c>
      <c r="J53" s="12" t="str">
        <f t="shared" si="11"/>
        <v>0,</v>
      </c>
      <c r="K53" s="12" t="str">
        <f t="shared" si="12"/>
        <v>0,</v>
      </c>
      <c r="L53" s="12" t="str">
        <f t="shared" si="12"/>
        <v>0,</v>
      </c>
      <c r="M53" s="12" t="str">
        <f t="shared" ref="M53:W53" si="16">CHAR(34)&amp;M6&amp;CHAR(34)&amp;","</f>
        <v>"All-Offence Team T1",</v>
      </c>
      <c r="N53" s="12" t="str">
        <f t="shared" si="16"/>
        <v>"All-Defence Team T1",</v>
      </c>
      <c r="O53" s="12" t="str">
        <f t="shared" si="16"/>
        <v>"Champion T1",</v>
      </c>
      <c r="P53" s="12" t="str">
        <f t="shared" si="16"/>
        <v>"All-Offence Team T2",</v>
      </c>
      <c r="Q53" s="12" t="str">
        <f t="shared" si="16"/>
        <v>"All-Defence Team T2",</v>
      </c>
      <c r="R53" s="12" t="str">
        <f t="shared" si="16"/>
        <v>"Scoring Champ T2",</v>
      </c>
      <c r="S53" s="12" t="str">
        <f t="shared" si="16"/>
        <v>"GM",</v>
      </c>
      <c r="T53" s="12" t="str">
        <f t="shared" si="16"/>
        <v>"",</v>
      </c>
      <c r="U53" s="12" t="str">
        <f t="shared" si="16"/>
        <v>"Drafted by Choc-Tops",</v>
      </c>
      <c r="V53" s="12" t="str">
        <f t="shared" si="16"/>
        <v>"../Images/CT_Final.png",</v>
      </c>
      <c r="W53" s="12" t="str">
        <f t="shared" si="16"/>
        <v>"../Images/Players/Rudy.png",</v>
      </c>
    </row>
    <row r="54" spans="2:23" ht="14.25" customHeight="1" x14ac:dyDescent="0.45">
      <c r="B54" s="12" t="str">
        <f t="shared" si="4"/>
        <v>"Michael Iffland",</v>
      </c>
      <c r="C54" s="12" t="str">
        <f t="shared" si="4"/>
        <v>"Gentle, Men",</v>
      </c>
      <c r="D54" s="12" t="str">
        <f t="shared" si="5"/>
        <v>0,</v>
      </c>
      <c r="E54" s="12" t="str">
        <f t="shared" si="6"/>
        <v>0,</v>
      </c>
      <c r="F54" s="12" t="str">
        <f t="shared" si="7"/>
        <v>0,</v>
      </c>
      <c r="G54" s="12" t="str">
        <f t="shared" si="8"/>
        <v>0,</v>
      </c>
      <c r="H54" s="12" t="str">
        <f t="shared" si="9"/>
        <v>0,</v>
      </c>
      <c r="I54" s="12" t="str">
        <f t="shared" si="10"/>
        <v>0,</v>
      </c>
      <c r="J54" s="12" t="str">
        <f t="shared" si="11"/>
        <v>0,</v>
      </c>
      <c r="K54" s="12" t="str">
        <f t="shared" si="12"/>
        <v>0,</v>
      </c>
      <c r="L54" s="12" t="str">
        <f t="shared" si="12"/>
        <v>0,</v>
      </c>
      <c r="M54" s="12" t="str">
        <f t="shared" ref="M54:W54" si="17">CHAR(34)&amp;M7&amp;CHAR(34)&amp;","</f>
        <v>"Playmaker T1",</v>
      </c>
      <c r="N54" s="12" t="str">
        <f t="shared" si="17"/>
        <v>"Thirdman T1",</v>
      </c>
      <c r="O54" s="12" t="str">
        <f t="shared" si="17"/>
        <v>"All-Offence Team T2",</v>
      </c>
      <c r="P54" s="12" t="str">
        <f t="shared" si="17"/>
        <v>"All-2nd-Defence Team T2",</v>
      </c>
      <c r="Q54" s="12" t="str">
        <f t="shared" si="17"/>
        <v>"",</v>
      </c>
      <c r="R54" s="12" t="str">
        <f t="shared" si="17"/>
        <v>"",</v>
      </c>
      <c r="S54" s="12" t="str">
        <f t="shared" si="17"/>
        <v>"",</v>
      </c>
      <c r="T54" s="12" t="str">
        <f t="shared" si="17"/>
        <v>"",</v>
      </c>
      <c r="U54" s="12" t="str">
        <f t="shared" si="17"/>
        <v>"Drafted by Gentle, Men",</v>
      </c>
      <c r="V54" s="12" t="str">
        <f t="shared" si="17"/>
        <v>"../Images/GM_Final.png",</v>
      </c>
      <c r="W54" s="12" t="str">
        <f t="shared" si="17"/>
        <v>"../Images/Players/Michael.png",</v>
      </c>
    </row>
    <row r="55" spans="2:23" ht="14.25" customHeight="1" x14ac:dyDescent="0.45">
      <c r="B55" s="12" t="str">
        <f t="shared" si="4"/>
        <v>"Lukas Johnston",</v>
      </c>
      <c r="C55" s="12" t="str">
        <f t="shared" si="4"/>
        <v>"Gentle, Men",</v>
      </c>
      <c r="D55" s="12" t="str">
        <f t="shared" si="5"/>
        <v>0,</v>
      </c>
      <c r="E55" s="12" t="str">
        <f t="shared" si="6"/>
        <v>0,</v>
      </c>
      <c r="F55" s="12" t="str">
        <f t="shared" si="7"/>
        <v>0,</v>
      </c>
      <c r="G55" s="12" t="str">
        <f t="shared" si="8"/>
        <v>0,</v>
      </c>
      <c r="H55" s="12" t="str">
        <f t="shared" si="9"/>
        <v>0,</v>
      </c>
      <c r="I55" s="12" t="str">
        <f t="shared" si="10"/>
        <v>0,</v>
      </c>
      <c r="J55" s="12" t="str">
        <f t="shared" si="11"/>
        <v>0,</v>
      </c>
      <c r="K55" s="12" t="str">
        <f t="shared" si="12"/>
        <v>0,</v>
      </c>
      <c r="L55" s="12" t="str">
        <f t="shared" si="12"/>
        <v>0,</v>
      </c>
      <c r="M55" s="12" t="str">
        <f t="shared" ref="M55:W55" si="18">CHAR(34)&amp;M8&amp;CHAR(34)&amp;","</f>
        <v>"MVP Runner Up T1",</v>
      </c>
      <c r="N55" s="12" t="str">
        <f t="shared" si="18"/>
        <v>"All-Offence Team T1",</v>
      </c>
      <c r="O55" s="12" t="str">
        <f t="shared" si="18"/>
        <v>"All-2nd-Offence Team T2",</v>
      </c>
      <c r="P55" s="12" t="str">
        <f t="shared" si="18"/>
        <v>"",</v>
      </c>
      <c r="Q55" s="12" t="str">
        <f t="shared" si="18"/>
        <v>"",</v>
      </c>
      <c r="R55" s="12" t="str">
        <f t="shared" si="18"/>
        <v>"",</v>
      </c>
      <c r="S55" s="12" t="str">
        <f t="shared" si="18"/>
        <v>"",</v>
      </c>
      <c r="T55" s="12" t="str">
        <f t="shared" si="18"/>
        <v>"",</v>
      </c>
      <c r="U55" s="12" t="str">
        <f t="shared" si="18"/>
        <v>"Drafted by Gentle, Men",</v>
      </c>
      <c r="V55" s="12" t="str">
        <f t="shared" si="18"/>
        <v>"../Images/GM_Final.png",</v>
      </c>
      <c r="W55" s="12" t="str">
        <f t="shared" si="18"/>
        <v>"../Images/Players/Lukas.png",</v>
      </c>
    </row>
    <row r="56" spans="2:23" ht="14.25" customHeight="1" x14ac:dyDescent="0.45">
      <c r="B56" s="12" t="str">
        <f t="shared" si="4"/>
        <v>"Sam James",</v>
      </c>
      <c r="C56" s="12" t="str">
        <f t="shared" si="4"/>
        <v>"Traffic Controllers",</v>
      </c>
      <c r="D56" s="12" t="str">
        <f t="shared" si="5"/>
        <v>0,</v>
      </c>
      <c r="E56" s="12" t="str">
        <f t="shared" si="6"/>
        <v>0,</v>
      </c>
      <c r="F56" s="12" t="str">
        <f t="shared" si="7"/>
        <v>0,</v>
      </c>
      <c r="G56" s="12" t="str">
        <f t="shared" si="8"/>
        <v>0,</v>
      </c>
      <c r="H56" s="12" t="str">
        <f t="shared" si="9"/>
        <v>0,</v>
      </c>
      <c r="I56" s="12" t="str">
        <f t="shared" si="10"/>
        <v>0,</v>
      </c>
      <c r="J56" s="12" t="str">
        <f t="shared" si="11"/>
        <v>0,</v>
      </c>
      <c r="K56" s="12" t="str">
        <f t="shared" si="12"/>
        <v>0,</v>
      </c>
      <c r="L56" s="12" t="str">
        <f t="shared" si="12"/>
        <v>0,</v>
      </c>
      <c r="M56" s="12" t="str">
        <f t="shared" ref="M56:W56" si="19">CHAR(34)&amp;M9&amp;CHAR(34)&amp;","</f>
        <v>"Miles Morales",</v>
      </c>
      <c r="N56" s="12" t="str">
        <f t="shared" si="19"/>
        <v>"Champion T2",</v>
      </c>
      <c r="O56" s="12" t="str">
        <f t="shared" si="19"/>
        <v>"",</v>
      </c>
      <c r="P56" s="12" t="str">
        <f t="shared" si="19"/>
        <v>"",</v>
      </c>
      <c r="Q56" s="12" t="str">
        <f t="shared" si="19"/>
        <v>"",</v>
      </c>
      <c r="R56" s="12" t="str">
        <f t="shared" si="19"/>
        <v>"",</v>
      </c>
      <c r="S56" s="12" t="str">
        <f t="shared" si="19"/>
        <v>"",</v>
      </c>
      <c r="T56" s="12" t="str">
        <f t="shared" si="19"/>
        <v>"",</v>
      </c>
      <c r="U56" s="12" t="str">
        <f t="shared" si="19"/>
        <v>"Drafted by Traffic Controllers",</v>
      </c>
      <c r="V56" s="12" t="str">
        <f t="shared" si="19"/>
        <v>"../Images/TC_Final.png",</v>
      </c>
      <c r="W56" s="12" t="str">
        <f t="shared" si="19"/>
        <v>"../Images/Players/SamJ.png",</v>
      </c>
    </row>
    <row r="57" spans="2:23" ht="14.25" customHeight="1" x14ac:dyDescent="0.45">
      <c r="B57" s="12" t="str">
        <f t="shared" si="4"/>
        <v>"Clarrie Jones",</v>
      </c>
      <c r="C57" s="12" t="str">
        <f t="shared" si="4"/>
        <v>"Traffic Controllers",</v>
      </c>
      <c r="D57" s="12" t="str">
        <f t="shared" si="5"/>
        <v>0,</v>
      </c>
      <c r="E57" s="12" t="str">
        <f t="shared" si="6"/>
        <v>0,</v>
      </c>
      <c r="F57" s="12" t="str">
        <f t="shared" si="7"/>
        <v>0,</v>
      </c>
      <c r="G57" s="12" t="str">
        <f t="shared" si="8"/>
        <v>0,</v>
      </c>
      <c r="H57" s="12" t="str">
        <f t="shared" si="9"/>
        <v>0,</v>
      </c>
      <c r="I57" s="12" t="str">
        <f t="shared" si="10"/>
        <v>0,</v>
      </c>
      <c r="J57" s="12" t="str">
        <f t="shared" si="11"/>
        <v>0,</v>
      </c>
      <c r="K57" s="12" t="str">
        <f t="shared" si="12"/>
        <v>0,</v>
      </c>
      <c r="L57" s="12" t="str">
        <f t="shared" si="12"/>
        <v>0,</v>
      </c>
      <c r="M57" s="12" t="str">
        <f t="shared" ref="M57:W57" si="20">CHAR(34)&amp;M10&amp;CHAR(34)&amp;","</f>
        <v>"LTBO Manager",</v>
      </c>
      <c r="N57" s="12" t="str">
        <f t="shared" si="20"/>
        <v>"Champion T1",</v>
      </c>
      <c r="O57" s="12" t="str">
        <f t="shared" si="20"/>
        <v>"Finals MVP T1",</v>
      </c>
      <c r="P57" s="12" t="str">
        <f t="shared" si="20"/>
        <v>"Fifthman T2",</v>
      </c>
      <c r="Q57" s="12" t="str">
        <f t="shared" si="20"/>
        <v>"All-2nd-Offence Team T2",</v>
      </c>
      <c r="R57" s="12" t="str">
        <f t="shared" si="20"/>
        <v>"All-2nd-Defence Team T2",</v>
      </c>
      <c r="S57" s="12" t="str">
        <f t="shared" si="20"/>
        <v>"Champion T2",</v>
      </c>
      <c r="T57" s="12" t="str">
        <f t="shared" si="20"/>
        <v>"",</v>
      </c>
      <c r="U57" s="12" t="str">
        <f t="shared" si="20"/>
        <v>"GM of Traffic Controllers",</v>
      </c>
      <c r="V57" s="12" t="str">
        <f t="shared" si="20"/>
        <v>"../Images/TC_Final.png",</v>
      </c>
      <c r="W57" s="12" t="str">
        <f t="shared" si="20"/>
        <v>"../Images/Players/Clarrie.png",</v>
      </c>
    </row>
    <row r="58" spans="2:23" ht="14.25" customHeight="1" x14ac:dyDescent="0.45">
      <c r="B58" s="12" t="str">
        <f t="shared" si="4"/>
        <v>"William Kim",</v>
      </c>
      <c r="C58" s="12" t="str">
        <f t="shared" si="4"/>
        <v>"Traffic Controllers",</v>
      </c>
      <c r="D58" s="12" t="str">
        <f t="shared" si="5"/>
        <v>0,</v>
      </c>
      <c r="E58" s="12" t="str">
        <f t="shared" si="6"/>
        <v>0,</v>
      </c>
      <c r="F58" s="12" t="str">
        <f t="shared" si="7"/>
        <v>0,</v>
      </c>
      <c r="G58" s="12" t="str">
        <f t="shared" si="8"/>
        <v>0,</v>
      </c>
      <c r="H58" s="12" t="str">
        <f t="shared" si="9"/>
        <v>0,</v>
      </c>
      <c r="I58" s="12" t="str">
        <f t="shared" si="10"/>
        <v>0,</v>
      </c>
      <c r="J58" s="12" t="str">
        <f t="shared" si="11"/>
        <v>0,</v>
      </c>
      <c r="K58" s="12" t="str">
        <f t="shared" si="12"/>
        <v>0,</v>
      </c>
      <c r="L58" s="12" t="str">
        <f t="shared" si="12"/>
        <v>0,</v>
      </c>
      <c r="M58" s="12" t="str">
        <f t="shared" ref="M58:W58" si="21">CHAR(34)&amp;M11&amp;CHAR(34)&amp;","</f>
        <v>"MVP T1",</v>
      </c>
      <c r="N58" s="12" t="str">
        <f t="shared" si="21"/>
        <v>"All-Offence Team T1",</v>
      </c>
      <c r="O58" s="12" t="str">
        <f t="shared" si="21"/>
        <v>"All-Defence Team T1",</v>
      </c>
      <c r="P58" s="12" t="str">
        <f t="shared" si="21"/>
        <v>"All-2nd-Offence Team T2",</v>
      </c>
      <c r="Q58" s="12" t="str">
        <f t="shared" si="21"/>
        <v>"All-Defence Team T2",</v>
      </c>
      <c r="R58" s="12" t="str">
        <f t="shared" si="21"/>
        <v>"Champion T2",</v>
      </c>
      <c r="S58" s="12" t="str">
        <f t="shared" si="21"/>
        <v>"Finals MVP T2",</v>
      </c>
      <c r="T58" s="12" t="str">
        <f t="shared" si="21"/>
        <v>"",</v>
      </c>
      <c r="U58" s="12" t="str">
        <f t="shared" si="21"/>
        <v>"Drafted by Traffic Controllers",</v>
      </c>
      <c r="V58" s="12" t="str">
        <f t="shared" si="21"/>
        <v>"../Images/TC_Final.png",</v>
      </c>
      <c r="W58" s="12" t="str">
        <f t="shared" si="21"/>
        <v>"../Images/Players/Kimmy.png",</v>
      </c>
    </row>
    <row r="59" spans="2:23" ht="14.25" customHeight="1" x14ac:dyDescent="0.45">
      <c r="B59" s="12" t="str">
        <f t="shared" si="4"/>
        <v>"Samuel McConaghy",</v>
      </c>
      <c r="C59" s="12" t="str">
        <f t="shared" si="4"/>
        <v>"Gentle, Men",</v>
      </c>
      <c r="D59" s="12" t="str">
        <f t="shared" si="5"/>
        <v>0,</v>
      </c>
      <c r="E59" s="12" t="str">
        <f t="shared" si="6"/>
        <v>0,</v>
      </c>
      <c r="F59" s="12" t="str">
        <f t="shared" si="7"/>
        <v>0,</v>
      </c>
      <c r="G59" s="12" t="str">
        <f t="shared" si="8"/>
        <v>0,</v>
      </c>
      <c r="H59" s="12" t="str">
        <f t="shared" si="9"/>
        <v>0,</v>
      </c>
      <c r="I59" s="12" t="str">
        <f t="shared" si="10"/>
        <v>0,</v>
      </c>
      <c r="J59" s="12" t="str">
        <f t="shared" si="11"/>
        <v>0,</v>
      </c>
      <c r="K59" s="12" t="str">
        <f t="shared" si="12"/>
        <v>0,</v>
      </c>
      <c r="L59" s="12" t="str">
        <f t="shared" si="12"/>
        <v>0,</v>
      </c>
      <c r="M59" s="12" t="str">
        <f t="shared" ref="M59:W59" si="22">CHAR(34)&amp;M12&amp;CHAR(34)&amp;","</f>
        <v>"GM",</v>
      </c>
      <c r="N59" s="12" t="str">
        <f t="shared" si="22"/>
        <v>"All-Offence Team T1",</v>
      </c>
      <c r="O59" s="12" t="str">
        <f t="shared" si="22"/>
        <v>"All-Defence Team T1",</v>
      </c>
      <c r="P59" s="12" t="str">
        <f t="shared" si="22"/>
        <v>"All-Offence Team T2",</v>
      </c>
      <c r="Q59" s="12" t="str">
        <f t="shared" si="22"/>
        <v>"All-Defence Team T2",</v>
      </c>
      <c r="R59" s="12" t="str">
        <f t="shared" si="22"/>
        <v>"",</v>
      </c>
      <c r="S59" s="12" t="str">
        <f t="shared" si="22"/>
        <v>"",</v>
      </c>
      <c r="T59" s="12" t="str">
        <f t="shared" si="22"/>
        <v>"",</v>
      </c>
      <c r="U59" s="12" t="str">
        <f t="shared" si="22"/>
        <v>"Drafted by Gentle, Men",</v>
      </c>
      <c r="V59" s="12" t="str">
        <f t="shared" si="22"/>
        <v>"../Images/GM_Final.png",</v>
      </c>
      <c r="W59" s="12" t="str">
        <f t="shared" si="22"/>
        <v>"../Images/Players/SamM.png",</v>
      </c>
    </row>
    <row r="60" spans="2:23" ht="14.25" customHeight="1" x14ac:dyDescent="0.45">
      <c r="B60" s="12" t="str">
        <f t="shared" si="4"/>
        <v>"Ryan Pattemore",</v>
      </c>
      <c r="C60" s="12" t="str">
        <f t="shared" si="4"/>
        <v>"Choc-Tops",</v>
      </c>
      <c r="D60" s="12" t="str">
        <f t="shared" si="5"/>
        <v>0,</v>
      </c>
      <c r="E60" s="12" t="str">
        <f t="shared" si="6"/>
        <v>0,</v>
      </c>
      <c r="F60" s="12" t="str">
        <f t="shared" si="7"/>
        <v>0,</v>
      </c>
      <c r="G60" s="12" t="str">
        <f t="shared" si="8"/>
        <v>0,</v>
      </c>
      <c r="H60" s="12" t="str">
        <f t="shared" si="9"/>
        <v>0,</v>
      </c>
      <c r="I60" s="12" t="str">
        <f t="shared" si="10"/>
        <v>0,</v>
      </c>
      <c r="J60" s="12" t="str">
        <f t="shared" si="11"/>
        <v>0,</v>
      </c>
      <c r="K60" s="12" t="str">
        <f t="shared" si="12"/>
        <v>0,</v>
      </c>
      <c r="L60" s="12" t="str">
        <f t="shared" si="12"/>
        <v>0,</v>
      </c>
      <c r="M60" s="12" t="str">
        <f t="shared" ref="M60:W60" si="23">CHAR(34)&amp;M13&amp;CHAR(34)&amp;","</f>
        <v>"Perimeter T1",</v>
      </c>
      <c r="N60" s="12" t="str">
        <f t="shared" si="23"/>
        <v>"Champion T1",</v>
      </c>
      <c r="O60" s="12" t="str">
        <f t="shared" si="23"/>
        <v>"",</v>
      </c>
      <c r="P60" s="12" t="str">
        <f t="shared" si="23"/>
        <v>"",</v>
      </c>
      <c r="Q60" s="12" t="str">
        <f t="shared" si="23"/>
        <v>"",</v>
      </c>
      <c r="R60" s="12" t="str">
        <f t="shared" si="23"/>
        <v>"",</v>
      </c>
      <c r="S60" s="12" t="str">
        <f t="shared" si="23"/>
        <v>"",</v>
      </c>
      <c r="T60" s="12" t="str">
        <f t="shared" si="23"/>
        <v>"",</v>
      </c>
      <c r="U60" s="12" t="str">
        <f t="shared" si="23"/>
        <v>"GM of Choc-Tops",</v>
      </c>
      <c r="V60" s="12" t="str">
        <f t="shared" si="23"/>
        <v>"../Images/CT_Final.png",</v>
      </c>
      <c r="W60" s="12" t="str">
        <f t="shared" si="23"/>
        <v>"../Images/Players/Ryan.png",</v>
      </c>
    </row>
    <row r="61" spans="2:23" ht="14.25" customHeight="1" x14ac:dyDescent="0.45">
      <c r="B61" s="12" t="str">
        <f t="shared" si="4"/>
        <v>"William Scott",</v>
      </c>
      <c r="C61" s="12" t="str">
        <f t="shared" si="4"/>
        <v>"",</v>
      </c>
      <c r="D61" s="12" t="str">
        <f t="shared" si="5"/>
        <v>0,</v>
      </c>
      <c r="E61" s="12" t="str">
        <f t="shared" si="6"/>
        <v>0,</v>
      </c>
      <c r="F61" s="12" t="str">
        <f t="shared" si="7"/>
        <v>0,</v>
      </c>
      <c r="G61" s="12" t="str">
        <f t="shared" si="8"/>
        <v>0,</v>
      </c>
      <c r="H61" s="12" t="str">
        <f t="shared" si="9"/>
        <v>0,</v>
      </c>
      <c r="I61" s="12" t="str">
        <f t="shared" si="10"/>
        <v>0,</v>
      </c>
      <c r="J61" s="12" t="str">
        <f t="shared" si="11"/>
        <v>0,</v>
      </c>
      <c r="K61" s="12" t="str">
        <f t="shared" si="12"/>
        <v>0,</v>
      </c>
      <c r="L61" s="12" t="str">
        <f t="shared" si="12"/>
        <v>0,</v>
      </c>
      <c r="M61" s="12" t="str">
        <f t="shared" ref="M61:W61" si="24">CHAR(34)&amp;M14&amp;CHAR(34)&amp;","</f>
        <v>"LTBO Photographer",</v>
      </c>
      <c r="N61" s="12" t="str">
        <f t="shared" si="24"/>
        <v>"",</v>
      </c>
      <c r="O61" s="12" t="str">
        <f t="shared" si="24"/>
        <v>"",</v>
      </c>
      <c r="P61" s="12" t="str">
        <f t="shared" si="24"/>
        <v>"",</v>
      </c>
      <c r="Q61" s="12" t="str">
        <f t="shared" si="24"/>
        <v>"",</v>
      </c>
      <c r="R61" s="12" t="str">
        <f t="shared" si="24"/>
        <v>"",</v>
      </c>
      <c r="S61" s="12" t="str">
        <f t="shared" si="24"/>
        <v>"",</v>
      </c>
      <c r="T61" s="12" t="str">
        <f t="shared" si="24"/>
        <v>"",</v>
      </c>
      <c r="U61" s="12" t="str">
        <f t="shared" si="24"/>
        <v>"Unsigned",</v>
      </c>
      <c r="V61" s="12" t="str">
        <f t="shared" si="24"/>
        <v>"../Images/Logo.png",</v>
      </c>
      <c r="W61" s="12" t="str">
        <f t="shared" si="24"/>
        <v>"../Images/Players/Will.png",</v>
      </c>
    </row>
    <row r="62" spans="2:23" ht="14.25" customHeight="1" x14ac:dyDescent="0.45">
      <c r="B62" s="12" t="str">
        <f t="shared" si="4"/>
        <v>"Nicholas Szogi",</v>
      </c>
      <c r="C62" s="12" t="str">
        <f t="shared" si="4"/>
        <v>"Traffic Controllers",</v>
      </c>
      <c r="D62" s="12" t="str">
        <f t="shared" si="5"/>
        <v>0,</v>
      </c>
      <c r="E62" s="12" t="str">
        <f t="shared" si="6"/>
        <v>0,</v>
      </c>
      <c r="F62" s="12" t="str">
        <f t="shared" si="7"/>
        <v>0,</v>
      </c>
      <c r="G62" s="12" t="str">
        <f t="shared" si="8"/>
        <v>0,</v>
      </c>
      <c r="H62" s="12" t="str">
        <f t="shared" si="9"/>
        <v>0,</v>
      </c>
      <c r="I62" s="12" t="str">
        <f t="shared" si="10"/>
        <v>0,</v>
      </c>
      <c r="J62" s="12" t="str">
        <f t="shared" si="11"/>
        <v>0,</v>
      </c>
      <c r="K62" s="12" t="str">
        <f t="shared" si="12"/>
        <v>0,</v>
      </c>
      <c r="L62" s="12" t="str">
        <f t="shared" si="12"/>
        <v>0,</v>
      </c>
      <c r="M62" s="12" t="str">
        <f t="shared" ref="M62:W62" si="25">CHAR(34)&amp;M15&amp;CHAR(34)&amp;","</f>
        <v>"The Biggest Bird",</v>
      </c>
      <c r="N62" s="12" t="str">
        <f t="shared" si="25"/>
        <v>"Champion T1",</v>
      </c>
      <c r="O62" s="12" t="str">
        <f t="shared" si="25"/>
        <v>"MVP Runner Up T2",</v>
      </c>
      <c r="P62" s="12" t="str">
        <f t="shared" si="25"/>
        <v>"X-Factor T2",</v>
      </c>
      <c r="Q62" s="12" t="str">
        <f t="shared" si="25"/>
        <v>"All-2nd-Offence Team T2",</v>
      </c>
      <c r="R62" s="12" t="str">
        <f t="shared" si="25"/>
        <v>"All-2nd-Defence Team T2",</v>
      </c>
      <c r="S62" s="12" t="str">
        <f t="shared" si="25"/>
        <v>"",</v>
      </c>
      <c r="T62" s="12" t="str">
        <f t="shared" si="25"/>
        <v>"",</v>
      </c>
      <c r="U62" s="12" t="str">
        <f t="shared" si="25"/>
        <v>"Drafted by Traffic Controllers",</v>
      </c>
      <c r="V62" s="12" t="str">
        <f t="shared" si="25"/>
        <v>"../Images/TC_Final.png",</v>
      </c>
      <c r="W62" s="12" t="str">
        <f t="shared" si="25"/>
        <v>"../Images/Players/Nicholas.png",</v>
      </c>
    </row>
    <row r="63" spans="2:23" ht="14.25" customHeight="1" x14ac:dyDescent="0.45">
      <c r="B63" s="12" t="str">
        <f t="shared" si="4"/>
        <v>"Christopher Tomkinson",</v>
      </c>
      <c r="C63" s="12" t="str">
        <f t="shared" si="4"/>
        <v>"Choc-Tops",</v>
      </c>
      <c r="D63" s="12" t="str">
        <f t="shared" si="5"/>
        <v>0,</v>
      </c>
      <c r="E63" s="12" t="str">
        <f t="shared" si="6"/>
        <v>0,</v>
      </c>
      <c r="F63" s="12" t="str">
        <f t="shared" si="7"/>
        <v>0,</v>
      </c>
      <c r="G63" s="12" t="str">
        <f t="shared" si="8"/>
        <v>0,</v>
      </c>
      <c r="H63" s="12" t="str">
        <f t="shared" si="9"/>
        <v>0,</v>
      </c>
      <c r="I63" s="12" t="str">
        <f t="shared" si="10"/>
        <v>0,</v>
      </c>
      <c r="J63" s="12" t="str">
        <f t="shared" si="11"/>
        <v>0,</v>
      </c>
      <c r="K63" s="12" t="str">
        <f t="shared" si="12"/>
        <v>0,</v>
      </c>
      <c r="L63" s="12" t="str">
        <f t="shared" si="12"/>
        <v>0,</v>
      </c>
      <c r="M63" s="12" t="str">
        <f t="shared" ref="M63:W63" si="26">CHAR(34)&amp;M16&amp;CHAR(34)&amp;","</f>
        <v>"MIP T1",</v>
      </c>
      <c r="N63" s="12" t="str">
        <f t="shared" si="26"/>
        <v>"MIP T2",</v>
      </c>
      <c r="O63" s="12" t="str">
        <f t="shared" si="26"/>
        <v>"MVP T2",</v>
      </c>
      <c r="P63" s="12" t="str">
        <f t="shared" si="26"/>
        <v>"All-2nd-Offence Team T2",</v>
      </c>
      <c r="Q63" s="12" t="str">
        <f t="shared" si="26"/>
        <v>"All-2nd-Defence Team T2",</v>
      </c>
      <c r="R63" s="12" t="str">
        <f t="shared" si="26"/>
        <v>"Champion T2",</v>
      </c>
      <c r="S63" s="12" t="str">
        <f t="shared" si="26"/>
        <v>"",</v>
      </c>
      <c r="T63" s="12" t="str">
        <f t="shared" si="26"/>
        <v>"",</v>
      </c>
      <c r="U63" s="12" t="str">
        <f t="shared" si="26"/>
        <v>"Drafted by Choc-Tops",</v>
      </c>
      <c r="V63" s="12" t="str">
        <f t="shared" si="26"/>
        <v>"../Images/CT_Final.png",</v>
      </c>
      <c r="W63" s="12" t="str">
        <f t="shared" si="26"/>
        <v>"../Images/Players/Chris.png",</v>
      </c>
    </row>
    <row r="64" spans="2:23" ht="14.25" customHeight="1" x14ac:dyDescent="0.45">
      <c r="B64" s="12" t="str">
        <f t="shared" si="4"/>
        <v>"Angus Walker",</v>
      </c>
      <c r="C64" s="12" t="str">
        <f t="shared" si="4"/>
        <v>"Traffic Controllers",</v>
      </c>
      <c r="D64" s="12" t="str">
        <f t="shared" si="5"/>
        <v>0,</v>
      </c>
      <c r="E64" s="12" t="str">
        <f t="shared" si="6"/>
        <v>0,</v>
      </c>
      <c r="F64" s="12" t="str">
        <f t="shared" si="7"/>
        <v>0,</v>
      </c>
      <c r="G64" s="12" t="str">
        <f t="shared" si="8"/>
        <v>0,</v>
      </c>
      <c r="H64" s="12" t="str">
        <f t="shared" si="9"/>
        <v>0,</v>
      </c>
      <c r="I64" s="12" t="str">
        <f t="shared" si="10"/>
        <v>0,</v>
      </c>
      <c r="J64" s="12" t="str">
        <f t="shared" si="11"/>
        <v>0,</v>
      </c>
      <c r="K64" s="12" t="str">
        <f t="shared" si="12"/>
        <v>0,</v>
      </c>
      <c r="L64" s="12" t="str">
        <f t="shared" si="12"/>
        <v>0,</v>
      </c>
      <c r="M64" s="12" t="str">
        <f t="shared" ref="M64:W64" si="27">CHAR(34)&amp;M17&amp;CHAR(34)&amp;","</f>
        <v>"LTBO CEO",</v>
      </c>
      <c r="N64" s="12" t="str">
        <f t="shared" si="27"/>
        <v>"GM",</v>
      </c>
      <c r="O64" s="12" t="str">
        <f t="shared" si="27"/>
        <v>"All-Offence Team T1",</v>
      </c>
      <c r="P64" s="12" t="str">
        <f t="shared" si="27"/>
        <v>"All-Defence Team T1",</v>
      </c>
      <c r="Q64" s="12" t="str">
        <f t="shared" si="27"/>
        <v>"Scoring Champ T1",</v>
      </c>
      <c r="R64" s="12" t="str">
        <f t="shared" si="27"/>
        <v>"All-Offence Team T2",</v>
      </c>
      <c r="S64" s="12" t="str">
        <f t="shared" si="27"/>
        <v>"All-Defence Team T2",</v>
      </c>
      <c r="T64" s="12" t="str">
        <f t="shared" si="27"/>
        <v>"Champion T2",</v>
      </c>
      <c r="U64" s="12" t="str">
        <f t="shared" si="27"/>
        <v>"Drafted by Traffic Controllers",</v>
      </c>
      <c r="V64" s="12" t="str">
        <f t="shared" si="27"/>
        <v>"../Images/TC_Final.png",</v>
      </c>
      <c r="W64" s="12" t="str">
        <f t="shared" si="27"/>
        <v>"../Images/Players/Angus.png",</v>
      </c>
    </row>
    <row r="65" spans="2:23" ht="14.25" customHeight="1" x14ac:dyDescent="0.45">
      <c r="B65" s="12" t="str">
        <f>CHAR(34)&amp;B18&amp;CHAR(34)</f>
        <v>"Will Weekes"</v>
      </c>
      <c r="C65" s="12" t="str">
        <f>CHAR(34)&amp;C18&amp;CHAR(34)</f>
        <v>"Gentle, Men"</v>
      </c>
      <c r="D65" s="12">
        <f>ROUND(D18,2)</f>
        <v>0</v>
      </c>
      <c r="E65" s="12">
        <f>E18</f>
        <v>0</v>
      </c>
      <c r="F65" s="12">
        <f>ROUND(F18,2)</f>
        <v>0</v>
      </c>
      <c r="G65" s="12">
        <f>G18</f>
        <v>0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8">CHAR(34)&amp;M18&amp;CHAR(34)</f>
        <v>"Teammate T1"</v>
      </c>
      <c r="N65" s="12" t="str">
        <f t="shared" si="28"/>
        <v>"Champion T1"</v>
      </c>
      <c r="O65" s="12" t="str">
        <f t="shared" si="28"/>
        <v>"Teammate T2"</v>
      </c>
      <c r="P65" s="12" t="str">
        <f t="shared" si="28"/>
        <v>""</v>
      </c>
      <c r="Q65" s="12" t="str">
        <f t="shared" si="28"/>
        <v>""</v>
      </c>
      <c r="R65" s="12" t="str">
        <f t="shared" si="28"/>
        <v>""</v>
      </c>
      <c r="S65" s="12" t="str">
        <f t="shared" si="28"/>
        <v>""</v>
      </c>
      <c r="T65" s="12" t="str">
        <f t="shared" si="28"/>
        <v>""</v>
      </c>
      <c r="U65" s="12" t="str">
        <f t="shared" si="28"/>
        <v>"Drafted by Gentle, Men"</v>
      </c>
      <c r="V65" s="12" t="str">
        <f t="shared" si="28"/>
        <v>"../Images/GM_Final.png"</v>
      </c>
      <c r="W65" s="12" t="str">
        <f t="shared" si="28"/>
        <v>"../Images/Players/Will.png"</v>
      </c>
    </row>
    <row r="66" spans="2:23" ht="14.25" customHeight="1" x14ac:dyDescent="0.4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45"/>
    <row r="68" spans="2:23" ht="14.25" customHeight="1" x14ac:dyDescent="0.45"/>
    <row r="69" spans="2:23" ht="14.25" customHeight="1" x14ac:dyDescent="0.45"/>
    <row r="70" spans="2:23" ht="14.25" customHeight="1" x14ac:dyDescent="0.45"/>
    <row r="71" spans="2:23" ht="14.25" customHeight="1" x14ac:dyDescent="0.45"/>
    <row r="72" spans="2:23" ht="14.25" customHeight="1" x14ac:dyDescent="0.45"/>
    <row r="73" spans="2:23" ht="14.25" customHeight="1" x14ac:dyDescent="0.45"/>
    <row r="74" spans="2:23" ht="14.25" customHeight="1" x14ac:dyDescent="0.45"/>
    <row r="75" spans="2:23" ht="14.25" customHeight="1" x14ac:dyDescent="0.45">
      <c r="B75" s="14"/>
    </row>
    <row r="76" spans="2:23" ht="14.25" customHeight="1" x14ac:dyDescent="0.45"/>
    <row r="77" spans="2:23" ht="14.25" customHeight="1" x14ac:dyDescent="0.45"/>
    <row r="78" spans="2:23" ht="14.25" customHeight="1" x14ac:dyDescent="0.45"/>
    <row r="79" spans="2:23" ht="14.25" customHeight="1" x14ac:dyDescent="0.45"/>
    <row r="80" spans="2:23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M13" zoomScale="66" zoomScaleNormal="70" workbookViewId="0">
      <selection activeCell="AL29" sqref="AL29:AT44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5" ht="14.25" customHeight="1" x14ac:dyDescent="0.45"/>
    <row r="2" spans="1:55" ht="14.25" customHeight="1" x14ac:dyDescent="0.45">
      <c r="B2" s="2" t="s">
        <v>66</v>
      </c>
    </row>
    <row r="3" spans="1:55" ht="14.25" customHeight="1" x14ac:dyDescent="0.45"/>
    <row r="4" spans="1:55" ht="14.25" customHeight="1" x14ac:dyDescent="0.45">
      <c r="B4" s="76" t="s">
        <v>63</v>
      </c>
      <c r="C4" s="76" t="s">
        <v>67</v>
      </c>
      <c r="D4" s="76" t="s">
        <v>68</v>
      </c>
      <c r="E4" s="76" t="s">
        <v>69</v>
      </c>
      <c r="F4" s="76" t="s">
        <v>198</v>
      </c>
      <c r="G4" s="76" t="s">
        <v>200</v>
      </c>
      <c r="H4" s="76" t="s">
        <v>204</v>
      </c>
      <c r="I4" s="76" t="s">
        <v>201</v>
      </c>
      <c r="J4" s="76" t="s">
        <v>202</v>
      </c>
      <c r="K4" s="76" t="s">
        <v>205</v>
      </c>
      <c r="L4" s="76" t="s">
        <v>206</v>
      </c>
      <c r="M4" s="76" t="s">
        <v>207</v>
      </c>
      <c r="N4" s="76" t="s">
        <v>208</v>
      </c>
      <c r="O4" s="76" t="s">
        <v>199</v>
      </c>
      <c r="P4" s="76" t="s">
        <v>203</v>
      </c>
      <c r="Q4" s="76" t="s">
        <v>209</v>
      </c>
      <c r="S4" s="2" t="s">
        <v>70</v>
      </c>
      <c r="Z4" t="s">
        <v>123</v>
      </c>
      <c r="AA4" s="85">
        <f>AA6/(20-AA5)</f>
        <v>0.17647058823529413</v>
      </c>
    </row>
    <row r="5" spans="1:55" ht="14.25" customHeight="1" x14ac:dyDescent="0.45">
      <c r="B5" s="119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S5" s="1" t="s">
        <v>71</v>
      </c>
      <c r="T5" s="1" t="s">
        <v>67</v>
      </c>
      <c r="U5" s="1" t="s">
        <v>68</v>
      </c>
      <c r="V5" s="1" t="s">
        <v>69</v>
      </c>
      <c r="Z5" t="s">
        <v>164</v>
      </c>
      <c r="AA5">
        <v>3</v>
      </c>
      <c r="AR5" s="41"/>
      <c r="AS5" s="41"/>
      <c r="AT5" s="41"/>
    </row>
    <row r="6" spans="1:55" ht="14.25" customHeight="1" x14ac:dyDescent="0.45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S6" s="3" t="e">
        <f>SUM(C5:E40)/COUNT(C5:C40)</f>
        <v>#DIV/0!</v>
      </c>
      <c r="T6" s="129" t="e">
        <f>AVERAGE(C5:C40)</f>
        <v>#DIV/0!</v>
      </c>
      <c r="U6" s="129" t="e">
        <f>AVERAGE(D5:D40)</f>
        <v>#DIV/0!</v>
      </c>
      <c r="V6" s="129" t="e">
        <f>AVERAGE(E5:E40)</f>
        <v>#DIV/0!</v>
      </c>
      <c r="Z6" s="49" t="s">
        <v>145</v>
      </c>
      <c r="AA6" s="6">
        <f>AA47+AA67+AL27+AL47+AL67+AA87+AL87</f>
        <v>3</v>
      </c>
      <c r="AK6" s="10"/>
      <c r="AL6" s="10"/>
      <c r="AM6" s="10" t="s">
        <v>163</v>
      </c>
      <c r="AO6" s="29"/>
      <c r="AR6" s="41"/>
      <c r="AS6" s="41"/>
      <c r="AT6" s="41"/>
      <c r="AX6" s="13"/>
    </row>
    <row r="7" spans="1:55" ht="14.25" customHeight="1" x14ac:dyDescent="0.4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S7" s="2" t="s">
        <v>73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74</v>
      </c>
      <c r="AA7" s="16" t="s">
        <v>0</v>
      </c>
      <c r="AB7" s="16" t="s">
        <v>75</v>
      </c>
      <c r="AC7" s="16" t="s">
        <v>1</v>
      </c>
      <c r="AD7" s="17" t="s">
        <v>70</v>
      </c>
      <c r="AE7" s="17" t="s">
        <v>2</v>
      </c>
      <c r="AF7" s="17" t="s">
        <v>99</v>
      </c>
      <c r="AG7" s="16" t="s">
        <v>3</v>
      </c>
      <c r="AH7" s="17" t="s">
        <v>100</v>
      </c>
      <c r="AI7" s="18" t="s">
        <v>5</v>
      </c>
      <c r="AJ7" s="24" t="s">
        <v>102</v>
      </c>
      <c r="AK7" s="42"/>
      <c r="AL7" s="42"/>
      <c r="AM7" s="42" t="s">
        <v>70</v>
      </c>
      <c r="AN7" s="10" t="s">
        <v>162</v>
      </c>
      <c r="AO7" s="10"/>
      <c r="AP7" s="20" t="s">
        <v>168</v>
      </c>
      <c r="AQ7" s="91"/>
      <c r="AR7" s="92" t="s">
        <v>169</v>
      </c>
      <c r="AS7" s="40" t="s">
        <v>170</v>
      </c>
      <c r="AT7" s="98" t="s">
        <v>174</v>
      </c>
      <c r="AU7" s="100" t="s">
        <v>175</v>
      </c>
      <c r="AW7" s="1"/>
      <c r="AX7" s="97"/>
      <c r="AY7" s="97"/>
      <c r="AZ7" s="97"/>
      <c r="BA7" s="97"/>
      <c r="BB7" s="97"/>
      <c r="BC7" s="97"/>
    </row>
    <row r="8" spans="1:55" ht="14.25" customHeight="1" x14ac:dyDescent="0.4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8" t="str">
        <f>SfW!B3</f>
        <v>Jasper Collier</v>
      </c>
      <c r="AA8" s="109">
        <f t="shared" ref="AA8:AA23" si="0">SUM(AL29,AA49,AL49,AA69,AL69,AA89,AL89)</f>
        <v>0</v>
      </c>
      <c r="AB8" s="110">
        <f>IF($AA$6-Table1[[#This Row],[Missed Games]]=0, 0,Table1[[#This Row],[Points]]/($AA$6-Table1[[#This Row],[Missed Games]]))</f>
        <v>0</v>
      </c>
      <c r="AC8" s="111">
        <f t="shared" ref="AC8:AC23" si="1">SUM(AM29,AB49,AM49,AB69,AM69,AB89,AM89)</f>
        <v>0</v>
      </c>
      <c r="AD8" s="108">
        <f>IF($AA$6-Table1[[#This Row],[Missed Games]]=0, 0,Table1[[#This Row],[Finishes]]/($AA$6-Table1[[#This Row],[Missed Games]]))</f>
        <v>0</v>
      </c>
      <c r="AE8" s="111">
        <f t="shared" ref="AE8:AE23" si="2">SUM(AN29,AC49,AN49,AC69,AN69,AC89,AN89)</f>
        <v>0</v>
      </c>
      <c r="AF8" s="108">
        <f>IF($AA$6-Table1[[#This Row],[Missed Games]]=0, 0,Table1[[#This Row],[Midranges]]/($AA$6-Table1[[#This Row],[Missed Games]]))</f>
        <v>0</v>
      </c>
      <c r="AG8" s="111">
        <f t="shared" ref="AG8:AG23" si="3">SUM(AO29,AD49,AO49,AD69,AO69,AD89,AO89)</f>
        <v>0</v>
      </c>
      <c r="AH8" s="108">
        <f>IF($AA$6-Table1[[#This Row],[Missed Games]]=0, 0,Table1[[#This Row],[Threes]]/($AA$6-Table1[[#This Row],[Missed Games]]))</f>
        <v>0</v>
      </c>
      <c r="AI8" s="108" t="str">
        <f>SfW!C3</f>
        <v>Choc-Tops</v>
      </c>
      <c r="AJ8" s="112">
        <f t="shared" ref="AJ8:AJ23" si="4">SUM(AT29,AI49,AT49,AI69,AT69,AI89,AT89)</f>
        <v>0</v>
      </c>
      <c r="AK8" s="43"/>
      <c r="AL8" s="84" t="s">
        <v>0</v>
      </c>
      <c r="AM8" s="83">
        <f>AVERAGE(Table1[Average])</f>
        <v>0</v>
      </c>
      <c r="AN8" s="83">
        <f>MEDIAN(Table1[Average])</f>
        <v>0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7">
        <f>AP8-Table1[[#This Row],[Points]]</f>
        <v>7</v>
      </c>
      <c r="AS8" s="93">
        <f>Table1[[#This Row],[Points]]/(20-AA$5-Table1[[#This Row],[Missed Games]])</f>
        <v>0</v>
      </c>
      <c r="AT8" s="99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4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8" t="str">
        <f>SfW!B4</f>
        <v>Conor Farrington</v>
      </c>
      <c r="AA9" s="109">
        <f t="shared" si="0"/>
        <v>0</v>
      </c>
      <c r="AB9" s="110">
        <f>IF($AA$6-Table1[[#This Row],[Missed Games]]=0, 0,Table1[[#This Row],[Points]]/($AA$6-Table1[[#This Row],[Missed Games]]))</f>
        <v>0</v>
      </c>
      <c r="AC9" s="111">
        <f t="shared" si="1"/>
        <v>0</v>
      </c>
      <c r="AD9" s="108">
        <f>IF($AA$6-Table1[[#This Row],[Missed Games]]=0, 0,Table1[[#This Row],[Finishes]]/($AA$6-Table1[[#This Row],[Missed Games]]))</f>
        <v>0</v>
      </c>
      <c r="AE9" s="111">
        <f t="shared" si="2"/>
        <v>0</v>
      </c>
      <c r="AF9" s="108">
        <f>IF($AA$6-Table1[[#This Row],[Missed Games]]=0, 0,Table1[[#This Row],[Midranges]]/($AA$6-Table1[[#This Row],[Missed Games]]))</f>
        <v>0</v>
      </c>
      <c r="AG9" s="111">
        <f t="shared" si="3"/>
        <v>0</v>
      </c>
      <c r="AH9" s="108">
        <f>IF($AA$6-Table1[[#This Row],[Missed Games]]=0, 0,Table1[[#This Row],[Threes]]/($AA$6-Table1[[#This Row],[Missed Games]]))</f>
        <v>0</v>
      </c>
      <c r="AI9" s="108" t="str">
        <f>SfW!C4</f>
        <v>Gentle, Men</v>
      </c>
      <c r="AJ9" s="112">
        <f t="shared" si="4"/>
        <v>0</v>
      </c>
      <c r="AK9" s="43"/>
      <c r="AL9" s="84" t="s">
        <v>1</v>
      </c>
      <c r="AM9" s="83">
        <f>AVERAGE(Table1[Finishes])</f>
        <v>0</v>
      </c>
      <c r="AN9" s="83">
        <f>MEDIAN(Table1[Finishes])</f>
        <v>0</v>
      </c>
      <c r="AO9" s="88"/>
      <c r="AP9" s="13">
        <f>_xlfn.CEILING.MATH('[1]Stats Global'!R9*(20-$AA$5-$AJ9))</f>
        <v>11</v>
      </c>
      <c r="AQ9" s="20">
        <f>Table1[[#This Row],[Points]]/AP9</f>
        <v>0</v>
      </c>
      <c r="AR9" s="87">
        <f>AP9-Table1[[#This Row],[Points]]</f>
        <v>11</v>
      </c>
      <c r="AS9" s="93">
        <f>Table1[[#This Row],[Points]]/(20-AA$5-Table1[[#This Row],[Missed Games]])</f>
        <v>0</v>
      </c>
      <c r="AT9" s="99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4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8" t="str">
        <f>SfW!B5</f>
        <v>Alexander Galt</v>
      </c>
      <c r="AA10" s="45">
        <f t="shared" si="0"/>
        <v>0</v>
      </c>
      <c r="AB10" s="46">
        <f>IF($AA$6-Table1[[#This Row],[Missed Games]]=0, 0,Table1[[#This Row],[Points]]/($AA$6-Table1[[#This Row],[Missed Games]]))</f>
        <v>0</v>
      </c>
      <c r="AC10" s="47">
        <f t="shared" si="1"/>
        <v>0</v>
      </c>
      <c r="AD10" s="44">
        <f>IF($AA$6-Table1[[#This Row],[Missed Games]]=0, 0,Table1[[#This Row],[Finishes]]/($AA$6-Table1[[#This Row],[Missed Games]]))</f>
        <v>0</v>
      </c>
      <c r="AE10" s="47">
        <f t="shared" si="2"/>
        <v>0</v>
      </c>
      <c r="AF10" s="44">
        <f>IF($AA$6-Table1[[#This Row],[Missed Games]]=0, 0,Table1[[#This Row],[Midranges]]/($AA$6-Table1[[#This Row],[Missed Games]]))</f>
        <v>0</v>
      </c>
      <c r="AG10" s="47">
        <f t="shared" si="3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Choc-Tops</v>
      </c>
      <c r="AJ10" s="48">
        <f t="shared" si="4"/>
        <v>0</v>
      </c>
      <c r="AK10" s="43"/>
      <c r="AL10" s="84" t="s">
        <v>162</v>
      </c>
      <c r="AM10" s="83">
        <f>AVERAGE(Table1[Midranges])</f>
        <v>0</v>
      </c>
      <c r="AN10" s="83">
        <f>MEDIAN(Table1[Midranges])</f>
        <v>0</v>
      </c>
      <c r="AO10" s="23"/>
      <c r="AP10" s="13">
        <f>_xlfn.CEILING.MATH('[1]Stats Global'!R10*(20-$AA$5-$AJ10))</f>
        <v>54</v>
      </c>
      <c r="AQ10" s="20">
        <f>Table1[[#This Row],[Points]]/AP10</f>
        <v>0</v>
      </c>
      <c r="AR10" s="87">
        <f>AP10-Table1[[#This Row],[Points]]</f>
        <v>54</v>
      </c>
      <c r="AS10" s="93">
        <f>Table1[[#This Row],[Points]]/(20-AA$5-Table1[[#This Row],[Missed Games]])</f>
        <v>0</v>
      </c>
      <c r="AT10" s="99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4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8" t="str">
        <f>SfW!B6</f>
        <v>Rudy Hoschke</v>
      </c>
      <c r="AA11" s="45">
        <f t="shared" si="0"/>
        <v>0</v>
      </c>
      <c r="AB11" s="46">
        <f>IF($AA$6-Table1[[#This Row],[Missed Games]]=0, 0,Table1[[#This Row],[Points]]/($AA$6-Table1[[#This Row],[Missed Games]]))</f>
        <v>0</v>
      </c>
      <c r="AC11" s="47">
        <f t="shared" si="1"/>
        <v>0</v>
      </c>
      <c r="AD11" s="44">
        <f>IF($AA$6-Table1[[#This Row],[Missed Games]]=0, 0,Table1[[#This Row],[Finishes]]/($AA$6-Table1[[#This Row],[Missed Games]]))</f>
        <v>0</v>
      </c>
      <c r="AE11" s="47">
        <f t="shared" si="2"/>
        <v>0</v>
      </c>
      <c r="AF11" s="44">
        <f>IF($AA$6-Table1[[#This Row],[Missed Games]]=0, 0,Table1[[#This Row],[Midranges]]/($AA$6-Table1[[#This Row],[Missed Games]]))</f>
        <v>0</v>
      </c>
      <c r="AG11" s="47">
        <f t="shared" si="3"/>
        <v>0</v>
      </c>
      <c r="AH11" s="44">
        <f>IF($AA$6-Table1[[#This Row],[Missed Games]]=0, 0,Table1[[#This Row],[Threes]]/($AA$6-Table1[[#This Row],[Missed Games]]))</f>
        <v>0</v>
      </c>
      <c r="AI11" s="44" t="str">
        <f>SfW!C6</f>
        <v>Choc-Tops</v>
      </c>
      <c r="AJ11" s="48">
        <f t="shared" si="4"/>
        <v>0</v>
      </c>
      <c r="AK11" s="43"/>
      <c r="AL11" s="84" t="s">
        <v>3</v>
      </c>
      <c r="AM11" s="83">
        <f>AVERAGE(Table1[Threes])</f>
        <v>0</v>
      </c>
      <c r="AN11" s="83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</v>
      </c>
      <c r="AR11" s="87">
        <f>AP11-Table1[[#This Row],[Points]]</f>
        <v>48</v>
      </c>
      <c r="AS11" s="93">
        <f>Table1[[#This Row],[Points]]/(20-AA$5-Table1[[#This Row],[Missed Games]])</f>
        <v>0</v>
      </c>
      <c r="AT11" s="99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4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8" t="str">
        <f>SfW!B7</f>
        <v>Michael Iffland</v>
      </c>
      <c r="AA12" s="45">
        <f t="shared" si="0"/>
        <v>0</v>
      </c>
      <c r="AB12" s="46">
        <f>IF($AA$6-Table1[[#This Row],[Missed Games]]=0, 0,Table1[[#This Row],[Points]]/($AA$6-Table1[[#This Row],[Missed Games]]))</f>
        <v>0</v>
      </c>
      <c r="AC12" s="47">
        <f t="shared" si="1"/>
        <v>0</v>
      </c>
      <c r="AD12" s="44">
        <f>IF($AA$6-Table1[[#This Row],[Missed Games]]=0, 0,Table1[[#This Row],[Finishes]]/($AA$6-Table1[[#This Row],[Missed Games]]))</f>
        <v>0</v>
      </c>
      <c r="AE12" s="47">
        <f t="shared" si="2"/>
        <v>0</v>
      </c>
      <c r="AF12" s="44">
        <f>IF($AA$6-Table1[[#This Row],[Missed Games]]=0, 0,Table1[[#This Row],[Midranges]]/($AA$6-Table1[[#This Row],[Missed Games]]))</f>
        <v>0</v>
      </c>
      <c r="AG12" s="47">
        <f t="shared" si="3"/>
        <v>0</v>
      </c>
      <c r="AH12" s="44">
        <f>IF($AA$6-Table1[[#This Row],[Missed Games]]=0, 0,Table1[[#This Row],[Threes]]/($AA$6-Table1[[#This Row],[Missed Games]]))</f>
        <v>0</v>
      </c>
      <c r="AI12" s="44" t="str">
        <f>SfW!C7</f>
        <v>Gentle, Men</v>
      </c>
      <c r="AJ12" s="48">
        <f t="shared" si="4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</v>
      </c>
      <c r="AR12" s="87">
        <f>AP12-Table1[[#This Row],[Points]]</f>
        <v>35</v>
      </c>
      <c r="AS12" s="93">
        <f>Table1[[#This Row],[Points]]/(20-AA$5-Table1[[#This Row],[Missed Games]])</f>
        <v>0</v>
      </c>
      <c r="AT12" s="99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4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8" t="str">
        <f>SfW!B8</f>
        <v>Lukas Johnston</v>
      </c>
      <c r="AA13" s="109">
        <f t="shared" si="0"/>
        <v>0</v>
      </c>
      <c r="AB13" s="110">
        <f>IF($AA$6-Table1[[#This Row],[Missed Games]]=0, 0,Table1[[#This Row],[Points]]/($AA$6-Table1[[#This Row],[Missed Games]]))</f>
        <v>0</v>
      </c>
      <c r="AC13" s="111">
        <f t="shared" si="1"/>
        <v>0</v>
      </c>
      <c r="AD13" s="108">
        <f>IF($AA$6-Table1[[#This Row],[Missed Games]]=0, 0,Table1[[#This Row],[Finishes]]/($AA$6-Table1[[#This Row],[Missed Games]]))</f>
        <v>0</v>
      </c>
      <c r="AE13" s="111">
        <f t="shared" si="2"/>
        <v>0</v>
      </c>
      <c r="AF13" s="108">
        <f>IF($AA$6-Table1[[#This Row],[Missed Games]]=0, 0,Table1[[#This Row],[Midranges]]/($AA$6-Table1[[#This Row],[Missed Games]]))</f>
        <v>0</v>
      </c>
      <c r="AG13" s="111">
        <f t="shared" si="3"/>
        <v>0</v>
      </c>
      <c r="AH13" s="108">
        <f>IF($AA$6-Table1[[#This Row],[Missed Games]]=0, 0,Table1[[#This Row],[Threes]]/($AA$6-Table1[[#This Row],[Missed Games]]))</f>
        <v>0</v>
      </c>
      <c r="AI13" s="108" t="str">
        <f>SfW!C8</f>
        <v>Gentle, Men</v>
      </c>
      <c r="AJ13" s="112">
        <f t="shared" si="4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</v>
      </c>
      <c r="AR13" s="87">
        <f>AP13-Table1[[#This Row],[Points]]</f>
        <v>20</v>
      </c>
      <c r="AS13" s="93">
        <f>Table1[[#This Row],[Points]]/(20-AA$5-Table1[[#This Row],[Missed Games]])</f>
        <v>0</v>
      </c>
      <c r="AT13" s="99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4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8" t="str">
        <f>SfW!B9</f>
        <v>Sam James</v>
      </c>
      <c r="AA14" s="109">
        <f t="shared" si="0"/>
        <v>0</v>
      </c>
      <c r="AB14" s="110">
        <f>IF($AA$6-Table1[[#This Row],[Missed Games]]=0, 0,Table1[[#This Row],[Points]]/($AA$6-Table1[[#This Row],[Missed Games]]))</f>
        <v>0</v>
      </c>
      <c r="AC14" s="111">
        <f t="shared" si="1"/>
        <v>0</v>
      </c>
      <c r="AD14" s="108">
        <f>IF($AA$6-Table1[[#This Row],[Missed Games]]=0, 0,Table1[[#This Row],[Finishes]]/($AA$6-Table1[[#This Row],[Missed Games]]))</f>
        <v>0</v>
      </c>
      <c r="AE14" s="111">
        <f t="shared" si="2"/>
        <v>0</v>
      </c>
      <c r="AF14" s="108">
        <f>IF($AA$6-Table1[[#This Row],[Missed Games]]=0, 0,Table1[[#This Row],[Midranges]]/($AA$6-Table1[[#This Row],[Missed Games]]))</f>
        <v>0</v>
      </c>
      <c r="AG14" s="111">
        <f t="shared" si="3"/>
        <v>0</v>
      </c>
      <c r="AH14" s="108">
        <f>IF($AA$6-Table1[[#This Row],[Missed Games]]=0, 0,Table1[[#This Row],[Threes]]/($AA$6-Table1[[#This Row],[Missed Games]]))</f>
        <v>0</v>
      </c>
      <c r="AI14" s="108" t="str">
        <f>SfW!C9</f>
        <v>Traffic Controllers</v>
      </c>
      <c r="AJ14" s="112">
        <f t="shared" si="4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</v>
      </c>
      <c r="AR14" s="87">
        <f>AP14-Table1[[#This Row],[Points]]</f>
        <v>6</v>
      </c>
      <c r="AS14" s="93">
        <f>Table1[[#This Row],[Points]]/(20-AA$5-Table1[[#This Row],[Missed Games]])</f>
        <v>0</v>
      </c>
      <c r="AT14" s="99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4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8" t="str">
        <f>SfW!B10</f>
        <v>Clarrie Jones</v>
      </c>
      <c r="AA15" s="109">
        <f t="shared" si="0"/>
        <v>0</v>
      </c>
      <c r="AB15" s="110">
        <f>IF($AA$6-Table1[[#This Row],[Missed Games]]=0, 0,Table1[[#This Row],[Points]]/($AA$6-Table1[[#This Row],[Missed Games]]))</f>
        <v>0</v>
      </c>
      <c r="AC15" s="111">
        <f t="shared" si="1"/>
        <v>0</v>
      </c>
      <c r="AD15" s="108">
        <f>IF($AA$6-Table1[[#This Row],[Missed Games]]=0, 0,Table1[[#This Row],[Finishes]]/($AA$6-Table1[[#This Row],[Missed Games]]))</f>
        <v>0</v>
      </c>
      <c r="AE15" s="111">
        <f t="shared" si="2"/>
        <v>0</v>
      </c>
      <c r="AF15" s="108">
        <f>IF($AA$6-Table1[[#This Row],[Missed Games]]=0, 0,Table1[[#This Row],[Midranges]]/($AA$6-Table1[[#This Row],[Missed Games]]))</f>
        <v>0</v>
      </c>
      <c r="AG15" s="111">
        <f t="shared" si="3"/>
        <v>0</v>
      </c>
      <c r="AH15" s="108">
        <f>IF($AA$6-Table1[[#This Row],[Missed Games]]=0, 0,Table1[[#This Row],[Threes]]/($AA$6-Table1[[#This Row],[Missed Games]]))</f>
        <v>0</v>
      </c>
      <c r="AI15" s="108" t="str">
        <f>SfW!C10</f>
        <v>Traffic Controllers</v>
      </c>
      <c r="AJ15" s="112">
        <f t="shared" si="4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</v>
      </c>
      <c r="AR15" s="87">
        <f>AP15-Table1[[#This Row],[Points]]</f>
        <v>27</v>
      </c>
      <c r="AS15" s="93">
        <f>Table1[[#This Row],[Points]]/(20-AA$5-Table1[[#This Row],[Missed Games]])</f>
        <v>0</v>
      </c>
      <c r="AT15" s="99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4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8" t="str">
        <f>SfW!B11</f>
        <v>William Kim</v>
      </c>
      <c r="AA16" s="45">
        <f t="shared" si="0"/>
        <v>0</v>
      </c>
      <c r="AB16" s="46">
        <f>IF($AA$6-Table1[[#This Row],[Missed Games]]=0, 0,Table1[[#This Row],[Points]]/($AA$6-Table1[[#This Row],[Missed Games]]))</f>
        <v>0</v>
      </c>
      <c r="AC16" s="47">
        <f t="shared" si="1"/>
        <v>0</v>
      </c>
      <c r="AD16" s="44">
        <f>IF($AA$6-Table1[[#This Row],[Missed Games]]=0, 0,Table1[[#This Row],[Finishes]]/($AA$6-Table1[[#This Row],[Missed Games]]))</f>
        <v>0</v>
      </c>
      <c r="AE16" s="47">
        <f t="shared" si="2"/>
        <v>0</v>
      </c>
      <c r="AF16" s="44">
        <f>IF($AA$6-Table1[[#This Row],[Missed Games]]=0, 0,Table1[[#This Row],[Midranges]]/($AA$6-Table1[[#This Row],[Missed Games]]))</f>
        <v>0</v>
      </c>
      <c r="AG16" s="47">
        <f t="shared" si="3"/>
        <v>0</v>
      </c>
      <c r="AH16" s="44">
        <f>IF($AA$6-Table1[[#This Row],[Missed Games]]=0, 0,Table1[[#This Row],[Threes]]/($AA$6-Table1[[#This Row],[Missed Games]]))</f>
        <v>0</v>
      </c>
      <c r="AI16" s="44" t="str">
        <f>SfW!C11</f>
        <v>Traffic Controllers</v>
      </c>
      <c r="AJ16" s="48">
        <f t="shared" si="4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0</v>
      </c>
      <c r="AR16" s="87">
        <f>AP16-Table1[[#This Row],[Points]]</f>
        <v>24</v>
      </c>
      <c r="AS16" s="93">
        <f>Table1[[#This Row],[Points]]/(20-AA$5-Table1[[#This Row],[Missed Games]])</f>
        <v>0</v>
      </c>
      <c r="AT16" s="99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4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8" t="str">
        <f>SfW!B12</f>
        <v>Samuel McConaghy</v>
      </c>
      <c r="AA17" s="45">
        <f t="shared" si="0"/>
        <v>0</v>
      </c>
      <c r="AB17" s="46">
        <f>IF($AA$6-Table1[[#This Row],[Missed Games]]=0, 0,Table1[[#This Row],[Points]]/($AA$6-Table1[[#This Row],[Missed Games]]))</f>
        <v>0</v>
      </c>
      <c r="AC17" s="47">
        <f t="shared" si="1"/>
        <v>0</v>
      </c>
      <c r="AD17" s="44">
        <f>IF($AA$6-Table1[[#This Row],[Missed Games]]=0, 0,Table1[[#This Row],[Finishes]]/($AA$6-Table1[[#This Row],[Missed Games]]))</f>
        <v>0</v>
      </c>
      <c r="AE17" s="47">
        <f t="shared" si="2"/>
        <v>0</v>
      </c>
      <c r="AF17" s="44">
        <f>IF($AA$6-Table1[[#This Row],[Missed Games]]=0, 0,Table1[[#This Row],[Midranges]]/($AA$6-Table1[[#This Row],[Missed Games]]))</f>
        <v>0</v>
      </c>
      <c r="AG17" s="47">
        <f t="shared" si="3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Gentle, Men</v>
      </c>
      <c r="AJ17" s="48">
        <f t="shared" si="4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0</v>
      </c>
      <c r="AR17" s="87">
        <f>AP17-Table1[[#This Row],[Points]]</f>
        <v>44</v>
      </c>
      <c r="AS17" s="93">
        <f>Table1[[#This Row],[Points]]/(20-AA$5-Table1[[#This Row],[Missed Games]])</f>
        <v>0</v>
      </c>
      <c r="AT17" s="99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4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8" t="str">
        <f>SfW!B13</f>
        <v>Ryan Pattemore</v>
      </c>
      <c r="AA18" s="109">
        <f t="shared" si="0"/>
        <v>0</v>
      </c>
      <c r="AB18" s="110">
        <f>IF($AA$6-Table1[[#This Row],[Missed Games]]=0, 0,Table1[[#This Row],[Points]]/($AA$6-Table1[[#This Row],[Missed Games]]))</f>
        <v>0</v>
      </c>
      <c r="AC18" s="111">
        <f t="shared" si="1"/>
        <v>0</v>
      </c>
      <c r="AD18" s="108">
        <f>IF($AA$6-Table1[[#This Row],[Missed Games]]=0, 0,Table1[[#This Row],[Finishes]]/($AA$6-Table1[[#This Row],[Missed Games]]))</f>
        <v>0</v>
      </c>
      <c r="AE18" s="111">
        <f t="shared" si="2"/>
        <v>0</v>
      </c>
      <c r="AF18" s="108">
        <f>IF($AA$6-Table1[[#This Row],[Missed Games]]=0, 0,Table1[[#This Row],[Midranges]]/($AA$6-Table1[[#This Row],[Missed Games]]))</f>
        <v>0</v>
      </c>
      <c r="AG18" s="111">
        <f t="shared" si="3"/>
        <v>0</v>
      </c>
      <c r="AH18" s="108">
        <f>IF($AA$6-Table1[[#This Row],[Missed Games]]=0, 0,Table1[[#This Row],[Threes]]/($AA$6-Table1[[#This Row],[Missed Games]]))</f>
        <v>0</v>
      </c>
      <c r="AI18" s="108" t="str">
        <f>SfW!C13</f>
        <v>Choc-Tops</v>
      </c>
      <c r="AJ18" s="112">
        <f t="shared" si="4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0</v>
      </c>
      <c r="AR18" s="87">
        <f>AP18-Table1[[#This Row],[Points]]</f>
        <v>15</v>
      </c>
      <c r="AS18" s="93">
        <f>Table1[[#This Row],[Points]]/(20-AA$5-Table1[[#This Row],[Missed Games]])</f>
        <v>0</v>
      </c>
      <c r="AT18" s="99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4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Z19" s="108" t="str">
        <f>SfW!B14</f>
        <v>William Scott</v>
      </c>
      <c r="AA19" s="109">
        <f t="shared" si="0"/>
        <v>0</v>
      </c>
      <c r="AB19" s="110">
        <f>IF($AA$6-Table1[[#This Row],[Missed Games]]=0, 0,Table1[[#This Row],[Points]]/($AA$6-Table1[[#This Row],[Missed Games]]))</f>
        <v>0</v>
      </c>
      <c r="AC19" s="111">
        <f t="shared" si="1"/>
        <v>0</v>
      </c>
      <c r="AD19" s="108">
        <f>IF($AA$6-Table1[[#This Row],[Missed Games]]=0, 0,Table1[[#This Row],[Finishes]]/($AA$6-Table1[[#This Row],[Missed Games]]))</f>
        <v>0</v>
      </c>
      <c r="AE19" s="111">
        <f t="shared" si="2"/>
        <v>0</v>
      </c>
      <c r="AF19" s="108">
        <f>IF($AA$6-Table1[[#This Row],[Missed Games]]=0, 0,Table1[[#This Row],[Midranges]]/($AA$6-Table1[[#This Row],[Missed Games]]))</f>
        <v>0</v>
      </c>
      <c r="AG19" s="111">
        <f t="shared" si="3"/>
        <v>0</v>
      </c>
      <c r="AH19" s="108">
        <f>IF($AA$6-Table1[[#This Row],[Missed Games]]=0, 0,Table1[[#This Row],[Threes]]/($AA$6-Table1[[#This Row],[Missed Games]]))</f>
        <v>0</v>
      </c>
      <c r="AI19" s="108" t="s">
        <v>188</v>
      </c>
      <c r="AJ19" s="112">
        <f t="shared" si="4"/>
        <v>0</v>
      </c>
      <c r="AK19" s="43"/>
      <c r="AL19" s="43"/>
      <c r="AM19" s="43"/>
      <c r="AO19" s="23"/>
      <c r="AP19" s="13">
        <v>0</v>
      </c>
      <c r="AQ19" s="20">
        <v>1</v>
      </c>
      <c r="AR19" s="87">
        <f>AP19-Table1[[#This Row],[Points]]</f>
        <v>0</v>
      </c>
      <c r="AS19" s="93">
        <f>Table1[[#This Row],[Points]]/(20-AA$5-Table1[[#This Row],[Missed Games]])</f>
        <v>0</v>
      </c>
      <c r="AT19" s="99">
        <v>0</v>
      </c>
      <c r="AU19" s="25">
        <v>0</v>
      </c>
      <c r="AW19" s="1"/>
    </row>
    <row r="20" spans="2:49" ht="14.25" customHeight="1" x14ac:dyDescent="0.4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Z20" s="108" t="str">
        <f>SfW!B15</f>
        <v>Nicholas Szogi</v>
      </c>
      <c r="AA20" s="109">
        <f t="shared" si="0"/>
        <v>0</v>
      </c>
      <c r="AB20" s="110">
        <f>IF($AA$6-Table1[[#This Row],[Missed Games]]=0, 0,Table1[[#This Row],[Points]]/($AA$6-Table1[[#This Row],[Missed Games]]))</f>
        <v>0</v>
      </c>
      <c r="AC20" s="111">
        <f t="shared" si="1"/>
        <v>0</v>
      </c>
      <c r="AD20" s="108">
        <f>IF($AA$6-Table1[[#This Row],[Missed Games]]=0, 0,Table1[[#This Row],[Finishes]]/($AA$6-Table1[[#This Row],[Missed Games]]))</f>
        <v>0</v>
      </c>
      <c r="AE20" s="111">
        <f t="shared" si="2"/>
        <v>0</v>
      </c>
      <c r="AF20" s="108">
        <f>IF($AA$6-Table1[[#This Row],[Missed Games]]=0, 0,Table1[[#This Row],[Midranges]]/($AA$6-Table1[[#This Row],[Missed Games]]))</f>
        <v>0</v>
      </c>
      <c r="AG20" s="111">
        <f t="shared" si="3"/>
        <v>0</v>
      </c>
      <c r="AH20" s="108">
        <f>IF($AA$6-Table1[[#This Row],[Missed Games]]=0, 0,Table1[[#This Row],[Threes]]/($AA$6-Table1[[#This Row],[Missed Games]]))</f>
        <v>0</v>
      </c>
      <c r="AI20" s="108" t="str">
        <f>SfW!C15</f>
        <v>Traffic Controllers</v>
      </c>
      <c r="AJ20" s="112">
        <f t="shared" si="4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0</v>
      </c>
      <c r="AR20" s="87">
        <f>AP20-Table1[[#This Row],[Points]]</f>
        <v>19</v>
      </c>
      <c r="AS20" s="93">
        <f>Table1[[#This Row],[Points]]/(20-AA$5-Table1[[#This Row],[Missed Games]])</f>
        <v>0</v>
      </c>
      <c r="AT20" s="99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4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Z21" s="108" t="str">
        <f>SfW!B16</f>
        <v>Christopher Tomkinson</v>
      </c>
      <c r="AA21" s="109">
        <f t="shared" si="0"/>
        <v>0</v>
      </c>
      <c r="AB21" s="110">
        <f>IF($AA$6-Table1[[#This Row],[Missed Games]]=0, 0,Table1[[#This Row],[Points]]/($AA$6-Table1[[#This Row],[Missed Games]]))</f>
        <v>0</v>
      </c>
      <c r="AC21" s="111">
        <f t="shared" si="1"/>
        <v>0</v>
      </c>
      <c r="AD21" s="108">
        <f>IF($AA$6-Table1[[#This Row],[Missed Games]]=0, 0,Table1[[#This Row],[Finishes]]/($AA$6-Table1[[#This Row],[Missed Games]]))</f>
        <v>0</v>
      </c>
      <c r="AE21" s="111">
        <f t="shared" si="2"/>
        <v>0</v>
      </c>
      <c r="AF21" s="108">
        <f>IF($AA$6-Table1[[#This Row],[Missed Games]]=0, 0,Table1[[#This Row],[Midranges]]/($AA$6-Table1[[#This Row],[Missed Games]]))</f>
        <v>0</v>
      </c>
      <c r="AG21" s="111">
        <f t="shared" si="3"/>
        <v>0</v>
      </c>
      <c r="AH21" s="108">
        <f>IF($AA$6-Table1[[#This Row],[Missed Games]]=0, 0,Table1[[#This Row],[Threes]]/($AA$6-Table1[[#This Row],[Missed Games]]))</f>
        <v>0</v>
      </c>
      <c r="AI21" s="108" t="str">
        <f>SfW!C16</f>
        <v>Choc-Tops</v>
      </c>
      <c r="AJ21" s="112">
        <f t="shared" si="4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</v>
      </c>
      <c r="AR21" s="87">
        <f>AP21-Table1[[#This Row],[Points]]</f>
        <v>18</v>
      </c>
      <c r="AS21" s="93">
        <f>Table1[[#This Row],[Points]]/(20-AA$5-Table1[[#This Row],[Missed Games]])</f>
        <v>0</v>
      </c>
      <c r="AT21" s="99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4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8" t="str">
        <f>SfW!B17</f>
        <v>Angus Walker</v>
      </c>
      <c r="AA22" s="45">
        <f t="shared" si="0"/>
        <v>0</v>
      </c>
      <c r="AB22" s="46">
        <f>IF($AA$6-Table1[[#This Row],[Missed Games]]=0, 0,Table1[[#This Row],[Points]]/($AA$6-Table1[[#This Row],[Missed Games]]))</f>
        <v>0</v>
      </c>
      <c r="AC22" s="47">
        <f t="shared" si="1"/>
        <v>0</v>
      </c>
      <c r="AD22" s="77">
        <f>IF($AA$6-Table1[[#This Row],[Missed Games]]=0, 0,Table1[[#This Row],[Finishes]]/($AA$6-Table1[[#This Row],[Missed Games]]))</f>
        <v>0</v>
      </c>
      <c r="AE22" s="47">
        <f t="shared" si="2"/>
        <v>0</v>
      </c>
      <c r="AF22" s="77">
        <f>IF($AA$6-Table1[[#This Row],[Missed Games]]=0, 0,Table1[[#This Row],[Midranges]]/($AA$6-Table1[[#This Row],[Missed Games]]))</f>
        <v>0</v>
      </c>
      <c r="AG22" s="47">
        <f t="shared" si="3"/>
        <v>0</v>
      </c>
      <c r="AH22" s="77">
        <f>IF($AA$6-Table1[[#This Row],[Missed Games]]=0, 0,Table1[[#This Row],[Threes]]/($AA$6-Table1[[#This Row],[Missed Games]]))</f>
        <v>0</v>
      </c>
      <c r="AI22" s="77" t="str">
        <f>SfW!C17</f>
        <v>Traffic Controllers</v>
      </c>
      <c r="AJ22" s="48">
        <f t="shared" si="4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0</v>
      </c>
      <c r="AR22" s="87">
        <f>AP22-Table1[[#This Row],[Points]]</f>
        <v>42</v>
      </c>
      <c r="AS22" s="93">
        <f>Table1[[#This Row],[Points]]/(20-AA$5-Table1[[#This Row],[Missed Games]])</f>
        <v>0</v>
      </c>
      <c r="AT22" s="99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4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8" t="str">
        <f>SfW!B18</f>
        <v>Will Weekes</v>
      </c>
      <c r="AA23" s="109">
        <f t="shared" si="0"/>
        <v>0</v>
      </c>
      <c r="AB23" s="114">
        <f>IF($AA$6-Table1[[#This Row],[Missed Games]]=0, 0,Table1[[#This Row],[Points]]/($AA$6-Table1[[#This Row],[Missed Games]]))</f>
        <v>0</v>
      </c>
      <c r="AC23" s="111">
        <f t="shared" si="1"/>
        <v>0</v>
      </c>
      <c r="AD23" s="113">
        <f>IF($AA$6-Table1[[#This Row],[Missed Games]]=0, 0,Table1[[#This Row],[Finishes]]/($AA$6-Table1[[#This Row],[Missed Games]]))</f>
        <v>0</v>
      </c>
      <c r="AE23" s="111">
        <f t="shared" si="2"/>
        <v>0</v>
      </c>
      <c r="AF23" s="113">
        <f>IF($AA$6-Table1[[#This Row],[Missed Games]]=0, 0,Table1[[#This Row],[Midranges]]/($AA$6-Table1[[#This Row],[Missed Games]]))</f>
        <v>0</v>
      </c>
      <c r="AG23" s="111">
        <f t="shared" si="3"/>
        <v>0</v>
      </c>
      <c r="AH23" s="113">
        <f>IF($AA$6-Table1[[#This Row],[Missed Games]]=0, 0,Table1[[#This Row],[Threes]]/($AA$6-Table1[[#This Row],[Missed Games]]))</f>
        <v>0</v>
      </c>
      <c r="AI23" s="113" t="str">
        <f>SfW!C18</f>
        <v>Gentle, Men</v>
      </c>
      <c r="AJ23" s="112">
        <f t="shared" si="4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7">
        <f>AP23-Table1[[#This Row],[Points]]</f>
        <v>2</v>
      </c>
      <c r="AS23" s="93">
        <f>Table1[[#This Row],[Points]]/(20-AA$5-Table1[[#This Row],[Missed Games]])</f>
        <v>0</v>
      </c>
      <c r="AT23" s="99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4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8"/>
      <c r="AA24" s="109"/>
      <c r="AB24" s="110"/>
      <c r="AC24" s="111"/>
      <c r="AD24" s="108"/>
      <c r="AE24" s="111"/>
      <c r="AF24" s="108"/>
      <c r="AG24" s="111"/>
      <c r="AH24" s="108"/>
      <c r="AI24" s="108"/>
      <c r="AJ24" s="112"/>
      <c r="AL24" s="30"/>
      <c r="AN24" s="3"/>
      <c r="AP24" s="13"/>
      <c r="AQ24" s="20"/>
      <c r="AR24" s="87"/>
      <c r="AS24" s="93"/>
      <c r="AT24" s="99"/>
      <c r="AU24" s="20"/>
      <c r="AW24" s="1"/>
    </row>
    <row r="25" spans="2:49" ht="14.25" customHeight="1" x14ac:dyDescent="0.4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4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4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144</v>
      </c>
      <c r="AA27" s="1">
        <v>0</v>
      </c>
      <c r="AI27" s="2"/>
      <c r="AK27" s="1" t="s">
        <v>107</v>
      </c>
      <c r="AL27" s="1">
        <v>3</v>
      </c>
      <c r="AT27" s="2"/>
    </row>
    <row r="28" spans="2:49" ht="14.25" customHeight="1" x14ac:dyDescent="0.4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95</v>
      </c>
      <c r="T28" s="2"/>
      <c r="U28" s="2"/>
      <c r="V28" s="2"/>
      <c r="W28" s="2"/>
      <c r="X28" s="2"/>
      <c r="Y28" s="2"/>
      <c r="Z28" s="10" t="s">
        <v>74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106</v>
      </c>
      <c r="AF28" s="21" t="s">
        <v>104</v>
      </c>
      <c r="AG28" s="10" t="s">
        <v>105</v>
      </c>
      <c r="AH28" s="21" t="s">
        <v>143</v>
      </c>
      <c r="AI28" s="2" t="s">
        <v>102</v>
      </c>
      <c r="AK28" s="10" t="s">
        <v>74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106</v>
      </c>
      <c r="AQ28" s="21" t="s">
        <v>104</v>
      </c>
      <c r="AR28" s="10" t="s">
        <v>105</v>
      </c>
      <c r="AS28" s="21" t="s">
        <v>143</v>
      </c>
      <c r="AT28" s="2" t="s">
        <v>102</v>
      </c>
    </row>
    <row r="29" spans="2:49" ht="14.25" customHeight="1" x14ac:dyDescent="0.4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2"/>
      <c r="S29" t="s">
        <v>96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4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2"/>
      <c r="S30" s="70" t="s">
        <v>149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4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2"/>
      <c r="S31" s="70" t="s">
        <v>150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4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S32" s="70" t="s">
        <v>151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4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S33" s="70" t="s">
        <v>152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4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S34" s="70" t="s">
        <v>153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4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S35" s="70" t="s">
        <v>154</v>
      </c>
      <c r="Z35" t="s">
        <v>81</v>
      </c>
      <c r="AA35" s="22"/>
      <c r="AB35" s="22"/>
      <c r="AC35" s="22"/>
      <c r="AD35" s="22"/>
      <c r="AE35" s="6"/>
      <c r="AF35" s="6"/>
      <c r="AG35" s="6"/>
      <c r="AH35" s="6"/>
      <c r="AK35" t="s">
        <v>81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4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S36" s="70" t="s">
        <v>155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4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4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4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4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10" t="s">
        <v>98</v>
      </c>
      <c r="U40" t="s">
        <v>165</v>
      </c>
      <c r="V40" t="s">
        <v>166</v>
      </c>
      <c r="W40" t="s">
        <v>167</v>
      </c>
      <c r="X40" t="s">
        <v>172</v>
      </c>
      <c r="Z40" t="s">
        <v>157</v>
      </c>
      <c r="AA40" s="22"/>
      <c r="AB40" s="22"/>
      <c r="AC40" s="22"/>
      <c r="AD40" s="22"/>
      <c r="AE40" s="6"/>
      <c r="AF40" s="6"/>
      <c r="AG40" s="6"/>
      <c r="AH40" s="6"/>
      <c r="AK40" t="s">
        <v>157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45">
      <c r="R41" s="10" t="s">
        <v>180</v>
      </c>
      <c r="S41">
        <f>'Statistics CT'!J3</f>
        <v>0</v>
      </c>
      <c r="T41" s="85" t="e">
        <f>S41/SUM(S41:S43)</f>
        <v>#DIV/0!</v>
      </c>
      <c r="U41" s="89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36.767497854077249</v>
      </c>
      <c r="Y41" s="90">
        <v>1</v>
      </c>
      <c r="Z41" t="s">
        <v>110</v>
      </c>
      <c r="AA41" s="22"/>
      <c r="AB41" s="22"/>
      <c r="AC41" s="22"/>
      <c r="AD41" s="22"/>
      <c r="AE41" s="6"/>
      <c r="AF41" s="6"/>
      <c r="AG41" s="6"/>
      <c r="AH41" s="6"/>
      <c r="AK41" t="s">
        <v>110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45">
      <c r="R42" s="10" t="s">
        <v>181</v>
      </c>
      <c r="S42">
        <f>'Statistics TC'!J3</f>
        <v>0</v>
      </c>
      <c r="T42" s="89" t="e">
        <f>S42/SUM(S41:S43)</f>
        <v>#DIV/0!</v>
      </c>
      <c r="U42" s="89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35.454193133047212</v>
      </c>
      <c r="Y42" s="90">
        <v>2</v>
      </c>
      <c r="Z42" t="s">
        <v>109</v>
      </c>
      <c r="AA42" s="22"/>
      <c r="AB42" s="22"/>
      <c r="AC42" s="22"/>
      <c r="AD42" s="22"/>
      <c r="AE42" s="6"/>
      <c r="AF42" s="6"/>
      <c r="AG42" s="6"/>
      <c r="AH42" s="6"/>
      <c r="AK42" t="s">
        <v>109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45">
      <c r="R43" s="10" t="s">
        <v>35</v>
      </c>
      <c r="S43">
        <f>'Statistics GM'!J3</f>
        <v>0</v>
      </c>
      <c r="T43" s="89" t="e">
        <f>S43/SUM(S41:S43)</f>
        <v>#DIV/0!</v>
      </c>
      <c r="U43" s="89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29.778309012875539</v>
      </c>
      <c r="Y43" s="90">
        <v>3</v>
      </c>
      <c r="Z43" t="s">
        <v>64</v>
      </c>
      <c r="AA43" s="22"/>
      <c r="AB43" s="22"/>
      <c r="AC43" s="22"/>
      <c r="AD43" s="22"/>
      <c r="AE43" s="6"/>
      <c r="AF43" s="6"/>
      <c r="AG43" s="6"/>
      <c r="AH43" s="6"/>
      <c r="AK43" t="s">
        <v>64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45">
      <c r="Z44" t="s">
        <v>65</v>
      </c>
      <c r="AA44" s="22"/>
      <c r="AB44" s="22"/>
      <c r="AC44" s="22"/>
      <c r="AD44" s="22"/>
      <c r="AE44" s="6"/>
      <c r="AF44" s="6"/>
      <c r="AG44" s="6"/>
      <c r="AH44" s="6"/>
      <c r="AK44" t="s">
        <v>65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45">
      <c r="T45" t="s">
        <v>171</v>
      </c>
      <c r="W45">
        <f>(20-AA6-AA5)*2</f>
        <v>28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45">
      <c r="T46" t="s">
        <v>176</v>
      </c>
      <c r="W46">
        <f>(W45-(MAX(S41:S43)-MIN(S41:S43)))/2</f>
        <v>14</v>
      </c>
      <c r="AA46" s="1"/>
      <c r="AB46" s="1"/>
      <c r="AC46" s="1"/>
      <c r="AK46" s="1"/>
      <c r="AL46" s="1"/>
    </row>
    <row r="47" spans="2:46" ht="14.25" customHeight="1" x14ac:dyDescent="0.45">
      <c r="Z47" s="1" t="s">
        <v>108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45">
      <c r="S48" s="10" t="s">
        <v>122</v>
      </c>
      <c r="U48" s="10" t="s">
        <v>72</v>
      </c>
      <c r="V48" s="10" t="s">
        <v>75</v>
      </c>
      <c r="W48" s="10" t="s">
        <v>123</v>
      </c>
      <c r="Z48" s="10" t="s">
        <v>74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106</v>
      </c>
      <c r="AF48" s="21" t="s">
        <v>104</v>
      </c>
      <c r="AG48" s="10" t="s">
        <v>105</v>
      </c>
      <c r="AH48" s="21" t="s">
        <v>143</v>
      </c>
      <c r="AI48" s="2" t="s">
        <v>102</v>
      </c>
      <c r="AK48" s="10" t="s">
        <v>74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106</v>
      </c>
      <c r="AQ48" s="21" t="s">
        <v>104</v>
      </c>
      <c r="AR48" s="10" t="s">
        <v>105</v>
      </c>
      <c r="AS48" s="21" t="s">
        <v>143</v>
      </c>
      <c r="AT48" s="2" t="s">
        <v>102</v>
      </c>
    </row>
    <row r="49" spans="19:48" ht="14.25" customHeight="1" x14ac:dyDescent="0.45">
      <c r="T49" s="10" t="s">
        <v>1</v>
      </c>
      <c r="U49" s="13">
        <f>SUM(Table1[Finishes])</f>
        <v>0</v>
      </c>
      <c r="V49" s="12">
        <f>U49/AA6</f>
        <v>0</v>
      </c>
      <c r="W49" s="20" t="e">
        <f>U49/SUM($U$49:$U$51)</f>
        <v>#DIV/0!</v>
      </c>
      <c r="Z49" s="1" t="s">
        <v>40</v>
      </c>
      <c r="AA49" s="22"/>
      <c r="AB49" s="22"/>
      <c r="AC49" s="22"/>
      <c r="AD49" s="22"/>
      <c r="AE49" s="96"/>
      <c r="AF49" s="96"/>
      <c r="AG49" s="96"/>
      <c r="AH49" s="96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45">
      <c r="T50" s="10" t="s">
        <v>2</v>
      </c>
      <c r="U50" s="13">
        <f>SUM(Table1[Midranges])</f>
        <v>0</v>
      </c>
      <c r="V50" s="12">
        <f>U50/AA6</f>
        <v>0</v>
      </c>
      <c r="W50" s="20" t="e">
        <f>U50/SUM($U$49:$U$51)</f>
        <v>#DIV/0!</v>
      </c>
      <c r="Z50" s="1" t="s">
        <v>43</v>
      </c>
      <c r="AA50" s="22"/>
      <c r="AB50" s="22"/>
      <c r="AC50" s="22"/>
      <c r="AD50" s="22"/>
      <c r="AE50" s="96"/>
      <c r="AF50" s="96"/>
      <c r="AG50" s="96"/>
      <c r="AH50" s="96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45">
      <c r="T51" s="10" t="s">
        <v>3</v>
      </c>
      <c r="U51" s="13">
        <f>SUM(Table1[Threes])</f>
        <v>0</v>
      </c>
      <c r="V51" s="12">
        <f>U51/AA6</f>
        <v>0</v>
      </c>
      <c r="W51" s="20" t="e">
        <f>U51/SUM($U$49:$U$51)</f>
        <v>#DIV/0!</v>
      </c>
      <c r="Z51" s="1" t="s">
        <v>45</v>
      </c>
      <c r="AA51" s="22"/>
      <c r="AB51" s="22"/>
      <c r="AC51" s="22"/>
      <c r="AD51" s="22"/>
      <c r="AE51" s="96"/>
      <c r="AF51" s="96"/>
      <c r="AG51" s="96"/>
      <c r="AH51" s="96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45">
      <c r="Z52" s="1" t="s">
        <v>48</v>
      </c>
      <c r="AA52" s="22"/>
      <c r="AB52" s="22"/>
      <c r="AC52" s="22"/>
      <c r="AD52" s="22"/>
      <c r="AE52" s="96"/>
      <c r="AF52" s="96"/>
      <c r="AG52" s="96"/>
      <c r="AH52" s="96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45">
      <c r="T53" s="10" t="s">
        <v>112</v>
      </c>
      <c r="Z53" s="1" t="s">
        <v>51</v>
      </c>
      <c r="AA53" s="22"/>
      <c r="AB53" s="22"/>
      <c r="AC53" s="22"/>
      <c r="AD53" s="22"/>
      <c r="AE53" s="96"/>
      <c r="AF53" s="96"/>
      <c r="AG53" s="96"/>
      <c r="AH53" s="96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45">
      <c r="T54" s="10" t="s">
        <v>180</v>
      </c>
      <c r="U54" s="10" t="s">
        <v>181</v>
      </c>
      <c r="V54" s="10" t="s">
        <v>35</v>
      </c>
      <c r="Z54" s="1" t="s">
        <v>54</v>
      </c>
      <c r="AA54" s="22"/>
      <c r="AB54" s="22"/>
      <c r="AC54" s="22"/>
      <c r="AD54" s="22"/>
      <c r="AE54" s="96"/>
      <c r="AF54" s="96"/>
      <c r="AG54" s="96"/>
      <c r="AH54" s="96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45">
      <c r="S55" s="10" t="s">
        <v>182</v>
      </c>
      <c r="T55" s="27" t="s">
        <v>113</v>
      </c>
      <c r="U55" s="25">
        <f>'Statistics CT'!L42</f>
        <v>0</v>
      </c>
      <c r="V55" s="25">
        <f>'Statistics CT'!O42</f>
        <v>0</v>
      </c>
      <c r="W55" s="25">
        <f>AVERAGE(U55:V55)</f>
        <v>0</v>
      </c>
      <c r="Z55" t="s">
        <v>81</v>
      </c>
      <c r="AA55" s="22"/>
      <c r="AB55" s="22"/>
      <c r="AC55" s="22"/>
      <c r="AD55" s="22"/>
      <c r="AE55" s="96"/>
      <c r="AF55" s="96"/>
      <c r="AG55" s="96"/>
      <c r="AH55" s="96"/>
      <c r="AI55" s="22"/>
      <c r="AK55" t="s">
        <v>81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45">
      <c r="S56" s="10" t="s">
        <v>183</v>
      </c>
      <c r="T56" s="25">
        <f>1-'Statistics CT'!L42</f>
        <v>1</v>
      </c>
      <c r="U56" s="27" t="s">
        <v>113</v>
      </c>
      <c r="V56" s="25">
        <f>'Statistics TC'!L42</f>
        <v>0</v>
      </c>
      <c r="W56" s="25">
        <f>AVERAGE(T56:V56)</f>
        <v>0.5</v>
      </c>
      <c r="Z56" s="1" t="s">
        <v>57</v>
      </c>
      <c r="AA56" s="22"/>
      <c r="AB56" s="22"/>
      <c r="AC56" s="22"/>
      <c r="AD56" s="22"/>
      <c r="AE56" s="96"/>
      <c r="AF56" s="96"/>
      <c r="AG56" s="96"/>
      <c r="AH56" s="96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45">
      <c r="S57" s="10" t="s">
        <v>184</v>
      </c>
      <c r="T57" s="25">
        <f>1-V55</f>
        <v>1</v>
      </c>
      <c r="U57" s="25">
        <f>1-V56</f>
        <v>1</v>
      </c>
      <c r="V57" s="27" t="s">
        <v>113</v>
      </c>
      <c r="W57" s="25">
        <f>AVERAGE(T57:V57)</f>
        <v>1</v>
      </c>
      <c r="Z57" s="1" t="s">
        <v>59</v>
      </c>
      <c r="AA57" s="22"/>
      <c r="AB57" s="22"/>
      <c r="AC57" s="22"/>
      <c r="AD57" s="22"/>
      <c r="AE57" s="96"/>
      <c r="AF57" s="96"/>
      <c r="AG57" s="96"/>
      <c r="AH57" s="96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45">
      <c r="V58" s="28"/>
      <c r="W58" s="80"/>
      <c r="Z58" s="1" t="s">
        <v>60</v>
      </c>
      <c r="AA58" s="22"/>
      <c r="AB58" s="22"/>
      <c r="AC58" s="22"/>
      <c r="AD58" s="22"/>
      <c r="AE58" s="96"/>
      <c r="AF58" s="96"/>
      <c r="AG58" s="96"/>
      <c r="AH58" s="96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45">
      <c r="Z59" s="1" t="s">
        <v>61</v>
      </c>
      <c r="AA59" s="22"/>
      <c r="AB59" s="22"/>
      <c r="AC59" s="22"/>
      <c r="AD59" s="22"/>
      <c r="AE59" s="96"/>
      <c r="AF59" s="96"/>
      <c r="AG59" s="96"/>
      <c r="AH59" s="96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45">
      <c r="Z60" t="s">
        <v>157</v>
      </c>
      <c r="AA60" s="22"/>
      <c r="AB60" s="22"/>
      <c r="AC60" s="22"/>
      <c r="AD60" s="22"/>
      <c r="AE60" s="96"/>
      <c r="AF60" s="96"/>
      <c r="AG60" s="96"/>
      <c r="AH60" s="96"/>
      <c r="AI60" s="22"/>
      <c r="AK60" t="s">
        <v>157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45">
      <c r="Z61" t="s">
        <v>110</v>
      </c>
      <c r="AA61" s="22"/>
      <c r="AB61" s="22"/>
      <c r="AC61" s="22"/>
      <c r="AD61" s="22"/>
      <c r="AE61" s="96"/>
      <c r="AF61" s="96"/>
      <c r="AG61" s="96"/>
      <c r="AH61" s="96"/>
      <c r="AI61" s="22"/>
      <c r="AK61" t="s">
        <v>110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45">
      <c r="Z62" t="s">
        <v>109</v>
      </c>
      <c r="AA62" s="22"/>
      <c r="AB62" s="22"/>
      <c r="AC62" s="22"/>
      <c r="AD62" s="22"/>
      <c r="AE62" s="96"/>
      <c r="AF62" s="96"/>
      <c r="AG62" s="96"/>
      <c r="AH62" s="96"/>
      <c r="AI62" s="22"/>
      <c r="AK62" t="s">
        <v>109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45">
      <c r="Z63" t="s">
        <v>64</v>
      </c>
      <c r="AA63" s="22"/>
      <c r="AB63" s="22"/>
      <c r="AC63" s="22"/>
      <c r="AD63" s="22"/>
      <c r="AE63" s="96"/>
      <c r="AF63" s="96"/>
      <c r="AG63" s="96"/>
      <c r="AH63" s="96"/>
      <c r="AI63" s="22"/>
      <c r="AK63" t="s">
        <v>64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45">
      <c r="Z64" t="s">
        <v>65</v>
      </c>
      <c r="AA64" s="22"/>
      <c r="AB64" s="22"/>
      <c r="AC64" s="22"/>
      <c r="AD64" s="22"/>
      <c r="AE64" s="96"/>
      <c r="AF64" s="96"/>
      <c r="AG64" s="96"/>
      <c r="AH64" s="96"/>
      <c r="AI64" s="22"/>
      <c r="AK64" t="s">
        <v>65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45">
      <c r="Z65" s="1"/>
      <c r="AA65" s="22"/>
      <c r="AB65" s="22"/>
      <c r="AC65" s="22"/>
      <c r="AD65" s="22"/>
      <c r="AE65" s="96"/>
      <c r="AF65" s="96"/>
      <c r="AG65" s="96"/>
      <c r="AH65" s="96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45">
      <c r="Z67" s="1" t="s">
        <v>121</v>
      </c>
      <c r="AA67" s="1">
        <v>0</v>
      </c>
      <c r="AI67" s="2"/>
      <c r="AK67" s="1" t="s">
        <v>125</v>
      </c>
      <c r="AL67" s="1">
        <v>0</v>
      </c>
      <c r="AT67" s="2"/>
    </row>
    <row r="68" spans="18:46" ht="14.25" customHeight="1" x14ac:dyDescent="0.45">
      <c r="Z68" s="10" t="s">
        <v>74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106</v>
      </c>
      <c r="AF68" s="21" t="s">
        <v>104</v>
      </c>
      <c r="AG68" s="10" t="s">
        <v>105</v>
      </c>
      <c r="AH68" s="21" t="s">
        <v>143</v>
      </c>
      <c r="AI68" s="2" t="s">
        <v>102</v>
      </c>
      <c r="AK68" s="10" t="s">
        <v>74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106</v>
      </c>
      <c r="AQ68" s="21" t="s">
        <v>104</v>
      </c>
      <c r="AR68" s="10" t="s">
        <v>105</v>
      </c>
      <c r="AS68" s="21" t="s">
        <v>143</v>
      </c>
      <c r="AT68" s="2" t="s">
        <v>102</v>
      </c>
    </row>
    <row r="69" spans="18:46" ht="14.25" customHeight="1" x14ac:dyDescent="0.45">
      <c r="Z69" s="1" t="s">
        <v>40</v>
      </c>
      <c r="AA69" s="22"/>
      <c r="AB69" s="22"/>
      <c r="AC69" s="22"/>
      <c r="AD69" s="22"/>
      <c r="AE69" s="96"/>
      <c r="AF69" s="96"/>
      <c r="AG69" s="96"/>
      <c r="AH69" s="96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4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4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4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4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4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45">
      <c r="Z75" t="s">
        <v>81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45">
      <c r="T76" s="10" t="s">
        <v>124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45">
      <c r="S77" s="31" t="s">
        <v>63</v>
      </c>
      <c r="T77" t="s">
        <v>180</v>
      </c>
      <c r="U77" t="s">
        <v>35</v>
      </c>
      <c r="V77" t="s">
        <v>181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4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4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4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157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157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4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110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110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4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109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109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4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64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64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4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65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65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4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4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4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177</v>
      </c>
      <c r="AA87" s="1">
        <v>0</v>
      </c>
      <c r="AI87" s="2"/>
      <c r="AK87" s="1" t="s">
        <v>158</v>
      </c>
      <c r="AL87" s="1">
        <v>0</v>
      </c>
      <c r="AT87" s="2"/>
    </row>
    <row r="88" spans="18:46" ht="14.25" customHeight="1" x14ac:dyDescent="0.4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74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106</v>
      </c>
      <c r="AF88" s="21" t="s">
        <v>104</v>
      </c>
      <c r="AG88" s="10" t="s">
        <v>105</v>
      </c>
      <c r="AH88" s="21" t="s">
        <v>143</v>
      </c>
      <c r="AI88" s="2" t="s">
        <v>102</v>
      </c>
      <c r="AK88" s="10" t="s">
        <v>74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106</v>
      </c>
      <c r="AQ88" s="21" t="s">
        <v>104</v>
      </c>
      <c r="AR88" s="10" t="s">
        <v>105</v>
      </c>
      <c r="AS88" s="21" t="s">
        <v>143</v>
      </c>
      <c r="AT88" s="2" t="s">
        <v>102</v>
      </c>
    </row>
    <row r="89" spans="18:46" ht="14.25" customHeight="1" x14ac:dyDescent="0.4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4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4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4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4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4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4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81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81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4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4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4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4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45">
      <c r="Z100" t="s">
        <v>157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157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45">
      <c r="Z101" t="s">
        <v>110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110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4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109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109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4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64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64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4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65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65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4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4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4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4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4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4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4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4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4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4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4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4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4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9" type="noConversion"/>
  <conditionalFormatting sqref="W103:W108 U109:U118">
    <cfRule type="cellIs" dxfId="154" priority="10" operator="lessThan">
      <formula>0</formula>
    </cfRule>
    <cfRule type="cellIs" dxfId="153" priority="11" operator="greaterThan">
      <formula>0</formula>
    </cfRule>
  </conditionalFormatting>
  <conditionalFormatting sqref="AQ8:AQ24">
    <cfRule type="cellIs" dxfId="152" priority="5" operator="equal">
      <formula>$AA$4</formula>
    </cfRule>
    <cfRule type="cellIs" dxfId="151" priority="6" operator="lessThan">
      <formula>$AA$4</formula>
    </cfRule>
    <cfRule type="cellIs" dxfId="150" priority="7" operator="greaterThan">
      <formula>$AA$4</formula>
    </cfRule>
  </conditionalFormatting>
  <conditionalFormatting sqref="AT8:AU24">
    <cfRule type="cellIs" dxfId="149" priority="1" operator="lessThan">
      <formula>0</formula>
    </cfRule>
    <cfRule type="cellIs" dxfId="148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8" zoomScale="85" zoomScaleNormal="85" workbookViewId="0">
      <selection activeCell="O43" sqref="O43"/>
    </sheetView>
  </sheetViews>
  <sheetFormatPr defaultColWidth="14.33203125" defaultRowHeight="15" customHeight="1" x14ac:dyDescent="0.45"/>
  <cols>
    <col min="1" max="24" width="8.73046875" style="37" customWidth="1"/>
    <col min="25" max="25" width="9.59765625" style="37" customWidth="1"/>
    <col min="26" max="28" width="8.73046875" style="37" customWidth="1"/>
    <col min="29" max="29" width="17.73046875" style="37" customWidth="1"/>
    <col min="30" max="30" width="9.265625" style="37" customWidth="1"/>
    <col min="31" max="31" width="10.265625" style="37" customWidth="1"/>
    <col min="32" max="32" width="11.33203125" style="37" customWidth="1"/>
    <col min="33" max="33" width="12.46484375" style="37" customWidth="1"/>
    <col min="34" max="34" width="11.06640625" style="37" customWidth="1"/>
    <col min="35" max="35" width="11.33203125" style="37" customWidth="1"/>
    <col min="36" max="37" width="10.59765625" style="37" customWidth="1"/>
    <col min="38" max="39" width="14.33203125" style="37" customWidth="1"/>
    <col min="40" max="16384" width="14.33203125" style="37"/>
  </cols>
  <sheetData>
    <row r="1" spans="1:27" ht="14.55" customHeight="1" x14ac:dyDescent="0.45">
      <c r="N1" s="54"/>
    </row>
    <row r="2" spans="1:27" ht="14.55" customHeight="1" x14ac:dyDescent="0.45">
      <c r="B2" s="53" t="s">
        <v>194</v>
      </c>
      <c r="H2" s="54" t="s">
        <v>78</v>
      </c>
      <c r="I2" s="54" t="s">
        <v>79</v>
      </c>
      <c r="J2" s="37" t="s">
        <v>80</v>
      </c>
      <c r="L2" s="54" t="s">
        <v>178</v>
      </c>
      <c r="O2" s="54" t="s">
        <v>179</v>
      </c>
      <c r="R2" s="71" t="s">
        <v>156</v>
      </c>
    </row>
    <row r="3" spans="1:27" ht="14.55" customHeight="1" x14ac:dyDescent="0.4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2">
        <f>SUM(B4:B40)</f>
        <v>0</v>
      </c>
      <c r="I3" s="122">
        <f>SUM(C4:C40)</f>
        <v>0</v>
      </c>
      <c r="J3" s="122">
        <f>SUM(D4:D40)</f>
        <v>0</v>
      </c>
      <c r="L3" s="54" t="s">
        <v>76</v>
      </c>
      <c r="M3" s="54" t="s">
        <v>77</v>
      </c>
      <c r="N3" s="54"/>
      <c r="O3" s="54" t="s">
        <v>76</v>
      </c>
      <c r="P3" s="54" t="s">
        <v>77</v>
      </c>
      <c r="R3" s="72" t="s">
        <v>4</v>
      </c>
      <c r="S3" s="73" t="s">
        <v>0</v>
      </c>
      <c r="T3" s="73" t="s">
        <v>75</v>
      </c>
      <c r="U3" s="73" t="s">
        <v>1</v>
      </c>
      <c r="V3" s="74" t="s">
        <v>70</v>
      </c>
      <c r="W3" s="74" t="s">
        <v>2</v>
      </c>
      <c r="X3" s="74" t="s">
        <v>99</v>
      </c>
      <c r="Y3" s="73" t="s">
        <v>3</v>
      </c>
      <c r="Z3" s="74" t="s">
        <v>100</v>
      </c>
      <c r="AA3" s="74" t="s">
        <v>102</v>
      </c>
    </row>
    <row r="4" spans="1:27" ht="14.55" customHeight="1" x14ac:dyDescent="0.45">
      <c r="A4" s="123">
        <f>'Stats Global'!B5</f>
        <v>0</v>
      </c>
      <c r="B4" s="123">
        <f>'Stats Global'!F5</f>
        <v>0</v>
      </c>
      <c r="C4" s="123">
        <f>'Stats Global'!G5+'Stats Global'!G5</f>
        <v>0</v>
      </c>
      <c r="D4" s="123">
        <f>'Stats Global'!O5</f>
        <v>0</v>
      </c>
      <c r="E4" s="56"/>
      <c r="F4" s="56"/>
      <c r="J4" s="58"/>
      <c r="L4" s="59">
        <f>'Stats Global'!J5</f>
        <v>0</v>
      </c>
      <c r="M4" s="59">
        <f>'Stats Global'!G5</f>
        <v>0</v>
      </c>
      <c r="N4" s="60"/>
      <c r="O4" s="59">
        <f>'Stats Global'!M5</f>
        <v>0</v>
      </c>
      <c r="P4" s="59">
        <f>'Stats Global'!H5</f>
        <v>0</v>
      </c>
      <c r="R4" s="75" t="str">
        <f>'Stats Global'!Z18</f>
        <v>Ryan Pattemore</v>
      </c>
      <c r="S4" s="75">
        <f>'Stats Global'!AA18</f>
        <v>0</v>
      </c>
      <c r="T4" s="75">
        <f>'Stats Global'!AB18</f>
        <v>0</v>
      </c>
      <c r="U4" s="75">
        <f>'Stats Global'!AC18</f>
        <v>0</v>
      </c>
      <c r="V4" s="75">
        <f>'Stats Global'!AD18</f>
        <v>0</v>
      </c>
      <c r="W4" s="75">
        <f>'Stats Global'!AE18</f>
        <v>0</v>
      </c>
      <c r="X4" s="75">
        <f>'Stats Global'!AF18</f>
        <v>0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55" customHeight="1" x14ac:dyDescent="0.45">
      <c r="A5" s="123">
        <f>'Stats Global'!B6</f>
        <v>0</v>
      </c>
      <c r="B5" s="123">
        <f>'Stats Global'!F6</f>
        <v>0</v>
      </c>
      <c r="C5" s="123">
        <f>'Stats Global'!G6+'Stats Global'!G6</f>
        <v>0</v>
      </c>
      <c r="D5" s="123">
        <f>'Stats Global'!O6</f>
        <v>0</v>
      </c>
      <c r="E5" s="56"/>
      <c r="F5" s="56"/>
      <c r="I5" s="54"/>
      <c r="J5" s="58"/>
      <c r="L5" s="59">
        <f>'Stats Global'!J6</f>
        <v>0</v>
      </c>
      <c r="M5" s="59">
        <f>'Stats Global'!G6</f>
        <v>0</v>
      </c>
      <c r="N5" s="60"/>
      <c r="O5" s="59">
        <f>'Stats Global'!M6</f>
        <v>0</v>
      </c>
      <c r="P5" s="59">
        <f>'Stats Global'!H6</f>
        <v>0</v>
      </c>
      <c r="R5" s="58" t="str">
        <f>'Stats Global'!Z22</f>
        <v>Angus Walker</v>
      </c>
      <c r="S5" s="58">
        <f>'Stats Global'!AA22</f>
        <v>0</v>
      </c>
      <c r="T5" s="58">
        <f>'Stats Global'!AB22</f>
        <v>0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0</v>
      </c>
      <c r="Z5" s="58">
        <f>'Stats Global'!AH22</f>
        <v>0</v>
      </c>
      <c r="AA5" s="68">
        <f>'Stats Global'!AJ22</f>
        <v>0</v>
      </c>
    </row>
    <row r="6" spans="1:27" ht="14.55" customHeight="1" x14ac:dyDescent="0.45">
      <c r="A6" s="123">
        <f>'Stats Global'!B7</f>
        <v>0</v>
      </c>
      <c r="B6" s="123">
        <f>'Stats Global'!F7</f>
        <v>0</v>
      </c>
      <c r="C6" s="123">
        <f>'Stats Global'!G7+'Stats Global'!G7</f>
        <v>0</v>
      </c>
      <c r="D6" s="123">
        <f>'Stats Global'!O7</f>
        <v>0</v>
      </c>
      <c r="E6" s="56"/>
      <c r="F6" s="56"/>
      <c r="I6" s="54"/>
      <c r="J6" s="58"/>
      <c r="L6" s="59">
        <f>'Stats Global'!J7</f>
        <v>0</v>
      </c>
      <c r="M6" s="59">
        <f>'Stats Global'!G7</f>
        <v>0</v>
      </c>
      <c r="N6" s="60"/>
      <c r="O6" s="59">
        <f>'Stats Global'!M7</f>
        <v>0</v>
      </c>
      <c r="P6" s="59">
        <f>'Stats Global'!H7</f>
        <v>0</v>
      </c>
      <c r="R6" s="68" t="str">
        <f>'Stats Global'!Z20</f>
        <v>Nicholas Szogi</v>
      </c>
      <c r="S6" s="68">
        <f>'Stats Global'!AA20</f>
        <v>0</v>
      </c>
      <c r="T6" s="68">
        <f>'Stats Global'!AB20</f>
        <v>0</v>
      </c>
      <c r="U6" s="68">
        <f>'Stats Global'!AC20</f>
        <v>0</v>
      </c>
      <c r="V6" s="68">
        <f>'Stats Global'!AD20</f>
        <v>0</v>
      </c>
      <c r="W6" s="68">
        <f>'Stats Global'!AE20</f>
        <v>0</v>
      </c>
      <c r="X6" s="68">
        <f>'Stats Global'!AF20</f>
        <v>0</v>
      </c>
      <c r="Y6" s="68">
        <f>'Stats Global'!AG20</f>
        <v>0</v>
      </c>
      <c r="Z6" s="68">
        <f>'Stats Global'!AH20</f>
        <v>0</v>
      </c>
      <c r="AA6" s="68">
        <f>'Stats Global'!AJ20</f>
        <v>0</v>
      </c>
    </row>
    <row r="7" spans="1:27" ht="14.5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0</v>
      </c>
      <c r="T7" s="58">
        <f>'Stats Global'!AB14</f>
        <v>0</v>
      </c>
      <c r="U7" s="58">
        <f>'Stats Global'!AC14</f>
        <v>0</v>
      </c>
      <c r="V7" s="58">
        <f>'Stats Global'!AD14</f>
        <v>0</v>
      </c>
      <c r="W7" s="58">
        <f>'Stats Global'!AE14</f>
        <v>0</v>
      </c>
      <c r="X7" s="58">
        <f>'Stats Global'!AF14</f>
        <v>0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5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Global'!Z12</f>
        <v>Michael Iffland</v>
      </c>
      <c r="S8" s="58">
        <f>'Stats Global'!AA12</f>
        <v>0</v>
      </c>
      <c r="T8" s="58">
        <f>'Stats Global'!AB12</f>
        <v>0</v>
      </c>
      <c r="U8" s="58">
        <f>'Stats Global'!AC12</f>
        <v>0</v>
      </c>
      <c r="V8" s="58">
        <f>'Stats Global'!AD12</f>
        <v>0</v>
      </c>
      <c r="W8" s="58">
        <f>'Stats Global'!AE12</f>
        <v>0</v>
      </c>
      <c r="X8" s="58">
        <f>'Stats Global'!AF12</f>
        <v>0</v>
      </c>
      <c r="Y8" s="58">
        <f>'Stats Global'!AG12</f>
        <v>0</v>
      </c>
      <c r="Z8" s="58">
        <f>'Stats Global'!AH12</f>
        <v>0</v>
      </c>
      <c r="AA8" s="68">
        <f>'Stats Global'!AJ12</f>
        <v>0</v>
      </c>
    </row>
    <row r="9" spans="1:27" ht="14.5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5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5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5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55" customHeight="1" x14ac:dyDescent="0.4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55" customHeight="1" x14ac:dyDescent="0.4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55" customHeight="1" x14ac:dyDescent="0.4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55" customHeight="1" x14ac:dyDescent="0.4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55" customHeight="1" x14ac:dyDescent="0.45">
      <c r="A17" s="52"/>
      <c r="B17" s="57"/>
      <c r="C17" s="57"/>
      <c r="D17" s="57"/>
      <c r="E17" s="101"/>
      <c r="F17" s="101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55" customHeight="1" x14ac:dyDescent="0.45">
      <c r="A18" s="52"/>
      <c r="B18" s="57"/>
      <c r="C18" s="57"/>
      <c r="D18" s="57"/>
      <c r="E18" s="103"/>
      <c r="F18" s="103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55" customHeight="1" x14ac:dyDescent="0.45">
      <c r="A19" s="52"/>
      <c r="B19" s="57"/>
      <c r="C19" s="57"/>
      <c r="D19" s="57"/>
      <c r="E19" s="104"/>
      <c r="F19" s="104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55" customHeight="1" x14ac:dyDescent="0.45">
      <c r="A20" s="52"/>
      <c r="B20" s="57"/>
      <c r="C20" s="57"/>
      <c r="D20" s="57"/>
      <c r="E20" s="107"/>
      <c r="F20" s="107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55" customHeight="1" x14ac:dyDescent="0.4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55" customHeight="1" x14ac:dyDescent="0.4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55" customHeight="1" x14ac:dyDescent="0.45">
      <c r="A23" s="52"/>
      <c r="B23" s="57"/>
      <c r="C23" s="57"/>
      <c r="D23" s="57"/>
      <c r="E23" s="115"/>
      <c r="F23" s="116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5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55" customHeight="1" x14ac:dyDescent="0.4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55" customHeight="1" x14ac:dyDescent="0.4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55" customHeight="1" x14ac:dyDescent="0.4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55" customHeight="1" x14ac:dyDescent="0.4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55" customHeight="1" x14ac:dyDescent="0.4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55" customHeight="1" x14ac:dyDescent="0.4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55" customHeight="1" x14ac:dyDescent="0.4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55" customHeight="1" x14ac:dyDescent="0.4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55" customHeight="1" x14ac:dyDescent="0.4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45">
      <c r="C41" s="81" t="e">
        <f>SUM(B4:B40)/SUM(B4:C40)</f>
        <v>#DIV/0!</v>
      </c>
      <c r="J41" s="58"/>
      <c r="K41" s="54" t="s">
        <v>82</v>
      </c>
      <c r="L41" s="126">
        <f>SUM(L4:L40)</f>
        <v>0</v>
      </c>
      <c r="M41" s="126">
        <f>SUM(M4:M40)</f>
        <v>0</v>
      </c>
      <c r="N41" s="58"/>
      <c r="O41" s="126">
        <f>SUM(O4:O40)</f>
        <v>0</v>
      </c>
      <c r="P41" s="126">
        <f>SUM(P4:P40)</f>
        <v>0</v>
      </c>
    </row>
    <row r="42" spans="1:16" ht="14.25" customHeight="1" x14ac:dyDescent="0.45">
      <c r="L42" s="63">
        <f>IFERROR(L41/(M41+L41),0)</f>
        <v>0</v>
      </c>
      <c r="O42" s="63">
        <f>IFERROR(O41/(P41+O41),0)</f>
        <v>0</v>
      </c>
    </row>
    <row r="43" spans="1:16" ht="14.25" customHeight="1" x14ac:dyDescent="0.45">
      <c r="I43" s="64" t="str">
        <f>H3&amp;","&amp;I3&amp;","&amp;J3&amp;"],"</f>
        <v>0,0,0],</v>
      </c>
      <c r="K43" s="37" t="s">
        <v>114</v>
      </c>
      <c r="M43" s="37" t="s">
        <v>118</v>
      </c>
      <c r="O43" s="65">
        <f>ROUND((SUM('Stats Global'!AA8,'Stats Global'!AA9,'Stats Global'!AA16,'Stats Global'!AA21,'Stats Global'!AA22))/'Stats Global'!AA6,1)</f>
        <v>0</v>
      </c>
    </row>
    <row r="44" spans="1:16" ht="14.25" customHeight="1" x14ac:dyDescent="0.45">
      <c r="I44" s="37" t="str">
        <f>M44&amp;","&amp;CHAR(34)&amp;N44&amp;CHAR(34)&amp;","&amp;M45&amp;","&amp;CHAR(34)&amp;N45&amp;CHAR(34)&amp;","&amp;M46&amp;","&amp;CHAR(34)&amp;N46&amp;CHAR(34)&amp;","&amp;M47&amp;","&amp;CHAR(34)&amp;N47&amp;CHAR(34)&amp;"],"</f>
        <v>0,"N/A",0,"N/A",0,"N/A",0,"N/A"],</v>
      </c>
      <c r="K44" s="37" t="s">
        <v>115</v>
      </c>
      <c r="M44" s="66">
        <f>MAX(Table1114[Points])</f>
        <v>0</v>
      </c>
      <c r="N44" s="37" t="str">
        <f>IF(M44&lt;&gt;0,IF(M44=S4,R4,IF(M44=S5,R5,IF(S6=M44,R6,IF(S7=M44,R7,R8)))),"N/A")</f>
        <v>N/A</v>
      </c>
      <c r="O44" s="65">
        <f>ROUND(SUM('Stats Global'!AC8,'Stats Global'!AC9,'Stats Global'!AC16,'Stats Global'!AC21,'Stats Global'!AC22)/'Stats Global'!AA6,1)</f>
        <v>0</v>
      </c>
    </row>
    <row r="45" spans="1:16" ht="14.25" customHeight="1" x14ac:dyDescent="0.45">
      <c r="I45" s="37" t="str">
        <f>O43&amp;","&amp;O44&amp;","&amp;O45&amp;","&amp;O46&amp;","&amp;O47&amp;","&amp;O48&amp;"],"</f>
        <v>0,0,0,0,0,0],</v>
      </c>
      <c r="K45" s="37" t="s">
        <v>116</v>
      </c>
      <c r="M45" s="66">
        <f>MAX(Table1114[Finishes])</f>
        <v>0</v>
      </c>
      <c r="N45" s="71" t="str">
        <f>IF(M45&lt;&gt;0,IF(M45=U4,R4,IF(M45=U5,R5,IF(U6=M45,R6,IF(U7=M45,R7,R8)))),"N/A")</f>
        <v>N/A</v>
      </c>
      <c r="O45" s="65">
        <f>ROUND(SUM('Stats Global'!AE8,'Stats Global'!AE9,'Stats Global'!AE16,'Stats Global'!AE21,'Stats Global'!AE22)/'Stats Global'!AA6,1)</f>
        <v>0</v>
      </c>
    </row>
    <row r="46" spans="1:16" ht="14.25" customHeight="1" x14ac:dyDescent="0.45">
      <c r="I46" s="37" t="str">
        <f>L41&amp;","&amp;M41&amp;","&amp;ROUND(L42*100,1)&amp;","&amp;O41&amp;","&amp;P41&amp;","&amp;ROUND(O42*100,1)&amp;"],"</f>
        <v>0,0,0,0,0,0],</v>
      </c>
      <c r="K46" s="37" t="s">
        <v>117</v>
      </c>
      <c r="M46" s="66">
        <f>MAX(Table1114[Midranges])</f>
        <v>0</v>
      </c>
      <c r="N46" s="71" t="str">
        <f>IF(M46&lt;&gt;0,IF(M46=W4,R4,IF(M46=W5,R5,IF(W6=M46,R6,IF(W7=M46,R7,R8)))),"N/A")</f>
        <v>N/A</v>
      </c>
      <c r="O46" s="65">
        <f>ROUND(SUM('Stats Global'!AG8,'Stats Global'!AG9,'Stats Global'!AG16,'Stats Global'!AG21,'Stats Global'!AG22)/'Stats Global'!AA6,1)</f>
        <v>0</v>
      </c>
    </row>
    <row r="47" spans="1:16" ht="14.25" customHeight="1" x14ac:dyDescent="0.45">
      <c r="M47" s="66">
        <f>MAX(Table1114[Threes])</f>
        <v>0</v>
      </c>
      <c r="N47" s="37" t="str">
        <f>IF(M47&lt;&gt;0,IF(M47=Y4,R4,IF(M47=Y5,R5,IF(Y6=M47,R6,IF(Y7=M47,R7,R8)))),"N/A")</f>
        <v>N/A</v>
      </c>
      <c r="O47" s="37">
        <f>ROUND(H3/'Stats Global'!AA6,1)</f>
        <v>0</v>
      </c>
    </row>
    <row r="48" spans="1:16" ht="14.25" customHeight="1" x14ac:dyDescent="0.45">
      <c r="O48" s="37">
        <f>ROUND(I3/'Stats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L43" sqref="L43"/>
    </sheetView>
  </sheetViews>
  <sheetFormatPr defaultColWidth="14.33203125" defaultRowHeight="15" customHeight="1" x14ac:dyDescent="0.45"/>
  <cols>
    <col min="1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195</v>
      </c>
      <c r="H2" s="54" t="s">
        <v>78</v>
      </c>
      <c r="I2" s="54" t="s">
        <v>79</v>
      </c>
      <c r="J2" s="37" t="s">
        <v>80</v>
      </c>
      <c r="L2" s="54" t="s">
        <v>179</v>
      </c>
      <c r="O2" s="71" t="s">
        <v>156</v>
      </c>
    </row>
    <row r="3" spans="1:24" ht="14.25" customHeight="1" x14ac:dyDescent="0.4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5">
        <f>SUM(B4:B40)</f>
        <v>0</v>
      </c>
      <c r="I3" s="125">
        <f>SUM(C4:C40)</f>
        <v>0</v>
      </c>
      <c r="J3" s="125">
        <f>SUM(D4:D40)</f>
        <v>0</v>
      </c>
      <c r="L3" s="54" t="s">
        <v>76</v>
      </c>
      <c r="M3" s="54" t="s">
        <v>77</v>
      </c>
      <c r="N3" s="54"/>
      <c r="O3" s="72" t="s">
        <v>4</v>
      </c>
      <c r="P3" s="73" t="s">
        <v>0</v>
      </c>
      <c r="Q3" s="73" t="s">
        <v>75</v>
      </c>
      <c r="R3" s="73" t="s">
        <v>1</v>
      </c>
      <c r="S3" s="74" t="s">
        <v>70</v>
      </c>
      <c r="T3" s="74" t="s">
        <v>2</v>
      </c>
      <c r="U3" s="74" t="s">
        <v>99</v>
      </c>
      <c r="V3" s="73" t="s">
        <v>3</v>
      </c>
      <c r="W3" s="74" t="s">
        <v>100</v>
      </c>
      <c r="X3" s="74" t="s">
        <v>102</v>
      </c>
    </row>
    <row r="4" spans="1:24" ht="14.25" customHeight="1" x14ac:dyDescent="0.45">
      <c r="A4" s="123">
        <f>'Stats Global'!B5</f>
        <v>0</v>
      </c>
      <c r="B4" s="124">
        <f>'Stats Global'!L5</f>
        <v>0</v>
      </c>
      <c r="C4" s="124">
        <f>'Stats Global'!M5+'Stats Global'!N5</f>
        <v>0</v>
      </c>
      <c r="D4" s="124">
        <f>'Stats Global'!Q5</f>
        <v>0</v>
      </c>
      <c r="E4" s="56"/>
      <c r="F4" s="56"/>
      <c r="L4" s="121">
        <f>'Stats Global'!L5</f>
        <v>0</v>
      </c>
      <c r="M4" s="121">
        <f>'Stats Global'!N5</f>
        <v>0</v>
      </c>
      <c r="N4" s="60"/>
      <c r="O4" s="58" t="str">
        <f>'Stats Global'!Z15</f>
        <v>Clarrie Jones</v>
      </c>
      <c r="P4" s="58">
        <f>'Stats Global'!AA15</f>
        <v>0</v>
      </c>
      <c r="Q4" s="58">
        <f>'Stats Global'!AB15</f>
        <v>0</v>
      </c>
      <c r="R4" s="58">
        <f>'Stats Global'!AC15</f>
        <v>0</v>
      </c>
      <c r="S4" s="58">
        <f>'Stats Global'!AD15</f>
        <v>0</v>
      </c>
      <c r="T4" s="58">
        <f>'Stats Global'!AE15</f>
        <v>0</v>
      </c>
      <c r="U4" s="58">
        <f>'Stats Global'!AF15</f>
        <v>0</v>
      </c>
      <c r="V4" s="58">
        <f>'Stats Global'!AG15</f>
        <v>0</v>
      </c>
      <c r="W4" s="58">
        <f>'Stats Global'!AH15</f>
        <v>0</v>
      </c>
      <c r="X4" s="68">
        <f>'Stats Global'!AJ15</f>
        <v>0</v>
      </c>
    </row>
    <row r="5" spans="1:24" ht="14.25" customHeight="1" x14ac:dyDescent="0.45">
      <c r="A5" s="123">
        <f>'Stats Global'!B6</f>
        <v>0</v>
      </c>
      <c r="B5" s="124">
        <f>'Stats Global'!L6</f>
        <v>0</v>
      </c>
      <c r="C5" s="124">
        <f>'Stats Global'!M6+'Stats Global'!N6</f>
        <v>0</v>
      </c>
      <c r="D5" s="124">
        <f>'Stats Global'!Q6</f>
        <v>0</v>
      </c>
      <c r="E5" s="56"/>
      <c r="F5" s="56"/>
      <c r="J5" s="58"/>
      <c r="L5" s="82">
        <f>'Stats Global'!N6</f>
        <v>0</v>
      </c>
      <c r="M5" s="82">
        <f>'Stats Global'!K6</f>
        <v>0</v>
      </c>
      <c r="N5" s="60"/>
      <c r="O5" s="58" t="str">
        <f>'Stats Global'!Z8</f>
        <v>Jasper Collier</v>
      </c>
      <c r="P5" s="58">
        <f>'Stats Global'!AA8</f>
        <v>0</v>
      </c>
      <c r="Q5" s="58">
        <f>'Stats Global'!AB8</f>
        <v>0</v>
      </c>
      <c r="R5" s="58">
        <f>'Stats Global'!AC8</f>
        <v>0</v>
      </c>
      <c r="S5" s="58">
        <f>'Stats Global'!AD8</f>
        <v>0</v>
      </c>
      <c r="T5" s="58">
        <f>'Stats Global'!AE8</f>
        <v>0</v>
      </c>
      <c r="U5" s="58">
        <f>'Stats Global'!AF8</f>
        <v>0</v>
      </c>
      <c r="V5" s="58">
        <f>'Stats Global'!AG8</f>
        <v>0</v>
      </c>
      <c r="W5" s="58">
        <f>'Stats Global'!AH8</f>
        <v>0</v>
      </c>
      <c r="X5" s="68">
        <f>'Stats Global'!AJ8</f>
        <v>0</v>
      </c>
    </row>
    <row r="6" spans="1:24" ht="14.25" customHeight="1" x14ac:dyDescent="0.45">
      <c r="A6" s="123">
        <f>'Stats Global'!B7</f>
        <v>0</v>
      </c>
      <c r="B6" s="124">
        <f>'Stats Global'!L7</f>
        <v>0</v>
      </c>
      <c r="C6" s="124">
        <f>'Stats Global'!M7+'Stats Global'!N7</f>
        <v>0</v>
      </c>
      <c r="D6" s="124">
        <f>'Stats Global'!Q7</f>
        <v>0</v>
      </c>
      <c r="E6" s="56"/>
      <c r="F6" s="56"/>
      <c r="I6" s="54"/>
      <c r="J6" s="58"/>
      <c r="L6" s="82">
        <f>'Stats Global'!N7</f>
        <v>0</v>
      </c>
      <c r="M6" s="82">
        <f>'Stats Global'!K7</f>
        <v>0</v>
      </c>
      <c r="N6" s="60"/>
      <c r="O6" s="58" t="str">
        <f>'Stats Global'!Z17</f>
        <v>Samuel McConaghy</v>
      </c>
      <c r="P6" s="58">
        <f>'Stats Global'!AA17</f>
        <v>0</v>
      </c>
      <c r="Q6" s="58">
        <f>'Stats Global'!AB17</f>
        <v>0</v>
      </c>
      <c r="R6" s="58">
        <f>'Stats Global'!AC17</f>
        <v>0</v>
      </c>
      <c r="S6" s="58">
        <f>'Stats Global'!AD17</f>
        <v>0</v>
      </c>
      <c r="T6" s="58">
        <f>'Stats Global'!AE17</f>
        <v>0</v>
      </c>
      <c r="U6" s="58">
        <f>'Stats Global'!AF17</f>
        <v>0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4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Global'!Z16</f>
        <v>William Kim</v>
      </c>
      <c r="P7" s="58">
        <f>'Stats Global'!AA16</f>
        <v>0</v>
      </c>
      <c r="Q7" s="58">
        <f>'Stats Global'!AB16</f>
        <v>0</v>
      </c>
      <c r="R7" s="58">
        <f>'Stats Global'!AC16</f>
        <v>0</v>
      </c>
      <c r="S7" s="58">
        <f>'Stats Global'!AD16</f>
        <v>0</v>
      </c>
      <c r="T7" s="58">
        <f>'Stats Global'!AE16</f>
        <v>0</v>
      </c>
      <c r="U7" s="58">
        <f>'Stats Global'!AF16</f>
        <v>0</v>
      </c>
      <c r="V7" s="58">
        <f>'Stats Global'!AG16</f>
        <v>0</v>
      </c>
      <c r="W7" s="58">
        <f>'Stats Global'!AH16</f>
        <v>0</v>
      </c>
      <c r="X7" s="68">
        <f>'Stats Global'!AJ16</f>
        <v>0</v>
      </c>
    </row>
    <row r="8" spans="1:24" ht="14.25" customHeight="1" x14ac:dyDescent="0.4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Global'!Z21</f>
        <v>Christopher Tomkinson</v>
      </c>
      <c r="P8" s="58">
        <f>'Stats Global'!AA21</f>
        <v>0</v>
      </c>
      <c r="Q8" s="58">
        <f>'Stats Global'!AB21</f>
        <v>0</v>
      </c>
      <c r="R8" s="58">
        <f>'Stats Global'!AC21</f>
        <v>0</v>
      </c>
      <c r="S8" s="58">
        <f>'Stats Global'!AD21</f>
        <v>0</v>
      </c>
      <c r="T8" s="58">
        <f>'Stats Global'!AE21</f>
        <v>0</v>
      </c>
      <c r="U8" s="58">
        <f>'Stats Global'!AF21</f>
        <v>0</v>
      </c>
      <c r="V8" s="58">
        <f>'Stats Global'!AG21</f>
        <v>0</v>
      </c>
      <c r="W8" s="58">
        <f>'Stats Global'!AH21</f>
        <v>0</v>
      </c>
      <c r="X8" s="68">
        <f>'Stats Global'!AJ21</f>
        <v>0</v>
      </c>
    </row>
    <row r="9" spans="1:24" ht="14.25" customHeight="1" x14ac:dyDescent="0.4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4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4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1"/>
      <c r="F17" s="101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3"/>
      <c r="F18" s="103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4"/>
      <c r="F19" s="104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7"/>
      <c r="F20" s="107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5"/>
      <c r="F23" s="116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4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4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4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4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4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4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4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4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4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45">
      <c r="C41" s="81" t="e">
        <f>SUM(B4:B40)/SUM(B4:C40)</f>
        <v>#DIV/0!</v>
      </c>
      <c r="J41" s="58"/>
      <c r="K41" s="37" t="s">
        <v>82</v>
      </c>
      <c r="L41" s="127">
        <f>SUM(L4:L40)</f>
        <v>0</v>
      </c>
      <c r="M41" s="127">
        <f>SUM(M4:M40)</f>
        <v>0</v>
      </c>
      <c r="N41" s="58"/>
      <c r="O41" s="58"/>
    </row>
    <row r="42" spans="1:16" ht="14.25" customHeight="1" x14ac:dyDescent="0.45">
      <c r="L42" s="63">
        <f>IFERROR(L41/(M41+L41),0)</f>
        <v>0</v>
      </c>
    </row>
    <row r="43" spans="1:16" ht="14.25" customHeight="1" x14ac:dyDescent="0.45">
      <c r="J43" s="64" t="str">
        <f>H3&amp;","&amp;I3&amp;","&amp;J3&amp;"],"</f>
        <v>0,0,0],</v>
      </c>
      <c r="K43" s="54"/>
      <c r="L43" s="37" t="s">
        <v>114</v>
      </c>
      <c r="N43" s="37" t="s">
        <v>118</v>
      </c>
      <c r="P43" s="65">
        <f>ROUND(SUM('Stats Global'!AA11,'Stats Global'!AA12,'Stats Global'!AA20,'Stats Global'!AA15,'Stats Global'!AA19,'Stats Global'!AA18)/'Stats Global'!AA6,1)</f>
        <v>0</v>
      </c>
    </row>
    <row r="44" spans="1:16" ht="14.25" customHeight="1" x14ac:dyDescent="0.45">
      <c r="J44" s="37" t="str">
        <f>N44&amp;","&amp;CHAR(34)&amp;O44&amp;CHAR(34)&amp;","&amp;N45&amp;","&amp;CHAR(34)&amp;O45&amp;CHAR(34)&amp;","&amp;N46&amp;","&amp;CHAR(34)&amp;O46&amp;CHAR(34)&amp;","&amp;N47&amp;","&amp;CHAR(34)&amp;O47&amp;CHAR(34)&amp;"],"</f>
        <v>0,"N/A",0,"N/A",0,"N/A",0,"N/A"],</v>
      </c>
      <c r="L44" s="37" t="s">
        <v>115</v>
      </c>
      <c r="N44" s="66">
        <f>MAX(Table1113[Points])</f>
        <v>0</v>
      </c>
      <c r="O44" s="37" t="str">
        <f>IF(N44&lt;&gt;0,IF(N44=P4,O4,IF(N44=P5,O5,IF(P6=N44,O6,IF(P7=N44,O7,IF(P8=N44,O8,IF(P9=N44,O9,O10)))))),"N/A")</f>
        <v>N/A</v>
      </c>
      <c r="P44" s="65">
        <f>ROUND(SUM('Stats Global'!AC11,'Stats Global'!AC12,'Stats Global'!AC20,'Stats Global'!AC15,'Stats Global'!AC19,'Stats Global'!AC18)/'Stats Global'!AA6,1)</f>
        <v>0</v>
      </c>
    </row>
    <row r="45" spans="1:16" ht="14.25" customHeight="1" x14ac:dyDescent="0.45">
      <c r="J45" s="37" t="str">
        <f>P43&amp;","&amp;P44&amp;","&amp;P45&amp;","&amp;P46&amp;","&amp;P47&amp;","&amp;P48&amp;"],"</f>
        <v>0,0,0,0,0,0],</v>
      </c>
      <c r="L45" s="37" t="s">
        <v>116</v>
      </c>
      <c r="N45" s="66">
        <f>MAX(Table1113[Finishes])</f>
        <v>0</v>
      </c>
      <c r="O45" s="37" t="str">
        <f>IF(N45&lt;&gt;0,IF(N45=R4,O4,IF(N45=R5,O5,IF(R6=N45,O6,IF(R7=N45,O7,IF(R8=N45,O8,IF(R9=N45,O9,O10)))))),"N/A")</f>
        <v>N/A</v>
      </c>
      <c r="P45" s="65">
        <f>ROUND(SUM('Stats Global'!AE11,'Stats Global'!AE12,'Stats Global'!AE20,'Stats Global'!AE15,'Stats Global'!AE19,'Stats Global'!AE18)/'Stats Global'!AA6,1)</f>
        <v>0</v>
      </c>
    </row>
    <row r="46" spans="1:16" ht="14.25" customHeight="1" x14ac:dyDescent="0.45">
      <c r="J46" s="37" t="str">
        <f>'Statistics CT'!M41&amp;","&amp;'Statistics CT'!L41&amp;","&amp;ROUND((1-'Statistics CT'!L42)*100,1)&amp;","&amp;L41&amp;","&amp;M41&amp;","&amp;ROUND(L42*100,1)&amp;"],"</f>
        <v>0,0,100,0,0,0],</v>
      </c>
      <c r="L46" s="37" t="s">
        <v>117</v>
      </c>
      <c r="N46" s="66">
        <f>MAX(Table1113[Midranges])</f>
        <v>0</v>
      </c>
      <c r="O46" s="37" t="str">
        <f>IF(N46&lt;&gt;0,IF(N46=T4,O4,IF(N46=T5,O5,IF(T6=N46,O6,IF(T7=N46,O7,IF(T8=N46,O8,IF(T9=N46,O9,O10)))))),"N/A")</f>
        <v>N/A</v>
      </c>
      <c r="P46" s="65">
        <f>ROUND(SUM('Stats Global'!AG11,'Stats Global'!AG12,'Stats Global'!AG20,'Stats Global'!AG15,'Stats Global'!AG19,'Stats Global'!AG18)/'Stats Global'!AA6,1)</f>
        <v>0</v>
      </c>
    </row>
    <row r="47" spans="1:16" ht="14.25" customHeight="1" x14ac:dyDescent="0.45">
      <c r="N47" s="66">
        <f>MAX(Table1113[Threes])</f>
        <v>0</v>
      </c>
      <c r="O47" s="71" t="str">
        <f>IF(N47&lt;&gt;0,IF(N47=V4,O4,IF(N47=V5,O5,IF(V6=N47,O6,IF(V7=N47,O7,IF(V8=N47,O8,IF(V9=N47,O9,O10)))))),"N/A")</f>
        <v>N/A</v>
      </c>
      <c r="P47" s="37">
        <f>ROUND(H3/'Stats Global'!AA6,1)</f>
        <v>0</v>
      </c>
    </row>
    <row r="48" spans="1:16" ht="14.25" customHeight="1" x14ac:dyDescent="0.45">
      <c r="P48" s="37">
        <f>ROUND(I3/'Stats Global'!AA6,1)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K36" sqref="K36"/>
    </sheetView>
  </sheetViews>
  <sheetFormatPr defaultColWidth="14.33203125" defaultRowHeight="15" customHeight="1" x14ac:dyDescent="0.45"/>
  <cols>
    <col min="1" max="11" width="8.73046875" style="37" customWidth="1"/>
    <col min="12" max="20" width="10" style="37" customWidth="1"/>
    <col min="21" max="22" width="11.06640625" style="37" customWidth="1"/>
    <col min="23" max="32" width="8.73046875" style="37" customWidth="1"/>
    <col min="33" max="16384" width="14.33203125" style="37"/>
  </cols>
  <sheetData>
    <row r="1" spans="1:24" ht="14.25" customHeight="1" x14ac:dyDescent="0.45"/>
    <row r="2" spans="1:24" ht="14.25" customHeight="1" x14ac:dyDescent="0.45">
      <c r="B2" s="53" t="s">
        <v>196</v>
      </c>
      <c r="H2" s="54" t="s">
        <v>78</v>
      </c>
      <c r="I2" s="54" t="s">
        <v>79</v>
      </c>
      <c r="J2" s="54" t="s">
        <v>80</v>
      </c>
      <c r="M2" s="54"/>
      <c r="Q2" s="54"/>
    </row>
    <row r="3" spans="1:24" ht="14.25" customHeight="1" x14ac:dyDescent="0.4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5">
        <f>SUM(B4:B40)</f>
        <v>0</v>
      </c>
      <c r="I3" s="125">
        <f>SUM(C4:C40)</f>
        <v>0</v>
      </c>
      <c r="J3" s="125">
        <f>SUM(D4:D40)</f>
        <v>0</v>
      </c>
      <c r="K3" s="54"/>
      <c r="L3" s="71" t="s">
        <v>156</v>
      </c>
      <c r="V3" s="54"/>
      <c r="W3" s="54"/>
      <c r="X3" s="54"/>
    </row>
    <row r="4" spans="1:24" ht="14.25" customHeight="1" x14ac:dyDescent="0.45">
      <c r="A4" s="123">
        <f>'Stats Global'!B5</f>
        <v>0</v>
      </c>
      <c r="B4" s="124">
        <f>'Stats Global'!I5</f>
        <v>0</v>
      </c>
      <c r="C4" s="124">
        <f>'Stats Global'!J5+'Stats Global'!K5</f>
        <v>0</v>
      </c>
      <c r="D4" s="124">
        <f>'Stats Global'!P5</f>
        <v>0</v>
      </c>
      <c r="E4" s="56"/>
      <c r="F4" s="56"/>
      <c r="K4" s="58"/>
      <c r="L4" s="72" t="s">
        <v>4</v>
      </c>
      <c r="M4" s="73" t="s">
        <v>0</v>
      </c>
      <c r="N4" s="73" t="s">
        <v>75</v>
      </c>
      <c r="O4" s="73" t="s">
        <v>1</v>
      </c>
      <c r="P4" s="74" t="s">
        <v>70</v>
      </c>
      <c r="Q4" s="74" t="s">
        <v>2</v>
      </c>
      <c r="R4" s="74" t="s">
        <v>99</v>
      </c>
      <c r="S4" s="73" t="s">
        <v>3</v>
      </c>
      <c r="T4" s="74" t="s">
        <v>100</v>
      </c>
      <c r="U4" s="74" t="s">
        <v>102</v>
      </c>
      <c r="V4" s="58"/>
      <c r="W4" s="58"/>
      <c r="X4" s="58"/>
    </row>
    <row r="5" spans="1:24" ht="14.25" customHeight="1" x14ac:dyDescent="0.45">
      <c r="A5" s="123">
        <f>'Stats Global'!B6</f>
        <v>0</v>
      </c>
      <c r="B5" s="124">
        <f>'Stats Global'!I6</f>
        <v>0</v>
      </c>
      <c r="C5" s="124">
        <f>'Stats Global'!J6+'Stats Global'!K6</f>
        <v>0</v>
      </c>
      <c r="D5" s="124">
        <f>'Stats Global'!P6</f>
        <v>0</v>
      </c>
      <c r="E5" s="56"/>
      <c r="F5" s="56"/>
      <c r="K5" s="58"/>
      <c r="L5" s="58" t="str">
        <f>'Stats Global'!Z9</f>
        <v>Conor Farrington</v>
      </c>
      <c r="M5" s="58">
        <f>'Stats Global'!AA9</f>
        <v>0</v>
      </c>
      <c r="N5" s="58">
        <f>'Stats Global'!AB9</f>
        <v>0</v>
      </c>
      <c r="O5" s="58">
        <f>'Stats Global'!AC9</f>
        <v>0</v>
      </c>
      <c r="P5" s="58">
        <f>'Stats Global'!AD9</f>
        <v>0</v>
      </c>
      <c r="Q5" s="58">
        <f>'Stats Global'!AE9</f>
        <v>0</v>
      </c>
      <c r="R5" s="58">
        <f>'Stats Global'!AF9</f>
        <v>0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45">
      <c r="A6" s="123">
        <f>'Stats Global'!B7</f>
        <v>0</v>
      </c>
      <c r="B6" s="124">
        <f>'Stats Global'!I7</f>
        <v>0</v>
      </c>
      <c r="C6" s="124">
        <f>'Stats Global'!J7+'Stats Global'!K7</f>
        <v>0</v>
      </c>
      <c r="D6" s="124">
        <f>'Stats Global'!P7</f>
        <v>0</v>
      </c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0</v>
      </c>
      <c r="N6" s="58">
        <f>'Stats Global'!AB11</f>
        <v>0</v>
      </c>
      <c r="O6" s="58">
        <f>'Stats Global'!AC11</f>
        <v>0</v>
      </c>
      <c r="P6" s="58">
        <f>'Stats Global'!AD11</f>
        <v>0</v>
      </c>
      <c r="Q6" s="58">
        <f>'Stats Global'!AE11</f>
        <v>0</v>
      </c>
      <c r="R6" s="58">
        <f>'Stats Global'!AF11</f>
        <v>0</v>
      </c>
      <c r="S6" s="58">
        <f>'Stats Global'!AG11</f>
        <v>0</v>
      </c>
      <c r="T6" s="58">
        <f>'Stats Global'!AH11</f>
        <v>0</v>
      </c>
      <c r="U6" s="68">
        <f>'Stats Global'!AJ11</f>
        <v>0</v>
      </c>
      <c r="V6" s="58"/>
      <c r="W6" s="58"/>
      <c r="X6" s="58"/>
    </row>
    <row r="7" spans="1:24" ht="14.25" customHeight="1" x14ac:dyDescent="0.4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Global'!Z10</f>
        <v>Alexander Galt</v>
      </c>
      <c r="M7" s="58">
        <f>'Stats Global'!AA10</f>
        <v>0</v>
      </c>
      <c r="N7" s="58">
        <f>'Stats Global'!AB10</f>
        <v>0</v>
      </c>
      <c r="O7" s="58">
        <f>'Stats Global'!AC10</f>
        <v>0</v>
      </c>
      <c r="P7" s="58">
        <f>'Stats Global'!AD10</f>
        <v>0</v>
      </c>
      <c r="Q7" s="58">
        <f>'Stats Global'!AE10</f>
        <v>0</v>
      </c>
      <c r="R7" s="58">
        <f>'Stats Global'!AF10</f>
        <v>0</v>
      </c>
      <c r="S7" s="58">
        <f>'Stats Global'!AG10</f>
        <v>0</v>
      </c>
      <c r="T7" s="58">
        <f>'Stats Global'!AH10</f>
        <v>0</v>
      </c>
      <c r="U7" s="68">
        <f>'Stats Global'!AJ10</f>
        <v>0</v>
      </c>
      <c r="V7" s="58"/>
      <c r="W7" s="58"/>
      <c r="X7" s="58"/>
    </row>
    <row r="8" spans="1:24" ht="14.25" customHeight="1" x14ac:dyDescent="0.4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Global'!Z13</f>
        <v>Lukas Johnston</v>
      </c>
      <c r="M8" s="58">
        <f>'Stats Global'!AA13</f>
        <v>0</v>
      </c>
      <c r="N8" s="58">
        <f>'Stats Global'!AB13</f>
        <v>0</v>
      </c>
      <c r="O8" s="58">
        <f>'Stats Global'!AC13</f>
        <v>0</v>
      </c>
      <c r="P8" s="58">
        <f>'Stats Global'!AD13</f>
        <v>0</v>
      </c>
      <c r="Q8" s="58">
        <f>'Stats Global'!AE13</f>
        <v>0</v>
      </c>
      <c r="R8" s="58">
        <f>'Stats Global'!AF13</f>
        <v>0</v>
      </c>
      <c r="S8" s="58">
        <f>'Stats Global'!AG13</f>
        <v>0</v>
      </c>
      <c r="T8" s="58">
        <f>'Stats Global'!AH13</f>
        <v>0</v>
      </c>
      <c r="U8" s="68">
        <f>'Stats Global'!AJ13</f>
        <v>0</v>
      </c>
      <c r="V8" s="58"/>
      <c r="W8" s="58"/>
      <c r="X8" s="58"/>
    </row>
    <row r="9" spans="1:24" ht="14.25" customHeight="1" x14ac:dyDescent="0.4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0</v>
      </c>
      <c r="N9" s="58">
        <f>'Stats Global'!AB23</f>
        <v>0</v>
      </c>
      <c r="O9" s="58">
        <f>'Stats Global'!AC23</f>
        <v>0</v>
      </c>
      <c r="P9" s="58">
        <f>'Stats Global'!AD23</f>
        <v>0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45">
      <c r="A10" s="52"/>
      <c r="B10" s="57"/>
      <c r="C10" s="57"/>
      <c r="D10" s="57"/>
      <c r="E10" s="56"/>
      <c r="F10" s="56"/>
      <c r="H10" s="54"/>
      <c r="I10" s="67"/>
      <c r="L10" s="95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4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4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4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4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4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4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45">
      <c r="A17" s="52"/>
      <c r="B17" s="57"/>
      <c r="C17" s="57"/>
      <c r="D17" s="57"/>
      <c r="E17" s="101"/>
      <c r="F17" s="101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45">
      <c r="A18" s="52"/>
      <c r="B18" s="57"/>
      <c r="C18" s="57"/>
      <c r="D18" s="57"/>
      <c r="E18" s="103"/>
      <c r="F18" s="103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45">
      <c r="A19" s="52"/>
      <c r="B19" s="57"/>
      <c r="C19" s="57"/>
      <c r="D19" s="57"/>
      <c r="E19" s="104"/>
      <c r="F19" s="104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45">
      <c r="A20" s="52"/>
      <c r="B20" s="57"/>
      <c r="C20" s="57"/>
      <c r="D20" s="57"/>
      <c r="E20" s="107"/>
      <c r="F20" s="107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4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4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45">
      <c r="A23" s="52"/>
      <c r="B23" s="57"/>
      <c r="C23" s="57"/>
      <c r="D23" s="57"/>
      <c r="E23" s="115"/>
      <c r="F23" s="116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4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4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4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4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4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4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4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4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45">
      <c r="A32" s="52"/>
      <c r="B32" s="57"/>
      <c r="C32" s="57"/>
      <c r="D32" s="57"/>
      <c r="E32" s="56"/>
      <c r="F32" s="56"/>
      <c r="J32" s="54"/>
      <c r="K32" s="64" t="str">
        <f>H3&amp;","&amp;I3&amp;","&amp;J3&amp;"],"</f>
        <v>0,0,0],</v>
      </c>
      <c r="L32" s="54"/>
      <c r="M32" s="37" t="s">
        <v>114</v>
      </c>
      <c r="O32" s="37" t="s">
        <v>118</v>
      </c>
      <c r="Q32" s="65">
        <f>ROUND(SUM('Stats Global'!AA10,'Stats Global'!AA14,'Stats Global'!AA17,'Stats Global'!AA13,'Stats Global'!AA24,'Stats Global'!AA23)/'Stats Global'!AA6,1)</f>
        <v>0</v>
      </c>
    </row>
    <row r="33" spans="1:17" ht="14.25" customHeight="1" x14ac:dyDescent="0.45">
      <c r="A33" s="52"/>
      <c r="B33" s="57"/>
      <c r="C33" s="57"/>
      <c r="D33" s="57"/>
      <c r="E33" s="56"/>
      <c r="F33" s="56"/>
      <c r="K33" s="37" t="str">
        <f>O33&amp;","&amp;CHAR(34)&amp;P33&amp;CHAR(34)&amp;","&amp;O34&amp;","&amp;CHAR(34)&amp;P34&amp;CHAR(34)&amp;","&amp;O35&amp;","&amp;CHAR(34)&amp;P35&amp;CHAR(34)&amp;","&amp;O36&amp;","&amp;CHAR(34)&amp;P36&amp;CHAR(34)&amp;"],"</f>
        <v>0,"N/A",0,"N/A",0,"N/A",0,"N/A"],</v>
      </c>
      <c r="M33" s="37" t="s">
        <v>115</v>
      </c>
      <c r="O33" s="66">
        <f>MAX(Table11[Points])</f>
        <v>0</v>
      </c>
      <c r="P33" s="37" t="str">
        <f>IF(O33&lt;&gt;0,IF(O33=M5,L5,IF(O33=M6,L6,IF(M7=O33,L7,IF(M8=O33,L8,L9)))),"N/A")</f>
        <v>N/A</v>
      </c>
      <c r="Q33" s="65">
        <f>ROUND(SUM('Stats Global'!AC10,'Stats Global'!AC14,'Stats Global'!AC17,'Stats Global'!AC13,'Stats Global'!AC24,'Stats Global'!AC23)/'Stats Global'!AA6,1)</f>
        <v>0</v>
      </c>
    </row>
    <row r="34" spans="1:17" ht="14.25" customHeight="1" x14ac:dyDescent="0.45">
      <c r="A34" s="52"/>
      <c r="B34" s="57"/>
      <c r="C34" s="57"/>
      <c r="D34" s="57"/>
      <c r="E34" s="56"/>
      <c r="F34" s="56"/>
      <c r="K34" s="37" t="str">
        <f>Q32&amp;","&amp;Q33&amp;","&amp;Q34&amp;","&amp;Q35&amp;","&amp;Q36&amp;","&amp;Q37&amp;"],"</f>
        <v>0,0,0,0,0,0],</v>
      </c>
      <c r="M34" s="37" t="s">
        <v>116</v>
      </c>
      <c r="O34" s="66">
        <f>MAX(Table11[Finishes])</f>
        <v>0</v>
      </c>
      <c r="P34" s="37" t="str">
        <f>IF(O34&lt;&gt;0,IF(O34=O5,L5,IF(O34=O6,L6,IF(O7=O34,L7,IF(O8=O34,L8,L9)))),"N/A")</f>
        <v>N/A</v>
      </c>
      <c r="Q34" s="65">
        <f>ROUND(SUM('Stats Global'!AE10,'Stats Global'!AE14,'Stats Global'!AE17,'Stats Global'!AE13,'Stats Global'!AE24,'Stats Global'!AE23)/'Stats Global'!AA6,1)</f>
        <v>0</v>
      </c>
    </row>
    <row r="35" spans="1:17" ht="14.25" customHeight="1" x14ac:dyDescent="0.45">
      <c r="A35" s="52"/>
      <c r="B35" s="57"/>
      <c r="C35" s="57"/>
      <c r="D35" s="57"/>
      <c r="E35" s="56"/>
      <c r="F35" s="56"/>
      <c r="K35" s="37" t="str">
        <f>'Statistics CT'!P41&amp;","&amp;'Statistics CT'!O41&amp;","&amp;ROUND((1-'Statistics CT'!O42)*100,1)&amp;","&amp;'Statistics TC'!M41&amp;","&amp;'Statistics TC'!L41&amp;","&amp;ROUND((1-'Statistics TC'!L42)*100,1)&amp;"],"</f>
        <v>0,0,100,0,0,100],</v>
      </c>
      <c r="M35" s="37" t="s">
        <v>117</v>
      </c>
      <c r="O35" s="66">
        <f>MAX(Table11[Midranges])</f>
        <v>0</v>
      </c>
      <c r="P35" s="37" t="str">
        <f>IF(O35&lt;&gt;0,IF(O35=Q5,L5,IF(O35=Q6,L6,IF(Q7=O35,L7,IF(Q8=O35,L8,L9)))),"N/A")</f>
        <v>N/A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45">
      <c r="A36" s="52"/>
      <c r="B36" s="57"/>
      <c r="C36" s="57"/>
      <c r="D36" s="57"/>
      <c r="E36" s="56"/>
      <c r="F36" s="56"/>
      <c r="O36" s="66">
        <f>MAX(Table11[Threes])</f>
        <v>0</v>
      </c>
      <c r="P36" s="37" t="str">
        <f>IF(O36&lt;&gt;0,IF(O36=S5,L5,IF(O36=S6,L6,IF(S7=O36,L7,IF(S8=O36,L8,L9)))),"N/A")</f>
        <v>N/A</v>
      </c>
      <c r="Q36" s="37">
        <f>ROUND(H3/'Stats Global'!AA6,1)</f>
        <v>0</v>
      </c>
    </row>
    <row r="37" spans="1:17" ht="14.25" customHeight="1" x14ac:dyDescent="0.45">
      <c r="A37" s="52"/>
      <c r="B37" s="57"/>
      <c r="C37" s="57"/>
      <c r="D37" s="57"/>
      <c r="E37" s="56"/>
      <c r="F37" s="56"/>
      <c r="Q37" s="37">
        <f>ROUND(I3/'Stats Global'!AA6,1)</f>
        <v>0</v>
      </c>
    </row>
    <row r="38" spans="1:17" ht="14.25" customHeight="1" x14ac:dyDescent="0.45">
      <c r="A38" s="52"/>
      <c r="B38" s="57"/>
      <c r="C38" s="57"/>
      <c r="D38" s="57"/>
      <c r="E38" s="56"/>
      <c r="F38" s="56"/>
    </row>
    <row r="39" spans="1:17" ht="14.25" customHeight="1" x14ac:dyDescent="0.45">
      <c r="A39" s="52"/>
      <c r="B39" s="57"/>
      <c r="C39" s="57"/>
      <c r="D39" s="57"/>
      <c r="E39" s="56"/>
      <c r="F39" s="56"/>
    </row>
    <row r="40" spans="1:17" ht="14.25" customHeight="1" x14ac:dyDescent="0.45">
      <c r="A40" s="52"/>
      <c r="B40" s="57"/>
      <c r="C40" s="57"/>
      <c r="D40" s="57"/>
      <c r="E40" s="56"/>
      <c r="F40" s="56"/>
    </row>
    <row r="41" spans="1:17" ht="14.25" customHeight="1" x14ac:dyDescent="0.45">
      <c r="C41" s="81" t="e">
        <f>SUM(B4:B40)/SUM(B4:C40)</f>
        <v>#DIV/0!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tabSelected="1" topLeftCell="A7" zoomScale="79" workbookViewId="0">
      <selection activeCell="R50" sqref="R50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B2" s="1" t="s">
        <v>83</v>
      </c>
      <c r="C2" s="34" t="s">
        <v>173</v>
      </c>
      <c r="K2" s="2" t="s">
        <v>84</v>
      </c>
      <c r="L2" s="2" t="s">
        <v>76</v>
      </c>
      <c r="M2" s="2" t="s">
        <v>77</v>
      </c>
      <c r="N2" s="2" t="s">
        <v>73</v>
      </c>
      <c r="O2" s="2" t="s">
        <v>0</v>
      </c>
      <c r="Q2" s="2" t="s">
        <v>74</v>
      </c>
      <c r="R2" s="1" t="s">
        <v>0</v>
      </c>
      <c r="S2" s="1" t="s">
        <v>1</v>
      </c>
      <c r="T2" s="1" t="s">
        <v>85</v>
      </c>
      <c r="U2" s="1" t="s">
        <v>86</v>
      </c>
      <c r="V2" t="s">
        <v>103</v>
      </c>
      <c r="AC2" s="1"/>
      <c r="AD2" s="1"/>
      <c r="AE2" s="1"/>
    </row>
    <row r="3" spans="2:31" ht="14.25" customHeight="1" x14ac:dyDescent="0.45">
      <c r="B3" s="11" t="s">
        <v>87</v>
      </c>
      <c r="C3" s="11" t="s">
        <v>88</v>
      </c>
      <c r="D3" s="11" t="s">
        <v>89</v>
      </c>
      <c r="E3" s="11" t="s">
        <v>90</v>
      </c>
      <c r="F3" s="11" t="s">
        <v>91</v>
      </c>
      <c r="G3" s="11" t="s">
        <v>92</v>
      </c>
      <c r="H3" s="11" t="s">
        <v>93</v>
      </c>
      <c r="I3" s="11" t="s">
        <v>94</v>
      </c>
      <c r="K3" s="1" t="s">
        <v>180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180</v>
      </c>
      <c r="Y3" s="118" t="s">
        <v>181</v>
      </c>
      <c r="Z3" s="118" t="s">
        <v>35</v>
      </c>
      <c r="AB3" s="1"/>
    </row>
    <row r="4" spans="2:31" ht="14.25" customHeight="1" x14ac:dyDescent="0.45">
      <c r="K4" s="1" t="s">
        <v>181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4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4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4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4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45">
      <c r="Q9" t="s">
        <v>97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4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4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4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4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45">
      <c r="Q14" s="1" t="s">
        <v>157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4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4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4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45">
      <c r="Q18" s="1" t="s">
        <v>210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4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4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4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4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4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4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4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4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4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4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4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4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4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4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4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4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4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4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4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4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4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45">
      <c r="B40" s="51"/>
      <c r="S40" s="6"/>
      <c r="T40" s="6"/>
      <c r="U40" s="6"/>
    </row>
    <row r="41" spans="2:26" ht="14.25" customHeight="1" x14ac:dyDescent="0.9">
      <c r="R41" s="69"/>
      <c r="S41" s="69"/>
      <c r="T41" s="131" t="s">
        <v>101</v>
      </c>
      <c r="U41" s="131"/>
      <c r="V41" s="131"/>
    </row>
    <row r="42" spans="2:26" ht="14.25" customHeight="1" x14ac:dyDescent="0.9">
      <c r="R42" s="69"/>
      <c r="S42" s="69"/>
      <c r="T42" s="131"/>
      <c r="U42" s="131"/>
      <c r="V42" s="131"/>
    </row>
    <row r="43" spans="2:26" ht="14.25" customHeight="1" x14ac:dyDescent="0.45">
      <c r="B43" t="s">
        <v>148</v>
      </c>
      <c r="T43" s="10" t="s">
        <v>146</v>
      </c>
    </row>
    <row r="44" spans="2:26" ht="14.25" customHeight="1" x14ac:dyDescent="0.45">
      <c r="B44" t="s">
        <v>63</v>
      </c>
      <c r="C44" t="s">
        <v>67</v>
      </c>
      <c r="D44" t="s">
        <v>68</v>
      </c>
      <c r="E44" t="s">
        <v>69</v>
      </c>
      <c r="F44" t="s">
        <v>198</v>
      </c>
      <c r="G44" s="70" t="s">
        <v>200</v>
      </c>
      <c r="H44" s="70" t="s">
        <v>204</v>
      </c>
      <c r="I44" t="s">
        <v>201</v>
      </c>
      <c r="J44" t="s">
        <v>202</v>
      </c>
      <c r="K44" s="70" t="s">
        <v>205</v>
      </c>
      <c r="L44" t="s">
        <v>206</v>
      </c>
      <c r="M44" s="70" t="s">
        <v>207</v>
      </c>
      <c r="N44" s="70" t="s">
        <v>208</v>
      </c>
      <c r="O44" t="s">
        <v>199</v>
      </c>
      <c r="P44" t="s">
        <v>203</v>
      </c>
      <c r="Q44" t="s">
        <v>209</v>
      </c>
      <c r="T44" s="10" t="str">
        <f>CHAR(34)&amp;"Date"&amp;CHAR(34)&amp;":["&amp;CHAR(34)&amp;""&amp;C2&amp;""&amp;CHAR(34)&amp;"],"</f>
        <v>"Date":["12-August"],</v>
      </c>
    </row>
    <row r="45" spans="2:26" ht="14.25" customHeight="1" x14ac:dyDescent="0.4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s="10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45">
      <c r="T46" s="10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45">
      <c r="T47" s="10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45">
      <c r="T48" s="10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45">
      <c r="T49" s="10" t="s">
        <v>147</v>
      </c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2024-01-22T01:53:46Z</dcterms:modified>
</cp:coreProperties>
</file>