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F08AEA1C-35B7-4E19-87BB-7860EC1920CB}" xr6:coauthVersionLast="47" xr6:coauthVersionMax="47" xr10:uidLastSave="{00000000-0000-0000-0000-000000000000}"/>
  <bookViews>
    <workbookView xWindow="-98" yWindow="-98" windowWidth="22695" windowHeight="14595" activeTab="6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401" sheetId="8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8" l="1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T45" i="7" s="1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W38" i="7" s="1"/>
  <c r="V18" i="7"/>
  <c r="V38" i="7" s="1"/>
  <c r="U18" i="7"/>
  <c r="U38" i="7" s="1"/>
  <c r="T18" i="7"/>
  <c r="T38" i="7" s="1"/>
  <c r="AB17" i="7"/>
  <c r="AA17" i="7"/>
  <c r="Z17" i="7"/>
  <c r="W17" i="7"/>
  <c r="W37" i="7" s="1"/>
  <c r="V17" i="7"/>
  <c r="V37" i="7" s="1"/>
  <c r="U17" i="7"/>
  <c r="U37" i="7" s="1"/>
  <c r="T17" i="7"/>
  <c r="T37" i="7" s="1"/>
  <c r="AB16" i="7"/>
  <c r="AA16" i="7"/>
  <c r="Z16" i="7"/>
  <c r="W16" i="7"/>
  <c r="W36" i="7" s="1"/>
  <c r="V16" i="7"/>
  <c r="V36" i="7" s="1"/>
  <c r="U16" i="7"/>
  <c r="U36" i="7" s="1"/>
  <c r="T16" i="7"/>
  <c r="T36" i="7" s="1"/>
  <c r="AB15" i="7"/>
  <c r="AA15" i="7"/>
  <c r="Z15" i="7"/>
  <c r="W15" i="7"/>
  <c r="W35" i="7" s="1"/>
  <c r="V15" i="7"/>
  <c r="V35" i="7" s="1"/>
  <c r="U15" i="7"/>
  <c r="U35" i="7" s="1"/>
  <c r="T15" i="7"/>
  <c r="T35" i="7" s="1"/>
  <c r="AB14" i="7"/>
  <c r="AA14" i="7"/>
  <c r="Z14" i="7"/>
  <c r="W14" i="7"/>
  <c r="W34" i="7" s="1"/>
  <c r="V14" i="7"/>
  <c r="V34" i="7" s="1"/>
  <c r="U14" i="7"/>
  <c r="U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T11" i="7" s="1"/>
  <c r="T31" i="7" s="1"/>
  <c r="V11" i="7"/>
  <c r="V31" i="7" s="1"/>
  <c r="U11" i="7"/>
  <c r="U31" i="7" s="1"/>
  <c r="AB10" i="7"/>
  <c r="AA10" i="7"/>
  <c r="Z10" i="7"/>
  <c r="W10" i="7"/>
  <c r="W30" i="7" s="1"/>
  <c r="V10" i="7"/>
  <c r="V30" i="7" s="1"/>
  <c r="U10" i="7"/>
  <c r="U30" i="7" s="1"/>
  <c r="T10" i="7"/>
  <c r="T30" i="7" s="1"/>
  <c r="AB9" i="7"/>
  <c r="AA9" i="7"/>
  <c r="Z9" i="7"/>
  <c r="W9" i="7"/>
  <c r="W29" i="7" s="1"/>
  <c r="V9" i="7"/>
  <c r="V29" i="7" s="1"/>
  <c r="U9" i="7"/>
  <c r="U29" i="7" s="1"/>
  <c r="T9" i="7"/>
  <c r="T29" i="7" s="1"/>
  <c r="AB8" i="7"/>
  <c r="AA8" i="7"/>
  <c r="Z8" i="7"/>
  <c r="W8" i="7"/>
  <c r="W28" i="7" s="1"/>
  <c r="V8" i="7"/>
  <c r="V28" i="7" s="1"/>
  <c r="U8" i="7"/>
  <c r="U28" i="7" s="1"/>
  <c r="T8" i="7"/>
  <c r="T28" i="7" s="1"/>
  <c r="AB7" i="7"/>
  <c r="AA7" i="7"/>
  <c r="Z7" i="7"/>
  <c r="W7" i="7"/>
  <c r="W27" i="7" s="1"/>
  <c r="V7" i="7"/>
  <c r="V27" i="7" s="1"/>
  <c r="U7" i="7"/>
  <c r="U27" i="7" s="1"/>
  <c r="T7" i="7"/>
  <c r="T27" i="7" s="1"/>
  <c r="AB6" i="7"/>
  <c r="AA6" i="7"/>
  <c r="Z6" i="7"/>
  <c r="N3" i="7" s="1"/>
  <c r="W6" i="7"/>
  <c r="W26" i="7" s="1"/>
  <c r="V6" i="7"/>
  <c r="V26" i="7" s="1"/>
  <c r="U6" i="7"/>
  <c r="U26" i="7" s="1"/>
  <c r="AB5" i="7"/>
  <c r="AA5" i="7"/>
  <c r="Z5" i="7"/>
  <c r="W5" i="7"/>
  <c r="W25" i="7" s="1"/>
  <c r="V5" i="7"/>
  <c r="V25" i="7" s="1"/>
  <c r="U5" i="7"/>
  <c r="U25" i="7" s="1"/>
  <c r="AB4" i="7"/>
  <c r="I45" i="7" s="1"/>
  <c r="AA4" i="7"/>
  <c r="N4" i="7" s="1"/>
  <c r="Z4" i="7"/>
  <c r="K45" i="7" s="1"/>
  <c r="W4" i="7"/>
  <c r="W24" i="7" s="1"/>
  <c r="V4" i="7"/>
  <c r="V24" i="7" s="1"/>
  <c r="U4" i="7"/>
  <c r="U24" i="7" s="1"/>
  <c r="T4" i="7"/>
  <c r="T24" i="7" s="1"/>
  <c r="W3" i="7"/>
  <c r="W23" i="7" s="1"/>
  <c r="V3" i="7"/>
  <c r="V23" i="7" s="1"/>
  <c r="U3" i="7"/>
  <c r="U23" i="7" s="1"/>
  <c r="T3" i="7"/>
  <c r="T23" i="7" s="1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B6" i="4"/>
  <c r="C6" i="4"/>
  <c r="B6" i="6"/>
  <c r="B6" i="5"/>
  <c r="D6" i="4"/>
  <c r="D6" i="6"/>
  <c r="D6" i="5"/>
  <c r="A6" i="6"/>
  <c r="A5" i="6"/>
  <c r="B5" i="6"/>
  <c r="B5" i="5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W35" i="8" l="1"/>
  <c r="W25" i="8"/>
  <c r="W33" i="8"/>
  <c r="W38" i="8"/>
  <c r="W28" i="8"/>
  <c r="W36" i="8"/>
  <c r="T17" i="8"/>
  <c r="T9" i="8"/>
  <c r="W24" i="8"/>
  <c r="W34" i="8"/>
  <c r="W32" i="8"/>
  <c r="T3" i="8"/>
  <c r="T45" i="8"/>
  <c r="AD43" i="3"/>
  <c r="AH43" i="3" s="1"/>
  <c r="AD41" i="3"/>
  <c r="AH41" i="3" s="1"/>
  <c r="AD39" i="3"/>
  <c r="AH39" i="3" s="1"/>
  <c r="AD37" i="3"/>
  <c r="AH37" i="3" s="1"/>
  <c r="AD35" i="3"/>
  <c r="AH35" i="3" s="1"/>
  <c r="AD33" i="3"/>
  <c r="AH33" i="3" s="1"/>
  <c r="AD31" i="3"/>
  <c r="AH31" i="3" s="1"/>
  <c r="AD29" i="3"/>
  <c r="AH29" i="3" s="1"/>
  <c r="AC43" i="3"/>
  <c r="AG43" i="3" s="1"/>
  <c r="AC41" i="3"/>
  <c r="AG41" i="3" s="1"/>
  <c r="AC39" i="3"/>
  <c r="AG39" i="3" s="1"/>
  <c r="AC37" i="3"/>
  <c r="AG37" i="3" s="1"/>
  <c r="AC35" i="3"/>
  <c r="AG35" i="3" s="1"/>
  <c r="AC33" i="3"/>
  <c r="AG33" i="3" s="1"/>
  <c r="AC31" i="3"/>
  <c r="AG31" i="3" s="1"/>
  <c r="N4" i="8"/>
  <c r="M45" i="8" s="1"/>
  <c r="L5" i="3" s="1"/>
  <c r="B4" i="5" s="1"/>
  <c r="AC29" i="3"/>
  <c r="AG29" i="3" s="1"/>
  <c r="AB43" i="3"/>
  <c r="AF43" i="3" s="1"/>
  <c r="AB41" i="3"/>
  <c r="AF41" i="3" s="1"/>
  <c r="AB39" i="3"/>
  <c r="AF39" i="3" s="1"/>
  <c r="AB37" i="3"/>
  <c r="AF37" i="3" s="1"/>
  <c r="AB35" i="3"/>
  <c r="AF35" i="3" s="1"/>
  <c r="AB33" i="3"/>
  <c r="AF33" i="3" s="1"/>
  <c r="AB31" i="3"/>
  <c r="AF31" i="3" s="1"/>
  <c r="AB29" i="3"/>
  <c r="AF29" i="3" s="1"/>
  <c r="AA37" i="3"/>
  <c r="AE37" i="3" s="1"/>
  <c r="AA33" i="3"/>
  <c r="AE33" i="3" s="1"/>
  <c r="N3" i="8"/>
  <c r="G45" i="8" s="1"/>
  <c r="F5" i="3" s="1"/>
  <c r="B4" i="4" s="1"/>
  <c r="AD44" i="3"/>
  <c r="AH44" i="3" s="1"/>
  <c r="AD42" i="3"/>
  <c r="AH42" i="3" s="1"/>
  <c r="AD40" i="3"/>
  <c r="AH40" i="3" s="1"/>
  <c r="AD38" i="3"/>
  <c r="AH38" i="3" s="1"/>
  <c r="AD36" i="3"/>
  <c r="AH36" i="3" s="1"/>
  <c r="AD34" i="3"/>
  <c r="AH34" i="3" s="1"/>
  <c r="AD32" i="3"/>
  <c r="AH32" i="3" s="1"/>
  <c r="AD30" i="3"/>
  <c r="AH30" i="3" s="1"/>
  <c r="AC44" i="3"/>
  <c r="AG44" i="3" s="1"/>
  <c r="AC42" i="3"/>
  <c r="AG42" i="3" s="1"/>
  <c r="AC40" i="3"/>
  <c r="AG40" i="3" s="1"/>
  <c r="AC38" i="3"/>
  <c r="AG38" i="3" s="1"/>
  <c r="AC36" i="3"/>
  <c r="AG36" i="3" s="1"/>
  <c r="AC34" i="3"/>
  <c r="AG34" i="3" s="1"/>
  <c r="AC32" i="3"/>
  <c r="AG32" i="3" s="1"/>
  <c r="AC30" i="3"/>
  <c r="AG30" i="3" s="1"/>
  <c r="AB44" i="3"/>
  <c r="AF44" i="3" s="1"/>
  <c r="AB42" i="3"/>
  <c r="AF42" i="3" s="1"/>
  <c r="AB40" i="3"/>
  <c r="AF40" i="3" s="1"/>
  <c r="AB38" i="3"/>
  <c r="AF38" i="3" s="1"/>
  <c r="AB36" i="3"/>
  <c r="AF36" i="3" s="1"/>
  <c r="AB34" i="3"/>
  <c r="AF34" i="3" s="1"/>
  <c r="AB32" i="3"/>
  <c r="AF32" i="3" s="1"/>
  <c r="AB30" i="3"/>
  <c r="AF30" i="3" s="1"/>
  <c r="M45" i="7"/>
  <c r="G45" i="7"/>
  <c r="L45" i="7"/>
  <c r="O4" i="7" s="1"/>
  <c r="N5" i="7"/>
  <c r="F45" i="7" s="1"/>
  <c r="N45" i="7"/>
  <c r="O45" i="7"/>
  <c r="T6" i="7"/>
  <c r="T26" i="7" s="1"/>
  <c r="T14" i="7"/>
  <c r="T34" i="7" s="1"/>
  <c r="H45" i="7"/>
  <c r="O3" i="7" s="1"/>
  <c r="Q3" i="7" s="1"/>
  <c r="P45" i="7" s="1"/>
  <c r="T5" i="7"/>
  <c r="T25" i="7" s="1"/>
  <c r="T13" i="7"/>
  <c r="T33" i="7" s="1"/>
  <c r="T12" i="7"/>
  <c r="T32" i="7" s="1"/>
  <c r="W31" i="7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C6" i="5"/>
  <c r="C6" i="6"/>
  <c r="A6" i="4"/>
  <c r="A6" i="5"/>
  <c r="A5" i="4"/>
  <c r="A5" i="5"/>
  <c r="F3" i="5"/>
  <c r="N47" i="5" s="1"/>
  <c r="E3" i="6"/>
  <c r="N36" i="6" s="1"/>
  <c r="C5" i="4"/>
  <c r="D5" i="5"/>
  <c r="B5" i="4"/>
  <c r="C5" i="5"/>
  <c r="AJ9" i="3"/>
  <c r="R5" i="6" s="1"/>
  <c r="AJ8" i="3"/>
  <c r="Y5" i="4" s="1"/>
  <c r="AA4" i="3"/>
  <c r="X42" i="3"/>
  <c r="D45" i="8" l="1"/>
  <c r="C5" i="3" s="1"/>
  <c r="T35" i="8"/>
  <c r="AA41" i="3"/>
  <c r="AE41" i="3" s="1"/>
  <c r="T23" i="8"/>
  <c r="AA29" i="3"/>
  <c r="AE29" i="3" s="1"/>
  <c r="T38" i="8"/>
  <c r="AA44" i="3"/>
  <c r="AE44" i="3" s="1"/>
  <c r="T33" i="8"/>
  <c r="AA39" i="3"/>
  <c r="AE39" i="3" s="1"/>
  <c r="T32" i="8"/>
  <c r="AA38" i="3"/>
  <c r="AE38" i="3" s="1"/>
  <c r="T26" i="8"/>
  <c r="AA32" i="3"/>
  <c r="AE32" i="3" s="1"/>
  <c r="T34" i="8"/>
  <c r="AA40" i="3"/>
  <c r="AE40" i="3" s="1"/>
  <c r="F45" i="8"/>
  <c r="E5" i="3" s="1"/>
  <c r="V6" i="3" s="1"/>
  <c r="T36" i="8"/>
  <c r="AA42" i="3"/>
  <c r="AE42" i="3" s="1"/>
  <c r="T37" i="8"/>
  <c r="AA43" i="3"/>
  <c r="AE43" i="3" s="1"/>
  <c r="T28" i="8"/>
  <c r="AA34" i="3"/>
  <c r="AE34" i="3" s="1"/>
  <c r="T29" i="8"/>
  <c r="AA35" i="3"/>
  <c r="AE35" i="3" s="1"/>
  <c r="T30" i="8"/>
  <c r="AA36" i="3"/>
  <c r="AE36" i="3" s="1"/>
  <c r="T24" i="8"/>
  <c r="AA30" i="3"/>
  <c r="AE30" i="3" s="1"/>
  <c r="T25" i="8"/>
  <c r="AA31" i="3"/>
  <c r="AE31" i="3" s="1"/>
  <c r="Q4" i="7"/>
  <c r="R45" i="7" s="1"/>
  <c r="P4" i="7"/>
  <c r="O5" i="7"/>
  <c r="Q5" i="7" s="1"/>
  <c r="Q45" i="7" s="1"/>
  <c r="P3" i="7"/>
  <c r="J45" i="7"/>
  <c r="D45" i="7"/>
  <c r="E45" i="7" s="1"/>
  <c r="J5" i="3"/>
  <c r="M4" i="4" s="1"/>
  <c r="O4" i="8"/>
  <c r="P4" i="8" s="1"/>
  <c r="G5" i="3"/>
  <c r="O3" i="8"/>
  <c r="P3" i="8" s="1"/>
  <c r="O5" i="8"/>
  <c r="P5" i="8" s="1"/>
  <c r="M5" i="3"/>
  <c r="J4" i="4" s="1"/>
  <c r="J41" i="4" s="1"/>
  <c r="C4" i="5"/>
  <c r="G3" i="5" s="1"/>
  <c r="C5" i="6"/>
  <c r="F3" i="4"/>
  <c r="M47" i="4" s="1"/>
  <c r="D5" i="6"/>
  <c r="D5" i="4"/>
  <c r="L3" i="2"/>
  <c r="L50" i="2" s="1"/>
  <c r="AP9" i="3"/>
  <c r="L4" i="2"/>
  <c r="L51" i="2" s="1"/>
  <c r="AP8" i="3"/>
  <c r="C4" i="6" l="1"/>
  <c r="F3" i="6" s="1"/>
  <c r="N37" i="6" s="1"/>
  <c r="E45" i="8"/>
  <c r="D5" i="3" s="1"/>
  <c r="U6" i="3" s="1"/>
  <c r="R45" i="8"/>
  <c r="Q5" i="3" s="1"/>
  <c r="D4" i="5" s="1"/>
  <c r="H3" i="5" s="1"/>
  <c r="H43" i="5" s="1"/>
  <c r="AE7" i="2" s="1"/>
  <c r="AD21" i="2" s="1"/>
  <c r="C41" i="5"/>
  <c r="P5" i="7"/>
  <c r="Q45" i="8"/>
  <c r="P5" i="3" s="1"/>
  <c r="D4" i="6" s="1"/>
  <c r="G3" i="6" s="1"/>
  <c r="N4" i="4"/>
  <c r="C4" i="4"/>
  <c r="Q3" i="8"/>
  <c r="P45" i="8" s="1"/>
  <c r="O5" i="3" s="1"/>
  <c r="D4" i="4" s="1"/>
  <c r="H3" i="4" s="1"/>
  <c r="C41" i="6"/>
  <c r="N48" i="5"/>
  <c r="T6" i="3"/>
  <c r="S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H32" i="6" l="1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M45" i="4" l="1"/>
  <c r="M44" i="4"/>
  <c r="N34" i="6"/>
  <c r="G14" i="2"/>
  <c r="G61" i="2" s="1"/>
  <c r="P7" i="5"/>
  <c r="N44" i="5" s="1"/>
  <c r="K16" i="2"/>
  <c r="K63" i="2" s="1"/>
  <c r="T8" i="5"/>
  <c r="N46" i="5" s="1"/>
  <c r="R7" i="5"/>
  <c r="N45" i="5" s="1"/>
  <c r="I14" i="2"/>
  <c r="I61" i="2" s="1"/>
  <c r="G15" i="2"/>
  <c r="G62" i="2" s="1"/>
  <c r="S8" i="4"/>
  <c r="G17" i="2"/>
  <c r="G64" i="2" s="1"/>
  <c r="L9" i="6"/>
  <c r="N33" i="6" s="1"/>
  <c r="P9" i="6"/>
  <c r="K17" i="2"/>
  <c r="K64" i="2" s="1"/>
  <c r="G16" i="2"/>
  <c r="G63" i="2" s="1"/>
  <c r="P8" i="5"/>
  <c r="U8" i="4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S7" i="5" l="1"/>
  <c r="H14" i="2"/>
  <c r="H61" i="2" s="1"/>
  <c r="N8" i="5"/>
  <c r="E16" i="2"/>
  <c r="E63" i="2" s="1"/>
  <c r="Q5" i="4"/>
  <c r="J5" i="6"/>
  <c r="N32" i="6" s="1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N43" i="5" s="1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R8" i="4" l="1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H34" i="6"/>
  <c r="AE13" i="2" s="1"/>
  <c r="AD27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H33" i="6" s="1"/>
  <c r="AE12" i="2" s="1"/>
  <c r="AD26" i="2" s="1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<sst xmlns="http://schemas.openxmlformats.org/spreadsheetml/2006/main" count="758" uniqueCount="224">
  <si>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</si>
  <si>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</si>
  <si>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</si>
  <si>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</si>
  <si>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</si>
  <si>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</si>
  <si>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</si>
  <si>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</si>
  <si>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</si>
  <si>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</si>
  <si>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</si>
  <si>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</si>
  <si>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</si>
  <si>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</si>
  <si>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</si>
  <si>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</si>
  <si>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</si>
  <si>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</si>
  <si>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</si>
  <si>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</si>
  <si>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</si>
  <si>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</si>
  <si>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</si>
  <si>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</si>
  <si>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</si>
  <si>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</si>
  <si>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</si>
  <si>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</si>
  <si>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</si>
  <si>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</si>
  <si>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</si>
  <si>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</si>
  <si>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</si>
  <si>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</si>
  <si>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</si>
  <si>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</si>
  <si>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</si>
  <si>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</si>
  <si>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</si>
  <si>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</si>
  <si>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</si>
  <si>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</si>
  <si>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</si>
  <si>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</si>
  <si>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</si>
  <si>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</si>
  <si>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</si>
  <si>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</si>
  <si>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</si>
  <si>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</si>
  <si>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</si>
  <si>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</si>
  <si>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</si>
  <si>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</si>
  <si>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</si>
  <si>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</si>
  <si>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</si>
  <si>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</si>
  <si>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</si>
  <si>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</si>
  <si>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</si>
  <si>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</si>
  <si>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</si>
  <si>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</si>
  <si>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</si>
  <si>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</si>
  <si>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</si>
  <si>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</si>
  <si>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</si>
  <si>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</si>
  <si>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</si>
  <si>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</si>
  <si>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</si>
  <si>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</si>
  <si>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</si>
  <si>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</si>
  <si>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</si>
  <si>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</si>
  <si>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</si>
  <si>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</si>
  <si>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</si>
  <si>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</si>
  <si>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</si>
  <si>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</si>
  <si>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</si>
  <si>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</si>
  <si>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</si>
  <si>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</si>
  <si>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</si>
  <si>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</si>
  <si>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</si>
  <si>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</si>
  <si>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</si>
  <si>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</si>
  <si>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</si>
  <si>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</si>
  <si>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</si>
  <si>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</si>
  <si>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</si>
  <si>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</si>
  <si>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</si>
  <si>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</si>
  <si>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</si>
  <si>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</si>
  <si>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</si>
  <si>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</si>
  <si>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</si>
  <si>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</si>
  <si>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</si>
  <si>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</si>
  <si>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</si>
  <si>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</si>
  <si>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</si>
  <si>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</si>
  <si>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</si>
  <si>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</si>
  <si>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</si>
  <si>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</si>
  <si>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</si>
  <si>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</si>
  <si>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</si>
  <si>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</si>
  <si>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</si>
  <si>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</si>
  <si>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</si>
  <si>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</si>
  <si>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</si>
  <si>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</si>
  <si>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</si>
  <si>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</si>
  <si>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</si>
  <si>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</si>
  <si>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</si>
  <si>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</si>
  <si>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</si>
  <si>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</si>
  <si>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</si>
  <si>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</si>
  <si>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</si>
  <si>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</si>
  <si>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</si>
  <si>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</si>
  <si>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</si>
  <si>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</si>
  <si>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</si>
  <si>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</si>
  <si>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</si>
  <si>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</si>
  <si>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</si>
  <si>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</si>
  <si>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</si>
  <si>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</si>
  <si>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</si>
  <si>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</si>
  <si>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</si>
  <si>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</si>
  <si>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</si>
  <si>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</si>
  <si>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</si>
  <si>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</si>
  <si>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</si>
  <si>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</si>
  <si>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</si>
  <si>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</si>
  <si>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</si>
  <si>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</si>
  <si>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</si>
  <si>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</si>
  <si>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</si>
  <si>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</si>
  <si>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</si>
  <si>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</si>
  <si>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</si>
  <si>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</si>
  <si>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</si>
  <si>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</si>
  <si>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</si>
  <si>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</si>
  <si>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</si>
  <si>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</si>
  <si>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</si>
  <si>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</si>
  <si>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</si>
  <si>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</si>
  <si>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</si>
  <si>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</si>
  <si>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</si>
  <si>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</si>
  <si>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</si>
  <si>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</si>
  <si>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</si>
  <si>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</si>
  <si>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</si>
  <si>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</si>
  <si>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</si>
  <si>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</si>
  <si>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</si>
  <si>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</si>
  <si>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</si>
  <si>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</si>
  <si>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</si>
  <si>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</si>
  <si>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</si>
  <si>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</si>
  <si>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</si>
  <si>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</si>
  <si>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</si>
  <si>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</si>
  <si>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</si>
  <si>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</si>
  <si>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</si>
  <si>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}</t>
  </si>
  <si>
    <t>{</t>
  </si>
  <si>
    <t>24 January</t>
  </si>
  <si>
    <t>Score</t>
  </si>
  <si>
    <t>Week3</t>
  </si>
  <si>
    <t>Week 6</t>
  </si>
  <si>
    <t>2-0</t>
  </si>
  <si>
    <t>Three Pointer</t>
  </si>
  <si>
    <t>1-0</t>
  </si>
  <si>
    <t>Finish</t>
  </si>
  <si>
    <t>-</t>
  </si>
  <si>
    <t>2-1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</si>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</sst>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5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2" fillId="0" borderId="1" xfId="0" applyFont="1" applyBorder="1" applyAlignment="1"/>
    <xf numFmtId="49" fontId="0" fillId="3" borderId="2" xfId="3" applyNumberFormat="1" applyFont="1" applyFill="1" applyBorder="1" applyAlignment="1"/>
    <xf numFmtId="0" fontId="0" fillId="0" borderId="0" xfId="0" applyFont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0" fontId="31" fillId="0" borderId="1" xfId="1" applyNumberForma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1" fillId="0" borderId="1" xfId="1" applyNumberFormat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0.22222222222222221</c:v>
                </c:pt>
                <c:pt idx="1">
                  <c:v>0.66666666666666663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2" dataDxfId="140" headerRowBorderDxfId="141" tableBorderDxfId="139" totalsRowBorderDxfId="138">
  <autoFilter ref="Z7:AJ23" xr:uid="{598ECA3B-99B4-4CAB-8F81-5D711AA5A7FC}"/>
  <tableColumns count="11">
    <tableColumn id="1" xr3:uid="{9B036617-5450-4894-9268-827D2E0914FF}" name="Scoring" dataDxfId="137">
      <calculatedColumnFormula>SfW!B3</calculatedColumnFormula>
    </tableColumn>
    <tableColumn id="2" xr3:uid="{6662CE93-E9C4-47DE-9476-E46126825B0A}" name="Points" dataDxfId="136">
      <calculatedColumnFormula>SUM(AA29,AA49,AL49,AA69,AL69,AA89,AL29)</calculatedColumnFormula>
    </tableColumn>
    <tableColumn id="3" xr3:uid="{8FDDFCB0-2692-4EB0-948C-7B877263B55B}" name="Average" dataDxfId="13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4">
      <calculatedColumnFormula>SUM(AB29,AB49,AM49,AB69,AM69,AB89,AM29)</calculatedColumnFormula>
    </tableColumn>
    <tableColumn id="5" xr3:uid="{5F324C66-956D-4EDC-870F-8EDE96C328C8}" name="Averages" dataDxfId="13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2">
      <calculatedColumnFormula>SUM(AC29,AC49,AN49,AC69,AN69,AC89,AN29)</calculatedColumnFormula>
    </tableColumn>
    <tableColumn id="7" xr3:uid="{8E7E6B37-23A0-4556-8839-B9D7834E3E68}" name="Averages2" dataDxfId="13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0">
      <calculatedColumnFormula>SUM(AD29,AD49,AO49,AD69,AO69,AD89,AO29)</calculatedColumnFormula>
    </tableColumn>
    <tableColumn id="9" xr3:uid="{E0C0BF1C-40E8-4137-8E0F-BB238D651DAE}" name="Averages3" dataDxfId="12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8">
      <calculatedColumnFormula>SfW!C3</calculatedColumnFormula>
    </tableColumn>
    <tableColumn id="11" xr3:uid="{E167D7FA-56F9-4571-B292-FF3869585F59}" name="Missed Games" dataDxfId="127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30" dataDxfId="29">
  <autoFilter ref="M3:V8" xr:uid="{54759C84-3153-4DC9-9240-E2749AA0D92B}"/>
  <tableColumns count="10">
    <tableColumn id="1" xr3:uid="{7790729E-C8E5-45C1-8784-25212A2654AA}" name="Name" dataDxfId="28"/>
    <tableColumn id="2" xr3:uid="{52A67B2B-967C-4970-8D83-8F8E9CC61522}" name="Points" dataDxfId="27"/>
    <tableColumn id="3" xr3:uid="{BA1FA2C8-AEC0-4644-83DB-5097750D7188}" name="Average" dataDxfId="26"/>
    <tableColumn id="4" xr3:uid="{4CF66F5D-BF10-4CBD-88FF-CCD38730E1CD}" name="Finishes" dataDxfId="25"/>
    <tableColumn id="5" xr3:uid="{BC246D5B-7E78-41A6-B796-C93ED8E53DF9}" name="Averages" dataDxfId="24"/>
    <tableColumn id="6" xr3:uid="{AB819419-CC06-4A40-8DED-E231125129C0}" name="Midranges" dataDxfId="23"/>
    <tableColumn id="7" xr3:uid="{064AA562-C451-4362-805E-D12DC76C3530}" name="Averages2" dataDxfId="22"/>
    <tableColumn id="8" xr3:uid="{BD0D8BAE-15E4-4B38-87FE-B682D7BAEE75}" name="Threes" dataDxfId="21"/>
    <tableColumn id="9" xr3:uid="{541E391B-4B08-4E98-A63F-753C11193269}" name="Averages3" dataDxfId="20"/>
    <tableColumn id="10" xr3:uid="{999BB5D2-D6FB-4EB9-A268-D62EA72F939D}" name="Missed Games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8" dataDxfId="17">
  <autoFilter ref="I4:R10" xr:uid="{C12CFC3F-7D59-4C0F-8D43-3F8ACD58C2BD}"/>
  <tableColumns count="10">
    <tableColumn id="1" xr3:uid="{CE15C23D-9493-4B21-9D40-1A25D210C18E}" name="Name" dataDxfId="16"/>
    <tableColumn id="2" xr3:uid="{6BB170B1-AA38-4699-9B96-400D2947EE9C}" name="Points" dataDxfId="15"/>
    <tableColumn id="3" xr3:uid="{EC8B6CBB-FCC9-416C-AEA6-738419DFE531}" name="Average" dataDxfId="14"/>
    <tableColumn id="4" xr3:uid="{315DA055-9A43-468A-A501-1092626F523F}" name="Finishes" dataDxfId="13"/>
    <tableColumn id="5" xr3:uid="{56B6FF4D-95D4-4550-88E4-C781ABDA83A6}" name="Averages" dataDxfId="12"/>
    <tableColumn id="6" xr3:uid="{F7B5C0B8-FBE2-44B0-A372-112C7776FCCF}" name="Midranges" dataDxfId="11"/>
    <tableColumn id="7" xr3:uid="{1A1C2126-FEB1-408F-8523-049E53028B4E}" name="Averages2" dataDxfId="10"/>
    <tableColumn id="8" xr3:uid="{AE94036B-3777-4C1B-97D5-7BFA1037C0BF}" name="Threes" dataDxfId="9"/>
    <tableColumn id="9" xr3:uid="{448B0903-7F66-40BA-809F-74ADBF397B45}" name="Averages3" dataDxfId="8"/>
    <tableColumn id="10" xr3:uid="{E0CAC55D-8398-4928-A219-C01706996D48}" name="Missed Gam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26" dataDxfId="125">
  <autoFilter ref="Z28:AI44" xr:uid="{46F39EBA-1E74-46F4-A6E5-473672128124}"/>
  <tableColumns count="10">
    <tableColumn id="1" xr3:uid="{5D003608-C1C2-4694-9447-8632FB8D7348}" name="Scoring" dataDxfId="124"/>
    <tableColumn id="2" xr3:uid="{D15F4085-CED5-4CDD-B43B-BF7EB59B45A3}" name="Points" dataDxfId="123">
      <calculatedColumnFormula>'2401'!T3</calculatedColumnFormula>
    </tableColumn>
    <tableColumn id="3" xr3:uid="{2D436F37-54B6-4820-9145-F48B4EF9B294}" name="Finishes" dataDxfId="122">
      <calculatedColumnFormula>'2401'!U3</calculatedColumnFormula>
    </tableColumn>
    <tableColumn id="4" xr3:uid="{1D9B6A22-B682-47F3-B738-7C138F317A41}" name="Midranges" dataDxfId="121">
      <calculatedColumnFormula>'2401'!V3</calculatedColumnFormula>
    </tableColumn>
    <tableColumn id="5" xr3:uid="{9966C9A0-3872-44E9-BB39-05DE197EAA68}" name="Threes" dataDxfId="120">
      <calculatedColumnFormula>'2401'!W3</calculatedColumnFormula>
    </tableColumn>
    <tableColumn id="6" xr3:uid="{CC4AB646-735F-425F-8528-C5EFE7FE11DC}" name="Avg P" dataDxfId="119">
      <calculatedColumnFormula>Table211[[#This Row],[Points]]/($AA$27-$AI29)</calculatedColumnFormula>
    </tableColumn>
    <tableColumn id="7" xr3:uid="{F8D0247E-C6F7-467A-9F38-46084D44F8AB}" name="Avg F" dataDxfId="118">
      <calculatedColumnFormula>Table211[[#This Row],[Finishes]]/($AA$27-$AI29)</calculatedColumnFormula>
    </tableColumn>
    <tableColumn id="8" xr3:uid="{7CCF1C77-9DB0-4EB2-B7D0-FD0BDBEBFA0E}" name="Avg M" dataDxfId="117">
      <calculatedColumnFormula>Table211[[#This Row],[Midranges]]/($AA$27-$AI29)</calculatedColumnFormula>
    </tableColumn>
    <tableColumn id="9" xr3:uid="{582A1A4E-5383-4383-A480-735408867046}" name="Avg T" dataDxfId="116">
      <calculatedColumnFormula>Table211[[#This Row],[Threes]]/($AA$27-$AI29)</calculatedColumnFormula>
    </tableColumn>
    <tableColumn id="10" xr3:uid="{E547AEB5-F9BA-4C5F-8DCE-34B6A8FF303A}" name="Missed Games" dataDxfId="115">
      <calculatedColumnFormula>COUNT('2401'!X3)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4" dataDxfId="113">
  <autoFilter ref="Z48:AI64" xr:uid="{D27C125F-71B2-44D9-9F7A-9BED67755DD3}"/>
  <tableColumns count="10">
    <tableColumn id="1" xr3:uid="{0B0344E8-2677-4FAB-9B03-4745991FB5AE}" name="Scoring" dataDxfId="112"/>
    <tableColumn id="2" xr3:uid="{58CA1107-8BB4-4A5D-BA00-31619C8D3973}" name="Points" dataDxfId="111"/>
    <tableColumn id="3" xr3:uid="{8090861E-1FDF-44F4-9DB6-BB814E32C754}" name="Finishes" dataDxfId="110"/>
    <tableColumn id="4" xr3:uid="{972D0347-DAB3-4985-A738-E5D78740D498}" name="Midranges" dataDxfId="109"/>
    <tableColumn id="5" xr3:uid="{48F5F884-1753-4988-9056-632B5EB6BBCB}" name="Threes" dataDxfId="108"/>
    <tableColumn id="6" xr3:uid="{6953B627-EA05-418F-A758-FD59263EA60D}" name="Avg P" dataDxfId="107"/>
    <tableColumn id="7" xr3:uid="{BE057C9C-5ECD-4AC2-A9C0-18C89CFB52BC}" name="Avg F" dataDxfId="106"/>
    <tableColumn id="8" xr3:uid="{0FDEBEE7-CD5E-4A44-A0AE-74F044F1FF46}" name="Avg M" dataDxfId="105"/>
    <tableColumn id="9" xr3:uid="{76975BB6-3677-41A8-BC24-7536B1D876D3}" name="Avg T" dataDxfId="104"/>
    <tableColumn id="10" xr3:uid="{E5ADB69B-3BA2-4019-8C83-8B02221F187E}" name="Missed Games" dataDxfId="10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2" dataDxfId="101">
  <autoFilter ref="AK48:AT64" xr:uid="{22B89D2C-1B74-4036-A4ED-A5E61F1B3AAC}"/>
  <tableColumns count="10">
    <tableColumn id="1" xr3:uid="{3D35891E-3654-497A-8DB2-BF0BD916CA29}" name="Scoring" dataDxfId="100"/>
    <tableColumn id="2" xr3:uid="{54B5B6AF-372A-4E07-B4D6-DFC66F7E20C5}" name="Points" dataDxfId="99"/>
    <tableColumn id="3" xr3:uid="{6CA15B41-F560-4B43-8836-163F5BB5689C}" name="Finishes" dataDxfId="98"/>
    <tableColumn id="4" xr3:uid="{8FF05262-0051-44F7-966E-8D405318BA69}" name="Midranges" dataDxfId="97"/>
    <tableColumn id="5" xr3:uid="{F0D843FC-7A93-4C9A-BCCF-E789F7811B3B}" name="Threes" dataDxfId="96"/>
    <tableColumn id="6" xr3:uid="{F0498F8A-F646-4C1F-A3CF-E89E73750FC1}" name="Avg P" dataDxfId="95"/>
    <tableColumn id="7" xr3:uid="{A387BC88-F45C-4386-8503-EFEA33BDAC38}" name="Avg F" dataDxfId="94"/>
    <tableColumn id="8" xr3:uid="{BEA82919-0828-4351-A01A-D72E13E63FAB}" name="Avg M" dataDxfId="93"/>
    <tableColumn id="9" xr3:uid="{ABEBCE01-BCA4-4342-966C-27301889B607}" name="Avg T" dataDxfId="92"/>
    <tableColumn id="10" xr3:uid="{65E7A8E7-4C51-42E4-AB0F-B7FF6099D70A}" name="Missed Games" dataDxfId="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0" dataDxfId="89">
  <autoFilter ref="AK68:AT84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/>
    <tableColumn id="3" xr3:uid="{E91D98A2-80BD-4E5C-9036-2FCC8185369F}" name="Finishes" dataDxfId="86"/>
    <tableColumn id="4" xr3:uid="{D2E5029E-4811-4E9B-9A2D-5F5F8F322B0D}" name="Midranges" dataDxfId="85"/>
    <tableColumn id="5" xr3:uid="{B3E76CEE-33DA-4B18-8DCE-8EBC7EE592D7}" name="Threes" dataDxfId="84"/>
    <tableColumn id="6" xr3:uid="{6ABE1879-8018-4498-A9A1-22CF831F0364}" name="Avg P" dataDxfId="83"/>
    <tableColumn id="7" xr3:uid="{8DA4DD79-8A2A-49E4-996F-C1ACCED3C565}" name="Avg F" dataDxfId="82"/>
    <tableColumn id="8" xr3:uid="{256EA4BC-BA61-49E2-969F-0786AA9AA6EA}" name="Avg M" dataDxfId="81"/>
    <tableColumn id="9" xr3:uid="{0E5566B2-99EC-4B03-A074-8705C4EDA484}" name="Avg T" dataDxfId="80"/>
    <tableColumn id="10" xr3:uid="{3E2357F0-493E-401D-AC75-9AAB260F684E}" name="Missed Games" dataDxfId="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8" dataDxfId="77">
  <autoFilter ref="Z68:AI84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/>
    <tableColumn id="3" xr3:uid="{9537269D-8C1D-42B5-866F-D03CE61A8512}" name="Finishes" dataDxfId="74"/>
    <tableColumn id="4" xr3:uid="{AC590DDB-BE19-4A14-8B98-1E5E2430AA45}" name="Midranges" dataDxfId="73"/>
    <tableColumn id="5" xr3:uid="{C96D3ACD-F34D-477E-86DE-4650EE56BC94}" name="Threes" dataDxfId="72"/>
    <tableColumn id="6" xr3:uid="{A43DE5E9-BB01-49FA-A204-66EE7BAA2E9F}" name="Avg P" dataDxfId="71"/>
    <tableColumn id="7" xr3:uid="{C75A19FF-6041-45C2-BACB-E347F06B6329}" name="Avg F" dataDxfId="70"/>
    <tableColumn id="8" xr3:uid="{00D3FCFC-C9C5-4C96-BE0E-8E1FDC95D07C}" name="Avg M" dataDxfId="69"/>
    <tableColumn id="9" xr3:uid="{0448FF4E-9D2D-47F6-89B7-F17D36B05E8A}" name="Avg T" dataDxfId="68"/>
    <tableColumn id="10" xr3:uid="{D5BDFA2D-095B-44F8-8567-15B3B1520E5A}" name="Missed Games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6" dataDxfId="65">
  <autoFilter ref="Z88:AI104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/>
    <tableColumn id="3" xr3:uid="{09859CE1-290D-4977-B02C-46F4E5A6FDC2}" name="Finishes" dataDxfId="62"/>
    <tableColumn id="4" xr3:uid="{7D751A0E-2895-46DF-B5E2-5A8AA5531CD2}" name="Midranges" dataDxfId="61"/>
    <tableColumn id="5" xr3:uid="{591CDC71-B0EA-413B-B6C1-77884E7E50D4}" name="Threes" dataDxfId="60"/>
    <tableColumn id="6" xr3:uid="{52ED768C-5557-42DC-9824-7A4D9B547153}" name="Avg P" dataDxfId="59"/>
    <tableColumn id="7" xr3:uid="{FC79BE87-72E2-4F5E-83D6-CDCE645EB943}" name="Avg F" dataDxfId="58"/>
    <tableColumn id="8" xr3:uid="{BA012C22-0D65-4C11-98A7-4F958703D04B}" name="Avg M" dataDxfId="57"/>
    <tableColumn id="9" xr3:uid="{63344F2B-5D94-417D-85E2-C2BFBACE3E7E}" name="Avg T" dataDxfId="56"/>
    <tableColumn id="10" xr3:uid="{1AD5A604-8909-45B3-8E43-11D407451CEA}" name="Missed Games" dataDxfId="55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54" dataDxfId="53">
  <autoFilter ref="AK28:AT44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51">
      <calculatedColumnFormula>Template!AC51</calculatedColumnFormula>
    </tableColumn>
    <tableColumn id="3" xr3:uid="{460771D3-3BD8-4DA3-AF1B-1A0F98EF1499}" name="Finishes" dataDxfId="50">
      <calculatedColumnFormula>Template!AD51</calculatedColumnFormula>
    </tableColumn>
    <tableColumn id="4" xr3:uid="{3C08B2D7-823D-49C3-A627-A5848E664B2F}" name="Midranges" dataDxfId="49">
      <calculatedColumnFormula>Template!AE51</calculatedColumnFormula>
    </tableColumn>
    <tableColumn id="5" xr3:uid="{E88F45FB-4C46-4674-86D5-74808E7E5368}" name="Threes" dataDxfId="48">
      <calculatedColumnFormula>Template!AF51</calculatedColumnFormula>
    </tableColumn>
    <tableColumn id="6" xr3:uid="{0C0E8016-1E6E-4F25-9675-4EE061FFD0F7}" name="Avg P" dataDxfId="47">
      <calculatedColumnFormula>AL29/#REF!</calculatedColumnFormula>
    </tableColumn>
    <tableColumn id="7" xr3:uid="{F7AC350B-AE4B-4912-B21D-16D99E2AE8BF}" name="Avg F" dataDxfId="46">
      <calculatedColumnFormula>AM29/#REF!</calculatedColumnFormula>
    </tableColumn>
    <tableColumn id="8" xr3:uid="{F451E5CA-B9C4-4EFA-A647-CEDB2FB39550}" name="Avg M" dataDxfId="45">
      <calculatedColumnFormula>AN29/#REF!</calculatedColumnFormula>
    </tableColumn>
    <tableColumn id="9" xr3:uid="{ED1D92B5-05F1-40CE-A89F-E6627FAB4A59}" name="Avg T" dataDxfId="44">
      <calculatedColumnFormula>AO29/#REF!</calculatedColumnFormula>
    </tableColumn>
    <tableColumn id="10" xr3:uid="{48A4808A-3DE6-4644-83F5-C2AEDDFC3E5E}" name="Missed Games" dataDxfId="43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42" dataDxfId="41">
  <autoFilter ref="P3:Y8" xr:uid="{744FF78C-74B5-4798-AD3D-741E3ACB43CF}"/>
  <tableColumns count="10">
    <tableColumn id="1" xr3:uid="{B3B5C08C-655A-460A-A171-B3B0C826FF04}" name="Name" dataDxfId="40"/>
    <tableColumn id="2" xr3:uid="{427944B0-44CA-4325-A406-29F83026BA5E}" name="Points" dataDxfId="39"/>
    <tableColumn id="3" xr3:uid="{5E06D173-4DBE-4045-9072-0A0A77D19C84}" name="Average" dataDxfId="38"/>
    <tableColumn id="4" xr3:uid="{E74131A4-1DCA-4A89-8989-A4CF80175582}" name="Finishes" dataDxfId="37"/>
    <tableColumn id="5" xr3:uid="{FC3336D4-2CB5-4673-A345-7C9CCED7ADEE}" name="Averages" dataDxfId="36"/>
    <tableColumn id="6" xr3:uid="{BD6313A7-5D92-4B66-9B85-7ABC12DE9691}" name="Midranges" dataDxfId="35"/>
    <tableColumn id="7" xr3:uid="{6D0293BC-7E06-45CE-9D4B-FE4769DF9D9F}" name="Averages2" dataDxfId="34"/>
    <tableColumn id="8" xr3:uid="{89C1C64B-DD66-482C-BCDE-8B912D2676EF}" name="Threes" dataDxfId="33"/>
    <tableColumn id="9" xr3:uid="{7748B87C-1833-4BD6-9162-76373407E655}" name="Averages3" dataDxfId="32"/>
    <tableColumn id="10" xr3:uid="{D870E191-A52F-442E-AA52-A42CFAD05573}" name="Missed Games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S1" zoomScale="78" workbookViewId="0">
      <selection activeCell="AD17" sqref="AD17:AD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4" t="s">
        <v>173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4,2,3],</v>
      </c>
    </row>
    <row r="4" spans="2:31" ht="14.25" customHeight="1" x14ac:dyDescent="0.45">
      <c r="B4" s="1" t="s">
        <v>26</v>
      </c>
      <c r="C4" s="104" t="s">
        <v>171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5,"Alexander Galt",5,"Alexander Galt",1,"Ryan Pattemore",0,"N/A"],</v>
      </c>
    </row>
    <row r="5" spans="2:31" ht="14.25" customHeight="1" x14ac:dyDescent="0.45">
      <c r="B5" s="1" t="s">
        <v>27</v>
      </c>
      <c r="C5" s="114" t="s">
        <v>173</v>
      </c>
      <c r="D5" s="5">
        <f>'Stats Global'!AB10</f>
        <v>5</v>
      </c>
      <c r="E5" s="1">
        <f>'Stats Global'!AA10</f>
        <v>5</v>
      </c>
      <c r="F5" s="5">
        <f>'Stats Global'!AD10</f>
        <v>5</v>
      </c>
      <c r="G5" s="1">
        <f>'Stats Global'!AC10</f>
        <v>5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9,8,1,0,4,2],</v>
      </c>
    </row>
    <row r="6" spans="2:31" ht="14.25" customHeight="1" x14ac:dyDescent="0.45">
      <c r="B6" s="1" t="s">
        <v>30</v>
      </c>
      <c r="C6" s="114" t="s">
        <v>173</v>
      </c>
      <c r="D6" s="5">
        <f>'Stats Global'!AB11</f>
        <v>2</v>
      </c>
      <c r="E6" s="1">
        <f>'Stats Global'!AA11</f>
        <v>2</v>
      </c>
      <c r="F6" s="5">
        <f>'Stats Global'!AD11</f>
        <v>2</v>
      </c>
      <c r="G6" s="1">
        <f>'Stats Global'!AC11</f>
        <v>2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2,1,66.7,2,1,66.7],</v>
      </c>
    </row>
    <row r="7" spans="2:31" ht="14.25" customHeight="1" x14ac:dyDescent="0.45">
      <c r="B7" s="1" t="s">
        <v>32</v>
      </c>
      <c r="C7" s="114" t="s">
        <v>171</v>
      </c>
      <c r="D7" s="5">
        <f>'Stats Global'!AB12</f>
        <v>3</v>
      </c>
      <c r="E7" s="1">
        <f>'Stats Global'!AA12</f>
        <v>3</v>
      </c>
      <c r="F7" s="5">
        <f>'Stats Global'!AD12</f>
        <v>2</v>
      </c>
      <c r="G7" s="1">
        <f>'Stats Global'!AC12</f>
        <v>2</v>
      </c>
      <c r="H7" s="5">
        <f>'Stats Global'!AF12</f>
        <v>1</v>
      </c>
      <c r="I7" s="1">
        <f>'Stats Global'!AE12</f>
        <v>1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2,3,1.5],</v>
      </c>
    </row>
    <row r="8" spans="2:31" ht="14.25" customHeight="1" x14ac:dyDescent="0.45">
      <c r="B8" s="1" t="s">
        <v>37</v>
      </c>
      <c r="C8" s="114" t="s">
        <v>171</v>
      </c>
      <c r="D8" s="5">
        <f>'Stats Global'!AB13</f>
        <v>0</v>
      </c>
      <c r="E8" s="1">
        <f>'Stats Global'!AA13</f>
        <v>0</v>
      </c>
      <c r="F8" s="5">
        <f>'Stats Global'!AD13</f>
        <v>0</v>
      </c>
      <c r="G8" s="1">
        <f>'Stats Global'!AC13</f>
        <v>0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2,"Clarrie Jones",1,"William Kim",0,"N/A",1,"Clarrie Jones"],</v>
      </c>
    </row>
    <row r="9" spans="2:31" ht="14.25" customHeight="1" x14ac:dyDescent="0.45">
      <c r="B9" t="s">
        <v>91</v>
      </c>
      <c r="C9" s="114" t="s">
        <v>172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9,1,0,2,2,3],</v>
      </c>
    </row>
    <row r="10" spans="2:31" ht="14.25" customHeight="1" x14ac:dyDescent="0.45">
      <c r="B10" s="1" t="s">
        <v>39</v>
      </c>
      <c r="C10" s="104" t="s">
        <v>172</v>
      </c>
      <c r="D10" s="5">
        <f>'Stats Global'!AB15</f>
        <v>2</v>
      </c>
      <c r="E10" s="1">
        <f>'Stats Global'!AA15</f>
        <v>2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1</v>
      </c>
      <c r="K10" s="1">
        <f>'Stats Global'!AG15</f>
        <v>1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1,2,33.3,1,1,50],</v>
      </c>
    </row>
    <row r="11" spans="2:31" ht="14.25" customHeight="1" x14ac:dyDescent="0.45">
      <c r="B11" s="1" t="s">
        <v>41</v>
      </c>
      <c r="C11" s="112" t="s">
        <v>172</v>
      </c>
      <c r="D11" s="5">
        <f>'Stats Global'!AB16</f>
        <v>1</v>
      </c>
      <c r="E11" s="1">
        <f>'Stats Global'!AA16</f>
        <v>1</v>
      </c>
      <c r="F11" s="5">
        <f>'Stats Global'!AD16</f>
        <v>1</v>
      </c>
      <c r="G11" s="1">
        <f>'Stats Global'!AC16</f>
        <v>1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2,3,1.5],</v>
      </c>
    </row>
    <row r="12" spans="2:31" ht="14.25" customHeight="1" x14ac:dyDescent="0.45">
      <c r="B12" s="1" t="s">
        <v>44</v>
      </c>
      <c r="C12" s="114" t="s">
        <v>171</v>
      </c>
      <c r="D12" s="5">
        <f>'Stats Global'!AB17</f>
        <v>2</v>
      </c>
      <c r="E12" s="1">
        <f>'Stats Global'!AA17</f>
        <v>2</v>
      </c>
      <c r="F12" s="5">
        <f>'Stats Global'!AD17</f>
        <v>2</v>
      </c>
      <c r="G12" s="1">
        <f>'Stats Global'!AC17</f>
        <v>2</v>
      </c>
      <c r="H12" s="5">
        <f>'Stats Global'!AF17</f>
        <v>0</v>
      </c>
      <c r="I12" s="1">
        <f>'Stats Global'!AE17</f>
        <v>0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3,"Michael Iffland",2,"Michael Iffland",1,"N/A",0,"N/A"],</v>
      </c>
    </row>
    <row r="13" spans="2:31" ht="14.25" customHeight="1" x14ac:dyDescent="0.45">
      <c r="B13" s="1" t="s">
        <v>46</v>
      </c>
      <c r="C13" s="104" t="s">
        <v>173</v>
      </c>
      <c r="D13" s="5">
        <f>'Stats Global'!AB18</f>
        <v>1</v>
      </c>
      <c r="E13" s="1">
        <f>'Stats Global'!AA18</f>
        <v>1</v>
      </c>
      <c r="F13" s="5">
        <f>'Stats Global'!AD18</f>
        <v>0</v>
      </c>
      <c r="G13" s="1">
        <f>'Stats Global'!AC18</f>
        <v>0</v>
      </c>
      <c r="H13" s="5">
        <f>'Stats Global'!AF18</f>
        <v>1</v>
      </c>
      <c r="I13" s="1">
        <f>'Stats Global'!AE18</f>
        <v>1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6,5,1,0,2,3],</v>
      </c>
    </row>
    <row r="14" spans="2:31" ht="14.25" customHeight="1" x14ac:dyDescent="0.45">
      <c r="B14" s="1" t="s">
        <v>49</v>
      </c>
      <c r="C14" s="114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1,2,33.3,1,1,50],</v>
      </c>
    </row>
    <row r="15" spans="2:31" ht="14.25" customHeight="1" x14ac:dyDescent="0.45">
      <c r="B15" s="1" t="s">
        <v>52</v>
      </c>
      <c r="C15" s="114" t="s">
        <v>173</v>
      </c>
      <c r="D15" s="5">
        <f>'Stats Global'!AB20</f>
        <v>1</v>
      </c>
      <c r="E15" s="1">
        <f>'Stats Global'!AA20</f>
        <v>1</v>
      </c>
      <c r="F15" s="5">
        <f>'Stats Global'!AD20</f>
        <v>1</v>
      </c>
      <c r="G15" s="1">
        <f>'Stats Global'!AC20</f>
        <v>1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4" t="s">
        <v>172</v>
      </c>
      <c r="D16" s="5">
        <f>'Stats Global'!AB21</f>
        <v>2</v>
      </c>
      <c r="E16" s="1">
        <f>'Stats Global'!AA21</f>
        <v>2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1</v>
      </c>
      <c r="K16" s="1">
        <f>'Stats Global'!AG21</f>
        <v>1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4" t="s">
        <v>171</v>
      </c>
      <c r="D17" s="5">
        <f>'Stats Global'!AB22</f>
        <v>1</v>
      </c>
      <c r="E17" s="1">
        <f>'Stats Global'!AA22</f>
        <v>1</v>
      </c>
      <c r="F17" s="5">
        <f>'Stats Global'!AD22</f>
        <v>1</v>
      </c>
      <c r="G17" s="1">
        <f>'Stats Global'!AC22</f>
        <v>1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0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"PartACT":[4,2,3],</v>
      </c>
    </row>
    <row r="18" spans="2:30" ht="14.25" customHeight="1" x14ac:dyDescent="0.45">
      <c r="B18" s="125" t="s">
        <v>206</v>
      </c>
      <c r="C18" s="126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s="125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"PartBCT":[5,"Alexander Galt",5,"Alexander Galt",1,"Ryan Pattemore",0,"N/A"],</v>
      </c>
    </row>
    <row r="19" spans="2:30" ht="14.25" customHeight="1" x14ac:dyDescent="0.45">
      <c r="B19" s="1"/>
      <c r="C19" s="88"/>
      <c r="D19" s="5"/>
      <c r="E19" s="1"/>
      <c r="F19" s="5"/>
      <c r="G19" s="1"/>
      <c r="H19" s="5"/>
      <c r="I19" s="1"/>
      <c r="J19" s="5"/>
      <c r="K19" s="1"/>
      <c r="L19" s="13"/>
      <c r="U19" s="88"/>
      <c r="V19" s="1"/>
      <c r="W19" s="1"/>
      <c r="Y19" s="1" t="s">
        <v>60</v>
      </c>
      <c r="AD19" s="35" t="str">
        <f t="shared" si="3"/>
        <v>"PartCCT":[9,8,1,0,4,2],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"PartDCT":[2,1,66.7,2,1,66.7],</v>
      </c>
    </row>
    <row r="21" spans="2:30" ht="14.25" customHeight="1" x14ac:dyDescent="0.45">
      <c r="Y21" t="s">
        <v>144</v>
      </c>
      <c r="AD21" s="35" t="str">
        <f t="shared" si="3"/>
        <v>"PartATC":[2,3,1.5],</v>
      </c>
    </row>
    <row r="22" spans="2:30" ht="14.25" customHeight="1" x14ac:dyDescent="0.9">
      <c r="B22" s="133" t="s">
        <v>95</v>
      </c>
      <c r="C22" s="133"/>
      <c r="D22" s="64"/>
      <c r="Y22" s="1" t="s">
        <v>103</v>
      </c>
      <c r="AD22" s="35" t="str">
        <f t="shared" si="3"/>
        <v>"PartBTC":[2,"Clarrie Jones",1,"William Kim",0,"N/A",1,"Clarrie Jones"],</v>
      </c>
    </row>
    <row r="23" spans="2:30" ht="14.25" customHeight="1" x14ac:dyDescent="0.9">
      <c r="B23" s="133"/>
      <c r="C23" s="133"/>
      <c r="D23" s="64"/>
      <c r="Y23" s="1" t="s">
        <v>62</v>
      </c>
      <c r="AD23" s="35" t="str">
        <f t="shared" si="3"/>
        <v>"PartCTC":[9,1,0,2,2,3],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"PartDTC":[1,2,33.3,1,1,50],</v>
      </c>
    </row>
    <row r="25" spans="2:30" ht="14.25" customHeight="1" x14ac:dyDescent="0.9">
      <c r="B25" s="115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"PartAGM":[2,3,1.5],</v>
      </c>
    </row>
    <row r="26" spans="2:30" ht="14.25" customHeight="1" x14ac:dyDescent="0.9">
      <c r="B26" s="115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"PartBGM":[3,"Michael Iffland",2,"Michael Iffland",1,"N/A",0,"N/A"],</v>
      </c>
    </row>
    <row r="27" spans="2:30" ht="14.25" customHeight="1" x14ac:dyDescent="0.45">
      <c r="B27" s="115" t="str">
        <f>D49&amp;":["&amp;D50&amp;D51&amp;D52&amp;D53&amp;D54&amp;D55&amp;D56&amp;D57&amp;D58&amp;D59&amp;D60&amp;D61&amp;D62&amp;D63&amp;D64&amp;D65&amp;"],"</f>
        <v>"PPG":[0,0,5,2,3,0,0,2,1,2,1,0,1,2,1,"0"],</v>
      </c>
      <c r="AD27" s="35" t="str">
        <f t="shared" si="3"/>
        <v>"PartCGM":[6,5,1,0,2,3],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"TP":[0,0,5,2,3,0,0,2,1,2,1,0,1,2,1,"0"],</v>
      </c>
      <c r="AD28" s="35" t="str">
        <f t="shared" si="3"/>
        <v>"PartDGM":[1,2,33.3,1,1,50],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"FPG":[0,0,5,2,2,0,0,0,1,2,0,0,1,0,1,"0"],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"TF":[0,0,5,2,2,0,0,0,1,2,0,0,1,0,1,"0"],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"MPG":[0,0,0,0,1,0,0,0,0,0,1,0,0,0,0,"0"],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"TM":[0,0,0,0,1,0,0,0,0,0,1,0,0,0,0,"0"],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"TPG":[0,0,0,0,0,0,0,1,0,0,0,0,0,1,0,"0"],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"TT":[0,0,0,0,0,0,0,1,0,0,0,0,0,1,0,"0"],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"Missed":[0,0,0,0,0,0,0,0,0,0,0,0,0,0,0,"0"],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5,</v>
      </c>
      <c r="E52" s="12" t="str">
        <f t="shared" si="7"/>
        <v>5,</v>
      </c>
      <c r="F52" s="12" t="str">
        <f t="shared" si="8"/>
        <v>5,</v>
      </c>
      <c r="G52" s="12" t="str">
        <f t="shared" si="9"/>
        <v>5,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0,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2,</v>
      </c>
      <c r="E53" s="12" t="str">
        <f t="shared" si="7"/>
        <v>2,</v>
      </c>
      <c r="F53" s="12" t="str">
        <f t="shared" si="8"/>
        <v>2,</v>
      </c>
      <c r="G53" s="12" t="str">
        <f t="shared" si="9"/>
        <v>2,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3,</v>
      </c>
      <c r="E54" s="12" t="str">
        <f t="shared" si="7"/>
        <v>3,</v>
      </c>
      <c r="F54" s="12" t="str">
        <f t="shared" si="8"/>
        <v>2,</v>
      </c>
      <c r="G54" s="12" t="str">
        <f t="shared" si="9"/>
        <v>2,</v>
      </c>
      <c r="H54" s="12" t="str">
        <f t="shared" si="10"/>
        <v>1,</v>
      </c>
      <c r="I54" s="12" t="str">
        <f t="shared" si="11"/>
        <v>1,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0,</v>
      </c>
      <c r="E55" s="12" t="str">
        <f t="shared" si="7"/>
        <v>0,</v>
      </c>
      <c r="F55" s="12" t="str">
        <f t="shared" si="8"/>
        <v>0,</v>
      </c>
      <c r="G55" s="12" t="str">
        <f t="shared" si="9"/>
        <v>0,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0,</v>
      </c>
      <c r="E56" s="12" t="str">
        <f t="shared" si="7"/>
        <v>0,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0,</v>
      </c>
      <c r="I56" s="12" t="str">
        <f t="shared" si="11"/>
        <v>0,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2,</v>
      </c>
      <c r="E57" s="12" t="str">
        <f t="shared" si="7"/>
        <v>2,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1,</v>
      </c>
      <c r="K57" s="12" t="str">
        <f t="shared" si="13"/>
        <v>1,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1,</v>
      </c>
      <c r="E58" s="12" t="str">
        <f t="shared" si="7"/>
        <v>1,</v>
      </c>
      <c r="F58" s="12" t="str">
        <f t="shared" si="8"/>
        <v>1,</v>
      </c>
      <c r="G58" s="12" t="str">
        <f t="shared" si="9"/>
        <v>1,</v>
      </c>
      <c r="H58" s="12" t="str">
        <f t="shared" si="10"/>
        <v>0,</v>
      </c>
      <c r="I58" s="12" t="str">
        <f t="shared" si="11"/>
        <v>0,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2,</v>
      </c>
      <c r="E59" s="12" t="str">
        <f t="shared" si="7"/>
        <v>2,</v>
      </c>
      <c r="F59" s="12" t="str">
        <f t="shared" si="8"/>
        <v>2,</v>
      </c>
      <c r="G59" s="12" t="str">
        <f t="shared" si="9"/>
        <v>2,</v>
      </c>
      <c r="H59" s="12" t="str">
        <f t="shared" si="10"/>
        <v>0,</v>
      </c>
      <c r="I59" s="12" t="str">
        <f t="shared" si="11"/>
        <v>0,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1,</v>
      </c>
      <c r="E60" s="12" t="str">
        <f t="shared" si="7"/>
        <v>1,</v>
      </c>
      <c r="F60" s="12" t="str">
        <f t="shared" si="8"/>
        <v>0,</v>
      </c>
      <c r="G60" s="12" t="str">
        <f t="shared" si="9"/>
        <v>0,</v>
      </c>
      <c r="H60" s="12" t="str">
        <f t="shared" si="10"/>
        <v>1,</v>
      </c>
      <c r="I60" s="12" t="str">
        <f t="shared" si="11"/>
        <v>1,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0,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1,</v>
      </c>
      <c r="E62" s="12" t="str">
        <f t="shared" si="7"/>
        <v>1,</v>
      </c>
      <c r="F62" s="12" t="str">
        <f t="shared" si="8"/>
        <v>1,</v>
      </c>
      <c r="G62" s="12" t="str">
        <f t="shared" si="9"/>
        <v>1,</v>
      </c>
      <c r="H62" s="12" t="str">
        <f t="shared" si="10"/>
        <v>0,</v>
      </c>
      <c r="I62" s="12" t="str">
        <f t="shared" si="11"/>
        <v>0,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2,</v>
      </c>
      <c r="E63" s="12" t="str">
        <f t="shared" si="7"/>
        <v>2,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1,</v>
      </c>
      <c r="K63" s="12" t="str">
        <f t="shared" ref="K63:L63" si="35">K16&amp;","</f>
        <v>1,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1,</v>
      </c>
      <c r="E64" s="12" t="str">
        <f t="shared" si="7"/>
        <v>1,</v>
      </c>
      <c r="F64" s="12" t="str">
        <f t="shared" si="8"/>
        <v>1,</v>
      </c>
      <c r="G64" s="12" t="str">
        <f t="shared" si="9"/>
        <v>1,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0,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W1" zoomScale="89" workbookViewId="0">
      <selection activeCell="W7" sqref="A7:XFD7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0.05</v>
      </c>
    </row>
    <row r="5" spans="1:55" ht="14.25" customHeight="1" x14ac:dyDescent="0.45">
      <c r="B5" s="124" t="str">
        <f>'2401'!C45</f>
        <v>24 January</v>
      </c>
      <c r="C5" s="124">
        <f>'2401'!D45</f>
        <v>4</v>
      </c>
      <c r="D5" s="124">
        <f>'2401'!E45</f>
        <v>12</v>
      </c>
      <c r="E5" s="124">
        <f>'2401'!F45</f>
        <v>2</v>
      </c>
      <c r="F5" s="124">
        <f>'2401'!G45</f>
        <v>4</v>
      </c>
      <c r="G5" s="124">
        <f>'2401'!H45</f>
        <v>1</v>
      </c>
      <c r="H5" s="124">
        <f>'2401'!I45</f>
        <v>1</v>
      </c>
      <c r="I5" s="124">
        <f>'2401'!J45</f>
        <v>2</v>
      </c>
      <c r="J5" s="124">
        <f>'2401'!K45</f>
        <v>2</v>
      </c>
      <c r="K5" s="124">
        <f>'2401'!L45</f>
        <v>1</v>
      </c>
      <c r="L5" s="124">
        <f>'2401'!M45</f>
        <v>2</v>
      </c>
      <c r="M5" s="124">
        <f>'2401'!N45</f>
        <v>2</v>
      </c>
      <c r="N5" s="124">
        <f>'2401'!O45</f>
        <v>1</v>
      </c>
      <c r="O5" s="124">
        <f>'2401'!P45</f>
        <v>3</v>
      </c>
      <c r="P5" s="124">
        <f>'2401'!Q45</f>
        <v>1.5</v>
      </c>
      <c r="Q5" s="124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S6" s="3">
        <f>SUM(C5:E40)/COUNT(C5:C40)</f>
        <v>18</v>
      </c>
      <c r="T6" s="113">
        <f>AVERAGE(C5:C40)</f>
        <v>4</v>
      </c>
      <c r="U6" s="113">
        <f>AVERAGE(D5:D40)</f>
        <v>12</v>
      </c>
      <c r="V6" s="113">
        <f>AVERAGE(E5:E40)</f>
        <v>2</v>
      </c>
      <c r="Z6" s="48" t="s">
        <v>134</v>
      </c>
      <c r="AA6" s="6">
        <f>AA47+AA67+AA27+AL47+AL67+AA87+AL27</f>
        <v>1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S7" s="2" t="s">
        <v>72</v>
      </c>
      <c r="T7" s="4">
        <f>T6/$S$6</f>
        <v>0.22222222222222221</v>
      </c>
      <c r="U7" s="4">
        <f>U6/$S$6</f>
        <v>0.66666666666666663</v>
      </c>
      <c r="V7" s="4">
        <f>V6/$S$6</f>
        <v>0.1111111111111111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5"/>
      <c r="AR7" s="86" t="s">
        <v>153</v>
      </c>
      <c r="AS7" s="39" t="s">
        <v>154</v>
      </c>
      <c r="AT7" s="91" t="s">
        <v>157</v>
      </c>
      <c r="AU7" s="93" t="s">
        <v>158</v>
      </c>
      <c r="AW7" s="1"/>
      <c r="AX7" s="90"/>
      <c r="AY7" s="90"/>
      <c r="AZ7" s="90"/>
      <c r="BA7" s="90"/>
      <c r="BB7" s="90"/>
      <c r="BC7" s="90"/>
    </row>
    <row r="8" spans="1:55" ht="14.25" customHeight="1" x14ac:dyDescent="0.4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7" t="str">
        <f>SfW!B3</f>
        <v>Jasper Collier</v>
      </c>
      <c r="AA8" s="98">
        <f t="shared" ref="AA8:AA23" si="0">SUM(AA29,AA49,AL49,AA69,AL69,AA89,AL29)</f>
        <v>0</v>
      </c>
      <c r="AB8" s="99">
        <f>IF($AA$6-Table1[[#This Row],[Missed Games]]=0, 0,Table1[[#This Row],[Points]]/($AA$6-Table1[[#This Row],[Missed Games]]))</f>
        <v>0</v>
      </c>
      <c r="AC8" s="100">
        <f t="shared" ref="AC8:AC23" si="1">SUM(AB29,AB49,AM49,AB69,AM69,AB89,AM29)</f>
        <v>0</v>
      </c>
      <c r="AD8" s="97">
        <f>IF($AA$6-Table1[[#This Row],[Missed Games]]=0, 0,Table1[[#This Row],[Finishes]]/($AA$6-Table1[[#This Row],[Missed Games]]))</f>
        <v>0</v>
      </c>
      <c r="AE8" s="100">
        <f t="shared" ref="AE8:AE23" si="2">SUM(AC29,AC49,AN49,AC69,AN69,AC89,AN29)</f>
        <v>0</v>
      </c>
      <c r="AF8" s="97">
        <f>IF($AA$6-Table1[[#This Row],[Missed Games]]=0, 0,Table1[[#This Row],[Midranges]]/($AA$6-Table1[[#This Row],[Missed Games]]))</f>
        <v>0</v>
      </c>
      <c r="AG8" s="100">
        <f t="shared" ref="AG8:AG23" si="3">SUM(AD29,AD49,AO49,AD69,AO69,AD89,AO29)</f>
        <v>0</v>
      </c>
      <c r="AH8" s="97">
        <f>IF($AA$6-Table1[[#This Row],[Missed Games]]=0, 0,Table1[[#This Row],[Threes]]/($AA$6-Table1[[#This Row],[Missed Games]]))</f>
        <v>0</v>
      </c>
      <c r="AI8" s="97" t="str">
        <f>SfW!C3</f>
        <v>Choc-Tops</v>
      </c>
      <c r="AJ8" s="101">
        <f t="shared" ref="AJ8:AJ23" si="4">SUM(AI29,AI49,AT49,AI69,AT69,AI89,AT29)</f>
        <v>0</v>
      </c>
      <c r="AK8" s="42"/>
      <c r="AL8" s="78" t="s">
        <v>0</v>
      </c>
      <c r="AM8" s="77">
        <f>AVERAGE(Table1[Average])</f>
        <v>1.25</v>
      </c>
      <c r="AN8" s="77">
        <f>MEDIAN(Table1[Average])</f>
        <v>1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1">
        <f>AP8-Table1[[#This Row],[Points]]</f>
        <v>9</v>
      </c>
      <c r="AS8" s="87">
        <f>Table1[[#This Row],[Points]]/(20-AA$5-Table1[[#This Row],[Missed Games]])</f>
        <v>0</v>
      </c>
      <c r="AT8" s="92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7" t="str">
        <f>SfW!B4</f>
        <v>Conor Farrington</v>
      </c>
      <c r="AA9" s="98">
        <f t="shared" si="0"/>
        <v>0</v>
      </c>
      <c r="AB9" s="99">
        <f>IF($AA$6-Table1[[#This Row],[Missed Games]]=0, 0,Table1[[#This Row],[Points]]/($AA$6-Table1[[#This Row],[Missed Games]]))</f>
        <v>0</v>
      </c>
      <c r="AC9" s="100">
        <f t="shared" si="1"/>
        <v>0</v>
      </c>
      <c r="AD9" s="97">
        <f>IF($AA$6-Table1[[#This Row],[Missed Games]]=0, 0,Table1[[#This Row],[Finishes]]/($AA$6-Table1[[#This Row],[Missed Games]]))</f>
        <v>0</v>
      </c>
      <c r="AE9" s="100">
        <f t="shared" si="2"/>
        <v>0</v>
      </c>
      <c r="AF9" s="97">
        <f>IF($AA$6-Table1[[#This Row],[Missed Games]]=0, 0,Table1[[#This Row],[Midranges]]/($AA$6-Table1[[#This Row],[Missed Games]]))</f>
        <v>0</v>
      </c>
      <c r="AG9" s="100">
        <f t="shared" si="3"/>
        <v>0</v>
      </c>
      <c r="AH9" s="97">
        <f>IF($AA$6-Table1[[#This Row],[Missed Games]]=0, 0,Table1[[#This Row],[Threes]]/($AA$6-Table1[[#This Row],[Missed Games]]))</f>
        <v>0</v>
      </c>
      <c r="AI9" s="97" t="str">
        <f>SfW!C4</f>
        <v>Gentle, Men</v>
      </c>
      <c r="AJ9" s="101">
        <f t="shared" si="4"/>
        <v>0</v>
      </c>
      <c r="AK9" s="42"/>
      <c r="AL9" s="78" t="s">
        <v>1</v>
      </c>
      <c r="AM9" s="77">
        <f>AVERAGE(Table1[Finishes])</f>
        <v>0.875</v>
      </c>
      <c r="AN9" s="77">
        <f>MEDIAN(Table1[Finishes])</f>
        <v>0</v>
      </c>
      <c r="AO9" s="82"/>
      <c r="AP9" s="13">
        <f>_xlfn.CEILING.MATH('[1]Stats Global'!R9*(20-$AA$5-$AJ9))</f>
        <v>12</v>
      </c>
      <c r="AQ9" s="20">
        <f>Table1[[#This Row],[Points]]/AP9</f>
        <v>0</v>
      </c>
      <c r="AR9" s="81">
        <f>AP9-Table1[[#This Row],[Points]]</f>
        <v>12</v>
      </c>
      <c r="AS9" s="87">
        <f>Table1[[#This Row],[Points]]/(20-AA$5-Table1[[#This Row],[Missed Games]])</f>
        <v>0</v>
      </c>
      <c r="AT9" s="92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7" t="str">
        <f>SfW!B5</f>
        <v>Alexander Galt</v>
      </c>
      <c r="AA10" s="44">
        <f t="shared" si="0"/>
        <v>5</v>
      </c>
      <c r="AB10" s="45">
        <f>IF($AA$6-Table1[[#This Row],[Missed Games]]=0, 0,Table1[[#This Row],[Points]]/($AA$6-Table1[[#This Row],[Missed Games]]))</f>
        <v>5</v>
      </c>
      <c r="AC10" s="46">
        <f t="shared" si="1"/>
        <v>5</v>
      </c>
      <c r="AD10" s="43">
        <f>IF($AA$6-Table1[[#This Row],[Missed Games]]=0, 0,Table1[[#This Row],[Finishes]]/($AA$6-Table1[[#This Row],[Missed Games]]))</f>
        <v>5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0</v>
      </c>
      <c r="AK10" s="42"/>
      <c r="AL10" s="78" t="s">
        <v>146</v>
      </c>
      <c r="AM10" s="77">
        <f>AVERAGE(Table1[Midranges])</f>
        <v>0.125</v>
      </c>
      <c r="AN10" s="77">
        <f>MEDIAN(Table1[Midranges])</f>
        <v>0</v>
      </c>
      <c r="AO10" s="23"/>
      <c r="AP10" s="13">
        <f>_xlfn.CEILING.MATH('[1]Stats Global'!R10*(20-$AA$5-$AJ10))</f>
        <v>63</v>
      </c>
      <c r="AQ10" s="20">
        <f>Table1[[#This Row],[Points]]/AP10</f>
        <v>7.9365079365079361E-2</v>
      </c>
      <c r="AR10" s="81">
        <f>AP10-Table1[[#This Row],[Points]]</f>
        <v>58</v>
      </c>
      <c r="AS10" s="87">
        <f>Table1[[#This Row],[Points]]/(20-AA$5-Table1[[#This Row],[Missed Games]])</f>
        <v>0.25</v>
      </c>
      <c r="AT10" s="92">
        <f>Table1[[#This Row],[Average]]-'[1]Stats Global'!R10</f>
        <v>1.8571428571428572</v>
      </c>
      <c r="AU10" s="20">
        <f>(Table1[[#This Row],[Average]]-'[1]Stats Global'!R10)/'[1]Stats Global'!R10</f>
        <v>0.59090909090909094</v>
      </c>
      <c r="AW10" s="1"/>
    </row>
    <row r="11" spans="1:55" ht="14.25" customHeight="1" x14ac:dyDescent="0.4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7" t="str">
        <f>SfW!B6</f>
        <v>Rudy Hoschke</v>
      </c>
      <c r="AA11" s="44">
        <f t="shared" si="0"/>
        <v>2</v>
      </c>
      <c r="AB11" s="45">
        <f>IF($AA$6-Table1[[#This Row],[Missed Games]]=0, 0,Table1[[#This Row],[Points]]/($AA$6-Table1[[#This Row],[Missed Games]]))</f>
        <v>2</v>
      </c>
      <c r="AC11" s="46">
        <f t="shared" si="1"/>
        <v>2</v>
      </c>
      <c r="AD11" s="43">
        <f>IF($AA$6-Table1[[#This Row],[Missed Games]]=0, 0,Table1[[#This Row],[Finishes]]/($AA$6-Table1[[#This Row],[Missed Games]]))</f>
        <v>2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8" t="s">
        <v>3</v>
      </c>
      <c r="AM11" s="77">
        <f>AVERAGE(Table1[Threes])</f>
        <v>0.125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3.5087719298245612E-2</v>
      </c>
      <c r="AR11" s="81">
        <f>AP11-Table1[[#This Row],[Points]]</f>
        <v>55</v>
      </c>
      <c r="AS11" s="87">
        <f>Table1[[#This Row],[Points]]/(20-AA$5-Table1[[#This Row],[Missed Games]])</f>
        <v>0.1</v>
      </c>
      <c r="AT11" s="92">
        <f>Table1[[#This Row],[Average]]-'[1]Stats Global'!R11</f>
        <v>-0.8125</v>
      </c>
      <c r="AU11" s="20">
        <f>(Table1[[#This Row],[Average]]-'[1]Stats Global'!R11)/'[1]Stats Global'!R11</f>
        <v>-0.28888888888888886</v>
      </c>
      <c r="AW11" s="1"/>
    </row>
    <row r="12" spans="1:55" ht="14.25" customHeight="1" x14ac:dyDescent="0.4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7" t="str">
        <f>SfW!B7</f>
        <v>Michael Iffland</v>
      </c>
      <c r="AA12" s="44">
        <f t="shared" si="0"/>
        <v>3</v>
      </c>
      <c r="AB12" s="45">
        <f>IF($AA$6-Table1[[#This Row],[Missed Games]]=0, 0,Table1[[#This Row],[Points]]/($AA$6-Table1[[#This Row],[Missed Games]]))</f>
        <v>3</v>
      </c>
      <c r="AC12" s="46">
        <f t="shared" si="1"/>
        <v>2</v>
      </c>
      <c r="AD12" s="43">
        <f>IF($AA$6-Table1[[#This Row],[Missed Games]]=0, 0,Table1[[#This Row],[Finishes]]/($AA$6-Table1[[#This Row],[Missed Games]]))</f>
        <v>2</v>
      </c>
      <c r="AE12" s="46">
        <f t="shared" si="2"/>
        <v>1</v>
      </c>
      <c r="AF12" s="43">
        <f>IF($AA$6-Table1[[#This Row],[Missed Games]]=0, 0,Table1[[#This Row],[Midranges]]/($AA$6-Table1[[#This Row],[Missed Games]]))</f>
        <v>1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7.1428571428571425E-2</v>
      </c>
      <c r="AR12" s="81">
        <f>AP12-Table1[[#This Row],[Points]]</f>
        <v>39</v>
      </c>
      <c r="AS12" s="87">
        <f>Table1[[#This Row],[Points]]/(20-AA$5-Table1[[#This Row],[Missed Games]])</f>
        <v>0.15</v>
      </c>
      <c r="AT12" s="92">
        <f>Table1[[#This Row],[Average]]-'[1]Stats Global'!R12</f>
        <v>0.9411764705882355</v>
      </c>
      <c r="AU12" s="20">
        <f>(Table1[[#This Row],[Average]]-'[1]Stats Global'!R12)/'[1]Stats Global'!R12</f>
        <v>0.4571428571428573</v>
      </c>
      <c r="AW12" s="1"/>
    </row>
    <row r="13" spans="1:55" ht="14.25" customHeight="1" x14ac:dyDescent="0.4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7" t="str">
        <f>SfW!B8</f>
        <v>Lukas Johnston</v>
      </c>
      <c r="AA13" s="98">
        <f t="shared" si="0"/>
        <v>0</v>
      </c>
      <c r="AB13" s="99">
        <f>IF($AA$6-Table1[[#This Row],[Missed Games]]=0, 0,Table1[[#This Row],[Points]]/($AA$6-Table1[[#This Row],[Missed Games]]))</f>
        <v>0</v>
      </c>
      <c r="AC13" s="100">
        <f t="shared" si="1"/>
        <v>0</v>
      </c>
      <c r="AD13" s="97">
        <f>IF($AA$6-Table1[[#This Row],[Missed Games]]=0, 0,Table1[[#This Row],[Finishes]]/($AA$6-Table1[[#This Row],[Missed Games]]))</f>
        <v>0</v>
      </c>
      <c r="AE13" s="100">
        <f t="shared" si="2"/>
        <v>0</v>
      </c>
      <c r="AF13" s="97">
        <f>IF($AA$6-Table1[[#This Row],[Missed Games]]=0, 0,Table1[[#This Row],[Midranges]]/($AA$6-Table1[[#This Row],[Missed Games]]))</f>
        <v>0</v>
      </c>
      <c r="AG13" s="100">
        <f t="shared" si="3"/>
        <v>0</v>
      </c>
      <c r="AH13" s="97">
        <f>IF($AA$6-Table1[[#This Row],[Missed Games]]=0, 0,Table1[[#This Row],[Threes]]/($AA$6-Table1[[#This Row],[Missed Games]]))</f>
        <v>0</v>
      </c>
      <c r="AI13" s="97" t="str">
        <f>SfW!C8</f>
        <v>Gentle, Men</v>
      </c>
      <c r="AJ13" s="101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</v>
      </c>
      <c r="AR13" s="81">
        <f>AP13-Table1[[#This Row],[Points]]</f>
        <v>23</v>
      </c>
      <c r="AS13" s="87">
        <f>Table1[[#This Row],[Points]]/(20-AA$5-Table1[[#This Row],[Missed Games]])</f>
        <v>0</v>
      </c>
      <c r="AT13" s="92">
        <f>Table1[[#This Row],[Average]]-'[1]Stats Global'!R13</f>
        <v>-1.1428571428571428</v>
      </c>
      <c r="AU13" s="20">
        <f>(Table1[[#This Row],[Average]]-'[1]Stats Global'!R13)/'[1]Stats Global'!R13</f>
        <v>-1</v>
      </c>
      <c r="AW13" s="1"/>
    </row>
    <row r="14" spans="1:55" ht="14.25" customHeight="1" x14ac:dyDescent="0.4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7" t="str">
        <f>SfW!B9</f>
        <v>Sam James</v>
      </c>
      <c r="AA14" s="98">
        <f t="shared" si="0"/>
        <v>0</v>
      </c>
      <c r="AB14" s="99">
        <f>IF($AA$6-Table1[[#This Row],[Missed Games]]=0, 0,Table1[[#This Row],[Points]]/($AA$6-Table1[[#This Row],[Missed Games]]))</f>
        <v>0</v>
      </c>
      <c r="AC14" s="100">
        <f t="shared" si="1"/>
        <v>0</v>
      </c>
      <c r="AD14" s="97">
        <f>IF($AA$6-Table1[[#This Row],[Missed Games]]=0, 0,Table1[[#This Row],[Finishes]]/($AA$6-Table1[[#This Row],[Missed Games]]))</f>
        <v>0</v>
      </c>
      <c r="AE14" s="100">
        <f t="shared" si="2"/>
        <v>0</v>
      </c>
      <c r="AF14" s="97">
        <f>IF($AA$6-Table1[[#This Row],[Missed Games]]=0, 0,Table1[[#This Row],[Midranges]]/($AA$6-Table1[[#This Row],[Missed Games]]))</f>
        <v>0</v>
      </c>
      <c r="AG14" s="100">
        <f t="shared" si="3"/>
        <v>0</v>
      </c>
      <c r="AH14" s="97">
        <f>IF($AA$6-Table1[[#This Row],[Missed Games]]=0, 0,Table1[[#This Row],[Threes]]/($AA$6-Table1[[#This Row],[Missed Games]]))</f>
        <v>0</v>
      </c>
      <c r="AI14" s="97" t="str">
        <f>SfW!C9</f>
        <v>Traffic Controllers</v>
      </c>
      <c r="AJ14" s="101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</v>
      </c>
      <c r="AR14" s="81">
        <f>AP14-Table1[[#This Row],[Points]]</f>
        <v>7</v>
      </c>
      <c r="AS14" s="87">
        <f>Table1[[#This Row],[Points]]/(20-AA$5-Table1[[#This Row],[Missed Games]])</f>
        <v>0</v>
      </c>
      <c r="AT14" s="92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7" t="str">
        <f>SfW!B10</f>
        <v>Clarrie Jones</v>
      </c>
      <c r="AA15" s="98">
        <f t="shared" si="0"/>
        <v>2</v>
      </c>
      <c r="AB15" s="99">
        <f>IF($AA$6-Table1[[#This Row],[Missed Games]]=0, 0,Table1[[#This Row],[Points]]/($AA$6-Table1[[#This Row],[Missed Games]]))</f>
        <v>2</v>
      </c>
      <c r="AC15" s="100">
        <f t="shared" si="1"/>
        <v>0</v>
      </c>
      <c r="AD15" s="97">
        <f>IF($AA$6-Table1[[#This Row],[Missed Games]]=0, 0,Table1[[#This Row],[Finishes]]/($AA$6-Table1[[#This Row],[Missed Games]]))</f>
        <v>0</v>
      </c>
      <c r="AE15" s="100">
        <f t="shared" si="2"/>
        <v>0</v>
      </c>
      <c r="AF15" s="97">
        <f>IF($AA$6-Table1[[#This Row],[Missed Games]]=0, 0,Table1[[#This Row],[Midranges]]/($AA$6-Table1[[#This Row],[Missed Games]]))</f>
        <v>0</v>
      </c>
      <c r="AG15" s="100">
        <f t="shared" si="3"/>
        <v>1</v>
      </c>
      <c r="AH15" s="97">
        <f>IF($AA$6-Table1[[#This Row],[Missed Games]]=0, 0,Table1[[#This Row],[Threes]]/($AA$6-Table1[[#This Row],[Missed Games]]))</f>
        <v>1</v>
      </c>
      <c r="AI15" s="97" t="str">
        <f>SfW!C10</f>
        <v>Traffic Controllers</v>
      </c>
      <c r="AJ15" s="101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6.25E-2</v>
      </c>
      <c r="AR15" s="81">
        <f>AP15-Table1[[#This Row],[Points]]</f>
        <v>30</v>
      </c>
      <c r="AS15" s="87">
        <f>Table1[[#This Row],[Points]]/(20-AA$5-Table1[[#This Row],[Missed Games]])</f>
        <v>0.1</v>
      </c>
      <c r="AT15" s="92">
        <f>Table1[[#This Row],[Average]]-'[1]Stats Global'!R14</f>
        <v>0.41176470588235303</v>
      </c>
      <c r="AU15" s="20">
        <f>(Table1[[#This Row],[Average]]-'[1]Stats Global'!R14)/'[1]Stats Global'!R14</f>
        <v>0.25925925925925936</v>
      </c>
      <c r="AW15" s="1"/>
    </row>
    <row r="16" spans="1:55" ht="14.25" customHeight="1" x14ac:dyDescent="0.4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7" t="str">
        <f>SfW!B11</f>
        <v>William Kim</v>
      </c>
      <c r="AA16" s="44">
        <f t="shared" si="0"/>
        <v>1</v>
      </c>
      <c r="AB16" s="45">
        <f>IF($AA$6-Table1[[#This Row],[Missed Games]]=0, 0,Table1[[#This Row],[Points]]/($AA$6-Table1[[#This Row],[Missed Games]]))</f>
        <v>1</v>
      </c>
      <c r="AC16" s="46">
        <f t="shared" si="1"/>
        <v>1</v>
      </c>
      <c r="AD16" s="43">
        <f>IF($AA$6-Table1[[#This Row],[Missed Games]]=0, 0,Table1[[#This Row],[Finishes]]/($AA$6-Table1[[#This Row],[Missed Games]]))</f>
        <v>1</v>
      </c>
      <c r="AE16" s="46">
        <f t="shared" si="2"/>
        <v>0</v>
      </c>
      <c r="AF16" s="43">
        <f>IF($AA$6-Table1[[#This Row],[Missed Games]]=0, 0,Table1[[#This Row],[Midranges]]/($AA$6-Table1[[#This Row],[Missed Games]]))</f>
        <v>0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3.4482758620689655E-2</v>
      </c>
      <c r="AR16" s="81">
        <f>AP16-Table1[[#This Row],[Points]]</f>
        <v>28</v>
      </c>
      <c r="AS16" s="87">
        <f>Table1[[#This Row],[Points]]/(20-AA$5-Table1[[#This Row],[Missed Games]])</f>
        <v>0.05</v>
      </c>
      <c r="AT16" s="92">
        <f>Table1[[#This Row],[Average]]-'[1]Stats Global'!R15</f>
        <v>-0.41176470588235303</v>
      </c>
      <c r="AU16" s="20">
        <f>(Table1[[#This Row],[Average]]-'[1]Stats Global'!R15)/'[1]Stats Global'!R15</f>
        <v>-0.29166666666666669</v>
      </c>
      <c r="AW16" s="1"/>
    </row>
    <row r="17" spans="2:49" ht="14.25" customHeight="1" x14ac:dyDescent="0.4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7" t="str">
        <f>SfW!B12</f>
        <v>Samuel McConaghy</v>
      </c>
      <c r="AA17" s="44">
        <f t="shared" si="0"/>
        <v>2</v>
      </c>
      <c r="AB17" s="45">
        <f>IF($AA$6-Table1[[#This Row],[Missed Games]]=0, 0,Table1[[#This Row],[Points]]/($AA$6-Table1[[#This Row],[Missed Games]]))</f>
        <v>2</v>
      </c>
      <c r="AC17" s="46">
        <f t="shared" si="1"/>
        <v>2</v>
      </c>
      <c r="AD17" s="43">
        <f>IF($AA$6-Table1[[#This Row],[Missed Games]]=0, 0,Table1[[#This Row],[Finishes]]/($AA$6-Table1[[#This Row],[Missed Games]]))</f>
        <v>2</v>
      </c>
      <c r="AE17" s="46">
        <f t="shared" si="2"/>
        <v>0</v>
      </c>
      <c r="AF17" s="43">
        <f>IF($AA$6-Table1[[#This Row],[Missed Games]]=0, 0,Table1[[#This Row],[Midranges]]/($AA$6-Table1[[#This Row],[Missed Games]]))</f>
        <v>0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3.9215686274509803E-2</v>
      </c>
      <c r="AR17" s="81">
        <f>AP17-Table1[[#This Row],[Points]]</f>
        <v>49</v>
      </c>
      <c r="AS17" s="87">
        <f>Table1[[#This Row],[Points]]/(20-AA$5-Table1[[#This Row],[Missed Games]])</f>
        <v>0.1</v>
      </c>
      <c r="AT17" s="92">
        <f>Table1[[#This Row],[Average]]-'[1]Stats Global'!R16</f>
        <v>-0.53333333333333321</v>
      </c>
      <c r="AU17" s="20">
        <f>(Table1[[#This Row],[Average]]-'[1]Stats Global'!R16)/'[1]Stats Global'!R16</f>
        <v>-0.21052631578947364</v>
      </c>
      <c r="AW17" s="1"/>
    </row>
    <row r="18" spans="2:49" ht="14.25" customHeight="1" x14ac:dyDescent="0.4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7" t="str">
        <f>SfW!B13</f>
        <v>Ryan Pattemore</v>
      </c>
      <c r="AA18" s="98">
        <f t="shared" si="0"/>
        <v>1</v>
      </c>
      <c r="AB18" s="99">
        <f>IF($AA$6-Table1[[#This Row],[Missed Games]]=0, 0,Table1[[#This Row],[Points]]/($AA$6-Table1[[#This Row],[Missed Games]]))</f>
        <v>1</v>
      </c>
      <c r="AC18" s="100">
        <f t="shared" si="1"/>
        <v>0</v>
      </c>
      <c r="AD18" s="97">
        <f>IF($AA$6-Table1[[#This Row],[Missed Games]]=0, 0,Table1[[#This Row],[Finishes]]/($AA$6-Table1[[#This Row],[Missed Games]]))</f>
        <v>0</v>
      </c>
      <c r="AE18" s="100">
        <f t="shared" si="2"/>
        <v>1</v>
      </c>
      <c r="AF18" s="97">
        <f>IF($AA$6-Table1[[#This Row],[Missed Games]]=0, 0,Table1[[#This Row],[Midranges]]/($AA$6-Table1[[#This Row],[Missed Games]]))</f>
        <v>1</v>
      </c>
      <c r="AG18" s="100">
        <f t="shared" si="3"/>
        <v>0</v>
      </c>
      <c r="AH18" s="97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1">
        <f t="shared" si="4"/>
        <v>0</v>
      </c>
      <c r="AK18" s="42"/>
      <c r="AL18" s="42"/>
      <c r="AM18" s="42"/>
      <c r="AO18" s="23"/>
      <c r="AP18" s="13">
        <f>_xlfn.CEILING.MATH('[1]Stats Global'!R17*(20-$AA$5-$AJ18))</f>
        <v>18</v>
      </c>
      <c r="AQ18" s="20">
        <f>Table1[[#This Row],[Points]]/AP18</f>
        <v>5.5555555555555552E-2</v>
      </c>
      <c r="AR18" s="81">
        <f>AP18-Table1[[#This Row],[Points]]</f>
        <v>17</v>
      </c>
      <c r="AS18" s="87">
        <f>Table1[[#This Row],[Points]]/(20-AA$5-Table1[[#This Row],[Missed Games]])</f>
        <v>0.05</v>
      </c>
      <c r="AT18" s="92">
        <f>Table1[[#This Row],[Average]]-'[1]Stats Global'!R17</f>
        <v>0.125</v>
      </c>
      <c r="AU18" s="20">
        <f>(Table1[[#This Row],[Average]]-'[1]Stats Global'!R17)/'[1]Stats Global'!R17</f>
        <v>0.14285714285714285</v>
      </c>
      <c r="AW18" s="1"/>
    </row>
    <row r="19" spans="2:49" ht="14.25" customHeight="1" x14ac:dyDescent="0.4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Z19" s="97" t="str">
        <f>SfW!B14</f>
        <v>Nicholas Szogi</v>
      </c>
      <c r="AA19" s="98">
        <f t="shared" si="0"/>
        <v>0</v>
      </c>
      <c r="AB19" s="99">
        <f>IF($AA$6-Table1[[#This Row],[Missed Games]]=0, 0,Table1[[#This Row],[Points]]/($AA$6-Table1[[#This Row],[Missed Games]]))</f>
        <v>0</v>
      </c>
      <c r="AC19" s="100">
        <f t="shared" si="1"/>
        <v>0</v>
      </c>
      <c r="AD19" s="97">
        <f>IF($AA$6-Table1[[#This Row],[Missed Games]]=0, 0,Table1[[#This Row],[Finishes]]/($AA$6-Table1[[#This Row],[Missed Games]]))</f>
        <v>0</v>
      </c>
      <c r="AE19" s="100">
        <f t="shared" si="2"/>
        <v>0</v>
      </c>
      <c r="AF19" s="97">
        <f>IF($AA$6-Table1[[#This Row],[Missed Games]]=0, 0,Table1[[#This Row],[Midranges]]/($AA$6-Table1[[#This Row],[Missed Games]]))</f>
        <v>0</v>
      </c>
      <c r="AG19" s="100">
        <f t="shared" si="3"/>
        <v>0</v>
      </c>
      <c r="AH19" s="97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1">
        <f t="shared" si="4"/>
        <v>0</v>
      </c>
      <c r="AK19" s="42"/>
      <c r="AL19" s="42"/>
      <c r="AM19" s="42"/>
      <c r="AO19" s="23"/>
      <c r="AP19" s="13">
        <v>0</v>
      </c>
      <c r="AQ19" s="20">
        <v>1</v>
      </c>
      <c r="AR19" s="81">
        <f>AP19-Table1[[#This Row],[Points]]</f>
        <v>0</v>
      </c>
      <c r="AS19" s="87">
        <f>Table1[[#This Row],[Points]]/(20-AA$5-Table1[[#This Row],[Missed Games]])</f>
        <v>0</v>
      </c>
      <c r="AT19" s="92">
        <v>0</v>
      </c>
      <c r="AU19" s="25">
        <v>0</v>
      </c>
      <c r="AW19" s="1"/>
    </row>
    <row r="20" spans="2:49" ht="14.25" customHeight="1" x14ac:dyDescent="0.45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Z20" s="97" t="str">
        <f>SfW!B15</f>
        <v>Christopher Tomkinson</v>
      </c>
      <c r="AA20" s="98">
        <f t="shared" si="0"/>
        <v>1</v>
      </c>
      <c r="AB20" s="99">
        <f>IF($AA$6-Table1[[#This Row],[Missed Games]]=0, 0,Table1[[#This Row],[Points]]/($AA$6-Table1[[#This Row],[Missed Games]]))</f>
        <v>1</v>
      </c>
      <c r="AC20" s="100">
        <f t="shared" si="1"/>
        <v>1</v>
      </c>
      <c r="AD20" s="97">
        <f>IF($AA$6-Table1[[#This Row],[Missed Games]]=0, 0,Table1[[#This Row],[Finishes]]/($AA$6-Table1[[#This Row],[Missed Games]]))</f>
        <v>1</v>
      </c>
      <c r="AE20" s="100">
        <f t="shared" si="2"/>
        <v>0</v>
      </c>
      <c r="AF20" s="97">
        <f>IF($AA$6-Table1[[#This Row],[Missed Games]]=0, 0,Table1[[#This Row],[Midranges]]/($AA$6-Table1[[#This Row],[Missed Games]]))</f>
        <v>0</v>
      </c>
      <c r="AG20" s="100">
        <f t="shared" si="3"/>
        <v>0</v>
      </c>
      <c r="AH20" s="97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1">
        <f t="shared" si="4"/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4.5454545454545456E-2</v>
      </c>
      <c r="AR20" s="81">
        <f>AP20-Table1[[#This Row],[Points]]</f>
        <v>21</v>
      </c>
      <c r="AS20" s="87">
        <f>Table1[[#This Row],[Points]]/(20-AA$5-Table1[[#This Row],[Missed Games]])</f>
        <v>0.05</v>
      </c>
      <c r="AT20" s="92">
        <f>Table1[[#This Row],[Average]]-'[1]Stats Global'!R18</f>
        <v>-6.6666666666666652E-2</v>
      </c>
      <c r="AU20" s="20">
        <f>(Table1[[#This Row],[Average]]-'[1]Stats Global'!R18)/'[1]Stats Global'!R18</f>
        <v>-6.2499999999999986E-2</v>
      </c>
      <c r="AW20" s="1"/>
    </row>
    <row r="21" spans="2:49" ht="14.25" customHeight="1" x14ac:dyDescent="0.45"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Z21" s="97" t="str">
        <f>SfW!B16</f>
        <v>Angus Walker</v>
      </c>
      <c r="AA21" s="98">
        <f t="shared" si="0"/>
        <v>2</v>
      </c>
      <c r="AB21" s="99">
        <f>IF($AA$6-Table1[[#This Row],[Missed Games]]=0, 0,Table1[[#This Row],[Points]]/($AA$6-Table1[[#This Row],[Missed Games]]))</f>
        <v>2</v>
      </c>
      <c r="AC21" s="100">
        <f t="shared" si="1"/>
        <v>0</v>
      </c>
      <c r="AD21" s="97">
        <f>IF($AA$6-Table1[[#This Row],[Missed Games]]=0, 0,Table1[[#This Row],[Finishes]]/($AA$6-Table1[[#This Row],[Missed Games]]))</f>
        <v>0</v>
      </c>
      <c r="AE21" s="100">
        <f t="shared" si="2"/>
        <v>0</v>
      </c>
      <c r="AF21" s="97">
        <f>IF($AA$6-Table1[[#This Row],[Missed Games]]=0, 0,Table1[[#This Row],[Midranges]]/($AA$6-Table1[[#This Row],[Missed Games]]))</f>
        <v>0</v>
      </c>
      <c r="AG21" s="100">
        <f t="shared" si="3"/>
        <v>1</v>
      </c>
      <c r="AH21" s="97">
        <f>IF($AA$6-Table1[[#This Row],[Missed Games]]=0, 0,Table1[[#This Row],[Threes]]/($AA$6-Table1[[#This Row],[Missed Games]]))</f>
        <v>1</v>
      </c>
      <c r="AI21" s="43" t="str">
        <f>SfW!C16</f>
        <v>Traffic Controllers</v>
      </c>
      <c r="AJ21" s="101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9.0909090909090912E-2</v>
      </c>
      <c r="AR21" s="81">
        <f>AP21-Table1[[#This Row],[Points]]</f>
        <v>20</v>
      </c>
      <c r="AS21" s="87">
        <f>Table1[[#This Row],[Points]]/(20-AA$5-Table1[[#This Row],[Missed Games]])</f>
        <v>0.1</v>
      </c>
      <c r="AT21" s="92">
        <f>Table1[[#This Row],[Average]]-'[1]Stats Global'!R19</f>
        <v>0.94117647058823528</v>
      </c>
      <c r="AU21" s="20">
        <f>(Table1[[#This Row],[Average]]-'[1]Stats Global'!R19)/'[1]Stats Global'!R19</f>
        <v>0.88888888888888884</v>
      </c>
      <c r="AW21" s="1"/>
    </row>
    <row r="22" spans="2:49" ht="14.25" customHeight="1" x14ac:dyDescent="0.4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7" t="str">
        <f>SfW!B17</f>
        <v>Will Weekes</v>
      </c>
      <c r="AA22" s="44">
        <f t="shared" si="0"/>
        <v>1</v>
      </c>
      <c r="AB22" s="45">
        <f>IF($AA$6-Table1[[#This Row],[Missed Games]]=0, 0,Table1[[#This Row],[Points]]/($AA$6-Table1[[#This Row],[Missed Games]]))</f>
        <v>1</v>
      </c>
      <c r="AC22" s="46">
        <f t="shared" si="1"/>
        <v>1</v>
      </c>
      <c r="AD22" s="72">
        <f>IF($AA$6-Table1[[#This Row],[Missed Games]]=0, 0,Table1[[#This Row],[Finishes]]/($AA$6-Table1[[#This Row],[Missed Games]]))</f>
        <v>1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2.0408163265306121E-2</v>
      </c>
      <c r="AR22" s="81">
        <f>AP22-Table1[[#This Row],[Points]]</f>
        <v>48</v>
      </c>
      <c r="AS22" s="87">
        <f>Table1[[#This Row],[Points]]/(20-AA$5-Table1[[#This Row],[Missed Games]])</f>
        <v>0.05</v>
      </c>
      <c r="AT22" s="92">
        <f>Table1[[#This Row],[Average]]-'[1]Stats Global'!R20</f>
        <v>-1.4285714285714284</v>
      </c>
      <c r="AU22" s="20">
        <f>(Table1[[#This Row],[Average]]-'[1]Stats Global'!R20)/'[1]Stats Global'!R20</f>
        <v>-0.58823529411764708</v>
      </c>
      <c r="AW22" s="1"/>
    </row>
    <row r="23" spans="2:49" ht="14.25" customHeight="1" x14ac:dyDescent="0.4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7" t="str">
        <f>SfW!B18</f>
        <v>Mitch Yue</v>
      </c>
      <c r="AA23" s="98">
        <f t="shared" si="0"/>
        <v>0</v>
      </c>
      <c r="AB23" s="103">
        <f>IF($AA$6-Table1[[#This Row],[Missed Games]]=0, 0,Table1[[#This Row],[Points]]/($AA$6-Table1[[#This Row],[Missed Games]]))</f>
        <v>0</v>
      </c>
      <c r="AC23" s="100">
        <f t="shared" si="1"/>
        <v>0</v>
      </c>
      <c r="AD23" s="102">
        <f>IF($AA$6-Table1[[#This Row],[Missed Games]]=0, 0,Table1[[#This Row],[Finishes]]/($AA$6-Table1[[#This Row],[Missed Games]]))</f>
        <v>0</v>
      </c>
      <c r="AE23" s="100">
        <f t="shared" si="2"/>
        <v>0</v>
      </c>
      <c r="AF23" s="102">
        <f>IF($AA$6-Table1[[#This Row],[Missed Games]]=0, 0,Table1[[#This Row],[Midranges]]/($AA$6-Table1[[#This Row],[Missed Games]]))</f>
        <v>0</v>
      </c>
      <c r="AG23" s="100">
        <f t="shared" si="3"/>
        <v>0</v>
      </c>
      <c r="AH23" s="102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1">
        <f t="shared" si="4"/>
        <v>0</v>
      </c>
      <c r="AK23" s="42"/>
      <c r="AL23" s="42"/>
      <c r="AM23" s="42"/>
      <c r="AO23" s="23"/>
      <c r="AP23" s="13">
        <f>_xlfn.CEILING.MATH('[1]Stats Global'!R21*(20-$AA$5-$AJ23))</f>
        <v>3</v>
      </c>
      <c r="AQ23" s="20">
        <f>Table1[[#This Row],[Points]]/AP23</f>
        <v>0</v>
      </c>
      <c r="AR23" s="81">
        <f>AP23-Table1[[#This Row],[Points]]</f>
        <v>3</v>
      </c>
      <c r="AS23" s="87">
        <f>Table1[[#This Row],[Points]]/(20-AA$5-Table1[[#This Row],[Missed Games]])</f>
        <v>0</v>
      </c>
      <c r="AT23" s="92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7"/>
      <c r="AA24" s="98"/>
      <c r="AB24" s="99"/>
      <c r="AC24" s="100"/>
      <c r="AD24" s="97"/>
      <c r="AE24" s="100"/>
      <c r="AF24" s="97"/>
      <c r="AG24" s="100"/>
      <c r="AH24" s="97"/>
      <c r="AI24" s="97"/>
      <c r="AJ24" s="101"/>
      <c r="AL24" s="30"/>
      <c r="AN24" s="3"/>
      <c r="AP24" s="13"/>
      <c r="AQ24" s="20"/>
      <c r="AR24" s="81"/>
      <c r="AS24" s="87"/>
      <c r="AT24" s="92"/>
      <c r="AU24" s="20"/>
      <c r="AW24" s="1"/>
    </row>
    <row r="25" spans="2:49" ht="14.25" customHeight="1" x14ac:dyDescent="0.4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4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4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101</v>
      </c>
      <c r="AA27" s="1">
        <v>1</v>
      </c>
      <c r="AI27" s="2"/>
      <c r="AK27" s="1" t="s">
        <v>102</v>
      </c>
      <c r="AL27" s="1">
        <v>0</v>
      </c>
      <c r="AT27" s="2"/>
    </row>
    <row r="28" spans="2:49" ht="14.25" customHeight="1" x14ac:dyDescent="0.4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2"/>
      <c r="S29" t="s">
        <v>90</v>
      </c>
      <c r="X29" s="14"/>
      <c r="Y29" s="14"/>
      <c r="Z29" s="1" t="s">
        <v>25</v>
      </c>
      <c r="AA29" s="22">
        <f>'2401'!T3</f>
        <v>0</v>
      </c>
      <c r="AB29" s="22">
        <f>'2401'!U3</f>
        <v>0</v>
      </c>
      <c r="AC29" s="22">
        <f>'2401'!V3</f>
        <v>0</v>
      </c>
      <c r="AD29" s="22">
        <f>'2401'!W3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</f>
        <v>0</v>
      </c>
      <c r="AK29" s="1" t="s">
        <v>25</v>
      </c>
      <c r="AL29" s="22"/>
      <c r="AM29" s="22"/>
      <c r="AN29" s="22"/>
      <c r="AO29" s="22"/>
      <c r="AP29" s="22"/>
      <c r="AQ29" s="22"/>
      <c r="AR29" s="22"/>
      <c r="AS29" s="22"/>
      <c r="AT29" s="22"/>
    </row>
    <row r="30" spans="2:49" ht="14.25" customHeight="1" x14ac:dyDescent="0.4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2"/>
      <c r="S30" s="65" t="s">
        <v>136</v>
      </c>
      <c r="Z30" s="1" t="s">
        <v>26</v>
      </c>
      <c r="AA30" s="22">
        <f>'2401'!T4</f>
        <v>0</v>
      </c>
      <c r="AB30" s="22">
        <f>'2401'!U4</f>
        <v>0</v>
      </c>
      <c r="AC30" s="22">
        <f>'2401'!V4</f>
        <v>0</v>
      </c>
      <c r="AD30" s="22">
        <f>'2401'!W4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COUNT('2401'!X4)</f>
        <v>0</v>
      </c>
      <c r="AK30" s="1" t="s">
        <v>26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4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2"/>
      <c r="S31" s="65" t="s">
        <v>137</v>
      </c>
      <c r="Z31" s="1" t="s">
        <v>27</v>
      </c>
      <c r="AA31" s="22">
        <f>'2401'!T5</f>
        <v>5</v>
      </c>
      <c r="AB31" s="22">
        <f>'2401'!U5</f>
        <v>5</v>
      </c>
      <c r="AC31" s="22">
        <f>'2401'!V5</f>
        <v>0</v>
      </c>
      <c r="AD31" s="22">
        <f>'2401'!W5</f>
        <v>0</v>
      </c>
      <c r="AE31" s="6">
        <f>Table211[[#This Row],[Points]]/($AA$27-$AI31)</f>
        <v>5</v>
      </c>
      <c r="AF31" s="6">
        <f>Table211[[#This Row],[Finishes]]/($AA$27-$AI31)</f>
        <v>5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COUNT('2401'!X5)</f>
        <v>0</v>
      </c>
      <c r="AK31" s="1" t="s">
        <v>27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4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S32" s="65" t="s">
        <v>138</v>
      </c>
      <c r="X32" s="13"/>
      <c r="Z32" s="1" t="s">
        <v>30</v>
      </c>
      <c r="AA32" s="22">
        <f>'2401'!T6</f>
        <v>2</v>
      </c>
      <c r="AB32" s="22">
        <f>'2401'!U6</f>
        <v>2</v>
      </c>
      <c r="AC32" s="22">
        <f>'2401'!V6</f>
        <v>0</v>
      </c>
      <c r="AD32" s="22">
        <f>'2401'!W6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COUNT('2401'!X6)</f>
        <v>0</v>
      </c>
      <c r="AK32" s="1" t="s">
        <v>30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4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S33" s="65" t="s">
        <v>139</v>
      </c>
      <c r="Z33" s="1" t="s">
        <v>32</v>
      </c>
      <c r="AA33" s="22">
        <f>'2401'!T7</f>
        <v>3</v>
      </c>
      <c r="AB33" s="22">
        <f>'2401'!U7</f>
        <v>2</v>
      </c>
      <c r="AC33" s="22">
        <f>'2401'!V7</f>
        <v>1</v>
      </c>
      <c r="AD33" s="22">
        <f>'2401'!W7</f>
        <v>0</v>
      </c>
      <c r="AE33" s="6">
        <f>Table211[[#This Row],[Points]]/($AA$27-$AI33)</f>
        <v>3</v>
      </c>
      <c r="AF33" s="6">
        <f>Table211[[#This Row],[Finishes]]/($AA$27-$AI33)</f>
        <v>2</v>
      </c>
      <c r="AG33" s="6">
        <f>Table211[[#This Row],[Midranges]]/($AA$27-$AI33)</f>
        <v>1</v>
      </c>
      <c r="AH33" s="6">
        <f>Table211[[#This Row],[Threes]]/($AA$27-$AI33)</f>
        <v>0</v>
      </c>
      <c r="AI33" s="22">
        <f>COUNT('2401'!X7)</f>
        <v>0</v>
      </c>
      <c r="AK33" s="1" t="s">
        <v>32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4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S34" s="65" t="s">
        <v>140</v>
      </c>
      <c r="Z34" s="1" t="s">
        <v>37</v>
      </c>
      <c r="AA34" s="22">
        <f>'2401'!T8</f>
        <v>0</v>
      </c>
      <c r="AB34" s="22">
        <f>'2401'!U8</f>
        <v>0</v>
      </c>
      <c r="AC34" s="22">
        <f>'2401'!V8</f>
        <v>0</v>
      </c>
      <c r="AD34" s="22">
        <f>'2401'!W8</f>
        <v>0</v>
      </c>
      <c r="AE34" s="6">
        <f>Table211[[#This Row],[Points]]/($AA$27-$AI34)</f>
        <v>0</v>
      </c>
      <c r="AF34" s="6">
        <f>Table211[[#This Row],[Finishes]]/($AA$27-$AI34)</f>
        <v>0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COUNT('2401'!X8)</f>
        <v>0</v>
      </c>
      <c r="AK34" s="1" t="s">
        <v>37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4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S35" s="65" t="s">
        <v>141</v>
      </c>
      <c r="Z35" t="s">
        <v>91</v>
      </c>
      <c r="AA35" s="22">
        <f>'2401'!T9</f>
        <v>0</v>
      </c>
      <c r="AB35" s="22">
        <f>'2401'!U9</f>
        <v>0</v>
      </c>
      <c r="AC35" s="22">
        <f>'2401'!V9</f>
        <v>0</v>
      </c>
      <c r="AD35" s="22">
        <f>'2401'!W9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COUNT('2401'!X9)</f>
        <v>0</v>
      </c>
      <c r="AK35" t="s">
        <v>91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4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S36" s="65" t="s">
        <v>142</v>
      </c>
      <c r="Z36" s="1" t="s">
        <v>39</v>
      </c>
      <c r="AA36" s="22">
        <f>'2401'!T10</f>
        <v>2</v>
      </c>
      <c r="AB36" s="22">
        <f>'2401'!U10</f>
        <v>0</v>
      </c>
      <c r="AC36" s="22">
        <f>'2401'!V10</f>
        <v>0</v>
      </c>
      <c r="AD36" s="22">
        <f>'2401'!W10</f>
        <v>1</v>
      </c>
      <c r="AE36" s="6">
        <f>Table211[[#This Row],[Points]]/($AA$27-$AI36)</f>
        <v>2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1</v>
      </c>
      <c r="AI36" s="22">
        <f>COUNT('2401'!X10)</f>
        <v>0</v>
      </c>
      <c r="AK36" s="1" t="s">
        <v>39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4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Z37" s="1" t="s">
        <v>41</v>
      </c>
      <c r="AA37" s="22">
        <f>'2401'!T11</f>
        <v>1</v>
      </c>
      <c r="AB37" s="22">
        <f>'2401'!U11</f>
        <v>1</v>
      </c>
      <c r="AC37" s="22">
        <f>'2401'!V11</f>
        <v>0</v>
      </c>
      <c r="AD37" s="22">
        <f>'2401'!W11</f>
        <v>0</v>
      </c>
      <c r="AE37" s="6">
        <f>Table211[[#This Row],[Points]]/($AA$27-$AI37)</f>
        <v>1</v>
      </c>
      <c r="AF37" s="6">
        <f>Table211[[#This Row],[Finishes]]/($AA$27-$AI37)</f>
        <v>1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COUNT('2401'!X11)</f>
        <v>0</v>
      </c>
      <c r="AK37" s="1" t="s">
        <v>41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4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Z38" s="1" t="s">
        <v>44</v>
      </c>
      <c r="AA38" s="22">
        <f>'2401'!T12</f>
        <v>2</v>
      </c>
      <c r="AB38" s="22">
        <f>'2401'!U12</f>
        <v>2</v>
      </c>
      <c r="AC38" s="22">
        <f>'2401'!V12</f>
        <v>0</v>
      </c>
      <c r="AD38" s="22">
        <f>'2401'!W12</f>
        <v>0</v>
      </c>
      <c r="AE38" s="6">
        <f>Table211[[#This Row],[Points]]/($AA$27-$AI38)</f>
        <v>2</v>
      </c>
      <c r="AF38" s="6">
        <f>Table211[[#This Row],[Finishes]]/($AA$27-$AI38)</f>
        <v>2</v>
      </c>
      <c r="AG38" s="6">
        <f>Table211[[#This Row],[Midranges]]/($AA$27-$AI38)</f>
        <v>0</v>
      </c>
      <c r="AH38" s="6">
        <f>Table211[[#This Row],[Threes]]/($AA$27-$AI38)</f>
        <v>0</v>
      </c>
      <c r="AI38" s="22">
        <f>COUNT('2401'!X12)</f>
        <v>0</v>
      </c>
      <c r="AK38" s="1" t="s">
        <v>44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4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Z39" s="1" t="s">
        <v>46</v>
      </c>
      <c r="AA39" s="22">
        <f>'2401'!T13</f>
        <v>1</v>
      </c>
      <c r="AB39" s="22">
        <f>'2401'!U13</f>
        <v>0</v>
      </c>
      <c r="AC39" s="22">
        <f>'2401'!V13</f>
        <v>1</v>
      </c>
      <c r="AD39" s="22">
        <f>'2401'!W13</f>
        <v>0</v>
      </c>
      <c r="AE39" s="6">
        <f>Table211[[#This Row],[Points]]/($AA$27-$AI39)</f>
        <v>1</v>
      </c>
      <c r="AF39" s="6">
        <f>Table211[[#This Row],[Finishes]]/($AA$27-$AI39)</f>
        <v>0</v>
      </c>
      <c r="AG39" s="6">
        <f>Table211[[#This Row],[Midranges]]/($AA$27-$AI39)</f>
        <v>1</v>
      </c>
      <c r="AH39" s="6">
        <f>Table211[[#This Row],[Threes]]/($AA$27-$AI39)</f>
        <v>0</v>
      </c>
      <c r="AI39" s="22">
        <f>COUNT('2401'!X13)</f>
        <v>0</v>
      </c>
      <c r="AJ39" s="49"/>
      <c r="AK39" s="1" t="s">
        <v>46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4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</f>
        <v>0</v>
      </c>
      <c r="AB40" s="22">
        <f>'2401'!U14</f>
        <v>0</v>
      </c>
      <c r="AC40" s="22">
        <f>'2401'!V14</f>
        <v>0</v>
      </c>
      <c r="AD40" s="22">
        <f>'2401'!W14</f>
        <v>0</v>
      </c>
      <c r="AE40" s="6">
        <f>Table211[[#This Row],[Points]]/($AA$27-$AI40)</f>
        <v>0</v>
      </c>
      <c r="AF40" s="6">
        <f>Table211[[#This Row],[Finishes]]/($AA$27-$AI40)</f>
        <v>0</v>
      </c>
      <c r="AG40" s="6">
        <f>Table211[[#This Row],[Midranges]]/($AA$27-$AI40)</f>
        <v>0</v>
      </c>
      <c r="AH40" s="6">
        <f>Table211[[#This Row],[Threes]]/($AA$27-$AI40)</f>
        <v>0</v>
      </c>
      <c r="AI40" s="22">
        <f>COUNT('2401'!X14)</f>
        <v>0</v>
      </c>
      <c r="AK40" t="s">
        <v>49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45">
      <c r="R41" s="10" t="s">
        <v>163</v>
      </c>
      <c r="S41">
        <f>'Statistics CT'!H3</f>
        <v>3</v>
      </c>
      <c r="T41" s="79">
        <f>S41/SUM(S41:S43)</f>
        <v>0.5</v>
      </c>
      <c r="U41" s="83">
        <v>0.32188841201716739</v>
      </c>
      <c r="V41" s="30">
        <v>0.36899999999999999</v>
      </c>
      <c r="W41">
        <f>T41*(6*(20-AA$5))</f>
        <v>60</v>
      </c>
      <c r="X41" s="13">
        <f>((MAX(U41:U43)+MAX(V41:V43))/2)*6*(20-AA5)</f>
        <v>43.255879828326172</v>
      </c>
      <c r="Y41" s="84">
        <v>1</v>
      </c>
      <c r="Z41" t="s">
        <v>52</v>
      </c>
      <c r="AA41" s="22">
        <f>'2401'!T15</f>
        <v>1</v>
      </c>
      <c r="AB41" s="22">
        <f>'2401'!U15</f>
        <v>1</v>
      </c>
      <c r="AC41" s="22">
        <f>'2401'!V15</f>
        <v>0</v>
      </c>
      <c r="AD41" s="22">
        <f>'2401'!W15</f>
        <v>0</v>
      </c>
      <c r="AE41" s="6">
        <f>Table211[[#This Row],[Points]]/($AA$27-$AI41)</f>
        <v>1</v>
      </c>
      <c r="AF41" s="6">
        <f>Table211[[#This Row],[Finishes]]/($AA$27-$AI41)</f>
        <v>1</v>
      </c>
      <c r="AG41" s="6">
        <f>Table211[[#This Row],[Midranges]]/($AA$27-$AI41)</f>
        <v>0</v>
      </c>
      <c r="AH41" s="6">
        <f>Table211[[#This Row],[Threes]]/($AA$27-$AI41)</f>
        <v>0</v>
      </c>
      <c r="AI41" s="22">
        <f>COUNT('2401'!X15)</f>
        <v>0</v>
      </c>
      <c r="AK41" t="s">
        <v>52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45">
      <c r="R42" s="10" t="s">
        <v>164</v>
      </c>
      <c r="S42">
        <f>'Statistics TC'!H3</f>
        <v>1.5</v>
      </c>
      <c r="T42" s="83">
        <f>S42/SUM(S41:S43)</f>
        <v>0.25</v>
      </c>
      <c r="U42" s="83">
        <v>0.35193133047210301</v>
      </c>
      <c r="V42" s="30">
        <v>0.26200000000000001</v>
      </c>
      <c r="W42">
        <f t="shared" ref="W42:W43" si="5">T42*(6*(20-AA$5))</f>
        <v>30</v>
      </c>
      <c r="X42" s="13">
        <f>6*(20-AA5)-X41-X43</f>
        <v>41.710815450643778</v>
      </c>
      <c r="Y42" s="84">
        <v>2</v>
      </c>
      <c r="Z42" t="s">
        <v>55</v>
      </c>
      <c r="AA42" s="22">
        <f>'2401'!T16</f>
        <v>2</v>
      </c>
      <c r="AB42" s="22">
        <f>'2401'!U16</f>
        <v>0</v>
      </c>
      <c r="AC42" s="22">
        <f>'2401'!V16</f>
        <v>0</v>
      </c>
      <c r="AD42" s="22">
        <f>'2401'!W16</f>
        <v>1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COUNT('2401'!X16)</f>
        <v>0</v>
      </c>
      <c r="AK42" t="s">
        <v>55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45">
      <c r="R43" s="10" t="s">
        <v>35</v>
      </c>
      <c r="S43">
        <f>'Statistics GM'!G3</f>
        <v>1.5</v>
      </c>
      <c r="T43" s="83">
        <f>S43/SUM(S41:S43)</f>
        <v>0.25</v>
      </c>
      <c r="U43" s="83">
        <v>0.3261802575107296</v>
      </c>
      <c r="V43" s="30">
        <v>0.36899999999999999</v>
      </c>
      <c r="W43">
        <f t="shared" si="5"/>
        <v>30</v>
      </c>
      <c r="X43" s="13">
        <f>((MIN(U41:U43)+MIN(V41:V43))/2)*6*(20-AA5)</f>
        <v>35.033304721030049</v>
      </c>
      <c r="Y43" s="84">
        <v>3</v>
      </c>
      <c r="Z43" t="s">
        <v>192</v>
      </c>
      <c r="AA43" s="22">
        <f>'2401'!T17</f>
        <v>1</v>
      </c>
      <c r="AB43" s="22">
        <f>'2401'!U17</f>
        <v>1</v>
      </c>
      <c r="AC43" s="22">
        <f>'2401'!V17</f>
        <v>0</v>
      </c>
      <c r="AD43" s="22">
        <f>'2401'!W17</f>
        <v>0</v>
      </c>
      <c r="AE43" s="6">
        <f>Table211[[#This Row],[Points]]/($AA$27-$AI43)</f>
        <v>1</v>
      </c>
      <c r="AF43" s="6">
        <f>Table211[[#This Row],[Finishes]]/($AA$27-$AI43)</f>
        <v>1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COUNT('2401'!X17)</f>
        <v>0</v>
      </c>
      <c r="AK43" t="s">
        <v>192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45">
      <c r="Z44" t="s">
        <v>206</v>
      </c>
      <c r="AA44" s="22">
        <f>'2401'!T18</f>
        <v>0</v>
      </c>
      <c r="AB44" s="22">
        <f>'2401'!U18</f>
        <v>0</v>
      </c>
      <c r="AC44" s="22">
        <f>'2401'!V18</f>
        <v>0</v>
      </c>
      <c r="AD44" s="22">
        <f>'2401'!W18</f>
        <v>0</v>
      </c>
      <c r="AE44" s="6">
        <f>Table211[[#This Row],[Points]]/($AA$27-$AI44)</f>
        <v>0</v>
      </c>
      <c r="AF44" s="6">
        <f>Table211[[#This Row],[Finishes]]/($AA$27-$AI44)</f>
        <v>0</v>
      </c>
      <c r="AG44" s="6">
        <f>Table211[[#This Row],[Midranges]]/($AA$27-$AI44)</f>
        <v>0</v>
      </c>
      <c r="AH44" s="6">
        <f>Table211[[#This Row],[Threes]]/($AA$27-$AI44)</f>
        <v>0</v>
      </c>
      <c r="AI44" s="22">
        <f>COUNT('2401'!X18)</f>
        <v>0</v>
      </c>
      <c r="AK44" t="s">
        <v>206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45">
      <c r="T45" t="s">
        <v>155</v>
      </c>
      <c r="W45">
        <f>(20-AA6-AA5)*2</f>
        <v>38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18.25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215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14</v>
      </c>
      <c r="V49" s="12">
        <f>U49/AA6</f>
        <v>14</v>
      </c>
      <c r="W49" s="20">
        <f>U49/SUM($U$49:$U$51)</f>
        <v>0.77777777777777779</v>
      </c>
      <c r="Z49" s="1" t="s">
        <v>25</v>
      </c>
      <c r="AA49" s="22"/>
      <c r="AB49" s="22"/>
      <c r="AC49" s="22"/>
      <c r="AD49" s="22"/>
      <c r="AE49" s="89"/>
      <c r="AF49" s="89"/>
      <c r="AG49" s="89"/>
      <c r="AH49" s="89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2</v>
      </c>
      <c r="V50" s="12">
        <f>U50/AA6</f>
        <v>2</v>
      </c>
      <c r="W50" s="20">
        <f>U50/SUM($U$49:$U$51)</f>
        <v>0.1111111111111111</v>
      </c>
      <c r="Z50" s="1" t="s">
        <v>26</v>
      </c>
      <c r="AA50" s="22"/>
      <c r="AB50" s="22"/>
      <c r="AC50" s="22"/>
      <c r="AD50" s="22"/>
      <c r="AE50" s="89"/>
      <c r="AF50" s="89"/>
      <c r="AG50" s="89"/>
      <c r="AH50" s="89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2</v>
      </c>
      <c r="V51" s="12">
        <f>U51/AA6</f>
        <v>2</v>
      </c>
      <c r="W51" s="20">
        <f>U51/SUM($U$49:$U$51)</f>
        <v>0.1111111111111111</v>
      </c>
      <c r="Z51" s="1" t="s">
        <v>27</v>
      </c>
      <c r="AA51" s="22"/>
      <c r="AB51" s="22"/>
      <c r="AC51" s="22"/>
      <c r="AD51" s="22"/>
      <c r="AE51" s="89"/>
      <c r="AF51" s="89"/>
      <c r="AG51" s="89"/>
      <c r="AH51" s="89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89"/>
      <c r="AF52" s="89"/>
      <c r="AG52" s="89"/>
      <c r="AH52" s="89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/>
      <c r="AB53" s="22"/>
      <c r="AC53" s="22"/>
      <c r="AD53" s="22"/>
      <c r="AE53" s="89"/>
      <c r="AF53" s="89"/>
      <c r="AG53" s="89"/>
      <c r="AH53" s="89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9"/>
      <c r="AF54" s="89"/>
      <c r="AG54" s="89"/>
      <c r="AH54" s="89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0.66666666666666663</v>
      </c>
      <c r="V55" s="25">
        <f>'Statistics CT'!M42</f>
        <v>0.66666666666666663</v>
      </c>
      <c r="W55" s="25">
        <f>AVERAGE(U55:V55)</f>
        <v>0.66666666666666663</v>
      </c>
      <c r="Z55" t="s">
        <v>91</v>
      </c>
      <c r="AA55" s="22"/>
      <c r="AB55" s="22"/>
      <c r="AC55" s="22"/>
      <c r="AD55" s="22"/>
      <c r="AE55" s="89"/>
      <c r="AF55" s="89"/>
      <c r="AG55" s="89"/>
      <c r="AH55" s="89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0.33333333333333337</v>
      </c>
      <c r="U56" s="27" t="s">
        <v>105</v>
      </c>
      <c r="V56" s="25">
        <f>'Statistics TC'!J42</f>
        <v>0.5</v>
      </c>
      <c r="W56" s="25">
        <f>AVERAGE(T56:V56)</f>
        <v>0.41666666666666669</v>
      </c>
      <c r="Z56" s="1" t="s">
        <v>39</v>
      </c>
      <c r="AA56" s="22"/>
      <c r="AB56" s="22"/>
      <c r="AC56" s="22"/>
      <c r="AD56" s="22"/>
      <c r="AE56" s="89"/>
      <c r="AF56" s="89"/>
      <c r="AG56" s="89"/>
      <c r="AH56" s="89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0.33333333333333337</v>
      </c>
      <c r="U57" s="25">
        <f>1-V56</f>
        <v>0.5</v>
      </c>
      <c r="V57" s="27" t="s">
        <v>105</v>
      </c>
      <c r="W57" s="25">
        <f>AVERAGE(T57:V57)</f>
        <v>0.41666666666666669</v>
      </c>
      <c r="Z57" s="1" t="s">
        <v>41</v>
      </c>
      <c r="AA57" s="22"/>
      <c r="AB57" s="22"/>
      <c r="AC57" s="22"/>
      <c r="AD57" s="22"/>
      <c r="AE57" s="89"/>
      <c r="AF57" s="89"/>
      <c r="AG57" s="89"/>
      <c r="AH57" s="89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89"/>
      <c r="AF58" s="89"/>
      <c r="AG58" s="89"/>
      <c r="AH58" s="89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89"/>
      <c r="AF59" s="89"/>
      <c r="AG59" s="89"/>
      <c r="AH59" s="89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89"/>
      <c r="AF60" s="89"/>
      <c r="AG60" s="89"/>
      <c r="AH60" s="89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89"/>
      <c r="AF61" s="89"/>
      <c r="AG61" s="89"/>
      <c r="AH61" s="89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89"/>
      <c r="AF62" s="89"/>
      <c r="AG62" s="89"/>
      <c r="AH62" s="89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/>
      <c r="AB63" s="22"/>
      <c r="AC63" s="22"/>
      <c r="AD63" s="22"/>
      <c r="AE63" s="89"/>
      <c r="AF63" s="89"/>
      <c r="AG63" s="89"/>
      <c r="AH63" s="89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/>
      <c r="AB64" s="22"/>
      <c r="AC64" s="22"/>
      <c r="AD64" s="22"/>
      <c r="AE64" s="89"/>
      <c r="AF64" s="89"/>
      <c r="AG64" s="89"/>
      <c r="AH64" s="89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9"/>
      <c r="AF65" s="89"/>
      <c r="AG65" s="89"/>
      <c r="AH65" s="89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216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9"/>
      <c r="AF69" s="89"/>
      <c r="AG69" s="89"/>
      <c r="AH69" s="89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AQ8:AQ24">
    <cfRule type="cellIs" dxfId="4" priority="5" operator="equal">
      <formula>$AA$4</formula>
    </cfRule>
    <cfRule type="cellIs" dxfId="3" priority="6" operator="lessThan">
      <formula>$AA$4</formula>
    </cfRule>
    <cfRule type="cellIs" dxfId="2" priority="7" operator="greaterThan">
      <formula>$AA$4</formula>
    </cfRule>
  </conditionalFormatting>
  <conditionalFormatting sqref="AT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6"/>
      <c r="F3" s="106">
        <f>SUM(B4:B40)</f>
        <v>4</v>
      </c>
      <c r="G3" s="106">
        <f>SUM(C4:C40)</f>
        <v>2</v>
      </c>
      <c r="H3" s="106">
        <f>SUM(D4:D40)</f>
        <v>3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5" customHeight="1" x14ac:dyDescent="0.45">
      <c r="A4" s="107" t="str">
        <f>'Stats Global'!B5</f>
        <v>24 January</v>
      </c>
      <c r="B4" s="107">
        <f>'Stats Global'!F5</f>
        <v>4</v>
      </c>
      <c r="C4" s="107">
        <f>'Stats Global'!G5+'Stats Global'!G5</f>
        <v>2</v>
      </c>
      <c r="D4" s="107">
        <f>'Stats Global'!O5</f>
        <v>3</v>
      </c>
      <c r="E4" s="116"/>
      <c r="H4" s="54"/>
      <c r="J4" s="131">
        <f>'Stats Global'!M5</f>
        <v>2</v>
      </c>
      <c r="K4" s="131">
        <f>'Stats Global'!H5</f>
        <v>1</v>
      </c>
      <c r="L4" s="56"/>
      <c r="M4" s="131">
        <f>'Stats Global'!J5</f>
        <v>2</v>
      </c>
      <c r="N4" s="131">
        <f>'Stats Global'!G5</f>
        <v>1</v>
      </c>
      <c r="P4" s="70" t="str">
        <f>'Stats Global'!Z18</f>
        <v>Ryan Pattemore</v>
      </c>
      <c r="Q4" s="70">
        <f>'Stats Global'!AA18</f>
        <v>1</v>
      </c>
      <c r="R4" s="70">
        <f>'Stats Global'!AB18</f>
        <v>1</v>
      </c>
      <c r="S4" s="70">
        <f>'Stats Global'!AC18</f>
        <v>0</v>
      </c>
      <c r="T4" s="70">
        <f>'Stats Global'!AD18</f>
        <v>0</v>
      </c>
      <c r="U4" s="70">
        <f>'Stats Global'!AE18</f>
        <v>1</v>
      </c>
      <c r="V4" s="70">
        <f>'Stats Global'!AF18</f>
        <v>1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7">
        <f>'Stats Global'!B6</f>
        <v>0</v>
      </c>
      <c r="B5" s="107">
        <f>'Stats Global'!F6</f>
        <v>0</v>
      </c>
      <c r="C5" s="107">
        <f>'Stats Global'!G6+'Stats Global'!G6</f>
        <v>0</v>
      </c>
      <c r="D5" s="107">
        <f>'Stats Global'!O6</f>
        <v>0</v>
      </c>
      <c r="E5" s="116"/>
      <c r="G5" s="52"/>
      <c r="H5" s="54"/>
      <c r="J5" s="131">
        <f>'Stats Global'!M6</f>
        <v>0</v>
      </c>
      <c r="K5" s="131">
        <f>'Stats Global'!H6</f>
        <v>0</v>
      </c>
      <c r="L5" s="56"/>
      <c r="M5" s="131">
        <f>'Stats Global'!J6</f>
        <v>0</v>
      </c>
      <c r="N5" s="131">
        <f>'Stats Global'!G6</f>
        <v>0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7">
        <f>'Stats Global'!B7</f>
        <v>0</v>
      </c>
      <c r="B6" s="107">
        <f>'Stats Global'!F7</f>
        <v>0</v>
      </c>
      <c r="C6" s="107">
        <f>'Stats Global'!G7+'Stats Global'!G7</f>
        <v>0</v>
      </c>
      <c r="D6" s="107">
        <f>'Stats Global'!O7</f>
        <v>0</v>
      </c>
      <c r="E6" s="116"/>
      <c r="G6" s="52"/>
      <c r="H6" s="54"/>
      <c r="J6" s="131">
        <f>'Stats Global'!M7</f>
        <v>0</v>
      </c>
      <c r="K6" s="131">
        <f>'Stats Global'!H7</f>
        <v>0</v>
      </c>
      <c r="L6" s="56"/>
      <c r="M6" s="131">
        <f>'Stats Global'!J7</f>
        <v>0</v>
      </c>
      <c r="N6" s="131">
        <f>'Stats Global'!G7</f>
        <v>0</v>
      </c>
      <c r="P6" s="63" t="str">
        <f>'Stats Global'!Z10</f>
        <v>Alexander Galt</v>
      </c>
      <c r="Q6" s="63">
        <f>'Stats Global'!AA10</f>
        <v>5</v>
      </c>
      <c r="R6" s="63">
        <f>'Stats Global'!AB10</f>
        <v>5</v>
      </c>
      <c r="S6" s="63">
        <f>'Stats Global'!AC10</f>
        <v>5</v>
      </c>
      <c r="T6" s="63">
        <f>'Stats Global'!AD10</f>
        <v>5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0</v>
      </c>
    </row>
    <row r="7" spans="1:25" ht="14.55" customHeight="1" x14ac:dyDescent="0.45">
      <c r="A7" s="107">
        <f>'Stats Global'!B8</f>
        <v>0</v>
      </c>
      <c r="B7" s="107">
        <f>'Stats Global'!F8</f>
        <v>0</v>
      </c>
      <c r="C7" s="107">
        <f>'Stats Global'!G8+'Stats Global'!G8</f>
        <v>0</v>
      </c>
      <c r="D7" s="107">
        <f>'Stats Global'!O8</f>
        <v>0</v>
      </c>
      <c r="E7" s="116"/>
      <c r="G7" s="52"/>
      <c r="H7" s="54"/>
      <c r="J7" s="131">
        <f>'Stats Global'!M8</f>
        <v>0</v>
      </c>
      <c r="K7" s="131">
        <f>'Stats Global'!H8</f>
        <v>0</v>
      </c>
      <c r="L7" s="56"/>
      <c r="M7" s="131">
        <f>'Stats Global'!J8</f>
        <v>0</v>
      </c>
      <c r="N7" s="131">
        <f>'Stats Global'!G8</f>
        <v>0</v>
      </c>
      <c r="P7" s="54" t="str">
        <f>'Stats Global'!Z11</f>
        <v>Rudy Hoschke</v>
      </c>
      <c r="Q7" s="54">
        <f>'Stats Global'!AA11</f>
        <v>2</v>
      </c>
      <c r="R7" s="54">
        <f>'Stats Global'!AB11</f>
        <v>2</v>
      </c>
      <c r="S7" s="54">
        <f>'Stats Global'!AC11</f>
        <v>2</v>
      </c>
      <c r="T7" s="54">
        <f>'Stats Global'!AD11</f>
        <v>2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7">
        <f>'Stats Global'!B9</f>
        <v>0</v>
      </c>
      <c r="B8" s="107">
        <f>'Stats Global'!F9</f>
        <v>0</v>
      </c>
      <c r="C8" s="107">
        <f>'Stats Global'!G9+'Stats Global'!G9</f>
        <v>0</v>
      </c>
      <c r="D8" s="107">
        <f>'Stats Global'!O9</f>
        <v>0</v>
      </c>
      <c r="E8" s="116"/>
      <c r="G8" s="52"/>
      <c r="H8" s="54"/>
      <c r="J8" s="131">
        <f>'Stats Global'!M9</f>
        <v>0</v>
      </c>
      <c r="K8" s="131">
        <f>'Stats Global'!H9</f>
        <v>0</v>
      </c>
      <c r="L8" s="56"/>
      <c r="M8" s="131">
        <f>'Stats Global'!J9</f>
        <v>0</v>
      </c>
      <c r="N8" s="131">
        <f>'Stats Global'!G9</f>
        <v>0</v>
      </c>
      <c r="P8" s="54" t="str">
        <f>'Stats Global'!Z20</f>
        <v>Christopher Tomkinson</v>
      </c>
      <c r="Q8" s="54">
        <f>'Stats Global'!AA20</f>
        <v>1</v>
      </c>
      <c r="R8" s="54">
        <f>'Stats Global'!AB20</f>
        <v>1</v>
      </c>
      <c r="S8" s="54">
        <f>'Stats Global'!AC20</f>
        <v>1</v>
      </c>
      <c r="T8" s="54">
        <f>'Stats Global'!AD20</f>
        <v>1</v>
      </c>
      <c r="U8" s="54">
        <f>'Stats Global'!AE20</f>
        <v>0</v>
      </c>
      <c r="V8" s="54">
        <f>'Stats Global'!AF20</f>
        <v>0</v>
      </c>
      <c r="W8" s="54">
        <f>'Stats Global'!AG20</f>
        <v>0</v>
      </c>
      <c r="X8" s="54">
        <f>'Stats Global'!AH20</f>
        <v>0</v>
      </c>
      <c r="Y8" s="63">
        <f>'Stats Global'!AJ20</f>
        <v>0</v>
      </c>
    </row>
    <row r="9" spans="1:25" ht="14.55" customHeight="1" x14ac:dyDescent="0.45">
      <c r="A9" s="107">
        <f>'Stats Global'!B10</f>
        <v>0</v>
      </c>
      <c r="B9" s="107">
        <f>'Stats Global'!F10</f>
        <v>0</v>
      </c>
      <c r="C9" s="107">
        <f>'Stats Global'!G10+'Stats Global'!G10</f>
        <v>0</v>
      </c>
      <c r="D9" s="107">
        <f>'Stats Global'!O10</f>
        <v>0</v>
      </c>
      <c r="E9" s="116"/>
      <c r="G9" s="52"/>
      <c r="H9" s="54"/>
      <c r="J9" s="131">
        <f>'Stats Global'!M10</f>
        <v>0</v>
      </c>
      <c r="K9" s="131">
        <f>'Stats Global'!H10</f>
        <v>0</v>
      </c>
      <c r="L9" s="56"/>
      <c r="M9" s="131">
        <f>'Stats Global'!J10</f>
        <v>0</v>
      </c>
      <c r="N9" s="131">
        <f>'Stats Global'!G10</f>
        <v>0</v>
      </c>
      <c r="Q9" s="26"/>
      <c r="R9" s="26"/>
      <c r="S9" s="26"/>
      <c r="T9" s="26"/>
      <c r="U9" s="26"/>
    </row>
    <row r="10" spans="1:25" ht="14.55" customHeight="1" x14ac:dyDescent="0.45">
      <c r="A10" s="107">
        <f>'Stats Global'!B11</f>
        <v>0</v>
      </c>
      <c r="B10" s="107">
        <f>'Stats Global'!F11</f>
        <v>0</v>
      </c>
      <c r="C10" s="107">
        <f>'Stats Global'!G11+'Stats Global'!G11</f>
        <v>0</v>
      </c>
      <c r="D10" s="107">
        <f>'Stats Global'!O11</f>
        <v>0</v>
      </c>
      <c r="E10" s="116"/>
      <c r="G10" s="52"/>
      <c r="H10" s="54"/>
      <c r="J10" s="131">
        <f>'Stats Global'!M11</f>
        <v>0</v>
      </c>
      <c r="K10" s="131">
        <f>'Stats Global'!H11</f>
        <v>0</v>
      </c>
      <c r="L10" s="56"/>
      <c r="M10" s="131">
        <f>'Stats Global'!J11</f>
        <v>0</v>
      </c>
      <c r="N10" s="131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7">
        <f>'Stats Global'!B12</f>
        <v>0</v>
      </c>
      <c r="B11" s="107">
        <f>'Stats Global'!F12</f>
        <v>0</v>
      </c>
      <c r="C11" s="107">
        <f>'Stats Global'!G12+'Stats Global'!G12</f>
        <v>0</v>
      </c>
      <c r="D11" s="107">
        <f>'Stats Global'!O12</f>
        <v>0</v>
      </c>
      <c r="E11" s="116"/>
      <c r="G11" s="52"/>
      <c r="H11" s="54"/>
      <c r="J11" s="131">
        <f>'Stats Global'!M12</f>
        <v>0</v>
      </c>
      <c r="K11" s="131">
        <f>'Stats Global'!H12</f>
        <v>0</v>
      </c>
      <c r="L11" s="56"/>
      <c r="M11" s="131">
        <f>'Stats Global'!J12</f>
        <v>0</v>
      </c>
      <c r="N11" s="131">
        <f>'Stats Global'!G12</f>
        <v>0</v>
      </c>
      <c r="P11" s="35"/>
      <c r="Q11" s="35"/>
    </row>
    <row r="12" spans="1:25" ht="14.55" customHeight="1" x14ac:dyDescent="0.45">
      <c r="A12" s="107">
        <f>'Stats Global'!B13</f>
        <v>0</v>
      </c>
      <c r="B12" s="107">
        <f>'Stats Global'!F13</f>
        <v>0</v>
      </c>
      <c r="C12" s="107">
        <f>'Stats Global'!G13+'Stats Global'!G13</f>
        <v>0</v>
      </c>
      <c r="D12" s="107">
        <f>'Stats Global'!O13</f>
        <v>0</v>
      </c>
      <c r="E12" s="116"/>
      <c r="G12" s="52"/>
      <c r="H12" s="54"/>
      <c r="J12" s="131">
        <f>'Stats Global'!M13</f>
        <v>0</v>
      </c>
      <c r="K12" s="131">
        <f>'Stats Global'!H13</f>
        <v>0</v>
      </c>
      <c r="L12" s="56"/>
      <c r="M12" s="131">
        <f>'Stats Global'!J13</f>
        <v>0</v>
      </c>
      <c r="N12" s="131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7">
        <f>'Stats Global'!B14</f>
        <v>0</v>
      </c>
      <c r="B13" s="107">
        <f>'Stats Global'!F14</f>
        <v>0</v>
      </c>
      <c r="C13" s="107">
        <f>'Stats Global'!G14+'Stats Global'!G14</f>
        <v>0</v>
      </c>
      <c r="D13" s="107">
        <f>'Stats Global'!O14</f>
        <v>0</v>
      </c>
      <c r="E13" s="116"/>
      <c r="H13" s="54"/>
      <c r="J13" s="131">
        <f>'Stats Global'!M14</f>
        <v>0</v>
      </c>
      <c r="K13" s="131">
        <f>'Stats Global'!H14</f>
        <v>0</v>
      </c>
      <c r="L13" s="56"/>
      <c r="M13" s="131">
        <f>'Stats Global'!J14</f>
        <v>0</v>
      </c>
      <c r="N13" s="131">
        <f>'Stats Global'!G14</f>
        <v>0</v>
      </c>
    </row>
    <row r="14" spans="1:25" ht="14.55" customHeight="1" x14ac:dyDescent="0.45">
      <c r="A14" s="107">
        <f>'Stats Global'!B15</f>
        <v>0</v>
      </c>
      <c r="B14" s="107">
        <f>'Stats Global'!F15</f>
        <v>0</v>
      </c>
      <c r="C14" s="107">
        <f>'Stats Global'!G15+'Stats Global'!G15</f>
        <v>0</v>
      </c>
      <c r="D14" s="107">
        <f>'Stats Global'!O15</f>
        <v>0</v>
      </c>
      <c r="E14" s="116"/>
      <c r="H14" s="54"/>
      <c r="J14" s="131">
        <f>'Stats Global'!M15</f>
        <v>0</v>
      </c>
      <c r="K14" s="131">
        <f>'Stats Global'!H15</f>
        <v>0</v>
      </c>
      <c r="L14" s="56"/>
      <c r="M14" s="131">
        <f>'Stats Global'!J15</f>
        <v>0</v>
      </c>
      <c r="N14" s="131">
        <f>'Stats Global'!G15</f>
        <v>0</v>
      </c>
    </row>
    <row r="15" spans="1:25" ht="14.55" customHeight="1" x14ac:dyDescent="0.45">
      <c r="A15" s="107">
        <f>'Stats Global'!B16</f>
        <v>0</v>
      </c>
      <c r="B15" s="107">
        <f>'Stats Global'!F16</f>
        <v>0</v>
      </c>
      <c r="C15" s="107">
        <f>'Stats Global'!G16+'Stats Global'!G16</f>
        <v>0</v>
      </c>
      <c r="D15" s="107">
        <f>'Stats Global'!O16</f>
        <v>0</v>
      </c>
      <c r="E15" s="116"/>
      <c r="H15" s="54"/>
      <c r="J15" s="131">
        <f>'Stats Global'!M16</f>
        <v>0</v>
      </c>
      <c r="K15" s="131">
        <f>'Stats Global'!H16</f>
        <v>0</v>
      </c>
      <c r="L15" s="56"/>
      <c r="M15" s="131">
        <f>'Stats Global'!J16</f>
        <v>0</v>
      </c>
      <c r="N15" s="131">
        <f>'Stats Global'!G16</f>
        <v>0</v>
      </c>
    </row>
    <row r="16" spans="1:25" ht="14.55" customHeight="1" x14ac:dyDescent="0.45">
      <c r="A16" s="107">
        <f>'Stats Global'!B17</f>
        <v>0</v>
      </c>
      <c r="B16" s="107">
        <f>'Stats Global'!F17</f>
        <v>0</v>
      </c>
      <c r="C16" s="107">
        <f>'Stats Global'!G17+'Stats Global'!G17</f>
        <v>0</v>
      </c>
      <c r="D16" s="107">
        <f>'Stats Global'!O17</f>
        <v>0</v>
      </c>
      <c r="E16" s="116"/>
      <c r="H16" s="54"/>
      <c r="J16" s="131">
        <f>'Stats Global'!M17</f>
        <v>0</v>
      </c>
      <c r="K16" s="131">
        <f>'Stats Global'!H17</f>
        <v>0</v>
      </c>
      <c r="L16" s="56"/>
      <c r="M16" s="131">
        <f>'Stats Global'!J17</f>
        <v>0</v>
      </c>
      <c r="N16" s="131">
        <f>'Stats Global'!G17</f>
        <v>0</v>
      </c>
    </row>
    <row r="17" spans="1:14" ht="14.55" customHeight="1" x14ac:dyDescent="0.45">
      <c r="A17" s="107">
        <f>'Stats Global'!B18</f>
        <v>0</v>
      </c>
      <c r="B17" s="107">
        <f>'Stats Global'!F18</f>
        <v>0</v>
      </c>
      <c r="C17" s="107">
        <f>'Stats Global'!G18+'Stats Global'!G18</f>
        <v>0</v>
      </c>
      <c r="D17" s="107">
        <f>'Stats Global'!O18</f>
        <v>0</v>
      </c>
      <c r="E17" s="117"/>
      <c r="H17" s="54"/>
      <c r="J17" s="131">
        <f>'Stats Global'!M18</f>
        <v>0</v>
      </c>
      <c r="K17" s="131">
        <f>'Stats Global'!H18</f>
        <v>0</v>
      </c>
      <c r="L17" s="56"/>
      <c r="M17" s="131">
        <f>'Stats Global'!J18</f>
        <v>0</v>
      </c>
      <c r="N17" s="131">
        <f>'Stats Global'!G18</f>
        <v>0</v>
      </c>
    </row>
    <row r="18" spans="1:14" ht="14.55" customHeight="1" x14ac:dyDescent="0.45">
      <c r="A18" s="107">
        <f>'Stats Global'!B19</f>
        <v>0</v>
      </c>
      <c r="B18" s="107">
        <f>'Stats Global'!F19</f>
        <v>0</v>
      </c>
      <c r="C18" s="107">
        <f>'Stats Global'!G19+'Stats Global'!G19</f>
        <v>0</v>
      </c>
      <c r="D18" s="107">
        <f>'Stats Global'!O19</f>
        <v>0</v>
      </c>
      <c r="E18" s="118"/>
      <c r="H18" s="54"/>
      <c r="J18" s="131">
        <f>'Stats Global'!M19</f>
        <v>0</v>
      </c>
      <c r="K18" s="131">
        <f>'Stats Global'!H19</f>
        <v>0</v>
      </c>
      <c r="L18" s="56"/>
      <c r="M18" s="131">
        <f>'Stats Global'!J19</f>
        <v>0</v>
      </c>
      <c r="N18" s="131">
        <f>'Stats Global'!G19</f>
        <v>0</v>
      </c>
    </row>
    <row r="19" spans="1:14" ht="14.55" customHeight="1" x14ac:dyDescent="0.45">
      <c r="A19" s="107">
        <f>'Stats Global'!B20</f>
        <v>0</v>
      </c>
      <c r="B19" s="107">
        <f>'Stats Global'!F20</f>
        <v>0</v>
      </c>
      <c r="C19" s="107">
        <f>'Stats Global'!G20+'Stats Global'!G20</f>
        <v>0</v>
      </c>
      <c r="D19" s="107">
        <f>'Stats Global'!O20</f>
        <v>0</v>
      </c>
      <c r="E19" s="119"/>
      <c r="H19" s="54"/>
      <c r="J19" s="131">
        <f>'Stats Global'!M20</f>
        <v>0</v>
      </c>
      <c r="K19" s="131">
        <f>'Stats Global'!H20</f>
        <v>0</v>
      </c>
      <c r="L19" s="56"/>
      <c r="M19" s="131">
        <f>'Stats Global'!J20</f>
        <v>0</v>
      </c>
      <c r="N19" s="131">
        <f>'Stats Global'!G20</f>
        <v>0</v>
      </c>
    </row>
    <row r="20" spans="1:14" ht="14.55" customHeight="1" x14ac:dyDescent="0.45">
      <c r="A20" s="107">
        <f>'Stats Global'!B21</f>
        <v>0</v>
      </c>
      <c r="B20" s="107">
        <f>'Stats Global'!F21</f>
        <v>0</v>
      </c>
      <c r="C20" s="107">
        <f>'Stats Global'!G21+'Stats Global'!G21</f>
        <v>0</v>
      </c>
      <c r="D20" s="107">
        <f>'Stats Global'!O21</f>
        <v>0</v>
      </c>
      <c r="E20" s="120"/>
      <c r="H20" s="54"/>
      <c r="J20" s="131">
        <f>'Stats Global'!M21</f>
        <v>0</v>
      </c>
      <c r="K20" s="131">
        <f>'Stats Global'!H21</f>
        <v>0</v>
      </c>
      <c r="L20" s="56"/>
      <c r="M20" s="131">
        <f>'Stats Global'!J21</f>
        <v>0</v>
      </c>
      <c r="N20" s="131">
        <f>'Stats Global'!G21</f>
        <v>0</v>
      </c>
    </row>
    <row r="21" spans="1:14" ht="14.55" customHeight="1" x14ac:dyDescent="0.45">
      <c r="A21" s="107">
        <f>'Stats Global'!B22</f>
        <v>0</v>
      </c>
      <c r="B21" s="107">
        <f>'Stats Global'!F22</f>
        <v>0</v>
      </c>
      <c r="C21" s="107">
        <f>'Stats Global'!G22+'Stats Global'!G22</f>
        <v>0</v>
      </c>
      <c r="D21" s="107">
        <f>'Stats Global'!O22</f>
        <v>0</v>
      </c>
      <c r="E21" s="116"/>
      <c r="H21" s="54"/>
      <c r="J21" s="131">
        <f>'Stats Global'!M22</f>
        <v>0</v>
      </c>
      <c r="K21" s="131">
        <f>'Stats Global'!H22</f>
        <v>0</v>
      </c>
      <c r="L21" s="56"/>
      <c r="M21" s="131">
        <f>'Stats Global'!J22</f>
        <v>0</v>
      </c>
      <c r="N21" s="131">
        <f>'Stats Global'!G22</f>
        <v>0</v>
      </c>
    </row>
    <row r="22" spans="1:14" ht="14.55" customHeight="1" x14ac:dyDescent="0.45">
      <c r="A22" s="107">
        <f>'Stats Global'!B23</f>
        <v>0</v>
      </c>
      <c r="B22" s="107">
        <f>'Stats Global'!F23</f>
        <v>0</v>
      </c>
      <c r="C22" s="107">
        <f>'Stats Global'!G23+'Stats Global'!G23</f>
        <v>0</v>
      </c>
      <c r="D22" s="107">
        <f>'Stats Global'!O23</f>
        <v>0</v>
      </c>
      <c r="E22" s="116"/>
      <c r="F22" s="57"/>
      <c r="H22" s="54"/>
      <c r="J22" s="131">
        <f>'Stats Global'!M23</f>
        <v>0</v>
      </c>
      <c r="K22" s="131">
        <f>'Stats Global'!H23</f>
        <v>0</v>
      </c>
      <c r="L22" s="56"/>
      <c r="M22" s="131">
        <f>'Stats Global'!J23</f>
        <v>0</v>
      </c>
      <c r="N22" s="131">
        <f>'Stats Global'!G23</f>
        <v>0</v>
      </c>
    </row>
    <row r="23" spans="1:14" ht="14.55" customHeight="1" x14ac:dyDescent="0.45">
      <c r="A23" s="107">
        <f>'Stats Global'!B24</f>
        <v>0</v>
      </c>
      <c r="B23" s="107">
        <f>'Stats Global'!F24</f>
        <v>0</v>
      </c>
      <c r="C23" s="107">
        <f>'Stats Global'!G24+'Stats Global'!G24</f>
        <v>0</v>
      </c>
      <c r="D23" s="107">
        <f>'Stats Global'!O24</f>
        <v>0</v>
      </c>
      <c r="E23" s="121"/>
      <c r="F23" s="57"/>
      <c r="H23" s="54"/>
      <c r="J23" s="131">
        <f>'Stats Global'!M24</f>
        <v>0</v>
      </c>
      <c r="K23" s="131">
        <f>'Stats Global'!H24</f>
        <v>0</v>
      </c>
      <c r="L23" s="56"/>
      <c r="M23" s="131">
        <f>'Stats Global'!J24</f>
        <v>0</v>
      </c>
      <c r="N23" s="131">
        <f>'Stats Global'!G24</f>
        <v>0</v>
      </c>
    </row>
    <row r="24" spans="1:14" ht="14.55" customHeight="1" x14ac:dyDescent="0.45">
      <c r="A24" s="107">
        <f>'Stats Global'!B25</f>
        <v>0</v>
      </c>
      <c r="B24" s="107">
        <f>'Stats Global'!F25</f>
        <v>0</v>
      </c>
      <c r="C24" s="107">
        <f>'Stats Global'!G25+'Stats Global'!G25</f>
        <v>0</v>
      </c>
      <c r="D24" s="107">
        <f>'Stats Global'!O25</f>
        <v>0</v>
      </c>
      <c r="E24" s="122"/>
      <c r="F24" s="57"/>
      <c r="H24" s="54"/>
      <c r="J24" s="131">
        <f>'Stats Global'!M25</f>
        <v>0</v>
      </c>
      <c r="K24" s="131">
        <f>'Stats Global'!H25</f>
        <v>0</v>
      </c>
      <c r="L24" s="56"/>
      <c r="M24" s="131">
        <f>'Stats Global'!J25</f>
        <v>0</v>
      </c>
      <c r="N24" s="131">
        <f>'Stats Global'!G25</f>
        <v>0</v>
      </c>
    </row>
    <row r="25" spans="1:14" ht="14.55" customHeight="1" x14ac:dyDescent="0.45">
      <c r="A25" s="107">
        <f>'Stats Global'!B26</f>
        <v>0</v>
      </c>
      <c r="B25" s="107">
        <f>'Stats Global'!F26</f>
        <v>0</v>
      </c>
      <c r="C25" s="107">
        <f>'Stats Global'!G26+'Stats Global'!G26</f>
        <v>0</v>
      </c>
      <c r="D25" s="107">
        <f>'Stats Global'!O26</f>
        <v>0</v>
      </c>
      <c r="E25" s="122"/>
      <c r="H25" s="54"/>
      <c r="J25" s="131">
        <f>'Stats Global'!M26</f>
        <v>0</v>
      </c>
      <c r="K25" s="131">
        <f>'Stats Global'!H26</f>
        <v>0</v>
      </c>
      <c r="L25" s="56"/>
      <c r="M25" s="131">
        <f>'Stats Global'!J26</f>
        <v>0</v>
      </c>
      <c r="N25" s="131">
        <f>'Stats Global'!G26</f>
        <v>0</v>
      </c>
    </row>
    <row r="26" spans="1:14" ht="14.55" customHeight="1" x14ac:dyDescent="0.45">
      <c r="A26" s="107">
        <f>'Stats Global'!B27</f>
        <v>0</v>
      </c>
      <c r="B26" s="107">
        <f>'Stats Global'!F27</f>
        <v>0</v>
      </c>
      <c r="C26" s="107">
        <f>'Stats Global'!G27+'Stats Global'!G27</f>
        <v>0</v>
      </c>
      <c r="D26" s="107">
        <f>'Stats Global'!O27</f>
        <v>0</v>
      </c>
      <c r="E26" s="116"/>
      <c r="H26" s="54"/>
      <c r="J26" s="131">
        <f>'Stats Global'!M27</f>
        <v>0</v>
      </c>
      <c r="K26" s="131">
        <f>'Stats Global'!H27</f>
        <v>0</v>
      </c>
      <c r="L26" s="56"/>
      <c r="M26" s="131">
        <f>'Stats Global'!J27</f>
        <v>0</v>
      </c>
      <c r="N26" s="131">
        <f>'Stats Global'!G27</f>
        <v>0</v>
      </c>
    </row>
    <row r="27" spans="1:14" ht="14.55" customHeight="1" x14ac:dyDescent="0.45">
      <c r="A27" s="107">
        <f>'Stats Global'!B28</f>
        <v>0</v>
      </c>
      <c r="B27" s="107">
        <f>'Stats Global'!F28</f>
        <v>0</v>
      </c>
      <c r="C27" s="107">
        <f>'Stats Global'!G28+'Stats Global'!G28</f>
        <v>0</v>
      </c>
      <c r="D27" s="107">
        <f>'Stats Global'!O28</f>
        <v>0</v>
      </c>
      <c r="E27" s="116"/>
      <c r="H27" s="54"/>
      <c r="J27" s="131">
        <f>'Stats Global'!M28</f>
        <v>0</v>
      </c>
      <c r="K27" s="131">
        <f>'Stats Global'!H28</f>
        <v>0</v>
      </c>
      <c r="L27" s="56"/>
      <c r="M27" s="131">
        <f>'Stats Global'!J28</f>
        <v>0</v>
      </c>
      <c r="N27" s="131">
        <f>'Stats Global'!G28</f>
        <v>0</v>
      </c>
    </row>
    <row r="28" spans="1:14" ht="14.55" customHeight="1" x14ac:dyDescent="0.45">
      <c r="A28" s="107">
        <f>'Stats Global'!B29</f>
        <v>0</v>
      </c>
      <c r="B28" s="107">
        <f>'Stats Global'!F29</f>
        <v>0</v>
      </c>
      <c r="C28" s="107">
        <f>'Stats Global'!G29+'Stats Global'!G29</f>
        <v>0</v>
      </c>
      <c r="D28" s="107">
        <f>'Stats Global'!O29</f>
        <v>0</v>
      </c>
      <c r="E28" s="116"/>
      <c r="H28" s="54"/>
      <c r="J28" s="131">
        <f>'Stats Global'!M29</f>
        <v>0</v>
      </c>
      <c r="K28" s="131">
        <f>'Stats Global'!H29</f>
        <v>0</v>
      </c>
      <c r="L28" s="56"/>
      <c r="M28" s="131">
        <f>'Stats Global'!J29</f>
        <v>0</v>
      </c>
      <c r="N28" s="131">
        <f>'Stats Global'!G29</f>
        <v>0</v>
      </c>
    </row>
    <row r="29" spans="1:14" ht="14.55" customHeight="1" x14ac:dyDescent="0.45">
      <c r="A29" s="107">
        <f>'Stats Global'!B30</f>
        <v>0</v>
      </c>
      <c r="B29" s="107">
        <f>'Stats Global'!F30</f>
        <v>0</v>
      </c>
      <c r="C29" s="107">
        <f>'Stats Global'!G30+'Stats Global'!G30</f>
        <v>0</v>
      </c>
      <c r="D29" s="107">
        <f>'Stats Global'!O30</f>
        <v>0</v>
      </c>
      <c r="E29" s="116"/>
      <c r="H29" s="54"/>
      <c r="J29" s="131">
        <f>'Stats Global'!M30</f>
        <v>0</v>
      </c>
      <c r="K29" s="131">
        <f>'Stats Global'!H30</f>
        <v>0</v>
      </c>
      <c r="L29" s="56"/>
      <c r="M29" s="131">
        <f>'Stats Global'!J30</f>
        <v>0</v>
      </c>
      <c r="N29" s="131">
        <f>'Stats Global'!G30</f>
        <v>0</v>
      </c>
    </row>
    <row r="30" spans="1:14" ht="14.55" customHeight="1" x14ac:dyDescent="0.45">
      <c r="A30" s="107">
        <f>'Stats Global'!B31</f>
        <v>0</v>
      </c>
      <c r="B30" s="107">
        <f>'Stats Global'!F31</f>
        <v>0</v>
      </c>
      <c r="C30" s="107">
        <f>'Stats Global'!G31+'Stats Global'!G31</f>
        <v>0</v>
      </c>
      <c r="D30" s="107">
        <f>'Stats Global'!O31</f>
        <v>0</v>
      </c>
      <c r="E30" s="116"/>
      <c r="J30" s="131">
        <f>'Stats Global'!M31</f>
        <v>0</v>
      </c>
      <c r="K30" s="131">
        <f>'Stats Global'!H31</f>
        <v>0</v>
      </c>
      <c r="L30" s="56"/>
      <c r="M30" s="131">
        <f>'Stats Global'!J31</f>
        <v>0</v>
      </c>
      <c r="N30" s="131">
        <f>'Stats Global'!G31</f>
        <v>0</v>
      </c>
    </row>
    <row r="31" spans="1:14" ht="14.55" customHeight="1" x14ac:dyDescent="0.45">
      <c r="A31" s="107">
        <f>'Stats Global'!B32</f>
        <v>0</v>
      </c>
      <c r="B31" s="107">
        <f>'Stats Global'!F32</f>
        <v>0</v>
      </c>
      <c r="C31" s="107">
        <f>'Stats Global'!G32+'Stats Global'!G32</f>
        <v>0</v>
      </c>
      <c r="D31" s="107">
        <f>'Stats Global'!O32</f>
        <v>0</v>
      </c>
      <c r="E31" s="116"/>
      <c r="J31" s="131">
        <f>'Stats Global'!M32</f>
        <v>0</v>
      </c>
      <c r="K31" s="131">
        <f>'Stats Global'!H32</f>
        <v>0</v>
      </c>
      <c r="L31" s="56"/>
      <c r="M31" s="131">
        <f>'Stats Global'!J32</f>
        <v>0</v>
      </c>
      <c r="N31" s="131">
        <f>'Stats Global'!G32</f>
        <v>0</v>
      </c>
    </row>
    <row r="32" spans="1:14" ht="14.55" customHeight="1" x14ac:dyDescent="0.45">
      <c r="A32" s="107">
        <f>'Stats Global'!B33</f>
        <v>0</v>
      </c>
      <c r="B32" s="107">
        <f>'Stats Global'!F33</f>
        <v>0</v>
      </c>
      <c r="C32" s="107">
        <f>'Stats Global'!G33+'Stats Global'!G33</f>
        <v>0</v>
      </c>
      <c r="D32" s="107">
        <f>'Stats Global'!O33</f>
        <v>0</v>
      </c>
      <c r="E32" s="116"/>
      <c r="J32" s="131">
        <f>'Stats Global'!M33</f>
        <v>0</v>
      </c>
      <c r="K32" s="131">
        <f>'Stats Global'!H33</f>
        <v>0</v>
      </c>
      <c r="L32" s="56"/>
      <c r="M32" s="131">
        <f>'Stats Global'!J33</f>
        <v>0</v>
      </c>
      <c r="N32" s="131">
        <f>'Stats Global'!G33</f>
        <v>0</v>
      </c>
    </row>
    <row r="33" spans="1:14" ht="14.55" customHeight="1" x14ac:dyDescent="0.45">
      <c r="A33" s="107">
        <f>'Stats Global'!B34</f>
        <v>0</v>
      </c>
      <c r="B33" s="107">
        <f>'Stats Global'!F34</f>
        <v>0</v>
      </c>
      <c r="C33" s="107">
        <f>'Stats Global'!G34+'Stats Global'!G34</f>
        <v>0</v>
      </c>
      <c r="D33" s="107">
        <f>'Stats Global'!O34</f>
        <v>0</v>
      </c>
      <c r="E33" s="116"/>
      <c r="J33" s="131">
        <f>'Stats Global'!M34</f>
        <v>0</v>
      </c>
      <c r="K33" s="131">
        <f>'Stats Global'!H34</f>
        <v>0</v>
      </c>
      <c r="L33" s="56"/>
      <c r="M33" s="131">
        <f>'Stats Global'!J34</f>
        <v>0</v>
      </c>
      <c r="N33" s="131">
        <f>'Stats Global'!G34</f>
        <v>0</v>
      </c>
    </row>
    <row r="34" spans="1:14" ht="14.25" customHeight="1" x14ac:dyDescent="0.45">
      <c r="A34" s="107">
        <f>'Stats Global'!B35</f>
        <v>0</v>
      </c>
      <c r="B34" s="107">
        <f>'Stats Global'!F35</f>
        <v>0</v>
      </c>
      <c r="C34" s="107">
        <f>'Stats Global'!G35+'Stats Global'!G35</f>
        <v>0</v>
      </c>
      <c r="D34" s="107">
        <f>'Stats Global'!O35</f>
        <v>0</v>
      </c>
      <c r="E34" s="116"/>
      <c r="J34" s="131">
        <f>'Stats Global'!M35</f>
        <v>0</v>
      </c>
      <c r="K34" s="131">
        <f>'Stats Global'!H35</f>
        <v>0</v>
      </c>
      <c r="L34" s="56"/>
      <c r="M34" s="131">
        <f>'Stats Global'!J35</f>
        <v>0</v>
      </c>
      <c r="N34" s="131">
        <f>'Stats Global'!G35</f>
        <v>0</v>
      </c>
    </row>
    <row r="35" spans="1:14" ht="14.25" customHeight="1" x14ac:dyDescent="0.45">
      <c r="A35" s="107">
        <f>'Stats Global'!B36</f>
        <v>0</v>
      </c>
      <c r="B35" s="107">
        <f>'Stats Global'!F36</f>
        <v>0</v>
      </c>
      <c r="C35" s="107">
        <f>'Stats Global'!G36+'Stats Global'!G36</f>
        <v>0</v>
      </c>
      <c r="D35" s="107">
        <f>'Stats Global'!O36</f>
        <v>0</v>
      </c>
      <c r="E35" s="116"/>
      <c r="J35" s="131">
        <f>'Stats Global'!M36</f>
        <v>0</v>
      </c>
      <c r="K35" s="131">
        <f>'Stats Global'!H36</f>
        <v>0</v>
      </c>
      <c r="L35" s="56"/>
      <c r="M35" s="131">
        <f>'Stats Global'!J36</f>
        <v>0</v>
      </c>
      <c r="N35" s="131">
        <f>'Stats Global'!G36</f>
        <v>0</v>
      </c>
    </row>
    <row r="36" spans="1:14" ht="14.25" customHeight="1" x14ac:dyDescent="0.45">
      <c r="A36" s="107">
        <f>'Stats Global'!B37</f>
        <v>0</v>
      </c>
      <c r="B36" s="107">
        <f>'Stats Global'!F37</f>
        <v>0</v>
      </c>
      <c r="C36" s="107">
        <f>'Stats Global'!G37+'Stats Global'!G37</f>
        <v>0</v>
      </c>
      <c r="D36" s="107">
        <f>'Stats Global'!O37</f>
        <v>0</v>
      </c>
      <c r="E36" s="116"/>
      <c r="J36" s="131">
        <f>'Stats Global'!M37</f>
        <v>0</v>
      </c>
      <c r="K36" s="131">
        <f>'Stats Global'!H37</f>
        <v>0</v>
      </c>
      <c r="L36" s="56"/>
      <c r="M36" s="131">
        <f>'Stats Global'!J37</f>
        <v>0</v>
      </c>
      <c r="N36" s="131">
        <f>'Stats Global'!G37</f>
        <v>0</v>
      </c>
    </row>
    <row r="37" spans="1:14" ht="14.25" customHeight="1" x14ac:dyDescent="0.45">
      <c r="A37" s="107">
        <f>'Stats Global'!B38</f>
        <v>0</v>
      </c>
      <c r="B37" s="107">
        <f>'Stats Global'!F38</f>
        <v>0</v>
      </c>
      <c r="C37" s="107">
        <f>'Stats Global'!G38+'Stats Global'!G38</f>
        <v>0</v>
      </c>
      <c r="D37" s="107">
        <f>'Stats Global'!O38</f>
        <v>0</v>
      </c>
      <c r="E37" s="116"/>
      <c r="J37" s="131">
        <f>'Stats Global'!M38</f>
        <v>0</v>
      </c>
      <c r="K37" s="131">
        <f>'Stats Global'!H38</f>
        <v>0</v>
      </c>
      <c r="L37" s="56"/>
      <c r="M37" s="131">
        <f>'Stats Global'!J38</f>
        <v>0</v>
      </c>
      <c r="N37" s="131">
        <f>'Stats Global'!G38</f>
        <v>0</v>
      </c>
    </row>
    <row r="38" spans="1:14" ht="14.25" customHeight="1" x14ac:dyDescent="0.45">
      <c r="A38" s="107">
        <f>'Stats Global'!B39</f>
        <v>0</v>
      </c>
      <c r="B38" s="107">
        <f>'Stats Global'!F39</f>
        <v>0</v>
      </c>
      <c r="C38" s="107">
        <f>'Stats Global'!G39+'Stats Global'!G39</f>
        <v>0</v>
      </c>
      <c r="D38" s="107">
        <f>'Stats Global'!O39</f>
        <v>0</v>
      </c>
      <c r="E38" s="116"/>
      <c r="J38" s="131">
        <f>'Stats Global'!M39</f>
        <v>0</v>
      </c>
      <c r="K38" s="131">
        <f>'Stats Global'!H39</f>
        <v>0</v>
      </c>
      <c r="L38" s="56"/>
      <c r="M38" s="131">
        <f>'Stats Global'!J39</f>
        <v>0</v>
      </c>
      <c r="N38" s="131">
        <f>'Stats Global'!G39</f>
        <v>0</v>
      </c>
    </row>
    <row r="39" spans="1:14" ht="14.25" customHeight="1" x14ac:dyDescent="0.45">
      <c r="A39" s="107">
        <f>'Stats Global'!B40</f>
        <v>0</v>
      </c>
      <c r="B39" s="107">
        <f>'Stats Global'!F40</f>
        <v>0</v>
      </c>
      <c r="C39" s="107">
        <f>'Stats Global'!G40+'Stats Global'!G40</f>
        <v>0</v>
      </c>
      <c r="D39" s="107">
        <f>'Stats Global'!O40</f>
        <v>0</v>
      </c>
      <c r="E39" s="116"/>
      <c r="J39" s="131">
        <f>'Stats Global'!M40</f>
        <v>0</v>
      </c>
      <c r="K39" s="131">
        <f>'Stats Global'!H40</f>
        <v>0</v>
      </c>
      <c r="L39" s="56"/>
      <c r="M39" s="131">
        <f>'Stats Global'!J40</f>
        <v>0</v>
      </c>
      <c r="N39" s="131">
        <f>'Stats Global'!G40</f>
        <v>0</v>
      </c>
    </row>
    <row r="40" spans="1:14" ht="14.25" customHeight="1" x14ac:dyDescent="0.45">
      <c r="A40" s="107">
        <f>'Stats Global'!B41</f>
        <v>0</v>
      </c>
      <c r="B40" s="107">
        <f>'Stats Global'!F41</f>
        <v>0</v>
      </c>
      <c r="C40" s="107">
        <f>'Stats Global'!G41+'Stats Global'!G41</f>
        <v>0</v>
      </c>
      <c r="D40" s="107">
        <f>'Stats Global'!O41</f>
        <v>0</v>
      </c>
      <c r="E40" s="116"/>
      <c r="J40" s="131">
        <f>'Stats Global'!M41</f>
        <v>0</v>
      </c>
      <c r="K40" s="131">
        <f>'Stats Global'!H41</f>
        <v>0</v>
      </c>
      <c r="L40" s="56"/>
      <c r="M40" s="131">
        <f>'Stats Global'!J41</f>
        <v>0</v>
      </c>
      <c r="N40" s="131">
        <f>'Stats Global'!G41</f>
        <v>0</v>
      </c>
    </row>
    <row r="41" spans="1:14" ht="14.25" customHeight="1" x14ac:dyDescent="0.45">
      <c r="C41" s="76">
        <f>SUM(B4:B40)/SUM(B4:C40)</f>
        <v>0.66666666666666663</v>
      </c>
      <c r="E41" s="116"/>
      <c r="H41" s="54"/>
      <c r="I41" s="52" t="s">
        <v>81</v>
      </c>
      <c r="J41" s="110">
        <f>SUM(J4:J40)</f>
        <v>2</v>
      </c>
      <c r="K41" s="110">
        <f>SUM(K4:K40)</f>
        <v>1</v>
      </c>
      <c r="L41" s="54"/>
      <c r="M41" s="110">
        <f>SUM(M4:M40)</f>
        <v>2</v>
      </c>
      <c r="N41" s="110">
        <f>SUM(N4:N40)</f>
        <v>1</v>
      </c>
    </row>
    <row r="42" spans="1:14" ht="14.25" customHeight="1" x14ac:dyDescent="0.45">
      <c r="J42" s="58">
        <f>IFERROR(J41/(K41+J41),0)</f>
        <v>0.66666666666666663</v>
      </c>
      <c r="M42" s="58">
        <f>IFERROR(M41/(N41+M41),0)</f>
        <v>0.66666666666666663</v>
      </c>
    </row>
    <row r="43" spans="1:14" ht="14.25" customHeight="1" x14ac:dyDescent="0.45">
      <c r="G43" s="59" t="str">
        <f>F3&amp;","&amp;G3&amp;","&amp;H3&amp;"],"</f>
        <v>4,2,3],</v>
      </c>
      <c r="I43" s="36" t="s">
        <v>106</v>
      </c>
      <c r="K43" s="36" t="s">
        <v>110</v>
      </c>
      <c r="M43" s="60">
        <f>IFERROR(ROUND((SUM(Table1114[Points]))/'Stats Global'!AA6,1),0)</f>
        <v>9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5,"Alexander Galt",5,"Alexander Galt",1,"Ryan Pattemore",0,"N/A"],</v>
      </c>
      <c r="I44" s="36" t="s">
        <v>107</v>
      </c>
      <c r="K44" s="61">
        <f>MAX(Table1114[Points])</f>
        <v>5</v>
      </c>
      <c r="L44" s="36" t="str">
        <f>IF(K44&lt;&gt;0, _xlfn.XLOOKUP(K44,Table1114[Points],Table1114[Name], "N/A"), "N/A")</f>
        <v>Alexander Galt</v>
      </c>
      <c r="M44" s="60">
        <f>IFERROR(ROUND((SUM(Table1114[Finishes]))/'Stats Global'!AA6,1),0)</f>
        <v>8</v>
      </c>
    </row>
    <row r="45" spans="1:14" ht="14.25" customHeight="1" x14ac:dyDescent="0.45">
      <c r="G45" s="36" t="str">
        <f>M43&amp;","&amp;M44&amp;","&amp;M45&amp;","&amp;M46&amp;","&amp;M47&amp;","&amp;M48&amp;"],"</f>
        <v>9,8,1,0,4,2],</v>
      </c>
      <c r="I45" s="36" t="s">
        <v>108</v>
      </c>
      <c r="K45" s="61">
        <f>MAX(Table1114[Finishes])</f>
        <v>5</v>
      </c>
      <c r="L45" s="36" t="str">
        <f>IF(K45&lt;&gt;0, _xlfn.XLOOKUP(K45,Table1114[Finishes],Table1114[Name], "N/A"), "N/A")</f>
        <v>Alexander Galt</v>
      </c>
      <c r="M45" s="60">
        <f>IFERROR(ROUND((SUM(Table1114[Midranges]))/'Stats Global'!AA6,1),0)</f>
        <v>1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2,1,66.7,2,1,66.7],</v>
      </c>
      <c r="I46" s="36" t="s">
        <v>109</v>
      </c>
      <c r="K46" s="61">
        <f>MAX(Table1114[Midranges])</f>
        <v>1</v>
      </c>
      <c r="L46" s="36" t="str">
        <f>IF(K46&lt;&gt;0, _xlfn.XLOOKUP(K46,Table1114[Midranges],Table1114[Name], "N/A"), "N/A")</f>
        <v>Ryan Pattemore</v>
      </c>
      <c r="M46" s="60">
        <f>IFERROR(ROUND((SUM(Table1114[Threes]))/'Stats Global'!AA6,1),0)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4</v>
      </c>
    </row>
    <row r="48" spans="1:14" ht="14.25" customHeight="1" x14ac:dyDescent="0.45">
      <c r="M48" s="36">
        <f>IFERROR(ROUND(G3/'Stats Global'!AA6,1),0)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A7" zoomScale="78" workbookViewId="0">
      <selection activeCell="N47" sqref="N47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9">
        <f>SUM(B4:B40)</f>
        <v>2</v>
      </c>
      <c r="G3" s="109">
        <f>SUM(C4:C40)</f>
        <v>3</v>
      </c>
      <c r="H3" s="109">
        <f>SUM(D4:D40)</f>
        <v>1.5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45">
      <c r="A4" s="107" t="str">
        <f>'Stats Global'!B5</f>
        <v>24 January</v>
      </c>
      <c r="B4" s="108">
        <f>'Stats Global'!L5</f>
        <v>2</v>
      </c>
      <c r="C4" s="108">
        <f>'Stats Global'!M5+'Stats Global'!N5</f>
        <v>3</v>
      </c>
      <c r="D4" s="108">
        <f>'Stats Global'!Q5</f>
        <v>1.5</v>
      </c>
      <c r="J4" s="132">
        <f>'Stats Global'!K5</f>
        <v>1</v>
      </c>
      <c r="K4" s="132">
        <f>'Stats Global'!N5</f>
        <v>1</v>
      </c>
      <c r="L4" s="56"/>
      <c r="M4" s="54" t="str">
        <f>'Stats Global'!Z15</f>
        <v>Clarrie Jones</v>
      </c>
      <c r="N4" s="54">
        <f>'Stats Global'!AA15</f>
        <v>2</v>
      </c>
      <c r="O4" s="54">
        <f>'Stats Global'!AB15</f>
        <v>2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1</v>
      </c>
      <c r="U4" s="54">
        <f>'Stats Global'!AH15</f>
        <v>1</v>
      </c>
      <c r="V4" s="63">
        <f>'Stats Global'!AJ15</f>
        <v>0</v>
      </c>
    </row>
    <row r="5" spans="1:22" ht="14.25" customHeight="1" x14ac:dyDescent="0.45">
      <c r="A5" s="107">
        <f>'Stats Global'!B6</f>
        <v>0</v>
      </c>
      <c r="B5" s="108">
        <f>'Stats Global'!L6</f>
        <v>0</v>
      </c>
      <c r="C5" s="108">
        <f>'Stats Global'!M6+'Stats Global'!N6</f>
        <v>0</v>
      </c>
      <c r="D5" s="108">
        <f>'Stats Global'!Q6</f>
        <v>0</v>
      </c>
      <c r="H5" s="54"/>
      <c r="J5" s="55">
        <f>'Stats Global'!N6</f>
        <v>0</v>
      </c>
      <c r="K5" s="55">
        <f>'Stats Global'!K6</f>
        <v>0</v>
      </c>
      <c r="L5" s="56"/>
      <c r="M5" s="54" t="str">
        <f>'Stats Global'!Z14</f>
        <v>Sam James</v>
      </c>
      <c r="N5" s="54">
        <f>'Stats Global'!AA14</f>
        <v>0</v>
      </c>
      <c r="O5" s="54">
        <f>'Stats Global'!AB14</f>
        <v>0</v>
      </c>
      <c r="P5" s="54">
        <f>'Stats Global'!AC14</f>
        <v>0</v>
      </c>
      <c r="Q5" s="54">
        <f>'Stats Global'!AD14</f>
        <v>0</v>
      </c>
      <c r="R5" s="54">
        <f>'Stats Global'!AE14</f>
        <v>0</v>
      </c>
      <c r="S5" s="54">
        <f>'Stats Global'!AF14</f>
        <v>0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7">
        <f>'Stats Global'!B7</f>
        <v>0</v>
      </c>
      <c r="B6" s="108">
        <f>'Stats Global'!L7</f>
        <v>0</v>
      </c>
      <c r="C6" s="108">
        <f>'Stats Global'!M7+'Stats Global'!N7</f>
        <v>0</v>
      </c>
      <c r="D6" s="108">
        <f>'Stats Global'!Q7</f>
        <v>0</v>
      </c>
      <c r="G6" s="52"/>
      <c r="H6" s="54"/>
      <c r="J6" s="55">
        <f>'Stats Global'!N7</f>
        <v>0</v>
      </c>
      <c r="K6" s="55">
        <f>'Stats Global'!K7</f>
        <v>0</v>
      </c>
      <c r="L6" s="56"/>
      <c r="M6" s="54" t="str">
        <f>'Stats Global'!Z16</f>
        <v>William Kim</v>
      </c>
      <c r="N6" s="54">
        <f>'Stats Global'!AA16</f>
        <v>1</v>
      </c>
      <c r="O6" s="54">
        <f>'Stats Global'!AB16</f>
        <v>1</v>
      </c>
      <c r="P6" s="54">
        <f>'Stats Global'!AC16</f>
        <v>1</v>
      </c>
      <c r="Q6" s="54">
        <f>'Stats Global'!AD16</f>
        <v>1</v>
      </c>
      <c r="R6" s="54">
        <f>'Stats Global'!AE16</f>
        <v>0</v>
      </c>
      <c r="S6" s="54">
        <f>'Stats Global'!AF16</f>
        <v>0</v>
      </c>
      <c r="T6" s="54">
        <f>'Stats Global'!AG16</f>
        <v>0</v>
      </c>
      <c r="U6" s="54">
        <f>'Stats Global'!AH16</f>
        <v>0</v>
      </c>
      <c r="V6" s="63">
        <f>'Stats Global'!AJ16</f>
        <v>0</v>
      </c>
    </row>
    <row r="7" spans="1:22" ht="14.25" customHeight="1" x14ac:dyDescent="0.45">
      <c r="A7" s="107">
        <f>'Stats Global'!B8</f>
        <v>0</v>
      </c>
      <c r="B7" s="108">
        <f>'Stats Global'!L8</f>
        <v>0</v>
      </c>
      <c r="C7" s="108">
        <f>'Stats Global'!M8+'Stats Global'!N8</f>
        <v>0</v>
      </c>
      <c r="D7" s="108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0</v>
      </c>
    </row>
    <row r="8" spans="1:22" ht="14.25" customHeight="1" x14ac:dyDescent="0.45">
      <c r="A8" s="107">
        <f>'Stats Global'!B9</f>
        <v>0</v>
      </c>
      <c r="B8" s="108">
        <f>'Stats Global'!L9</f>
        <v>0</v>
      </c>
      <c r="C8" s="108">
        <f>'Stats Global'!M9+'Stats Global'!N9</f>
        <v>0</v>
      </c>
      <c r="D8" s="108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2</v>
      </c>
      <c r="O8" s="54">
        <f>'Stats Global'!AB21</f>
        <v>2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1</v>
      </c>
      <c r="U8" s="54">
        <f>'Stats Global'!AH21</f>
        <v>1</v>
      </c>
      <c r="V8" s="63">
        <f>'Stats Global'!AJ21</f>
        <v>0</v>
      </c>
    </row>
    <row r="9" spans="1:22" ht="14.25" customHeight="1" x14ac:dyDescent="0.45">
      <c r="A9" s="107">
        <f>'Stats Global'!B10</f>
        <v>0</v>
      </c>
      <c r="B9" s="108">
        <f>'Stats Global'!L10</f>
        <v>0</v>
      </c>
      <c r="C9" s="108">
        <f>'Stats Global'!M10+'Stats Global'!N10</f>
        <v>0</v>
      </c>
      <c r="D9" s="108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7">
        <f>'Stats Global'!B11</f>
        <v>0</v>
      </c>
      <c r="B10" s="108">
        <f>'Stats Global'!L11</f>
        <v>0</v>
      </c>
      <c r="C10" s="108">
        <f>'Stats Global'!M11+'Stats Global'!N11</f>
        <v>0</v>
      </c>
      <c r="D10" s="108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7">
        <f>'Stats Global'!B12</f>
        <v>0</v>
      </c>
      <c r="B11" s="108">
        <f>'Stats Global'!L12</f>
        <v>0</v>
      </c>
      <c r="C11" s="108">
        <f>'Stats Global'!M12+'Stats Global'!N12</f>
        <v>0</v>
      </c>
      <c r="D11" s="108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7">
        <f>'Stats Global'!B13</f>
        <v>0</v>
      </c>
      <c r="B12" s="108">
        <f>'Stats Global'!L13</f>
        <v>0</v>
      </c>
      <c r="C12" s="108">
        <f>'Stats Global'!M13+'Stats Global'!N13</f>
        <v>0</v>
      </c>
      <c r="D12" s="108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7">
        <f>'Stats Global'!B14</f>
        <v>0</v>
      </c>
      <c r="B13" s="108">
        <f>'Stats Global'!L14</f>
        <v>0</v>
      </c>
      <c r="C13" s="108">
        <f>'Stats Global'!M14+'Stats Global'!N14</f>
        <v>0</v>
      </c>
      <c r="D13" s="108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7">
        <f>'Stats Global'!B15</f>
        <v>0</v>
      </c>
      <c r="B14" s="108">
        <f>'Stats Global'!L15</f>
        <v>0</v>
      </c>
      <c r="C14" s="108">
        <f>'Stats Global'!M15+'Stats Global'!N15</f>
        <v>0</v>
      </c>
      <c r="D14" s="108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7">
        <f>'Stats Global'!B16</f>
        <v>0</v>
      </c>
      <c r="B15" s="108">
        <f>'Stats Global'!L16</f>
        <v>0</v>
      </c>
      <c r="C15" s="108">
        <f>'Stats Global'!M16+'Stats Global'!N16</f>
        <v>0</v>
      </c>
      <c r="D15" s="108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7">
        <f>'Stats Global'!B17</f>
        <v>0</v>
      </c>
      <c r="B16" s="108">
        <f>'Stats Global'!L17</f>
        <v>0</v>
      </c>
      <c r="C16" s="108">
        <f>'Stats Global'!M17+'Stats Global'!N17</f>
        <v>0</v>
      </c>
      <c r="D16" s="108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7">
        <f>'Stats Global'!B18</f>
        <v>0</v>
      </c>
      <c r="B17" s="108">
        <f>'Stats Global'!L18</f>
        <v>0</v>
      </c>
      <c r="C17" s="108">
        <f>'Stats Global'!M18+'Stats Global'!N18</f>
        <v>0</v>
      </c>
      <c r="D17" s="108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7">
        <f>'Stats Global'!B19</f>
        <v>0</v>
      </c>
      <c r="B18" s="108">
        <f>'Stats Global'!L19</f>
        <v>0</v>
      </c>
      <c r="C18" s="108">
        <f>'Stats Global'!M19+'Stats Global'!N19</f>
        <v>0</v>
      </c>
      <c r="D18" s="108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7">
        <f>'Stats Global'!B20</f>
        <v>0</v>
      </c>
      <c r="B19" s="108">
        <f>'Stats Global'!L20</f>
        <v>0</v>
      </c>
      <c r="C19" s="108">
        <f>'Stats Global'!M20+'Stats Global'!N20</f>
        <v>0</v>
      </c>
      <c r="D19" s="108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7">
        <f>'Stats Global'!B21</f>
        <v>0</v>
      </c>
      <c r="B20" s="108">
        <f>'Stats Global'!L21</f>
        <v>0</v>
      </c>
      <c r="C20" s="108">
        <f>'Stats Global'!M21+'Stats Global'!N21</f>
        <v>0</v>
      </c>
      <c r="D20" s="108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7">
        <f>'Stats Global'!B22</f>
        <v>0</v>
      </c>
      <c r="B21" s="108">
        <f>'Stats Global'!L22</f>
        <v>0</v>
      </c>
      <c r="C21" s="108">
        <f>'Stats Global'!M22+'Stats Global'!N22</f>
        <v>0</v>
      </c>
      <c r="D21" s="108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7">
        <f>'Stats Global'!B23</f>
        <v>0</v>
      </c>
      <c r="B22" s="108">
        <f>'Stats Global'!L23</f>
        <v>0</v>
      </c>
      <c r="C22" s="108">
        <f>'Stats Global'!M23+'Stats Global'!N23</f>
        <v>0</v>
      </c>
      <c r="D22" s="108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7">
        <f>'Stats Global'!B24</f>
        <v>0</v>
      </c>
      <c r="B23" s="108">
        <f>'Stats Global'!L24</f>
        <v>0</v>
      </c>
      <c r="C23" s="108">
        <f>'Stats Global'!M24+'Stats Global'!N24</f>
        <v>0</v>
      </c>
      <c r="D23" s="108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7">
        <f>'Stats Global'!B25</f>
        <v>0</v>
      </c>
      <c r="B24" s="108">
        <f>'Stats Global'!L25</f>
        <v>0</v>
      </c>
      <c r="C24" s="108">
        <f>'Stats Global'!M25+'Stats Global'!N25</f>
        <v>0</v>
      </c>
      <c r="D24" s="108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7">
        <f>'Stats Global'!B26</f>
        <v>0</v>
      </c>
      <c r="B25" s="108">
        <f>'Stats Global'!L26</f>
        <v>0</v>
      </c>
      <c r="C25" s="108">
        <f>'Stats Global'!M26+'Stats Global'!N26</f>
        <v>0</v>
      </c>
      <c r="D25" s="108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7">
        <f>'Stats Global'!B27</f>
        <v>0</v>
      </c>
      <c r="B26" s="108">
        <f>'Stats Global'!L27</f>
        <v>0</v>
      </c>
      <c r="C26" s="108">
        <f>'Stats Global'!M27+'Stats Global'!N27</f>
        <v>0</v>
      </c>
      <c r="D26" s="108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7">
        <f>'Stats Global'!B28</f>
        <v>0</v>
      </c>
      <c r="B27" s="108">
        <f>'Stats Global'!L28</f>
        <v>0</v>
      </c>
      <c r="C27" s="108">
        <f>'Stats Global'!M28+'Stats Global'!N28</f>
        <v>0</v>
      </c>
      <c r="D27" s="108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7">
        <f>'Stats Global'!B29</f>
        <v>0</v>
      </c>
      <c r="B28" s="108">
        <f>'Stats Global'!L29</f>
        <v>0</v>
      </c>
      <c r="C28" s="108">
        <f>'Stats Global'!M29+'Stats Global'!N29</f>
        <v>0</v>
      </c>
      <c r="D28" s="108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7">
        <f>'Stats Global'!B30</f>
        <v>0</v>
      </c>
      <c r="B29" s="108">
        <f>'Stats Global'!L30</f>
        <v>0</v>
      </c>
      <c r="C29" s="108">
        <f>'Stats Global'!M30+'Stats Global'!N30</f>
        <v>0</v>
      </c>
      <c r="D29" s="108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7">
        <f>'Stats Global'!B31</f>
        <v>0</v>
      </c>
      <c r="B30" s="108">
        <f>'Stats Global'!L31</f>
        <v>0</v>
      </c>
      <c r="C30" s="108">
        <f>'Stats Global'!M31+'Stats Global'!N31</f>
        <v>0</v>
      </c>
      <c r="D30" s="108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7">
        <f>'Stats Global'!B32</f>
        <v>0</v>
      </c>
      <c r="B31" s="108">
        <f>'Stats Global'!L32</f>
        <v>0</v>
      </c>
      <c r="C31" s="108">
        <f>'Stats Global'!M32+'Stats Global'!N32</f>
        <v>0</v>
      </c>
      <c r="D31" s="108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7">
        <f>'Stats Global'!B33</f>
        <v>0</v>
      </c>
      <c r="B32" s="108">
        <f>'Stats Global'!L33</f>
        <v>0</v>
      </c>
      <c r="C32" s="108">
        <f>'Stats Global'!M33+'Stats Global'!N33</f>
        <v>0</v>
      </c>
      <c r="D32" s="108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7">
        <f>'Stats Global'!B34</f>
        <v>0</v>
      </c>
      <c r="B33" s="108">
        <f>'Stats Global'!L34</f>
        <v>0</v>
      </c>
      <c r="C33" s="108">
        <f>'Stats Global'!M34+'Stats Global'!N34</f>
        <v>0</v>
      </c>
      <c r="D33" s="108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7">
        <f>'Stats Global'!B35</f>
        <v>0</v>
      </c>
      <c r="B34" s="108">
        <f>'Stats Global'!L35</f>
        <v>0</v>
      </c>
      <c r="C34" s="108">
        <f>'Stats Global'!M35+'Stats Global'!N35</f>
        <v>0</v>
      </c>
      <c r="D34" s="108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7">
        <f>'Stats Global'!B36</f>
        <v>0</v>
      </c>
      <c r="B35" s="108">
        <f>'Stats Global'!L36</f>
        <v>0</v>
      </c>
      <c r="C35" s="108">
        <f>'Stats Global'!M36+'Stats Global'!N36</f>
        <v>0</v>
      </c>
      <c r="D35" s="108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7">
        <f>'Stats Global'!B37</f>
        <v>0</v>
      </c>
      <c r="B36" s="108">
        <f>'Stats Global'!L37</f>
        <v>0</v>
      </c>
      <c r="C36" s="108">
        <f>'Stats Global'!M37+'Stats Global'!N37</f>
        <v>0</v>
      </c>
      <c r="D36" s="108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7">
        <f>'Stats Global'!B38</f>
        <v>0</v>
      </c>
      <c r="B37" s="108">
        <f>'Stats Global'!L38</f>
        <v>0</v>
      </c>
      <c r="C37" s="108">
        <f>'Stats Global'!M38+'Stats Global'!N38</f>
        <v>0</v>
      </c>
      <c r="D37" s="108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7">
        <f>'Stats Global'!B39</f>
        <v>0</v>
      </c>
      <c r="B38" s="108">
        <f>'Stats Global'!L39</f>
        <v>0</v>
      </c>
      <c r="C38" s="108">
        <f>'Stats Global'!M39+'Stats Global'!N39</f>
        <v>0</v>
      </c>
      <c r="D38" s="108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7">
        <f>'Stats Global'!B40</f>
        <v>0</v>
      </c>
      <c r="B39" s="108">
        <f>'Stats Global'!L40</f>
        <v>0</v>
      </c>
      <c r="C39" s="108">
        <f>'Stats Global'!M40+'Stats Global'!N40</f>
        <v>0</v>
      </c>
      <c r="D39" s="108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7">
        <f>'Stats Global'!B41</f>
        <v>0</v>
      </c>
      <c r="B40" s="108">
        <f>'Stats Global'!L41</f>
        <v>0</v>
      </c>
      <c r="C40" s="108">
        <f>'Stats Global'!M41+'Stats Global'!N41</f>
        <v>0</v>
      </c>
      <c r="D40" s="108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>
        <f>SUM(B4:B40)/SUM(B4:C40)</f>
        <v>0.4</v>
      </c>
      <c r="H41" s="54"/>
      <c r="I41" s="36" t="s">
        <v>81</v>
      </c>
      <c r="J41" s="111">
        <f>SUM(J4:J40)</f>
        <v>1</v>
      </c>
      <c r="K41" s="111">
        <f>SUM(K4:K40)</f>
        <v>1</v>
      </c>
      <c r="L41" s="54"/>
      <c r="M41" s="54"/>
    </row>
    <row r="42" spans="1:14" ht="14.25" customHeight="1" x14ac:dyDescent="0.45">
      <c r="J42" s="58">
        <f>IFERROR(J41/(K41+J41),0)</f>
        <v>0.5</v>
      </c>
    </row>
    <row r="43" spans="1:14" ht="14.25" customHeight="1" x14ac:dyDescent="0.45">
      <c r="H43" s="59" t="str">
        <f>F3&amp;","&amp;G3&amp;","&amp;H3&amp;"],"</f>
        <v>2,3,1.5],</v>
      </c>
      <c r="I43" s="52"/>
      <c r="J43" s="36" t="s">
        <v>106</v>
      </c>
      <c r="L43" s="36" t="s">
        <v>110</v>
      </c>
      <c r="N43" s="60">
        <f>IFERROR(ROUND((SUM(Table1114[Points]))/'Stats Global'!AA6,1),0)</f>
        <v>9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2,"Clarrie Jones",1,"William Kim",0,"N/A",1,"Clarrie Jones"],</v>
      </c>
      <c r="J44" s="36" t="s">
        <v>107</v>
      </c>
      <c r="L44" s="61">
        <f>MAX(Table1113[Points])</f>
        <v>2</v>
      </c>
      <c r="M44" s="36" t="str">
        <f>IF(L44&lt;&gt;0, _xlfn.XLOOKUP(L44,Table1113[Points],Table1113[Name], "N/A"), "N/A")</f>
        <v>Clarrie Jones</v>
      </c>
      <c r="N44" s="60">
        <f>IFERROR(ROUND((SUM(Table1113[Finishes]))/'Stats Global'!AA6,1),0)</f>
        <v>1</v>
      </c>
    </row>
    <row r="45" spans="1:14" ht="14.25" customHeight="1" x14ac:dyDescent="0.45">
      <c r="H45" s="36" t="str">
        <f>N43&amp;","&amp;N44&amp;","&amp;N45&amp;","&amp;N46&amp;","&amp;N47&amp;","&amp;N48&amp;"],"</f>
        <v>9,1,0,2,2,3],</v>
      </c>
      <c r="J45" s="36" t="s">
        <v>108</v>
      </c>
      <c r="L45" s="61">
        <f>MAX(Table1113[Finishes])</f>
        <v>1</v>
      </c>
      <c r="M45" s="36" t="str">
        <f>IF(L45&lt;&gt;0, _xlfn.XLOOKUP(L45,Table1113[Finishes],Table1113[Name], "N/A"), "N/A")</f>
        <v>William Kim</v>
      </c>
      <c r="N45" s="60">
        <f>IFERROR(ROUND((SUM(Table1113[Midranges]))/'Stats Global'!AA6,1),0)</f>
        <v>0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1,2,33.3,1,1,50],</v>
      </c>
      <c r="J46" s="36" t="s">
        <v>109</v>
      </c>
      <c r="L46" s="61">
        <f>MAX(Table1113[Midranges])</f>
        <v>0</v>
      </c>
      <c r="M46" s="36" t="str">
        <f>IF(L46&lt;&gt;0, _xlfn.XLOOKUP(L46,Table1113[Midranges],Table1113[Name], "N/A"), "N/A")</f>
        <v>N/A</v>
      </c>
      <c r="N46" s="60">
        <f>IFERROR(ROUND((SUM(Table1113[Threes]))/'Stats Global'!AA6,1),0)</f>
        <v>2</v>
      </c>
    </row>
    <row r="47" spans="1:14" ht="14.25" customHeight="1" x14ac:dyDescent="0.45">
      <c r="L47" s="61">
        <f>MAX(Table1113[Threes])</f>
        <v>1</v>
      </c>
      <c r="M47" s="36" t="str">
        <f>IF(L47&lt;&gt;0, _xlfn.XLOOKUP(L47,Table1113[Threes],Table1113[Name], "N/A"), "N/A")</f>
        <v>Clarrie Jones</v>
      </c>
      <c r="N47" s="36">
        <f>IFERROR(ROUND(F3/'Stats Global'!AA6,1),0)</f>
        <v>2</v>
      </c>
    </row>
    <row r="48" spans="1:14" ht="14.25" customHeight="1" x14ac:dyDescent="0.45">
      <c r="N48" s="36">
        <f>IFERROR(ROUND(G3/'Stats Global'!AA6,1),0)</f>
        <v>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9">
        <f>SUM(B4:B40)</f>
        <v>2</v>
      </c>
      <c r="F3" s="109">
        <f>SUM(C4:C40)</f>
        <v>3</v>
      </c>
      <c r="G3" s="109">
        <f>SUM(D4:D40)</f>
        <v>1.5</v>
      </c>
      <c r="H3" s="52"/>
      <c r="I3" s="66" t="s">
        <v>143</v>
      </c>
      <c r="V3" s="52"/>
      <c r="W3" s="52"/>
      <c r="X3" s="52"/>
    </row>
    <row r="4" spans="1:24" ht="14.25" customHeight="1" x14ac:dyDescent="0.45">
      <c r="A4" s="107" t="str">
        <f>'Stats Global'!B5</f>
        <v>24 January</v>
      </c>
      <c r="B4" s="108">
        <f>'Stats Global'!I5</f>
        <v>2</v>
      </c>
      <c r="C4" s="108">
        <f>'Stats Global'!J5+'Stats Global'!K5</f>
        <v>3</v>
      </c>
      <c r="D4" s="108">
        <f>'Stats Global'!P5</f>
        <v>1.5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45">
      <c r="A5" s="107">
        <f>'Stats Global'!B6</f>
        <v>0</v>
      </c>
      <c r="B5" s="108">
        <f>'Stats Global'!I6</f>
        <v>0</v>
      </c>
      <c r="C5" s="108">
        <f>'Stats Global'!J6+'Stats Global'!K6</f>
        <v>0</v>
      </c>
      <c r="D5" s="108">
        <f>'Stats Global'!P6</f>
        <v>0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7">
        <f>'Stats Global'!B7</f>
        <v>0</v>
      </c>
      <c r="B6" s="108">
        <f>'Stats Global'!I7</f>
        <v>0</v>
      </c>
      <c r="C6" s="108">
        <f>'Stats Global'!J7+'Stats Global'!K7</f>
        <v>0</v>
      </c>
      <c r="D6" s="108">
        <f>'Stats Global'!P7</f>
        <v>0</v>
      </c>
      <c r="E6" s="52"/>
      <c r="F6" s="62"/>
      <c r="H6" s="54"/>
      <c r="I6" s="54" t="str">
        <f>'Stats Global'!Z12</f>
        <v>Michael Iffland</v>
      </c>
      <c r="J6" s="54">
        <f>'Stats Global'!AA12</f>
        <v>3</v>
      </c>
      <c r="K6" s="54">
        <f>'Stats Global'!AB12</f>
        <v>3</v>
      </c>
      <c r="L6" s="54">
        <f>'Stats Global'!AC12</f>
        <v>2</v>
      </c>
      <c r="M6" s="54">
        <f>'Stats Global'!AD12</f>
        <v>2</v>
      </c>
      <c r="N6" s="54">
        <f>'Stats Global'!AE12</f>
        <v>1</v>
      </c>
      <c r="O6" s="54">
        <f>'Stats Global'!AF12</f>
        <v>1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7">
        <f>'Stats Global'!B8</f>
        <v>0</v>
      </c>
      <c r="B7" s="108">
        <f>'Stats Global'!I8</f>
        <v>0</v>
      </c>
      <c r="C7" s="108">
        <f>'Stats Global'!J8+'Stats Global'!K8</f>
        <v>0</v>
      </c>
      <c r="D7" s="108">
        <f>'Stats Global'!P8</f>
        <v>0</v>
      </c>
      <c r="E7" s="52"/>
      <c r="F7" s="62"/>
      <c r="H7" s="54"/>
      <c r="I7" s="54" t="str">
        <f>'Stats Global'!Z13</f>
        <v>Lukas Johnston</v>
      </c>
      <c r="J7" s="54">
        <f>'Stats Global'!AA13</f>
        <v>0</v>
      </c>
      <c r="K7" s="54">
        <f>'Stats Global'!AB13</f>
        <v>0</v>
      </c>
      <c r="L7" s="54">
        <f>'Stats Global'!AC13</f>
        <v>0</v>
      </c>
      <c r="M7" s="54">
        <f>'Stats Global'!AD13</f>
        <v>0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7">
        <f>'Stats Global'!B9</f>
        <v>0</v>
      </c>
      <c r="B8" s="108">
        <f>'Stats Global'!I9</f>
        <v>0</v>
      </c>
      <c r="C8" s="108">
        <f>'Stats Global'!J9+'Stats Global'!K9</f>
        <v>0</v>
      </c>
      <c r="D8" s="108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2</v>
      </c>
      <c r="K8" s="54">
        <f>'Stats Global'!AB17</f>
        <v>2</v>
      </c>
      <c r="L8" s="54">
        <f>'Stats Global'!AC17</f>
        <v>2</v>
      </c>
      <c r="M8" s="54">
        <f>'Stats Global'!AD17</f>
        <v>2</v>
      </c>
      <c r="N8" s="54">
        <f>'Stats Global'!AE17</f>
        <v>0</v>
      </c>
      <c r="O8" s="54">
        <f>'Stats Global'!AF17</f>
        <v>0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7">
        <f>'Stats Global'!B10</f>
        <v>0</v>
      </c>
      <c r="B9" s="108">
        <f>'Stats Global'!I10</f>
        <v>0</v>
      </c>
      <c r="C9" s="108">
        <f>'Stats Global'!J10+'Stats Global'!K10</f>
        <v>0</v>
      </c>
      <c r="D9" s="108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1</v>
      </c>
      <c r="K9" s="54">
        <f>'Stats Global'!AB22</f>
        <v>1</v>
      </c>
      <c r="L9" s="54">
        <f>'Stats Global'!AC22</f>
        <v>1</v>
      </c>
      <c r="M9" s="54">
        <f>'Stats Global'!AD22</f>
        <v>1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7">
        <f>'Stats Global'!B11</f>
        <v>0</v>
      </c>
      <c r="B10" s="108">
        <f>'Stats Global'!I11</f>
        <v>0</v>
      </c>
      <c r="C10" s="108">
        <f>'Stats Global'!J11+'Stats Global'!K11</f>
        <v>0</v>
      </c>
      <c r="D10" s="108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0</v>
      </c>
      <c r="V10" s="54"/>
      <c r="W10" s="54"/>
      <c r="X10" s="54"/>
    </row>
    <row r="11" spans="1:24" ht="14.25" customHeight="1" x14ac:dyDescent="0.45">
      <c r="A11" s="107">
        <f>'Stats Global'!B12</f>
        <v>0</v>
      </c>
      <c r="B11" s="108">
        <f>'Stats Global'!I12</f>
        <v>0</v>
      </c>
      <c r="C11" s="108">
        <f>'Stats Global'!J12+'Stats Global'!K12</f>
        <v>0</v>
      </c>
      <c r="D11" s="108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7">
        <f>'Stats Global'!B13</f>
        <v>0</v>
      </c>
      <c r="B12" s="108">
        <f>'Stats Global'!I13</f>
        <v>0</v>
      </c>
      <c r="C12" s="108">
        <f>'Stats Global'!J13+'Stats Global'!K13</f>
        <v>0</v>
      </c>
      <c r="D12" s="108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7">
        <f>'Stats Global'!B14</f>
        <v>0</v>
      </c>
      <c r="B13" s="108">
        <f>'Stats Global'!I14</f>
        <v>0</v>
      </c>
      <c r="C13" s="108">
        <f>'Stats Global'!J14+'Stats Global'!K14</f>
        <v>0</v>
      </c>
      <c r="D13" s="108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7">
        <f>'Stats Global'!B15</f>
        <v>0</v>
      </c>
      <c r="B14" s="108">
        <f>'Stats Global'!I15</f>
        <v>0</v>
      </c>
      <c r="C14" s="108">
        <f>'Stats Global'!J15+'Stats Global'!K15</f>
        <v>0</v>
      </c>
      <c r="D14" s="108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7">
        <f>'Stats Global'!B16</f>
        <v>0</v>
      </c>
      <c r="B15" s="108">
        <f>'Stats Global'!I16</f>
        <v>0</v>
      </c>
      <c r="C15" s="108">
        <f>'Stats Global'!J16+'Stats Global'!K16</f>
        <v>0</v>
      </c>
      <c r="D15" s="108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7">
        <f>'Stats Global'!B17</f>
        <v>0</v>
      </c>
      <c r="B16" s="108">
        <f>'Stats Global'!I17</f>
        <v>0</v>
      </c>
      <c r="C16" s="108">
        <f>'Stats Global'!J17+'Stats Global'!K17</f>
        <v>0</v>
      </c>
      <c r="D16" s="108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7">
        <f>'Stats Global'!B18</f>
        <v>0</v>
      </c>
      <c r="B17" s="108">
        <f>'Stats Global'!I18</f>
        <v>0</v>
      </c>
      <c r="C17" s="108">
        <f>'Stats Global'!J18+'Stats Global'!K18</f>
        <v>0</v>
      </c>
      <c r="D17" s="108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7">
        <f>'Stats Global'!B19</f>
        <v>0</v>
      </c>
      <c r="B18" s="108">
        <f>'Stats Global'!I19</f>
        <v>0</v>
      </c>
      <c r="C18" s="108">
        <f>'Stats Global'!J19+'Stats Global'!K19</f>
        <v>0</v>
      </c>
      <c r="D18" s="108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7">
        <f>'Stats Global'!B20</f>
        <v>0</v>
      </c>
      <c r="B19" s="108">
        <f>'Stats Global'!I20</f>
        <v>0</v>
      </c>
      <c r="C19" s="108">
        <f>'Stats Global'!J20+'Stats Global'!K20</f>
        <v>0</v>
      </c>
      <c r="D19" s="108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7">
        <f>'Stats Global'!B21</f>
        <v>0</v>
      </c>
      <c r="B20" s="108">
        <f>'Stats Global'!I21</f>
        <v>0</v>
      </c>
      <c r="C20" s="108">
        <f>'Stats Global'!J21+'Stats Global'!K21</f>
        <v>0</v>
      </c>
      <c r="D20" s="108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7">
        <f>'Stats Global'!B22</f>
        <v>0</v>
      </c>
      <c r="B21" s="108">
        <f>'Stats Global'!I22</f>
        <v>0</v>
      </c>
      <c r="C21" s="108">
        <f>'Stats Global'!J22+'Stats Global'!K22</f>
        <v>0</v>
      </c>
      <c r="D21" s="108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7">
        <f>'Stats Global'!B23</f>
        <v>0</v>
      </c>
      <c r="B22" s="108">
        <f>'Stats Global'!I23</f>
        <v>0</v>
      </c>
      <c r="C22" s="108">
        <f>'Stats Global'!J23+'Stats Global'!K23</f>
        <v>0</v>
      </c>
      <c r="D22" s="108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7">
        <f>'Stats Global'!B24</f>
        <v>0</v>
      </c>
      <c r="B23" s="108">
        <f>'Stats Global'!I24</f>
        <v>0</v>
      </c>
      <c r="C23" s="108">
        <f>'Stats Global'!J24+'Stats Global'!K24</f>
        <v>0</v>
      </c>
      <c r="D23" s="108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7">
        <f>'Stats Global'!B25</f>
        <v>0</v>
      </c>
      <c r="B24" s="108">
        <f>'Stats Global'!I25</f>
        <v>0</v>
      </c>
      <c r="C24" s="108">
        <f>'Stats Global'!J25+'Stats Global'!K25</f>
        <v>0</v>
      </c>
      <c r="D24" s="108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7">
        <f>'Stats Global'!B26</f>
        <v>0</v>
      </c>
      <c r="B25" s="108">
        <f>'Stats Global'!I26</f>
        <v>0</v>
      </c>
      <c r="C25" s="108">
        <f>'Stats Global'!J26+'Stats Global'!K26</f>
        <v>0</v>
      </c>
      <c r="D25" s="108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7">
        <f>'Stats Global'!B27</f>
        <v>0</v>
      </c>
      <c r="B26" s="108">
        <f>'Stats Global'!I27</f>
        <v>0</v>
      </c>
      <c r="C26" s="108">
        <f>'Stats Global'!J27+'Stats Global'!K27</f>
        <v>0</v>
      </c>
      <c r="D26" s="108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7">
        <f>'Stats Global'!B28</f>
        <v>0</v>
      </c>
      <c r="B27" s="108">
        <f>'Stats Global'!I28</f>
        <v>0</v>
      </c>
      <c r="C27" s="108">
        <f>'Stats Global'!J28+'Stats Global'!K28</f>
        <v>0</v>
      </c>
      <c r="D27" s="108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7">
        <f>'Stats Global'!B29</f>
        <v>0</v>
      </c>
      <c r="B28" s="108">
        <f>'Stats Global'!I29</f>
        <v>0</v>
      </c>
      <c r="C28" s="108">
        <f>'Stats Global'!J29+'Stats Global'!K29</f>
        <v>0</v>
      </c>
      <c r="D28" s="108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7">
        <f>'Stats Global'!B30</f>
        <v>0</v>
      </c>
      <c r="B29" s="108">
        <f>'Stats Global'!I30</f>
        <v>0</v>
      </c>
      <c r="C29" s="108">
        <f>'Stats Global'!J30+'Stats Global'!K30</f>
        <v>0</v>
      </c>
      <c r="D29" s="108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7">
        <f>'Stats Global'!B31</f>
        <v>0</v>
      </c>
      <c r="B30" s="108">
        <f>'Stats Global'!I31</f>
        <v>0</v>
      </c>
      <c r="C30" s="108">
        <f>'Stats Global'!J31+'Stats Global'!K31</f>
        <v>0</v>
      </c>
      <c r="D30" s="108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7">
        <f>'Stats Global'!B32</f>
        <v>0</v>
      </c>
      <c r="B31" s="108">
        <f>'Stats Global'!I32</f>
        <v>0</v>
      </c>
      <c r="C31" s="108">
        <f>'Stats Global'!J32+'Stats Global'!K32</f>
        <v>0</v>
      </c>
      <c r="D31" s="108">
        <f>'Stats Global'!P32</f>
        <v>0</v>
      </c>
      <c r="G31" s="52"/>
      <c r="N31" s="58"/>
    </row>
    <row r="32" spans="1:24" ht="14.25" customHeight="1" x14ac:dyDescent="0.45">
      <c r="A32" s="107">
        <f>'Stats Global'!B33</f>
        <v>0</v>
      </c>
      <c r="B32" s="108">
        <f>'Stats Global'!I33</f>
        <v>0</v>
      </c>
      <c r="C32" s="108">
        <f>'Stats Global'!J33+'Stats Global'!K33</f>
        <v>0</v>
      </c>
      <c r="D32" s="108">
        <f>'Stats Global'!P33</f>
        <v>0</v>
      </c>
      <c r="G32" s="52"/>
      <c r="H32" s="59" t="str">
        <f>E3&amp;","&amp;F3&amp;","&amp;G3&amp;"],"</f>
        <v>2,3,1.5],</v>
      </c>
      <c r="I32" s="52"/>
      <c r="J32" s="36" t="s">
        <v>106</v>
      </c>
      <c r="L32" s="36" t="s">
        <v>110</v>
      </c>
      <c r="N32" s="60">
        <f>IFERROR(ROUND((SUM(Table11[Points]))/'Stats Global'!AA6,1),0)</f>
        <v>6</v>
      </c>
    </row>
    <row r="33" spans="1:14" ht="14.25" customHeight="1" x14ac:dyDescent="0.45">
      <c r="A33" s="107">
        <f>'Stats Global'!B34</f>
        <v>0</v>
      </c>
      <c r="B33" s="108">
        <f>'Stats Global'!I34</f>
        <v>0</v>
      </c>
      <c r="C33" s="108">
        <f>'Stats Global'!J34+'Stats Global'!K34</f>
        <v>0</v>
      </c>
      <c r="D33" s="108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3,"Michael Iffland",2,"Michael Iffland",1,"N/A",0,"N/A"],</v>
      </c>
      <c r="J33" s="36" t="s">
        <v>107</v>
      </c>
      <c r="L33" s="61">
        <f>MAX(Table11[Points])</f>
        <v>3</v>
      </c>
      <c r="M33" s="36" t="str">
        <f>IF(L33&lt;&gt;0, _xlfn.XLOOKUP(L33,J5:J10,I5:I10, "N/A"), "N/A")</f>
        <v>Michael Iffland</v>
      </c>
      <c r="N33" s="60">
        <f>IFERROR(ROUND((SUM(Table11[Finishes]))/'Stats Global'!AA6,1),0)</f>
        <v>5</v>
      </c>
    </row>
    <row r="34" spans="1:14" ht="14.25" customHeight="1" x14ac:dyDescent="0.45">
      <c r="A34" s="107">
        <f>'Stats Global'!B35</f>
        <v>0</v>
      </c>
      <c r="B34" s="108">
        <f>'Stats Global'!I35</f>
        <v>0</v>
      </c>
      <c r="C34" s="108">
        <f>'Stats Global'!J35+'Stats Global'!K35</f>
        <v>0</v>
      </c>
      <c r="D34" s="108">
        <f>'Stats Global'!P35</f>
        <v>0</v>
      </c>
      <c r="H34" s="36" t="str">
        <f>N32&amp;","&amp;N33&amp;","&amp;N34&amp;","&amp;N35&amp;","&amp;N36&amp;","&amp;N37&amp;"],"</f>
        <v>6,5,1,0,2,3],</v>
      </c>
      <c r="J34" s="36" t="s">
        <v>108</v>
      </c>
      <c r="L34" s="61">
        <f>MAX(Table11[Finishes])</f>
        <v>2</v>
      </c>
      <c r="M34" s="36" t="str">
        <f>IF(L33&lt;&gt;0, _xlfn.XLOOKUP(L33,K5:K10,I5:I10, "N/A"), "N/A")</f>
        <v>Michael Iffland</v>
      </c>
      <c r="N34" s="60">
        <f>IFERROR(ROUND((SUM(Table11[Midranges]))/'Stats Global'!AA6,1),0)</f>
        <v>1</v>
      </c>
    </row>
    <row r="35" spans="1:14" ht="14.25" customHeight="1" x14ac:dyDescent="0.45">
      <c r="A35" s="107">
        <f>'Stats Global'!B36</f>
        <v>0</v>
      </c>
      <c r="B35" s="108">
        <f>'Stats Global'!I36</f>
        <v>0</v>
      </c>
      <c r="C35" s="108">
        <f>'Stats Global'!J36+'Stats Global'!K36</f>
        <v>0</v>
      </c>
      <c r="D35" s="108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1,2,33.3,1,1,50],</v>
      </c>
      <c r="J35" s="36" t="s">
        <v>109</v>
      </c>
      <c r="L35" s="61">
        <f>MAX(Table11[Midranges])</f>
        <v>1</v>
      </c>
      <c r="M35" s="36" t="str">
        <f>IF(L33&lt;&gt;0, _xlfn.XLOOKUP(L33,L5:L10,I5:I10, "N/A"), "N/A")</f>
        <v>N/A</v>
      </c>
      <c r="N35" s="60">
        <f>IFERROR(ROUND((SUM(Table11[Threes]))/'Stats Global'!AA6,1),0)</f>
        <v>0</v>
      </c>
    </row>
    <row r="36" spans="1:14" ht="14.25" customHeight="1" x14ac:dyDescent="0.45">
      <c r="A36" s="107">
        <f>'Stats Global'!B37</f>
        <v>0</v>
      </c>
      <c r="B36" s="108">
        <f>'Stats Global'!I37</f>
        <v>0</v>
      </c>
      <c r="C36" s="108">
        <f>'Stats Global'!J37+'Stats Global'!K37</f>
        <v>0</v>
      </c>
      <c r="D36" s="108">
        <f>'Stats Global'!P37</f>
        <v>0</v>
      </c>
      <c r="L36" s="61">
        <f>MAX(Table11[Threes])</f>
        <v>0</v>
      </c>
      <c r="M36" s="36" t="str">
        <f>IF(L33&lt;&gt;0, _xlfn.XLOOKUP(L33,M5:M10,I5:I10, "N/A"), "N/A")</f>
        <v>N/A</v>
      </c>
      <c r="N36" s="36">
        <f>IFERROR(ROUND(E3/'Stats Global'!AA6,1),0)</f>
        <v>2</v>
      </c>
    </row>
    <row r="37" spans="1:14" ht="14.25" customHeight="1" x14ac:dyDescent="0.45">
      <c r="A37" s="107">
        <f>'Stats Global'!B38</f>
        <v>0</v>
      </c>
      <c r="B37" s="108">
        <f>'Stats Global'!I38</f>
        <v>0</v>
      </c>
      <c r="C37" s="108">
        <f>'Stats Global'!J38+'Stats Global'!K38</f>
        <v>0</v>
      </c>
      <c r="D37" s="108">
        <f>'Stats Global'!P38</f>
        <v>0</v>
      </c>
      <c r="N37" s="36">
        <f>IFERROR(ROUND(F3/'Stats Global'!AA6,1),0)</f>
        <v>3</v>
      </c>
    </row>
    <row r="38" spans="1:14" ht="14.25" customHeight="1" x14ac:dyDescent="0.45">
      <c r="A38" s="107">
        <f>'Stats Global'!B39</f>
        <v>0</v>
      </c>
      <c r="B38" s="108">
        <f>'Stats Global'!I39</f>
        <v>0</v>
      </c>
      <c r="C38" s="108">
        <f>'Stats Global'!J39+'Stats Global'!K39</f>
        <v>0</v>
      </c>
      <c r="D38" s="108">
        <f>'Stats Global'!P39</f>
        <v>0</v>
      </c>
    </row>
    <row r="39" spans="1:14" ht="14.25" customHeight="1" x14ac:dyDescent="0.45">
      <c r="A39" s="107">
        <f>'Stats Global'!B40</f>
        <v>0</v>
      </c>
      <c r="B39" s="108">
        <f>'Stats Global'!I40</f>
        <v>0</v>
      </c>
      <c r="C39" s="108">
        <f>'Stats Global'!J40+'Stats Global'!K40</f>
        <v>0</v>
      </c>
      <c r="D39" s="108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45">
      <c r="A40" s="107">
        <f>'Stats Global'!B41</f>
        <v>0</v>
      </c>
      <c r="B40" s="108">
        <f>'Stats Global'!I41</f>
        <v>0</v>
      </c>
      <c r="C40" s="108">
        <f>'Stats Global'!J41+'Stats Global'!K41</f>
        <v>0</v>
      </c>
      <c r="D40" s="108">
        <f>'Stats Global'!P41</f>
        <v>0</v>
      </c>
      <c r="E40" s="116"/>
      <c r="F40" s="116"/>
    </row>
    <row r="41" spans="1:14" ht="14.25" customHeight="1" x14ac:dyDescent="0.45">
      <c r="C41" s="76">
        <f>SUM(B4:B40)/SUM(B4:C40)</f>
        <v>0.4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AB12" sqref="AB12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214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f>IF(O3&lt;&gt;0,IF(AND(P3&gt;P4,P3&gt;P5),3,IF(OR(P3&gt;P4,P3&gt;P5),2,1)),0)</f>
        <v>0</v>
      </c>
      <c r="S3" s="1" t="s">
        <v>25</v>
      </c>
      <c r="T3" s="6">
        <f t="shared" ref="T3:T18" si="0">COUNTIF($F$3:$F$40, S3)+W3</f>
        <v>0</v>
      </c>
      <c r="U3" s="7">
        <f t="shared" ref="U3:U18" si="1">COUNTIFS($F$3:$F$40, $S3,$G$3:$G$40,"Finish")</f>
        <v>0</v>
      </c>
      <c r="V3" s="7">
        <f t="shared" ref="V3:V18" si="2">COUNTIFS($F$3:$F$40, $S3,$G$3:$G$40,"Midrange")</f>
        <v>0</v>
      </c>
      <c r="W3" s="7">
        <f t="shared" ref="W3:W18" si="3">COUNTIFS($F$3:$F$40, $S3,$G$3:$G$40,"Three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213</v>
      </c>
      <c r="C4" s="130"/>
      <c r="D4" s="130"/>
      <c r="E4" s="130"/>
      <c r="F4" s="130"/>
      <c r="G4" s="130"/>
      <c r="H4" s="130"/>
      <c r="I4" s="130"/>
      <c r="J4" s="130"/>
      <c r="K4" s="130"/>
      <c r="M4" s="1" t="s">
        <v>164</v>
      </c>
      <c r="N4" s="1">
        <f>COUNTIF(AA4:AA39,"*")-COUNTIF(AA4:AA39,"")</f>
        <v>0</v>
      </c>
      <c r="O4" s="1">
        <f>K45+L45</f>
        <v>0</v>
      </c>
      <c r="P4" s="8" t="e">
        <f t="shared" ref="P4:P5" si="4">N4/(N4+O4)</f>
        <v>#DIV/0!</v>
      </c>
      <c r="Q4" s="1">
        <f>IF(O4&lt;&gt;0,IF(AND(P4&gt;P3,P4&gt;P5),3,IF(OR(P4&gt;P3,P4&gt;P5),2,1)),0)</f>
        <v>0</v>
      </c>
      <c r="S4" s="1" t="s">
        <v>26</v>
      </c>
      <c r="T4" s="6">
        <f t="shared" si="0"/>
        <v>0</v>
      </c>
      <c r="U4" s="7">
        <f t="shared" si="1"/>
        <v>0</v>
      </c>
      <c r="V4" s="7">
        <f t="shared" si="2"/>
        <v>0</v>
      </c>
      <c r="W4" s="7">
        <f t="shared" si="3"/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0"/>
      <c r="D5" s="130"/>
      <c r="E5" s="130"/>
      <c r="F5" s="130"/>
      <c r="G5" s="130"/>
      <c r="H5" s="130"/>
      <c r="I5" s="130"/>
      <c r="J5" s="130"/>
      <c r="K5" s="130"/>
      <c r="M5" s="1" t="s">
        <v>35</v>
      </c>
      <c r="N5" s="1">
        <f>COUNTIF(AB4:AB39,"*")-COUNTIF(AB4:AB39,"")</f>
        <v>0</v>
      </c>
      <c r="O5" s="1">
        <f>N45+O45</f>
        <v>0</v>
      </c>
      <c r="P5" s="8" t="e">
        <f t="shared" si="4"/>
        <v>#DIV/0!</v>
      </c>
      <c r="Q5" s="1">
        <f>IF(O5&lt;&gt;0,IF(AND(P5&gt;P4, P5&gt;P3), 3, IF(OR(P5&gt;P4, P5&gt;P3), 2, 1)),0)</f>
        <v>0</v>
      </c>
      <c r="S5" s="1" t="s">
        <v>27</v>
      </c>
      <c r="T5" s="6">
        <f t="shared" si="0"/>
        <v>0</v>
      </c>
      <c r="U5" s="7">
        <f t="shared" si="1"/>
        <v>0</v>
      </c>
      <c r="V5" s="7">
        <f t="shared" si="2"/>
        <v>0</v>
      </c>
      <c r="W5" s="7">
        <f t="shared" si="3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0"/>
      <c r="D6" s="130"/>
      <c r="E6" s="130"/>
      <c r="F6" s="130"/>
      <c r="G6" s="130"/>
      <c r="H6" s="130"/>
      <c r="I6" s="130"/>
      <c r="J6" s="130"/>
      <c r="K6" s="130"/>
      <c r="S6" s="1" t="s">
        <v>30</v>
      </c>
      <c r="T6" s="6">
        <f t="shared" si="0"/>
        <v>0</v>
      </c>
      <c r="U6" s="7">
        <f t="shared" si="1"/>
        <v>0</v>
      </c>
      <c r="V6" s="7">
        <f t="shared" si="2"/>
        <v>0</v>
      </c>
      <c r="W6" s="7">
        <f t="shared" si="3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0"/>
      <c r="D7" s="130"/>
      <c r="E7" s="130"/>
      <c r="F7" s="130"/>
      <c r="G7" s="130"/>
      <c r="H7" s="130"/>
      <c r="I7" s="130"/>
      <c r="J7" s="130"/>
      <c r="K7" s="130"/>
      <c r="S7" s="1" t="s">
        <v>32</v>
      </c>
      <c r="T7" s="6">
        <f t="shared" si="0"/>
        <v>0</v>
      </c>
      <c r="U7" s="7">
        <f t="shared" si="1"/>
        <v>0</v>
      </c>
      <c r="V7" s="7">
        <f t="shared" si="2"/>
        <v>0</v>
      </c>
      <c r="W7" s="7">
        <f t="shared" si="3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0"/>
      <c r="D8" s="130"/>
      <c r="E8" s="130"/>
      <c r="F8" s="130"/>
      <c r="G8" s="130"/>
      <c r="H8" s="130"/>
      <c r="I8" s="130"/>
      <c r="J8" s="130"/>
      <c r="K8" s="130"/>
      <c r="S8" s="1" t="s">
        <v>37</v>
      </c>
      <c r="T8" s="6">
        <f t="shared" si="0"/>
        <v>0</v>
      </c>
      <c r="U8" s="7">
        <f t="shared" si="1"/>
        <v>0</v>
      </c>
      <c r="V8" s="7">
        <f t="shared" si="2"/>
        <v>0</v>
      </c>
      <c r="W8" s="7">
        <f t="shared" si="3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0"/>
      <c r="D9" s="130"/>
      <c r="E9" s="130"/>
      <c r="F9" s="130"/>
      <c r="G9" s="130"/>
      <c r="H9" s="130"/>
      <c r="I9" s="130"/>
      <c r="J9" s="130"/>
      <c r="K9" s="130"/>
      <c r="S9" t="s">
        <v>91</v>
      </c>
      <c r="T9" s="6">
        <f t="shared" si="0"/>
        <v>0</v>
      </c>
      <c r="U9" s="7">
        <f t="shared" si="1"/>
        <v>0</v>
      </c>
      <c r="V9" s="7">
        <f t="shared" si="2"/>
        <v>0</v>
      </c>
      <c r="W9" s="7">
        <f t="shared" si="3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0"/>
      <c r="D10" s="130"/>
      <c r="E10" s="130"/>
      <c r="F10" s="130"/>
      <c r="G10" s="130"/>
      <c r="H10" s="130"/>
      <c r="I10" s="130"/>
      <c r="J10" s="130"/>
      <c r="K10" s="130"/>
      <c r="S10" s="1" t="s">
        <v>39</v>
      </c>
      <c r="T10" s="6">
        <f t="shared" si="0"/>
        <v>0</v>
      </c>
      <c r="U10" s="7">
        <f t="shared" si="1"/>
        <v>0</v>
      </c>
      <c r="V10" s="7">
        <f t="shared" si="2"/>
        <v>0</v>
      </c>
      <c r="W10" s="7">
        <f t="shared" si="3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45">
      <c r="S11" s="1" t="s">
        <v>41</v>
      </c>
      <c r="T11" s="6">
        <f t="shared" si="0"/>
        <v>0</v>
      </c>
      <c r="U11" s="7">
        <f t="shared" si="1"/>
        <v>0</v>
      </c>
      <c r="V11" s="7">
        <f t="shared" si="2"/>
        <v>0</v>
      </c>
      <c r="W11" s="7">
        <f t="shared" si="3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45">
      <c r="S12" s="1" t="s">
        <v>44</v>
      </c>
      <c r="T12" s="6">
        <f t="shared" si="0"/>
        <v>0</v>
      </c>
      <c r="U12" s="7">
        <f t="shared" si="1"/>
        <v>0</v>
      </c>
      <c r="V12" s="7">
        <f t="shared" si="2"/>
        <v>0</v>
      </c>
      <c r="W12" s="7">
        <f t="shared" si="3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45">
      <c r="S13" s="1" t="s">
        <v>46</v>
      </c>
      <c r="T13" s="6">
        <f t="shared" si="0"/>
        <v>0</v>
      </c>
      <c r="U13" s="7">
        <f t="shared" si="1"/>
        <v>0</v>
      </c>
      <c r="V13" s="7">
        <f t="shared" si="2"/>
        <v>0</v>
      </c>
      <c r="W13" s="7">
        <f t="shared" si="3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45">
      <c r="S14" s="1" t="s">
        <v>49</v>
      </c>
      <c r="T14" s="6">
        <f t="shared" si="0"/>
        <v>0</v>
      </c>
      <c r="U14" s="7">
        <f t="shared" si="1"/>
        <v>0</v>
      </c>
      <c r="V14" s="7">
        <f t="shared" si="2"/>
        <v>0</v>
      </c>
      <c r="W14" s="7">
        <f t="shared" si="3"/>
        <v>0</v>
      </c>
      <c r="X14" s="19" t="b">
        <v>0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45">
      <c r="S15" s="1" t="s">
        <v>52</v>
      </c>
      <c r="T15" s="6">
        <f t="shared" si="0"/>
        <v>0</v>
      </c>
      <c r="U15" s="7">
        <f t="shared" si="1"/>
        <v>0</v>
      </c>
      <c r="V15" s="7">
        <f t="shared" si="2"/>
        <v>0</v>
      </c>
      <c r="W15" s="7">
        <f t="shared" si="3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45">
      <c r="S16" s="1" t="s">
        <v>55</v>
      </c>
      <c r="T16" s="6">
        <f t="shared" si="0"/>
        <v>0</v>
      </c>
      <c r="U16" s="7">
        <f t="shared" si="1"/>
        <v>0</v>
      </c>
      <c r="V16" s="7">
        <f t="shared" si="2"/>
        <v>0</v>
      </c>
      <c r="W16" s="7">
        <f t="shared" si="3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19:32" ht="14.25" customHeight="1" x14ac:dyDescent="0.45">
      <c r="S17" s="1" t="s">
        <v>192</v>
      </c>
      <c r="T17" s="6">
        <f t="shared" si="0"/>
        <v>0</v>
      </c>
      <c r="U17" s="7">
        <f t="shared" si="1"/>
        <v>0</v>
      </c>
      <c r="V17" s="7">
        <f t="shared" si="2"/>
        <v>0</v>
      </c>
      <c r="W17" s="7">
        <f t="shared" si="3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19:32" ht="14.25" customHeight="1" x14ac:dyDescent="0.45">
      <c r="S18" s="125" t="s">
        <v>206</v>
      </c>
      <c r="T18" s="6">
        <f t="shared" si="0"/>
        <v>0</v>
      </c>
      <c r="U18" s="7">
        <f t="shared" si="1"/>
        <v>0</v>
      </c>
      <c r="V18" s="7">
        <f t="shared" si="2"/>
        <v>0</v>
      </c>
      <c r="W18" s="7">
        <f t="shared" si="3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19:32" ht="14.25" customHeight="1" x14ac:dyDescent="0.45"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19:32" ht="14.25" customHeight="1" x14ac:dyDescent="0.45"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19:32" ht="14.25" customHeight="1" x14ac:dyDescent="0.45"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19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19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19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19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19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19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19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19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19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19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19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0,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0</v>
      </c>
      <c r="Q45">
        <f>Q5</f>
        <v>0</v>
      </c>
      <c r="R45">
        <f>Q4</f>
        <v>0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"Missed":[0,0,0,0,0,0,0,0,0,0,0,0,0,0,0,0],</v>
      </c>
      <c r="U45" s="10"/>
    </row>
    <row r="46" spans="3:28" ht="14.25" customHeight="1" x14ac:dyDescent="0.45">
      <c r="T46" s="10" t="s">
        <v>212</v>
      </c>
      <c r="U46" s="10"/>
    </row>
    <row r="47" spans="3:28" ht="14.25" customHeight="1" x14ac:dyDescent="0.45"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tabSelected="1" zoomScale="73" workbookViewId="0">
      <selection activeCell="T47" sqref="T4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214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213</v>
      </c>
      <c r="C4" s="134">
        <v>1</v>
      </c>
      <c r="D4" s="134" t="s">
        <v>172</v>
      </c>
      <c r="E4" s="134" t="s">
        <v>173</v>
      </c>
      <c r="F4" s="134" t="s">
        <v>217</v>
      </c>
      <c r="G4" s="134" t="s">
        <v>39</v>
      </c>
      <c r="H4" s="134" t="s">
        <v>218</v>
      </c>
      <c r="I4" s="134">
        <v>1</v>
      </c>
      <c r="J4" s="134">
        <v>1</v>
      </c>
      <c r="K4" s="134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34">
        <v>2</v>
      </c>
      <c r="D5" s="134" t="s">
        <v>171</v>
      </c>
      <c r="E5" s="134" t="s">
        <v>172</v>
      </c>
      <c r="F5" s="134" t="s">
        <v>219</v>
      </c>
      <c r="G5" s="134" t="s">
        <v>32</v>
      </c>
      <c r="H5" s="134" t="s">
        <v>220</v>
      </c>
      <c r="I5" s="134" t="s">
        <v>221</v>
      </c>
      <c r="J5" s="134" t="s">
        <v>221</v>
      </c>
      <c r="K5" s="134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4">
        <v>2</v>
      </c>
      <c r="D6" s="134" t="s">
        <v>172</v>
      </c>
      <c r="E6" s="134" t="s">
        <v>171</v>
      </c>
      <c r="F6" s="134" t="s">
        <v>222</v>
      </c>
      <c r="G6" s="134" t="s">
        <v>55</v>
      </c>
      <c r="H6" s="134" t="s">
        <v>218</v>
      </c>
      <c r="I6" s="134">
        <v>2</v>
      </c>
      <c r="J6" s="134">
        <v>1</v>
      </c>
      <c r="K6" s="134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34">
        <v>3</v>
      </c>
      <c r="D7" s="134" t="s">
        <v>173</v>
      </c>
      <c r="E7" s="134" t="s">
        <v>172</v>
      </c>
      <c r="F7" s="134" t="s">
        <v>219</v>
      </c>
      <c r="G7" s="134" t="s">
        <v>27</v>
      </c>
      <c r="H7" s="134" t="s">
        <v>220</v>
      </c>
      <c r="I7" s="134" t="s">
        <v>221</v>
      </c>
      <c r="J7" s="134" t="s">
        <v>221</v>
      </c>
      <c r="K7" s="134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4">
        <v>3</v>
      </c>
      <c r="D8" s="134" t="s">
        <v>173</v>
      </c>
      <c r="E8" s="134" t="s">
        <v>172</v>
      </c>
      <c r="F8" s="134" t="s">
        <v>217</v>
      </c>
      <c r="G8" s="134" t="s">
        <v>52</v>
      </c>
      <c r="H8" s="134" t="s">
        <v>220</v>
      </c>
      <c r="I8" s="134">
        <v>1</v>
      </c>
      <c r="J8" s="134">
        <v>1</v>
      </c>
      <c r="K8" s="134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4">
        <v>4</v>
      </c>
      <c r="D9" s="134" t="s">
        <v>173</v>
      </c>
      <c r="E9" s="134" t="s">
        <v>171</v>
      </c>
      <c r="F9" s="134" t="s">
        <v>219</v>
      </c>
      <c r="G9" s="134" t="s">
        <v>27</v>
      </c>
      <c r="H9" s="134" t="s">
        <v>220</v>
      </c>
      <c r="I9" s="134" t="s">
        <v>221</v>
      </c>
      <c r="J9" s="134" t="s">
        <v>221</v>
      </c>
      <c r="K9" s="134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4">
        <v>4</v>
      </c>
      <c r="D10" s="134" t="s">
        <v>171</v>
      </c>
      <c r="E10" s="134" t="s">
        <v>173</v>
      </c>
      <c r="F10" s="134" t="s">
        <v>223</v>
      </c>
      <c r="G10" s="134" t="s">
        <v>32</v>
      </c>
      <c r="H10" s="134" t="s">
        <v>83</v>
      </c>
      <c r="I10" s="134" t="s">
        <v>221</v>
      </c>
      <c r="J10" s="134" t="s">
        <v>221</v>
      </c>
      <c r="K10" s="134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4">
        <v>4</v>
      </c>
      <c r="D11" s="134" t="s">
        <v>171</v>
      </c>
      <c r="E11" s="134" t="s">
        <v>173</v>
      </c>
      <c r="F11" s="134" t="s">
        <v>222</v>
      </c>
      <c r="G11" s="134" t="s">
        <v>192</v>
      </c>
      <c r="H11" s="134" t="s">
        <v>220</v>
      </c>
      <c r="I11" s="134">
        <v>1</v>
      </c>
      <c r="J11" s="134">
        <v>1</v>
      </c>
      <c r="K11" s="134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34">
        <v>5</v>
      </c>
      <c r="D12" s="134" t="s">
        <v>171</v>
      </c>
      <c r="E12" s="134" t="s">
        <v>172</v>
      </c>
      <c r="F12" s="134" t="s">
        <v>219</v>
      </c>
      <c r="G12" s="134" t="s">
        <v>44</v>
      </c>
      <c r="H12" s="134" t="s">
        <v>220</v>
      </c>
      <c r="I12" s="134" t="s">
        <v>221</v>
      </c>
      <c r="J12" s="134" t="s">
        <v>221</v>
      </c>
      <c r="K12" s="134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4">
        <v>5</v>
      </c>
      <c r="D13" s="134" t="s">
        <v>171</v>
      </c>
      <c r="E13" s="134" t="s">
        <v>172</v>
      </c>
      <c r="F13" s="134" t="s">
        <v>217</v>
      </c>
      <c r="G13" s="134" t="s">
        <v>32</v>
      </c>
      <c r="H13" s="134" t="s">
        <v>220</v>
      </c>
      <c r="I13" s="134">
        <v>2</v>
      </c>
      <c r="J13" s="134">
        <v>2</v>
      </c>
      <c r="K13" s="134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34">
        <v>6</v>
      </c>
      <c r="D14" s="134" t="s">
        <v>173</v>
      </c>
      <c r="E14" s="134" t="s">
        <v>171</v>
      </c>
      <c r="F14" s="134" t="s">
        <v>219</v>
      </c>
      <c r="G14" s="134" t="s">
        <v>27</v>
      </c>
      <c r="H14" s="134" t="s">
        <v>220</v>
      </c>
      <c r="I14" s="134" t="s">
        <v>221</v>
      </c>
      <c r="J14" s="134" t="s">
        <v>221</v>
      </c>
      <c r="K14" s="134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4">
        <v>6</v>
      </c>
      <c r="D15" s="134" t="s">
        <v>173</v>
      </c>
      <c r="E15" s="134" t="s">
        <v>171</v>
      </c>
      <c r="F15" s="134" t="s">
        <v>217</v>
      </c>
      <c r="G15" s="134" t="s">
        <v>27</v>
      </c>
      <c r="H15" s="134" t="s">
        <v>220</v>
      </c>
      <c r="I15" s="134">
        <v>1</v>
      </c>
      <c r="J15" s="134">
        <v>1</v>
      </c>
      <c r="K15" s="134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4">
        <v>7</v>
      </c>
      <c r="D16" s="134" t="s">
        <v>173</v>
      </c>
      <c r="E16" s="134" t="s">
        <v>172</v>
      </c>
      <c r="F16" s="134" t="s">
        <v>219</v>
      </c>
      <c r="G16" s="134" t="s">
        <v>46</v>
      </c>
      <c r="H16" s="134" t="s">
        <v>83</v>
      </c>
      <c r="I16" s="134" t="s">
        <v>221</v>
      </c>
      <c r="J16" s="134" t="s">
        <v>221</v>
      </c>
      <c r="K16" s="134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4">
        <v>7</v>
      </c>
      <c r="D17" s="134" t="s">
        <v>172</v>
      </c>
      <c r="E17" s="134" t="s">
        <v>173</v>
      </c>
      <c r="F17" s="134" t="s">
        <v>223</v>
      </c>
      <c r="G17" s="134" t="s">
        <v>41</v>
      </c>
      <c r="H17" s="134" t="s">
        <v>220</v>
      </c>
      <c r="I17" s="134" t="s">
        <v>221</v>
      </c>
      <c r="J17" s="134" t="s">
        <v>221</v>
      </c>
      <c r="K17" s="134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4">
        <v>7</v>
      </c>
      <c r="D18" s="134" t="s">
        <v>173</v>
      </c>
      <c r="E18" s="134" t="s">
        <v>172</v>
      </c>
      <c r="F18" s="134" t="s">
        <v>222</v>
      </c>
      <c r="G18" s="134" t="s">
        <v>27</v>
      </c>
      <c r="H18" s="134" t="s">
        <v>220</v>
      </c>
      <c r="I18" s="134">
        <v>2</v>
      </c>
      <c r="J18" s="134">
        <v>3</v>
      </c>
      <c r="K18" s="134">
        <v>1</v>
      </c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4">
        <v>8</v>
      </c>
      <c r="D19" s="134" t="s">
        <v>173</v>
      </c>
      <c r="E19" s="134" t="s">
        <v>171</v>
      </c>
      <c r="F19" s="134" t="s">
        <v>219</v>
      </c>
      <c r="G19" s="134" t="s">
        <v>30</v>
      </c>
      <c r="H19" s="134" t="s">
        <v>220</v>
      </c>
      <c r="I19" s="134" t="s">
        <v>221</v>
      </c>
      <c r="J19" s="134" t="s">
        <v>221</v>
      </c>
      <c r="K19" s="134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4">
        <v>8</v>
      </c>
      <c r="D20" s="134" t="s">
        <v>171</v>
      </c>
      <c r="E20" s="134" t="s">
        <v>173</v>
      </c>
      <c r="F20" s="134" t="s">
        <v>223</v>
      </c>
      <c r="G20" s="134" t="s">
        <v>44</v>
      </c>
      <c r="H20" s="134" t="s">
        <v>220</v>
      </c>
      <c r="I20" s="134" t="s">
        <v>221</v>
      </c>
      <c r="J20" s="134" t="s">
        <v>221</v>
      </c>
      <c r="K20" s="134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4">
        <v>8</v>
      </c>
      <c r="D21" s="134" t="s">
        <v>173</v>
      </c>
      <c r="E21" s="134" t="s">
        <v>171</v>
      </c>
      <c r="F21" s="134" t="s">
        <v>222</v>
      </c>
      <c r="G21" s="134" t="s">
        <v>30</v>
      </c>
      <c r="H21" s="134" t="s">
        <v>220</v>
      </c>
      <c r="I21" s="134">
        <v>3</v>
      </c>
      <c r="J21" s="134">
        <v>2</v>
      </c>
      <c r="K21" s="134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212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SfW</vt:lpstr>
      <vt:lpstr>Stats Global</vt:lpstr>
      <vt:lpstr>Statistics CT</vt:lpstr>
      <vt:lpstr>Statistics TC</vt:lpstr>
      <vt:lpstr>Statistics GM</vt:lpstr>
      <vt:lpstr>Template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2024-01-24T04:32:41Z</dcterms:modified>
</cp:coreProperties>
</file>