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47D854C-E191-43B4-817F-2E7BF0A856F5}" xr6:coauthVersionLast="47" xr6:coauthVersionMax="47" xr10:uidLastSave="{00000000-0000-0000-0000-000000000000}"/>
  <bookViews>
    <workbookView xWindow="-98" yWindow="-98" windowWidth="22695" windowHeight="14595" activeTab="1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901" sheetId="10" r:id="rId7"/>
    <sheet name="2501" sheetId="9" r:id="rId8"/>
    <sheet name="2401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0" i="3" l="1"/>
  <c r="AQ30" i="3"/>
  <c r="AR30" i="3"/>
  <c r="AS30" i="3"/>
  <c r="AP31" i="3"/>
  <c r="AQ31" i="3"/>
  <c r="AR31" i="3"/>
  <c r="AS31" i="3"/>
  <c r="AP32" i="3"/>
  <c r="AQ32" i="3"/>
  <c r="AR32" i="3"/>
  <c r="AS32" i="3"/>
  <c r="AP33" i="3"/>
  <c r="AQ33" i="3"/>
  <c r="AR33" i="3"/>
  <c r="AS33" i="3"/>
  <c r="AP34" i="3"/>
  <c r="AQ34" i="3"/>
  <c r="AR34" i="3"/>
  <c r="AS34" i="3"/>
  <c r="AP35" i="3"/>
  <c r="AQ35" i="3"/>
  <c r="AR35" i="3"/>
  <c r="AS35" i="3"/>
  <c r="AP36" i="3"/>
  <c r="AQ36" i="3"/>
  <c r="AR36" i="3"/>
  <c r="AS36" i="3"/>
  <c r="AP37" i="3"/>
  <c r="AQ37" i="3"/>
  <c r="AR37" i="3"/>
  <c r="AS37" i="3"/>
  <c r="AP38" i="3"/>
  <c r="AQ38" i="3"/>
  <c r="AR38" i="3"/>
  <c r="AS38" i="3"/>
  <c r="AP39" i="3"/>
  <c r="AQ39" i="3"/>
  <c r="AR39" i="3"/>
  <c r="AS39" i="3"/>
  <c r="AP40" i="3"/>
  <c r="AQ40" i="3"/>
  <c r="AR40" i="3"/>
  <c r="AS40" i="3"/>
  <c r="AP41" i="3"/>
  <c r="AQ41" i="3"/>
  <c r="AR41" i="3"/>
  <c r="AS41" i="3"/>
  <c r="AP42" i="3"/>
  <c r="AQ42" i="3"/>
  <c r="AR42" i="3"/>
  <c r="AS42" i="3"/>
  <c r="AP43" i="3"/>
  <c r="AQ43" i="3"/>
  <c r="AR43" i="3"/>
  <c r="AS43" i="3"/>
  <c r="AP44" i="3"/>
  <c r="AQ44" i="3"/>
  <c r="AR44" i="3"/>
  <c r="AS44" i="3"/>
  <c r="AQ29" i="3"/>
  <c r="AR29" i="3"/>
  <c r="AS29" i="3"/>
  <c r="AP29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L30" i="3"/>
  <c r="AM30" i="3"/>
  <c r="AN30" i="3"/>
  <c r="AO30" i="3"/>
  <c r="AL31" i="3"/>
  <c r="AM31" i="3"/>
  <c r="AN31" i="3"/>
  <c r="AO31" i="3"/>
  <c r="AL32" i="3"/>
  <c r="AM32" i="3"/>
  <c r="AN32" i="3"/>
  <c r="AO32" i="3"/>
  <c r="AL33" i="3"/>
  <c r="AM33" i="3"/>
  <c r="AN33" i="3"/>
  <c r="AO33" i="3"/>
  <c r="AL34" i="3"/>
  <c r="AM34" i="3"/>
  <c r="AN34" i="3"/>
  <c r="AO34" i="3"/>
  <c r="AL35" i="3"/>
  <c r="AM35" i="3"/>
  <c r="AN35" i="3"/>
  <c r="AO35" i="3"/>
  <c r="AL36" i="3"/>
  <c r="AM36" i="3"/>
  <c r="AN36" i="3"/>
  <c r="AO36" i="3"/>
  <c r="AL37" i="3"/>
  <c r="AM37" i="3"/>
  <c r="AN37" i="3"/>
  <c r="AO37" i="3"/>
  <c r="AL38" i="3"/>
  <c r="AM38" i="3"/>
  <c r="AN38" i="3"/>
  <c r="AO38" i="3"/>
  <c r="AL39" i="3"/>
  <c r="AM39" i="3"/>
  <c r="AN39" i="3"/>
  <c r="AO39" i="3"/>
  <c r="AL40" i="3"/>
  <c r="AM40" i="3"/>
  <c r="AN40" i="3"/>
  <c r="AO40" i="3"/>
  <c r="AL41" i="3"/>
  <c r="AM41" i="3"/>
  <c r="AN41" i="3"/>
  <c r="AO41" i="3"/>
  <c r="AL42" i="3"/>
  <c r="AM42" i="3"/>
  <c r="AN42" i="3"/>
  <c r="AO42" i="3"/>
  <c r="AL43" i="3"/>
  <c r="AM43" i="3"/>
  <c r="AN43" i="3"/>
  <c r="AO43" i="3"/>
  <c r="AL44" i="3"/>
  <c r="AM44" i="3"/>
  <c r="AN44" i="3"/>
  <c r="AO44" i="3"/>
  <c r="AM29" i="3"/>
  <c r="AN29" i="3"/>
  <c r="AO29" i="3"/>
  <c r="AL29" i="3"/>
  <c r="Q7" i="3"/>
  <c r="D6" i="5" s="1"/>
  <c r="C7" i="3"/>
  <c r="D7" i="3"/>
  <c r="E7" i="3"/>
  <c r="F7" i="3"/>
  <c r="G7" i="3"/>
  <c r="H7" i="3"/>
  <c r="I7" i="3"/>
  <c r="J7" i="3"/>
  <c r="M6" i="4" s="1"/>
  <c r="K7" i="3"/>
  <c r="L7" i="3"/>
  <c r="M7" i="3"/>
  <c r="N7" i="3"/>
  <c r="O7" i="3"/>
  <c r="P7" i="3"/>
  <c r="B7" i="3"/>
  <c r="T46" i="10"/>
  <c r="R45" i="10"/>
  <c r="Q45" i="10"/>
  <c r="P45" i="10"/>
  <c r="C45" i="10"/>
  <c r="T44" i="10"/>
  <c r="AB39" i="10"/>
  <c r="AA39" i="10"/>
  <c r="Z39" i="10"/>
  <c r="AB38" i="10"/>
  <c r="AA38" i="10"/>
  <c r="Z38" i="10"/>
  <c r="X38" i="10"/>
  <c r="V38" i="10"/>
  <c r="U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W33" i="10"/>
  <c r="T33" i="10"/>
  <c r="AB32" i="10"/>
  <c r="AA32" i="10"/>
  <c r="Z32" i="10"/>
  <c r="X32" i="10"/>
  <c r="W32" i="10"/>
  <c r="V32" i="10"/>
  <c r="T32" i="10"/>
  <c r="AB31" i="10"/>
  <c r="AA31" i="10"/>
  <c r="Z31" i="10"/>
  <c r="X31" i="10"/>
  <c r="V31" i="10"/>
  <c r="U31" i="10"/>
  <c r="T31" i="10"/>
  <c r="AB30" i="10"/>
  <c r="AA30" i="10"/>
  <c r="Z30" i="10"/>
  <c r="X30" i="10"/>
  <c r="U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T26" i="10"/>
  <c r="AB25" i="10"/>
  <c r="AA25" i="10"/>
  <c r="Z25" i="10"/>
  <c r="X25" i="10"/>
  <c r="W25" i="10"/>
  <c r="T25" i="10"/>
  <c r="AB24" i="10"/>
  <c r="AA24" i="10"/>
  <c r="Z24" i="10"/>
  <c r="X24" i="10"/>
  <c r="AB23" i="10"/>
  <c r="AA23" i="10"/>
  <c r="Z23" i="10"/>
  <c r="X23" i="10"/>
  <c r="T45" i="10" s="1"/>
  <c r="T23" i="10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T15" i="10"/>
  <c r="T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V13" i="10"/>
  <c r="V33" i="10" s="1"/>
  <c r="U13" i="10"/>
  <c r="U33" i="10" s="1"/>
  <c r="T13" i="10"/>
  <c r="AB12" i="10"/>
  <c r="AA12" i="10"/>
  <c r="O45" i="10" s="1"/>
  <c r="Z12" i="10"/>
  <c r="W12" i="10"/>
  <c r="V12" i="10"/>
  <c r="U12" i="10"/>
  <c r="U32" i="10" s="1"/>
  <c r="T12" i="10"/>
  <c r="AB11" i="10"/>
  <c r="AA11" i="10"/>
  <c r="Z11" i="10"/>
  <c r="W11" i="10"/>
  <c r="W31" i="10" s="1"/>
  <c r="V11" i="10"/>
  <c r="U11" i="10"/>
  <c r="T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T7" i="10"/>
  <c r="T27" i="10" s="1"/>
  <c r="AB6" i="10"/>
  <c r="AA6" i="10"/>
  <c r="Z6" i="10"/>
  <c r="W6" i="10"/>
  <c r="W26" i="10" s="1"/>
  <c r="V6" i="10"/>
  <c r="V26" i="10" s="1"/>
  <c r="U6" i="10"/>
  <c r="U26" i="10" s="1"/>
  <c r="T6" i="10"/>
  <c r="AB5" i="10"/>
  <c r="N4" i="10" s="1"/>
  <c r="AA5" i="10"/>
  <c r="Z5" i="10"/>
  <c r="W5" i="10"/>
  <c r="V5" i="10"/>
  <c r="V25" i="10" s="1"/>
  <c r="U5" i="10"/>
  <c r="U25" i="10" s="1"/>
  <c r="T5" i="10"/>
  <c r="AB4" i="10"/>
  <c r="L45" i="10" s="1"/>
  <c r="AA4" i="10"/>
  <c r="H45" i="10" s="1"/>
  <c r="Z4" i="10"/>
  <c r="K45" i="10" s="1"/>
  <c r="W4" i="10"/>
  <c r="W24" i="10" s="1"/>
  <c r="V4" i="10"/>
  <c r="V24" i="10" s="1"/>
  <c r="U4" i="10"/>
  <c r="U24" i="10" s="1"/>
  <c r="T4" i="10"/>
  <c r="T24" i="10" s="1"/>
  <c r="W3" i="10"/>
  <c r="W23" i="10" s="1"/>
  <c r="V3" i="10"/>
  <c r="V23" i="10" s="1"/>
  <c r="U3" i="10"/>
  <c r="U23" i="10" s="1"/>
  <c r="T3" i="10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J45" i="10" l="1"/>
  <c r="O5" i="10"/>
  <c r="P5" i="10" s="1"/>
  <c r="P4" i="10"/>
  <c r="M45" i="10"/>
  <c r="N3" i="10"/>
  <c r="T9" i="10"/>
  <c r="T29" i="10" s="1"/>
  <c r="T17" i="10"/>
  <c r="T37" i="10" s="1"/>
  <c r="T8" i="10"/>
  <c r="T28" i="10" s="1"/>
  <c r="T16" i="10"/>
  <c r="T36" i="10" s="1"/>
  <c r="N45" i="10"/>
  <c r="O4" i="10" s="1"/>
  <c r="T14" i="10"/>
  <c r="T34" i="10" s="1"/>
  <c r="I45" i="10"/>
  <c r="O3" i="10" s="1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AJ9" i="3"/>
  <c r="R5" i="6" s="1"/>
  <c r="AJ8" i="3"/>
  <c r="Y5" i="4" s="1"/>
  <c r="AA4" i="3"/>
  <c r="X42" i="3"/>
  <c r="D45" i="10" l="1"/>
  <c r="P3" i="10"/>
  <c r="F45" i="10"/>
  <c r="G45" i="10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V6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C4" i="5"/>
  <c r="G3" i="5" s="1"/>
  <c r="C5" i="6"/>
  <c r="F3" i="4"/>
  <c r="M47" i="4" s="1"/>
  <c r="D5" i="6"/>
  <c r="L3" i="2"/>
  <c r="L50" i="2" s="1"/>
  <c r="AP9" i="3"/>
  <c r="L4" i="2"/>
  <c r="L51" i="2" s="1"/>
  <c r="AP8" i="3"/>
  <c r="E45" i="10" l="1"/>
  <c r="T46" i="9"/>
  <c r="P45" i="9"/>
  <c r="O6" i="3" s="1"/>
  <c r="D5" i="4" s="1"/>
  <c r="C4" i="6"/>
  <c r="F3" i="6" s="1"/>
  <c r="N37" i="6" s="1"/>
  <c r="E45" i="8"/>
  <c r="D5" i="3" s="1"/>
  <c r="U6" i="3" s="1"/>
  <c r="R45" i="8"/>
  <c r="Q5" i="3" s="1"/>
  <c r="D4" i="5" s="1"/>
  <c r="H3" i="5" s="1"/>
  <c r="H43" i="5" s="1"/>
  <c r="AE7" i="2" s="1"/>
  <c r="AD21" i="2" s="1"/>
  <c r="C41" i="5"/>
  <c r="Q45" i="8"/>
  <c r="P5" i="3" s="1"/>
  <c r="D4" i="6" s="1"/>
  <c r="G3" i="6" s="1"/>
  <c r="N4" i="4"/>
  <c r="C4" i="4"/>
  <c r="Q3" i="8"/>
  <c r="P45" i="8" s="1"/>
  <c r="O5" i="3" s="1"/>
  <c r="D4" i="4" s="1"/>
  <c r="C41" i="6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H3" i="4" l="1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<sst xmlns="http://schemas.openxmlformats.org/spreadsheetml/2006/main" count="946" uniqueCount="226">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</sst>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5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 applyNumberFormat="1"/>
    <xf numFmtId="0" fontId="31" fillId="0" borderId="1" xfId="1" applyNumberForma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0.21428571428571427</c:v>
                </c:pt>
                <c:pt idx="1">
                  <c:v>0.67857142857142849</c:v>
                </c:pt>
                <c:pt idx="2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2" dataDxfId="31">
  <autoFilter ref="M3:V8" xr:uid="{54759C84-3153-4DC9-9240-E2749AA0D92B}"/>
  <tableColumns count="10">
    <tableColumn id="1" xr3:uid="{7790729E-C8E5-45C1-8784-25212A2654AA}" name="Name" dataDxfId="30"/>
    <tableColumn id="2" xr3:uid="{52A67B2B-967C-4970-8D83-8F8E9CC61522}" name="Points" dataDxfId="29"/>
    <tableColumn id="3" xr3:uid="{BA1FA2C8-AEC0-4644-83DB-5097750D7188}" name="Average" dataDxfId="28"/>
    <tableColumn id="4" xr3:uid="{4CF66F5D-BF10-4CBD-88FF-CCD38730E1CD}" name="Finishes" dataDxfId="27"/>
    <tableColumn id="5" xr3:uid="{BC246D5B-7E78-41A6-B796-C93ED8E53DF9}" name="Averages" dataDxfId="26"/>
    <tableColumn id="6" xr3:uid="{AB819419-CC06-4A40-8DED-E231125129C0}" name="Midranges" dataDxfId="25"/>
    <tableColumn id="7" xr3:uid="{064AA562-C451-4362-805E-D12DC76C3530}" name="Averages2" dataDxfId="24"/>
    <tableColumn id="8" xr3:uid="{BD0D8BAE-15E4-4B38-87FE-B682D7BAEE75}" name="Threes" dataDxfId="23"/>
    <tableColumn id="9" xr3:uid="{541E391B-4B08-4E98-A63F-753C11193269}" name="Averages3" dataDxfId="22"/>
    <tableColumn id="10" xr3:uid="{999BB5D2-D6FB-4EB9-A268-D62EA72F939D}" name="Missed Games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20" dataDxfId="19">
  <autoFilter ref="I4:R10" xr:uid="{C12CFC3F-7D59-4C0F-8D43-3F8ACD58C2BD}"/>
  <tableColumns count="10">
    <tableColumn id="1" xr3:uid="{CE15C23D-9493-4B21-9D40-1A25D210C18E}" name="Name" dataDxfId="18"/>
    <tableColumn id="2" xr3:uid="{6BB170B1-AA38-4699-9B96-400D2947EE9C}" name="Points" dataDxfId="17"/>
    <tableColumn id="3" xr3:uid="{EC8B6CBB-FCC9-416C-AEA6-738419DFE531}" name="Average" dataDxfId="16"/>
    <tableColumn id="4" xr3:uid="{315DA055-9A43-468A-A501-1092626F523F}" name="Finishes" dataDxfId="15"/>
    <tableColumn id="5" xr3:uid="{56B6FF4D-95D4-4550-88E4-C781ABDA83A6}" name="Averages" dataDxfId="14"/>
    <tableColumn id="6" xr3:uid="{F7B5C0B8-FBE2-44B0-A372-112C7776FCCF}" name="Midranges" dataDxfId="13"/>
    <tableColumn id="7" xr3:uid="{1A1C2126-FEB1-408F-8523-049E53028B4E}" name="Averages2" dataDxfId="12"/>
    <tableColumn id="8" xr3:uid="{AE94036B-3777-4C1B-97D5-7BFA1037C0BF}" name="Threes" dataDxfId="11"/>
    <tableColumn id="9" xr3:uid="{448B0903-7F66-40BA-809F-74ADBF397B45}" name="Averages3" dataDxfId="10"/>
    <tableColumn id="10" xr3:uid="{E0CAC55D-8398-4928-A219-C01706996D48}" name="Missed Gam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7" dataDxfId="46">
  <autoFilter ref="AK28:AT4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2">
      <calculatedColumnFormula>'2901'!T3</calculatedColumnFormula>
    </tableColumn>
    <tableColumn id="3" xr3:uid="{460771D3-3BD8-4DA3-AF1B-1A0F98EF1499}" name="Finishes" dataDxfId="8">
      <calculatedColumnFormula>'2901'!U3</calculatedColumnFormula>
    </tableColumn>
    <tableColumn id="4" xr3:uid="{3C08B2D7-823D-49C3-A627-A5848E664B2F}" name="Midranges" dataDxfId="7">
      <calculatedColumnFormula>'2901'!V3</calculatedColumnFormula>
    </tableColumn>
    <tableColumn id="5" xr3:uid="{E88F45FB-4C46-4674-86D5-74808E7E5368}" name="Threes" dataDxfId="6">
      <calculatedColumnFormula>'2901'!W3</calculatedColumnFormula>
    </tableColumn>
    <tableColumn id="6" xr3:uid="{0C0E8016-1E6E-4F25-9675-4EE061FFD0F7}" name="Avg P" dataDxfId="0">
      <calculatedColumnFormula>Table21128[[#This Row],[Points]]/($AL$27-$AT29)</calculatedColumnFormula>
    </tableColumn>
    <tableColumn id="7" xr3:uid="{F7AC350B-AE4B-4912-B21D-16D99E2AE8BF}" name="Avg F" dataDxfId="5">
      <calculatedColumnFormula>Table21128[[#This Row],[Finishes]]/($AL$27-$AT29)</calculatedColumnFormula>
    </tableColumn>
    <tableColumn id="8" xr3:uid="{F451E5CA-B9C4-4EFA-A647-CEDB2FB39550}" name="Avg M" dataDxfId="4">
      <calculatedColumnFormula>Table21128[[#This Row],[Midranges]]/($AL$27-$AT29)</calculatedColumnFormula>
    </tableColumn>
    <tableColumn id="9" xr3:uid="{ED1D92B5-05F1-40CE-A89F-E6627FAB4A59}" name="Avg T" dataDxfId="3">
      <calculatedColumnFormula>Table21128[[#This Row],[Threes]]/($AL$27-$AT29)</calculatedColumnFormula>
    </tableColumn>
    <tableColumn id="10" xr3:uid="{48A4808A-3DE6-4644-83F5-C2AEDDFC3E5E}" name="Missed Games" dataDxfId="1">
      <calculatedColumnFormula>COUNTIF('2901'!X3,TRUE)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4" dataDxfId="43">
  <autoFilter ref="P3:Y8" xr:uid="{744FF78C-74B5-4798-AD3D-741E3ACB43CF}"/>
  <tableColumns count="10">
    <tableColumn id="1" xr3:uid="{B3B5C08C-655A-460A-A171-B3B0C826FF04}" name="Name" dataDxfId="42"/>
    <tableColumn id="2" xr3:uid="{427944B0-44CA-4325-A406-29F83026BA5E}" name="Points" dataDxfId="41"/>
    <tableColumn id="3" xr3:uid="{5E06D173-4DBE-4045-9072-0A0A77D19C84}" name="Average" dataDxfId="40"/>
    <tableColumn id="4" xr3:uid="{E74131A4-1DCA-4A89-8989-A4CF80175582}" name="Finishes" dataDxfId="39"/>
    <tableColumn id="5" xr3:uid="{FC3336D4-2CB5-4673-A345-7C9CCED7ADEE}" name="Averages" dataDxfId="38"/>
    <tableColumn id="6" xr3:uid="{BD6313A7-5D92-4B66-9B85-7ABC12DE9691}" name="Midranges" dataDxfId="37"/>
    <tableColumn id="7" xr3:uid="{6D0293BC-7E06-45CE-9D4B-FE4769DF9D9F}" name="Averages2" dataDxfId="36"/>
    <tableColumn id="8" xr3:uid="{89C1C64B-DD66-482C-BCDE-8B912D2676EF}" name="Threes" dataDxfId="35"/>
    <tableColumn id="9" xr3:uid="{7748B87C-1833-4BD6-9162-76373407E655}" name="Averages3" dataDxfId="34"/>
    <tableColumn id="10" xr3:uid="{D870E191-A52F-442E-AA52-A42CFAD05573}" name="Missed Games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6,4,9],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6,"Alexander Galt",6,"Alexander Galt",1,"Ryan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2</v>
      </c>
      <c r="E5" s="1">
        <f>'Stats Global'!AA10</f>
        <v>6</v>
      </c>
      <c r="F5" s="5">
        <f>'Stats Global'!AD10</f>
        <v>2</v>
      </c>
      <c r="G5" s="1">
        <f>'Stats Global'!AC10</f>
        <v>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4.7,4,0.7,0,2,1.3],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1.3333333333333333</v>
      </c>
      <c r="E6" s="1">
        <f>'Stats Global'!AA11</f>
        <v>4</v>
      </c>
      <c r="F6" s="5">
        <f>'Stats Global'!AD11</f>
        <v>1.3333333333333333</v>
      </c>
      <c r="G6" s="1">
        <f>'Stats Global'!AC11</f>
        <v>4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3,1,75,3,2,60],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1</v>
      </c>
      <c r="E7" s="1">
        <f>'Stats Global'!AA12</f>
        <v>3</v>
      </c>
      <c r="F7" s="5">
        <f>'Stats Global'!AD12</f>
        <v>0.66666666666666663</v>
      </c>
      <c r="G7" s="1">
        <f>'Stats Global'!AC12</f>
        <v>2</v>
      </c>
      <c r="H7" s="5">
        <f>'Stats Global'!AF12</f>
        <v>0.33333333333333331</v>
      </c>
      <c r="I7" s="1">
        <f>'Stats Global'!AE12</f>
        <v>1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3,4,5.5],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0.33333333333333331</v>
      </c>
      <c r="E8" s="1">
        <f>'Stats Global'!AA13</f>
        <v>1</v>
      </c>
      <c r="F8" s="5">
        <f>'Stats Global'!AD13</f>
        <v>0.33333333333333331</v>
      </c>
      <c r="G8" s="1">
        <f>'Stats Global'!AC13</f>
        <v>1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4,"Angus Walker",1,"William Kim",0,"N/A",2,"Angus Walker"],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4.7,0.3,0,1,1,1.3],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0.66666666666666663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0.33333333333333331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1,3,25,1,2,33.3],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0.33333333333333331</v>
      </c>
      <c r="E11" s="1">
        <f>'Stats Global'!AA16</f>
        <v>1</v>
      </c>
      <c r="F11" s="5">
        <f>'Stats Global'!AD16</f>
        <v>0.33333333333333331</v>
      </c>
      <c r="G11" s="1">
        <f>'Stats Global'!AC16</f>
        <v>1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3,5,3.5],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1.6666666666666667</v>
      </c>
      <c r="E12" s="1">
        <f>'Stats Global'!AA17</f>
        <v>5</v>
      </c>
      <c r="F12" s="5">
        <f>'Stats Global'!AD17</f>
        <v>0.66666666666666663</v>
      </c>
      <c r="G12" s="1">
        <f>'Stats Global'!AC17</f>
        <v>2</v>
      </c>
      <c r="H12" s="5">
        <f>'Stats Global'!AF17</f>
        <v>1</v>
      </c>
      <c r="I12" s="1">
        <f>'Stats Global'!AE17</f>
        <v>3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5,"Samuel McConaghy",2,"N/A",3,"N/A",0,"N/A"],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0.33333333333333331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0.33333333333333331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3.3,2,1.3,0,1,1.7],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2,3,40,2,1,66.7],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1</v>
      </c>
      <c r="E15" s="1">
        <f>'Stats Global'!AA20</f>
        <v>3</v>
      </c>
      <c r="F15" s="5">
        <f>'Stats Global'!AD20</f>
        <v>0.66666666666666663</v>
      </c>
      <c r="G15" s="1">
        <f>'Stats Global'!AC20</f>
        <v>2</v>
      </c>
      <c r="H15" s="5">
        <f>'Stats Global'!AF20</f>
        <v>0.33333333333333331</v>
      </c>
      <c r="I15" s="1">
        <f>'Stats Global'!AE20</f>
        <v>1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1.3333333333333333</v>
      </c>
      <c r="E16" s="1">
        <f>'Stats Global'!AA21</f>
        <v>4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0.66666666666666663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0.33333333333333331</v>
      </c>
      <c r="E17" s="1">
        <f>'Stats Global'!AA22</f>
        <v>1</v>
      </c>
      <c r="F17" s="5">
        <f>'Stats Global'!AD22</f>
        <v>0.33333333333333331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3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"PartACT":[6,4,9],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"PartBCT":[6,"Alexander Galt",6,"Alexander Galt",1,"Ryan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"PartCCT":[4.7,4,0.7,0,2,1.3],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"PartDCT":[3,1,75,3,2,60],</v>
      </c>
    </row>
    <row r="21" spans="2:30" ht="14.25" customHeight="1" x14ac:dyDescent="0.45">
      <c r="Y21" t="s">
        <v>144</v>
      </c>
      <c r="AD21" s="35" t="str">
        <f t="shared" si="3"/>
        <v>"PartATC":[3,4,5.5],</v>
      </c>
    </row>
    <row r="22" spans="2:30" ht="14.25" customHeight="1" x14ac:dyDescent="0.9">
      <c r="B22" s="134" t="s">
        <v>95</v>
      </c>
      <c r="C22" s="134"/>
      <c r="D22" s="64"/>
      <c r="Y22" s="1" t="s">
        <v>103</v>
      </c>
      <c r="AD22" s="35" t="str">
        <f t="shared" si="3"/>
        <v>"PartBTC":[4,"Angus Walker",1,"William Kim",0,"N/A",2,"Angus Walker"],</v>
      </c>
    </row>
    <row r="23" spans="2:30" ht="14.25" customHeight="1" x14ac:dyDescent="0.9">
      <c r="B23" s="134"/>
      <c r="C23" s="134"/>
      <c r="D23" s="64"/>
      <c r="Y23" s="1" t="s">
        <v>62</v>
      </c>
      <c r="AD23" s="35" t="str">
        <f t="shared" si="3"/>
        <v>"PartCTC":[4.7,0.3,0,1,1,1.3],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"PartDTC":[1,3,25,1,2,33.3],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"PartAGM":[3,5,3.5],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"PartBGM":[5,"Samuel McConaghy",2,"N/A",3,"N/A",0,"N/A"],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"PPG":[0,0,2,1.33,1,0.33,0,0.67,0.33,1.67,0.33,0,1,1.33,0.33,"0"],</v>
      </c>
      <c r="AD27" s="35" t="str">
        <f t="shared" si="3"/>
        <v>"PartCGM":[3.3,2,1.3,0,1,1.7],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"TP":[0,0,6,4,3,1,0,2,1,5,1,0,3,4,1,"0"],</v>
      </c>
      <c r="AD28" s="35" t="str">
        <f t="shared" si="3"/>
        <v>"PartDGM":[2,3,40,2,1,66.7],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"FPG":[0,0,2,1.33,0.67,0.33,0,0,0.33,0.67,0,0,0.67,0,0.33,"0"],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"TF":[0,0,6,4,2,1,0,0,1,2,0,0,2,0,1,"0"],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"MPG":[0,0,0,0,0.33,0,0,0,0,1,0.33,0,0.33,0,0,"0"],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"TM":[0,0,0,0,1,0,0,0,0,3,1,0,1,0,0,"0"],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"TPG":[0,0,0,0,0,0,0,0.33,0,0,0,0,0,0.67,0,"0"],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"Missed":[0,0,0,0,0,0,0,0,0,0,0,0,0,0,3,"0"],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2,</v>
      </c>
      <c r="E52" s="12" t="str">
        <f t="shared" si="7"/>
        <v>6,</v>
      </c>
      <c r="F52" s="12" t="str">
        <f t="shared" si="8"/>
        <v>2,</v>
      </c>
      <c r="G52" s="12" t="str">
        <f t="shared" si="9"/>
        <v>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1.33,</v>
      </c>
      <c r="E53" s="12" t="str">
        <f t="shared" si="7"/>
        <v>4,</v>
      </c>
      <c r="F53" s="12" t="str">
        <f t="shared" si="8"/>
        <v>1.33,</v>
      </c>
      <c r="G53" s="12" t="str">
        <f t="shared" si="9"/>
        <v>4,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1,</v>
      </c>
      <c r="E54" s="12" t="str">
        <f t="shared" si="7"/>
        <v>3,</v>
      </c>
      <c r="F54" s="12" t="str">
        <f t="shared" si="8"/>
        <v>0.67,</v>
      </c>
      <c r="G54" s="12" t="str">
        <f t="shared" si="9"/>
        <v>2,</v>
      </c>
      <c r="H54" s="12" t="str">
        <f t="shared" si="10"/>
        <v>0.33,</v>
      </c>
      <c r="I54" s="12" t="str">
        <f t="shared" si="11"/>
        <v>1,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0.33,</v>
      </c>
      <c r="E55" s="12" t="str">
        <f t="shared" si="7"/>
        <v>1,</v>
      </c>
      <c r="F55" s="12" t="str">
        <f t="shared" si="8"/>
        <v>0.33,</v>
      </c>
      <c r="G55" s="12" t="str">
        <f t="shared" si="9"/>
        <v>1,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0.67,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0.33,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0.33,</v>
      </c>
      <c r="E58" s="12" t="str">
        <f t="shared" si="7"/>
        <v>1,</v>
      </c>
      <c r="F58" s="12" t="str">
        <f t="shared" si="8"/>
        <v>0.33,</v>
      </c>
      <c r="G58" s="12" t="str">
        <f t="shared" si="9"/>
        <v>1,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1.67,</v>
      </c>
      <c r="E59" s="12" t="str">
        <f t="shared" si="7"/>
        <v>5,</v>
      </c>
      <c r="F59" s="12" t="str">
        <f t="shared" si="8"/>
        <v>0.67,</v>
      </c>
      <c r="G59" s="12" t="str">
        <f t="shared" si="9"/>
        <v>2,</v>
      </c>
      <c r="H59" s="12" t="str">
        <f t="shared" si="10"/>
        <v>1,</v>
      </c>
      <c r="I59" s="12" t="str">
        <f t="shared" si="11"/>
        <v>3,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0.33,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0.33,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1,</v>
      </c>
      <c r="E62" s="12" t="str">
        <f t="shared" si="7"/>
        <v>3,</v>
      </c>
      <c r="F62" s="12" t="str">
        <f t="shared" si="8"/>
        <v>0.67,</v>
      </c>
      <c r="G62" s="12" t="str">
        <f t="shared" si="9"/>
        <v>2,</v>
      </c>
      <c r="H62" s="12" t="str">
        <f t="shared" si="10"/>
        <v>0.33,</v>
      </c>
      <c r="I62" s="12" t="str">
        <f t="shared" si="11"/>
        <v>1,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1.33,</v>
      </c>
      <c r="E63" s="12" t="str">
        <f t="shared" si="7"/>
        <v>4,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0.67,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0.33,</v>
      </c>
      <c r="E64" s="12" t="str">
        <f t="shared" si="7"/>
        <v>1,</v>
      </c>
      <c r="F64" s="12" t="str">
        <f t="shared" si="8"/>
        <v>0.33,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3,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W1" zoomScale="61" workbookViewId="0">
      <selection activeCell="AB8" sqref="AB8:AB23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0.15</v>
      </c>
    </row>
    <row r="5" spans="1:55" ht="14.25" customHeight="1" x14ac:dyDescent="0.45">
      <c r="B5" s="124" t="str">
        <f>'2401'!C45</f>
        <v>24 January</v>
      </c>
      <c r="C5" s="124">
        <f>'2401'!D45</f>
        <v>4</v>
      </c>
      <c r="D5" s="124">
        <f>'2401'!E45</f>
        <v>12</v>
      </c>
      <c r="E5" s="124">
        <f>'2401'!F45</f>
        <v>2</v>
      </c>
      <c r="F5" s="124">
        <f>'2401'!G45</f>
        <v>4</v>
      </c>
      <c r="G5" s="124">
        <f>'2401'!H45</f>
        <v>1</v>
      </c>
      <c r="H5" s="124">
        <f>'2401'!I45</f>
        <v>1</v>
      </c>
      <c r="I5" s="124">
        <f>'2401'!J45</f>
        <v>2</v>
      </c>
      <c r="J5" s="124">
        <f>'2401'!K45</f>
        <v>2</v>
      </c>
      <c r="K5" s="124">
        <f>'2401'!L45</f>
        <v>1</v>
      </c>
      <c r="L5" s="124">
        <f>'2401'!M45</f>
        <v>2</v>
      </c>
      <c r="M5" s="124">
        <f>'2401'!N45</f>
        <v>2</v>
      </c>
      <c r="N5" s="124">
        <f>'2401'!O45</f>
        <v>1</v>
      </c>
      <c r="O5" s="124">
        <f>'2401'!P45</f>
        <v>3</v>
      </c>
      <c r="P5" s="124">
        <f>'2401'!Q45</f>
        <v>1.5</v>
      </c>
      <c r="Q5" s="124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9.3333333333333339</v>
      </c>
      <c r="T6" s="113">
        <f>AVERAGE(C5:C40)</f>
        <v>2</v>
      </c>
      <c r="U6" s="113">
        <f>AVERAGE(D5:D40)</f>
        <v>6.333333333333333</v>
      </c>
      <c r="V6" s="113">
        <f>AVERAGE(E5:E40)</f>
        <v>1</v>
      </c>
      <c r="Z6" s="48" t="s">
        <v>134</v>
      </c>
      <c r="AA6" s="6">
        <f>AA47+AA67+AA27+AL47+AL67+AA87+AL27</f>
        <v>3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 t="str">
        <f>'2901'!C45</f>
        <v>29 January</v>
      </c>
      <c r="C7" s="74">
        <f>'2901'!D45</f>
        <v>0</v>
      </c>
      <c r="D7" s="74">
        <f>'2901'!E45</f>
        <v>0</v>
      </c>
      <c r="E7" s="74">
        <f>'2901'!F45</f>
        <v>0</v>
      </c>
      <c r="F7" s="74">
        <f>'2901'!G45</f>
        <v>0</v>
      </c>
      <c r="G7" s="74">
        <f>'2901'!H45</f>
        <v>0</v>
      </c>
      <c r="H7" s="74">
        <f>'2901'!I45</f>
        <v>0</v>
      </c>
      <c r="I7" s="74">
        <f>'2901'!J45</f>
        <v>0</v>
      </c>
      <c r="J7" s="74">
        <f>'2901'!K45</f>
        <v>0</v>
      </c>
      <c r="K7" s="74">
        <f>'2901'!L45</f>
        <v>0</v>
      </c>
      <c r="L7" s="74">
        <f>'2901'!M45</f>
        <v>0</v>
      </c>
      <c r="M7" s="74">
        <f>'2901'!N45</f>
        <v>0</v>
      </c>
      <c r="N7" s="74">
        <f>'2901'!O45</f>
        <v>0</v>
      </c>
      <c r="O7" s="74">
        <f>'2901'!P45</f>
        <v>3</v>
      </c>
      <c r="P7" s="74">
        <f>'2901'!Q45</f>
        <v>1</v>
      </c>
      <c r="Q7" s="74">
        <f>'2901'!R45</f>
        <v>2</v>
      </c>
      <c r="S7" s="2" t="s">
        <v>72</v>
      </c>
      <c r="T7" s="4">
        <f>T6/$S$6</f>
        <v>0.21428571428571427</v>
      </c>
      <c r="U7" s="4">
        <f>U6/$S$6</f>
        <v>0.67857142857142849</v>
      </c>
      <c r="V7" s="4">
        <f>V6/$S$6</f>
        <v>0.10714285714285714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0.64583333333333337</v>
      </c>
      <c r="AN8" s="77">
        <f>MEDIAN(Table1[Average])</f>
        <v>0.33333333333333331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1.1875</v>
      </c>
      <c r="AN9" s="77">
        <f>MEDIAN(Table1[Finishes])</f>
        <v>0.5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6</v>
      </c>
      <c r="AB10" s="45">
        <f>IF($AA$6-Table1[[#This Row],[Missed Games]]=0, 0,Table1[[#This Row],[Points]]/($AA$6-Table1[[#This Row],[Missed Games]]))</f>
        <v>2</v>
      </c>
      <c r="AC10" s="46">
        <f t="shared" si="1"/>
        <v>6</v>
      </c>
      <c r="AD10" s="43">
        <f>IF($AA$6-Table1[[#This Row],[Missed Games]]=0, 0,Table1[[#This Row],[Finishes]]/($AA$6-Table1[[#This Row],[Missed Games]]))</f>
        <v>2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8" t="s">
        <v>146</v>
      </c>
      <c r="AM10" s="77">
        <f>AVERAGE(Table1[Midranges])</f>
        <v>0.375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9.5238095238095233E-2</v>
      </c>
      <c r="AR10" s="81">
        <f>AP10-Table1[[#This Row],[Points]]</f>
        <v>57</v>
      </c>
      <c r="AS10" s="87">
        <f>Table1[[#This Row],[Points]]/(20-AA$5-Table1[[#This Row],[Missed Games]])</f>
        <v>0.3</v>
      </c>
      <c r="AT10" s="92">
        <f>Table1[[#This Row],[Average]]-'[1]Stats Global'!R10</f>
        <v>-1.1428571428571428</v>
      </c>
      <c r="AU10" s="20">
        <f>(Table1[[#This Row],[Average]]-'[1]Stats Global'!R10)/'[1]Stats Global'!R10</f>
        <v>-0.36363636363636365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4</v>
      </c>
      <c r="AB11" s="45">
        <f>IF($AA$6-Table1[[#This Row],[Missed Games]]=0, 0,Table1[[#This Row],[Points]]/($AA$6-Table1[[#This Row],[Missed Games]]))</f>
        <v>1.3333333333333333</v>
      </c>
      <c r="AC11" s="46">
        <f t="shared" si="1"/>
        <v>4</v>
      </c>
      <c r="AD11" s="43">
        <f>IF($AA$6-Table1[[#This Row],[Missed Games]]=0, 0,Table1[[#This Row],[Finishes]]/($AA$6-Table1[[#This Row],[Missed Games]]))</f>
        <v>1.3333333333333333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7.0175438596491224E-2</v>
      </c>
      <c r="AR11" s="81">
        <f>AP11-Table1[[#This Row],[Points]]</f>
        <v>53</v>
      </c>
      <c r="AS11" s="87">
        <f>Table1[[#This Row],[Points]]/(20-AA$5-Table1[[#This Row],[Missed Games]])</f>
        <v>0.2</v>
      </c>
      <c r="AT11" s="92">
        <f>Table1[[#This Row],[Average]]-'[1]Stats Global'!R11</f>
        <v>-1.4791666666666667</v>
      </c>
      <c r="AU11" s="20">
        <f>(Table1[[#This Row],[Average]]-'[1]Stats Global'!R11)/'[1]Stats Global'!R11</f>
        <v>-0.52592592592592591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3</v>
      </c>
      <c r="AB12" s="45">
        <f>IF($AA$6-Table1[[#This Row],[Missed Games]]=0, 0,Table1[[#This Row],[Points]]/($AA$6-Table1[[#This Row],[Missed Games]]))</f>
        <v>1</v>
      </c>
      <c r="AC12" s="46">
        <f t="shared" si="1"/>
        <v>2</v>
      </c>
      <c r="AD12" s="43">
        <f>IF($AA$6-Table1[[#This Row],[Missed Games]]=0, 0,Table1[[#This Row],[Finishes]]/($AA$6-Table1[[#This Row],[Missed Games]]))</f>
        <v>0.66666666666666663</v>
      </c>
      <c r="AE12" s="46">
        <f t="shared" si="2"/>
        <v>1</v>
      </c>
      <c r="AF12" s="43">
        <f>IF($AA$6-Table1[[#This Row],[Missed Games]]=0, 0,Table1[[#This Row],[Midranges]]/($AA$6-Table1[[#This Row],[Missed Games]]))</f>
        <v>0.33333333333333331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7.1428571428571425E-2</v>
      </c>
      <c r="AR12" s="81">
        <f>AP12-Table1[[#This Row],[Points]]</f>
        <v>39</v>
      </c>
      <c r="AS12" s="87">
        <f>Table1[[#This Row],[Points]]/(20-AA$5-Table1[[#This Row],[Missed Games]])</f>
        <v>0.15</v>
      </c>
      <c r="AT12" s="92">
        <f>Table1[[#This Row],[Average]]-'[1]Stats Global'!R12</f>
        <v>-1.0588235294117645</v>
      </c>
      <c r="AU12" s="20">
        <f>(Table1[[#This Row],[Average]]-'[1]Stats Global'!R12)/'[1]Stats Global'!R12</f>
        <v>-0.51428571428571423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1</v>
      </c>
      <c r="AB13" s="99">
        <f>IF($AA$6-Table1[[#This Row],[Missed Games]]=0, 0,Table1[[#This Row],[Points]]/($AA$6-Table1[[#This Row],[Missed Games]]))</f>
        <v>0.33333333333333331</v>
      </c>
      <c r="AC13" s="100">
        <f t="shared" si="1"/>
        <v>1</v>
      </c>
      <c r="AD13" s="97">
        <f>IF($AA$6-Table1[[#This Row],[Missed Games]]=0, 0,Table1[[#This Row],[Finishes]]/($AA$6-Table1[[#This Row],[Missed Games]]))</f>
        <v>0.33333333333333331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4.3478260869565216E-2</v>
      </c>
      <c r="AR13" s="81">
        <f>AP13-Table1[[#This Row],[Points]]</f>
        <v>22</v>
      </c>
      <c r="AS13" s="87">
        <f>Table1[[#This Row],[Points]]/(20-AA$5-Table1[[#This Row],[Missed Games]])</f>
        <v>0.05</v>
      </c>
      <c r="AT13" s="92">
        <f>Table1[[#This Row],[Average]]-'[1]Stats Global'!R13</f>
        <v>-0.80952380952380953</v>
      </c>
      <c r="AU13" s="20">
        <f>(Table1[[#This Row],[Average]]-'[1]Stats Global'!R13)/'[1]Stats Global'!R13</f>
        <v>-0.70833333333333337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0</v>
      </c>
      <c r="AB14" s="99">
        <f>IF($AA$6-Table1[[#This Row],[Missed Games]]=0, 0,Table1[[#This Row],[Points]]/($AA$6-Table1[[#This Row],[Missed Games]]))</f>
        <v>0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0</v>
      </c>
      <c r="AF14" s="97">
        <f>IF($AA$6-Table1[[#This Row],[Missed Games]]=0, 0,Table1[[#This Row],[Midranges]]/($AA$6-Table1[[#This Row],[Missed Games]]))</f>
        <v>0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0.66666666666666663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0.33333333333333331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-0.92156862745098034</v>
      </c>
      <c r="AU15" s="20">
        <f>(Table1[[#This Row],[Average]]-'[1]Stats Global'!R14)/'[1]Stats Global'!R14</f>
        <v>-0.58024691358024694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1</v>
      </c>
      <c r="AB16" s="45">
        <f>IF($AA$6-Table1[[#This Row],[Missed Games]]=0, 0,Table1[[#This Row],[Points]]/($AA$6-Table1[[#This Row],[Missed Games]]))</f>
        <v>0.33333333333333331</v>
      </c>
      <c r="AC16" s="46">
        <f t="shared" si="1"/>
        <v>1</v>
      </c>
      <c r="AD16" s="43">
        <f>IF($AA$6-Table1[[#This Row],[Missed Games]]=0, 0,Table1[[#This Row],[Finishes]]/($AA$6-Table1[[#This Row],[Missed Games]]))</f>
        <v>0.33333333333333331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3.4482758620689655E-2</v>
      </c>
      <c r="AR16" s="81">
        <f>AP16-Table1[[#This Row],[Points]]</f>
        <v>28</v>
      </c>
      <c r="AS16" s="87">
        <f>Table1[[#This Row],[Points]]/(20-AA$5-Table1[[#This Row],[Missed Games]])</f>
        <v>0.05</v>
      </c>
      <c r="AT16" s="92">
        <f>Table1[[#This Row],[Average]]-'[1]Stats Global'!R15</f>
        <v>-1.0784313725490198</v>
      </c>
      <c r="AU16" s="20">
        <f>(Table1[[#This Row],[Average]]-'[1]Stats Global'!R15)/'[1]Stats Global'!R15</f>
        <v>-0.76388888888888895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5</v>
      </c>
      <c r="AB17" s="45">
        <f>IF($AA$6-Table1[[#This Row],[Missed Games]]=0, 0,Table1[[#This Row],[Points]]/($AA$6-Table1[[#This Row],[Missed Games]]))</f>
        <v>1.6666666666666667</v>
      </c>
      <c r="AC17" s="46">
        <f t="shared" si="1"/>
        <v>2</v>
      </c>
      <c r="AD17" s="43">
        <f>IF($AA$6-Table1[[#This Row],[Missed Games]]=0, 0,Table1[[#This Row],[Finishes]]/($AA$6-Table1[[#This Row],[Missed Games]]))</f>
        <v>0.66666666666666663</v>
      </c>
      <c r="AE17" s="46">
        <f t="shared" si="2"/>
        <v>3</v>
      </c>
      <c r="AF17" s="43">
        <f>IF($AA$6-Table1[[#This Row],[Missed Games]]=0, 0,Table1[[#This Row],[Midranges]]/($AA$6-Table1[[#This Row],[Missed Games]]))</f>
        <v>1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9.8039215686274508E-2</v>
      </c>
      <c r="AR17" s="81">
        <f>AP17-Table1[[#This Row],[Points]]</f>
        <v>46</v>
      </c>
      <c r="AS17" s="87">
        <f>Table1[[#This Row],[Points]]/(20-AA$5-Table1[[#This Row],[Missed Games]])</f>
        <v>0.25</v>
      </c>
      <c r="AT17" s="92">
        <f>Table1[[#This Row],[Average]]-'[1]Stats Global'!R16</f>
        <v>-0.86666666666666647</v>
      </c>
      <c r="AU17" s="20">
        <f>(Table1[[#This Row],[Average]]-'[1]Stats Global'!R16)/'[1]Stats Global'!R16</f>
        <v>-0.34210526315789469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0.33333333333333331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0.33333333333333331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5.5555555555555552E-2</v>
      </c>
      <c r="AR18" s="81">
        <f>AP18-Table1[[#This Row],[Points]]</f>
        <v>17</v>
      </c>
      <c r="AS18" s="87">
        <f>Table1[[#This Row],[Points]]/(20-AA$5-Table1[[#This Row],[Missed Games]])</f>
        <v>0.05</v>
      </c>
      <c r="AT18" s="92">
        <f>Table1[[#This Row],[Average]]-'[1]Stats Global'!R17</f>
        <v>-0.54166666666666674</v>
      </c>
      <c r="AU18" s="20">
        <f>(Table1[[#This Row],[Average]]-'[1]Stats Global'!R17)/'[1]Stats Global'!R17</f>
        <v>-0.61904761904761918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3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3</v>
      </c>
      <c r="AB20" s="99">
        <f>IF($AA$6-Table1[[#This Row],[Missed Games]]=0, 0,Table1[[#This Row],[Points]]/($AA$6-Table1[[#This Row],[Missed Games]]))</f>
        <v>1</v>
      </c>
      <c r="AC20" s="100">
        <f t="shared" si="1"/>
        <v>2</v>
      </c>
      <c r="AD20" s="97">
        <f>IF($AA$6-Table1[[#This Row],[Missed Games]]=0, 0,Table1[[#This Row],[Finishes]]/($AA$6-Table1[[#This Row],[Missed Games]]))</f>
        <v>0.66666666666666663</v>
      </c>
      <c r="AE20" s="100">
        <f t="shared" si="2"/>
        <v>1</v>
      </c>
      <c r="AF20" s="97">
        <f>IF($AA$6-Table1[[#This Row],[Missed Games]]=0, 0,Table1[[#This Row],[Midranges]]/($AA$6-Table1[[#This Row],[Missed Games]]))</f>
        <v>0.33333333333333331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0.13636363636363635</v>
      </c>
      <c r="AR20" s="81">
        <f>AP20-Table1[[#This Row],[Points]]</f>
        <v>19</v>
      </c>
      <c r="AS20" s="87">
        <f>Table1[[#This Row],[Points]]/(20-AA$5-Table1[[#This Row],[Missed Games]])</f>
        <v>0.15</v>
      </c>
      <c r="AT20" s="92">
        <f>Table1[[#This Row],[Average]]-'[1]Stats Global'!R18</f>
        <v>-6.6666666666666652E-2</v>
      </c>
      <c r="AU20" s="20">
        <f>(Table1[[#This Row],[Average]]-'[1]Stats Global'!R18)/'[1]Stats Global'!R18</f>
        <v>-6.2499999999999986E-2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4</v>
      </c>
      <c r="AB21" s="99">
        <f>IF($AA$6-Table1[[#This Row],[Missed Games]]=0, 0,Table1[[#This Row],[Points]]/($AA$6-Table1[[#This Row],[Missed Games]]))</f>
        <v>1.3333333333333333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2</v>
      </c>
      <c r="AH21" s="97">
        <f>IF($AA$6-Table1[[#This Row],[Missed Games]]=0, 0,Table1[[#This Row],[Threes]]/($AA$6-Table1[[#This Row],[Missed Games]]))</f>
        <v>0.66666666666666663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0.18181818181818182</v>
      </c>
      <c r="AR21" s="81">
        <f>AP21-Table1[[#This Row],[Points]]</f>
        <v>18</v>
      </c>
      <c r="AS21" s="87">
        <f>Table1[[#This Row],[Points]]/(20-AA$5-Table1[[#This Row],[Missed Games]])</f>
        <v>0.2</v>
      </c>
      <c r="AT21" s="92">
        <f>Table1[[#This Row],[Average]]-'[1]Stats Global'!R19</f>
        <v>0.27450980392156854</v>
      </c>
      <c r="AU21" s="20">
        <f>(Table1[[#This Row],[Average]]-'[1]Stats Global'!R19)/'[1]Stats Global'!R19</f>
        <v>0.25925925925925919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0.33333333333333331</v>
      </c>
      <c r="AC22" s="46">
        <f t="shared" si="1"/>
        <v>1</v>
      </c>
      <c r="AD22" s="72">
        <f>IF($AA$6-Table1[[#This Row],[Missed Games]]=0, 0,Table1[[#This Row],[Finishes]]/($AA$6-Table1[[#This Row],[Missed Games]]))</f>
        <v>0.33333333333333331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-2.0952380952380949</v>
      </c>
      <c r="AU22" s="20">
        <f>(Table1[[#This Row],[Average]]-'[1]Stats Global'!R20)/'[1]Stats Global'!R20</f>
        <v>-0.86274509803921562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3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1">
        <f>AP23-Table1[[#This Row],[Points]]</f>
        <v>2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1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</f>
        <v>0</v>
      </c>
      <c r="AM29" s="22">
        <f>'2901'!U3</f>
        <v>0</v>
      </c>
      <c r="AN29" s="22">
        <f>'2901'!V3</f>
        <v>0</v>
      </c>
      <c r="AO29" s="22">
        <f>'2901'!W3</f>
        <v>0</v>
      </c>
      <c r="AP29" s="22">
        <f>Table21128[[#This Row],[Points]]/($AL$27-$AT29)</f>
        <v>0</v>
      </c>
      <c r="AQ29" s="22">
        <f>Table21128[[#This Row],[Finishes]]/($AL$27-$AT29)</f>
        <v>0</v>
      </c>
      <c r="AR29" s="22">
        <f>Table21128[[#This Row],[Midranges]]/($AL$27-$AT29)</f>
        <v>0</v>
      </c>
      <c r="AS29" s="22">
        <f>Table21128[[#This Row],[Threes]]/($AL$27-$AT29)</f>
        <v>0</v>
      </c>
      <c r="AT29" s="22">
        <f>COUNTIF('2901'!X3,TRUE)</f>
        <v>0</v>
      </c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</f>
        <v>0</v>
      </c>
      <c r="AM30" s="22">
        <f>'2901'!U4</f>
        <v>0</v>
      </c>
      <c r="AN30" s="22">
        <f>'2901'!V4</f>
        <v>0</v>
      </c>
      <c r="AO30" s="22">
        <f>'2901'!W4</f>
        <v>0</v>
      </c>
      <c r="AP30" s="22">
        <f>Table21128[[#This Row],[Points]]/($AL$27-$AT30)</f>
        <v>0</v>
      </c>
      <c r="AQ30" s="22">
        <f>Table21128[[#This Row],[Finishes]]/($AL$27-$AT30)</f>
        <v>0</v>
      </c>
      <c r="AR30" s="22">
        <f>Table21128[[#This Row],[Midranges]]/($AL$27-$AT30)</f>
        <v>0</v>
      </c>
      <c r="AS30" s="22">
        <f>Table21128[[#This Row],[Threes]]/($AL$27-$AT30)</f>
        <v>0</v>
      </c>
      <c r="AT30" s="22">
        <f>COUNTIF('2901'!X4,TRUE)</f>
        <v>0</v>
      </c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</f>
        <v>0</v>
      </c>
      <c r="AM31" s="22">
        <f>'2901'!U5</f>
        <v>0</v>
      </c>
      <c r="AN31" s="22">
        <f>'2901'!V5</f>
        <v>0</v>
      </c>
      <c r="AO31" s="22">
        <f>'2901'!W5</f>
        <v>0</v>
      </c>
      <c r="AP31" s="22">
        <f>Table21128[[#This Row],[Points]]/($AL$27-$AT31)</f>
        <v>0</v>
      </c>
      <c r="AQ31" s="22">
        <f>Table21128[[#This Row],[Finishes]]/($AL$27-$AT31)</f>
        <v>0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</f>
        <v>0</v>
      </c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</f>
        <v>0</v>
      </c>
      <c r="AM32" s="22">
        <f>'2901'!U6</f>
        <v>0</v>
      </c>
      <c r="AN32" s="22">
        <f>'2901'!V6</f>
        <v>0</v>
      </c>
      <c r="AO32" s="22">
        <f>'2901'!W6</f>
        <v>0</v>
      </c>
      <c r="AP32" s="22">
        <f>Table21128[[#This Row],[Points]]/($AL$27-$AT32)</f>
        <v>0</v>
      </c>
      <c r="AQ32" s="22">
        <f>Table21128[[#This Row],[Finishes]]/($AL$27-$AT32)</f>
        <v>0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</f>
        <v>0</v>
      </c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</f>
        <v>0</v>
      </c>
      <c r="AM33" s="22">
        <f>'2901'!U7</f>
        <v>0</v>
      </c>
      <c r="AN33" s="22">
        <f>'2901'!V7</f>
        <v>0</v>
      </c>
      <c r="AO33" s="22">
        <f>'2901'!W7</f>
        <v>0</v>
      </c>
      <c r="AP33" s="22">
        <f>Table21128[[#This Row],[Points]]/($AL$27-$AT33)</f>
        <v>0</v>
      </c>
      <c r="AQ33" s="22">
        <f>Table21128[[#This Row],[Finishes]]/($AL$27-$AT33)</f>
        <v>0</v>
      </c>
      <c r="AR33" s="22">
        <f>Table21128[[#This Row],[Midranges]]/($AL$27-$AT33)</f>
        <v>0</v>
      </c>
      <c r="AS33" s="22">
        <f>Table21128[[#This Row],[Threes]]/($AL$27-$AT33)</f>
        <v>0</v>
      </c>
      <c r="AT33" s="22">
        <f>COUNTIF('2901'!X7,TRUE)</f>
        <v>0</v>
      </c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</f>
        <v>0</v>
      </c>
      <c r="AM34" s="22">
        <f>'2901'!U8</f>
        <v>0</v>
      </c>
      <c r="AN34" s="22">
        <f>'2901'!V8</f>
        <v>0</v>
      </c>
      <c r="AO34" s="22">
        <f>'2901'!W8</f>
        <v>0</v>
      </c>
      <c r="AP34" s="22">
        <f>Table21128[[#This Row],[Points]]/($AL$27-$AT34)</f>
        <v>0</v>
      </c>
      <c r="AQ34" s="22">
        <f>Table21128[[#This Row],[Finishes]]/($AL$27-$AT34)</f>
        <v>0</v>
      </c>
      <c r="AR34" s="22">
        <f>Table21128[[#This Row],[Midranges]]/($AL$27-$AT34)</f>
        <v>0</v>
      </c>
      <c r="AS34" s="22">
        <f>Table21128[[#This Row],[Threes]]/($AL$27-$AT34)</f>
        <v>0</v>
      </c>
      <c r="AT34" s="22">
        <f>COUNTIF('2901'!X8,TRUE)</f>
        <v>0</v>
      </c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</f>
        <v>0</v>
      </c>
      <c r="AM35" s="22">
        <f>'2901'!U9</f>
        <v>0</v>
      </c>
      <c r="AN35" s="22">
        <f>'2901'!V9</f>
        <v>0</v>
      </c>
      <c r="AO35" s="22">
        <f>'2901'!W9</f>
        <v>0</v>
      </c>
      <c r="AP35" s="22">
        <f>Table21128[[#This Row],[Points]]/($AL$27-$AT35)</f>
        <v>0</v>
      </c>
      <c r="AQ35" s="22">
        <f>Table21128[[#This Row],[Finishes]]/($AL$27-$AT35)</f>
        <v>0</v>
      </c>
      <c r="AR35" s="22">
        <f>Table21128[[#This Row],[Midranges]]/($AL$27-$AT35)</f>
        <v>0</v>
      </c>
      <c r="AS35" s="22">
        <f>Table21128[[#This Row],[Threes]]/($AL$27-$AT35)</f>
        <v>0</v>
      </c>
      <c r="AT35" s="22">
        <f>COUNTIF('2901'!X9,TRUE)</f>
        <v>0</v>
      </c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</f>
        <v>0</v>
      </c>
      <c r="AM36" s="22">
        <f>'2901'!U10</f>
        <v>0</v>
      </c>
      <c r="AN36" s="22">
        <f>'2901'!V10</f>
        <v>0</v>
      </c>
      <c r="AO36" s="22">
        <f>'2901'!W10</f>
        <v>0</v>
      </c>
      <c r="AP36" s="22">
        <f>Table21128[[#This Row],[Points]]/($AL$27-$AT36)</f>
        <v>0</v>
      </c>
      <c r="AQ36" s="22">
        <f>Table21128[[#This Row],[Finishes]]/($AL$27-$AT36)</f>
        <v>0</v>
      </c>
      <c r="AR36" s="22">
        <f>Table21128[[#This Row],[Midranges]]/($AL$27-$AT36)</f>
        <v>0</v>
      </c>
      <c r="AS36" s="22">
        <f>Table21128[[#This Row],[Threes]]/($AL$27-$AT36)</f>
        <v>0</v>
      </c>
      <c r="AT36" s="22">
        <f>COUNTIF('2901'!X10,TRUE)</f>
        <v>0</v>
      </c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</f>
        <v>0</v>
      </c>
      <c r="AM37" s="22">
        <f>'2901'!U11</f>
        <v>0</v>
      </c>
      <c r="AN37" s="22">
        <f>'2901'!V11</f>
        <v>0</v>
      </c>
      <c r="AO37" s="22">
        <f>'2901'!W11</f>
        <v>0</v>
      </c>
      <c r="AP37" s="22">
        <f>Table21128[[#This Row],[Points]]/($AL$27-$AT37)</f>
        <v>0</v>
      </c>
      <c r="AQ37" s="22">
        <f>Table21128[[#This Row],[Finishes]]/($AL$27-$AT37)</f>
        <v>0</v>
      </c>
      <c r="AR37" s="22">
        <f>Table21128[[#This Row],[Midranges]]/($AL$27-$AT37)</f>
        <v>0</v>
      </c>
      <c r="AS37" s="22">
        <f>Table21128[[#This Row],[Threes]]/($AL$27-$AT37)</f>
        <v>0</v>
      </c>
      <c r="AT37" s="22">
        <f>COUNTIF('2901'!X11,TRUE)</f>
        <v>0</v>
      </c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</f>
        <v>0</v>
      </c>
      <c r="AM38" s="22">
        <f>'2901'!U12</f>
        <v>0</v>
      </c>
      <c r="AN38" s="22">
        <f>'2901'!V12</f>
        <v>0</v>
      </c>
      <c r="AO38" s="22">
        <f>'2901'!W12</f>
        <v>0</v>
      </c>
      <c r="AP38" s="22">
        <f>Table21128[[#This Row],[Points]]/($AL$27-$AT38)</f>
        <v>0</v>
      </c>
      <c r="AQ38" s="22">
        <f>Table21128[[#This Row],[Finishes]]/($AL$27-$AT38)</f>
        <v>0</v>
      </c>
      <c r="AR38" s="22">
        <f>Table21128[[#This Row],[Midranges]]/($AL$27-$AT38)</f>
        <v>0</v>
      </c>
      <c r="AS38" s="22">
        <f>Table21128[[#This Row],[Threes]]/($AL$27-$AT38)</f>
        <v>0</v>
      </c>
      <c r="AT38" s="22">
        <f>COUNTIF('2901'!X12,TRUE)</f>
        <v>0</v>
      </c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</f>
        <v>0</v>
      </c>
      <c r="AM39" s="22">
        <f>'2901'!U13</f>
        <v>0</v>
      </c>
      <c r="AN39" s="22">
        <f>'2901'!V13</f>
        <v>0</v>
      </c>
      <c r="AO39" s="22">
        <f>'2901'!W13</f>
        <v>0</v>
      </c>
      <c r="AP39" s="22">
        <f>Table21128[[#This Row],[Points]]/($AL$27-$AT39)</f>
        <v>0</v>
      </c>
      <c r="AQ39" s="22">
        <f>Table21128[[#This Row],[Finishes]]/($AL$27-$AT39)</f>
        <v>0</v>
      </c>
      <c r="AR39" s="22">
        <f>Table21128[[#This Row],[Midranges]]/($AL$27-$AT39)</f>
        <v>0</v>
      </c>
      <c r="AS39" s="22">
        <f>Table21128[[#This Row],[Threes]]/($AL$27-$AT39)</f>
        <v>0</v>
      </c>
      <c r="AT39" s="22">
        <f>COUNTIF('2901'!X13,TRUE)</f>
        <v>0</v>
      </c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</f>
        <v>0</v>
      </c>
      <c r="AM40" s="22">
        <f>'2901'!U14</f>
        <v>0</v>
      </c>
      <c r="AN40" s="22">
        <f>'2901'!V14</f>
        <v>0</v>
      </c>
      <c r="AO40" s="22">
        <f>'2901'!W14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</f>
        <v>1</v>
      </c>
    </row>
    <row r="41" spans="2:46" ht="14.25" customHeight="1" x14ac:dyDescent="0.45">
      <c r="R41" s="10" t="s">
        <v>163</v>
      </c>
      <c r="S41">
        <f>'Statistics CT'!H3</f>
        <v>9</v>
      </c>
      <c r="T41" s="79">
        <f>S41/SUM(S41:S43)</f>
        <v>0.5</v>
      </c>
      <c r="U41" s="83">
        <v>0.32188841201716739</v>
      </c>
      <c r="V41" s="30">
        <v>0.36899999999999999</v>
      </c>
      <c r="W41">
        <f>T41*(6*(20-AA$5))</f>
        <v>60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</f>
        <v>0</v>
      </c>
      <c r="AM41" s="22">
        <f>'2901'!U15</f>
        <v>0</v>
      </c>
      <c r="AN41" s="22">
        <f>'2901'!V15</f>
        <v>0</v>
      </c>
      <c r="AO41" s="22">
        <f>'2901'!W15</f>
        <v>0</v>
      </c>
      <c r="AP41" s="22">
        <f>Table21128[[#This Row],[Points]]/($AL$27-$AT41)</f>
        <v>0</v>
      </c>
      <c r="AQ41" s="22">
        <f>Table21128[[#This Row],[Finishes]]/($AL$27-$AT41)</f>
        <v>0</v>
      </c>
      <c r="AR41" s="22">
        <f>Table21128[[#This Row],[Midranges]]/($AL$27-$AT41)</f>
        <v>0</v>
      </c>
      <c r="AS41" s="22">
        <f>Table21128[[#This Row],[Threes]]/($AL$27-$AT41)</f>
        <v>0</v>
      </c>
      <c r="AT41" s="22">
        <f>COUNTIF('2901'!X15,TRUE)</f>
        <v>0</v>
      </c>
    </row>
    <row r="42" spans="2:46" ht="14.25" customHeight="1" x14ac:dyDescent="0.45">
      <c r="R42" s="10" t="s">
        <v>164</v>
      </c>
      <c r="S42">
        <f>'Statistics TC'!H3</f>
        <v>5.5</v>
      </c>
      <c r="T42" s="83">
        <f>S42/SUM(S41:S43)</f>
        <v>0.30555555555555558</v>
      </c>
      <c r="U42" s="83">
        <v>0.35193133047210301</v>
      </c>
      <c r="V42" s="30">
        <v>0.26200000000000001</v>
      </c>
      <c r="W42">
        <f t="shared" ref="W42:W43" si="5">T42*(6*(20-AA$5))</f>
        <v>36.666666666666671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</f>
        <v>0</v>
      </c>
      <c r="AM42" s="22">
        <f>'2901'!U16</f>
        <v>0</v>
      </c>
      <c r="AN42" s="22">
        <f>'2901'!V16</f>
        <v>0</v>
      </c>
      <c r="AO42" s="22">
        <f>'2901'!W16</f>
        <v>0</v>
      </c>
      <c r="AP42" s="22">
        <f>Table21128[[#This Row],[Points]]/($AL$27-$AT42)</f>
        <v>0</v>
      </c>
      <c r="AQ42" s="22">
        <f>Table21128[[#This Row],[Finishes]]/($AL$27-$AT42)</f>
        <v>0</v>
      </c>
      <c r="AR42" s="22">
        <f>Table21128[[#This Row],[Midranges]]/($AL$27-$AT42)</f>
        <v>0</v>
      </c>
      <c r="AS42" s="22">
        <f>Table21128[[#This Row],[Threes]]/($AL$27-$AT42)</f>
        <v>0</v>
      </c>
      <c r="AT42" s="22">
        <f>COUNTIF('2901'!X16,TRUE)</f>
        <v>0</v>
      </c>
    </row>
    <row r="43" spans="2:46" ht="14.25" customHeight="1" x14ac:dyDescent="0.45">
      <c r="R43" s="10" t="s">
        <v>35</v>
      </c>
      <c r="S43">
        <f>'Statistics GM'!G3</f>
        <v>3.5</v>
      </c>
      <c r="T43" s="83">
        <f>S43/SUM(S41:S43)</f>
        <v>0.19444444444444445</v>
      </c>
      <c r="U43" s="83">
        <v>0.3261802575107296</v>
      </c>
      <c r="V43" s="30">
        <v>0.36899999999999999</v>
      </c>
      <c r="W43">
        <f t="shared" si="5"/>
        <v>23.333333333333332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</f>
        <v>0</v>
      </c>
      <c r="AM43" s="22">
        <f>'2901'!U17</f>
        <v>0</v>
      </c>
      <c r="AN43" s="22">
        <f>'2901'!V17</f>
        <v>0</v>
      </c>
      <c r="AO43" s="22">
        <f>'2901'!W17</f>
        <v>0</v>
      </c>
      <c r="AP43" s="22">
        <f>Table21128[[#This Row],[Points]]/($AL$27-$AT43)</f>
        <v>0</v>
      </c>
      <c r="AQ43" s="22">
        <f>Table21128[[#This Row],[Finishes]]/($AL$27-$AT43)</f>
        <v>0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</f>
        <v>0</v>
      </c>
      <c r="AM44" s="22">
        <f>'2901'!U18</f>
        <v>0</v>
      </c>
      <c r="AN44" s="22">
        <f>'2901'!V18</f>
        <v>0</v>
      </c>
      <c r="AO44" s="22">
        <f>'2901'!W18</f>
        <v>0</v>
      </c>
      <c r="AP44" s="22" t="e">
        <f>Table21128[[#This Row],[Points]]/($AL$27-$AT44)</f>
        <v>#DIV/0!</v>
      </c>
      <c r="AQ44" s="22" t="e">
        <f>Table21128[[#This Row],[Finishes]]/($AL$27-$AT44)</f>
        <v>#DIV/0!</v>
      </c>
      <c r="AR44" s="22" t="e">
        <f>Table21128[[#This Row],[Midranges]]/($AL$27-$AT44)</f>
        <v>#DIV/0!</v>
      </c>
      <c r="AS44" s="22" t="e">
        <f>Table21128[[#This Row],[Threes]]/($AL$27-$AT44)</f>
        <v>#DIV/0!</v>
      </c>
      <c r="AT44" s="22">
        <f>COUNTIF('2901'!X18,TRUE)</f>
        <v>1</v>
      </c>
    </row>
    <row r="45" spans="2:46" ht="14.25" customHeight="1" x14ac:dyDescent="0.45">
      <c r="T45" t="s">
        <v>155</v>
      </c>
      <c r="W45">
        <f>(20-AA6-AA5)*2</f>
        <v>34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14.25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19</v>
      </c>
      <c r="V49" s="12">
        <f>U49/AA6</f>
        <v>6.333333333333333</v>
      </c>
      <c r="W49" s="20">
        <f>U49/SUM($U$49:$U$51)</f>
        <v>0.6785714285714286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6</v>
      </c>
      <c r="V50" s="12">
        <f>U50/AA6</f>
        <v>2</v>
      </c>
      <c r="W50" s="20">
        <f>U50/SUM($U$49:$U$51)</f>
        <v>0.21428571428571427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3</v>
      </c>
      <c r="V51" s="12">
        <f>U51/AA6</f>
        <v>1</v>
      </c>
      <c r="W51" s="20">
        <f>U51/SUM($U$49:$U$51)</f>
        <v>0.10714285714285714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0.75</v>
      </c>
      <c r="V55" s="25">
        <f>'Statistics CT'!M42</f>
        <v>0.6</v>
      </c>
      <c r="W55" s="25">
        <f>AVERAGE(U55:V55)</f>
        <v>0.67500000000000004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0.25</v>
      </c>
      <c r="U56" s="27" t="s">
        <v>105</v>
      </c>
      <c r="V56" s="25">
        <f>'Statistics TC'!J42</f>
        <v>0.33333333333333331</v>
      </c>
      <c r="W56" s="25">
        <f>AVERAGE(T56:V56)</f>
        <v>0.29166666666666663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</v>
      </c>
      <c r="U57" s="25">
        <f>1-V56</f>
        <v>0.66666666666666674</v>
      </c>
      <c r="V57" s="27" t="s">
        <v>105</v>
      </c>
      <c r="W57" s="25">
        <f>AVERAGE(T57:V57)</f>
        <v>0.53333333333333344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6</v>
      </c>
      <c r="G3" s="106">
        <f>SUM(C4:C40)</f>
        <v>4</v>
      </c>
      <c r="H3" s="106">
        <f>SUM(D4:D40)</f>
        <v>9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E4" s="116"/>
      <c r="H4" s="54"/>
      <c r="J4" s="130">
        <f>'Stats Global'!M5</f>
        <v>2</v>
      </c>
      <c r="K4" s="130">
        <f>'Stats Global'!H5</f>
        <v>1</v>
      </c>
      <c r="L4" s="56"/>
      <c r="M4" s="130">
        <f>'Stats Global'!J5</f>
        <v>2</v>
      </c>
      <c r="N4" s="130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0.33333333333333331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0.33333333333333331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 t="str">
        <f>'Stats Global'!B6</f>
        <v>25 January</v>
      </c>
      <c r="B5" s="107">
        <f>'Stats Global'!F6</f>
        <v>2</v>
      </c>
      <c r="C5" s="107">
        <f>'Stats Global'!G6+'Stats Global'!G6</f>
        <v>2</v>
      </c>
      <c r="D5" s="107">
        <f>'Stats Global'!O6</f>
        <v>3</v>
      </c>
      <c r="E5" s="116"/>
      <c r="G5" s="52"/>
      <c r="H5" s="54"/>
      <c r="J5" s="130">
        <f>'Stats Global'!M6</f>
        <v>1</v>
      </c>
      <c r="K5" s="130">
        <f>'Stats Global'!H6</f>
        <v>0</v>
      </c>
      <c r="L5" s="56"/>
      <c r="M5" s="130">
        <f>'Stats Global'!J6</f>
        <v>1</v>
      </c>
      <c r="N5" s="130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 t="str">
        <f>'Stats Global'!B7</f>
        <v>29 January</v>
      </c>
      <c r="B6" s="107">
        <f>'Stats Global'!F7</f>
        <v>0</v>
      </c>
      <c r="C6" s="107">
        <f>'Stats Global'!G7+'Stats Global'!G7</f>
        <v>0</v>
      </c>
      <c r="D6" s="107">
        <f>'Stats Global'!O7</f>
        <v>3</v>
      </c>
      <c r="E6" s="116"/>
      <c r="G6" s="52"/>
      <c r="H6" s="54"/>
      <c r="J6" s="130">
        <f>'Stats Global'!M7</f>
        <v>0</v>
      </c>
      <c r="K6" s="130">
        <f>'Stats Global'!H7</f>
        <v>0</v>
      </c>
      <c r="L6" s="56"/>
      <c r="M6" s="130">
        <f>'Stats Global'!J7</f>
        <v>0</v>
      </c>
      <c r="N6" s="130">
        <f>'Stats Global'!G7</f>
        <v>0</v>
      </c>
      <c r="P6" s="63" t="str">
        <f>'Stats Global'!Z10</f>
        <v>Alexander Galt</v>
      </c>
      <c r="Q6" s="63">
        <f>'Stats Global'!AA10</f>
        <v>6</v>
      </c>
      <c r="R6" s="63">
        <f>'Stats Global'!AB10</f>
        <v>2</v>
      </c>
      <c r="S6" s="63">
        <f>'Stats Global'!AC10</f>
        <v>6</v>
      </c>
      <c r="T6" s="63">
        <f>'Stats Global'!AD10</f>
        <v>2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0">
        <f>'Stats Global'!M8</f>
        <v>0</v>
      </c>
      <c r="K7" s="130">
        <f>'Stats Global'!H8</f>
        <v>0</v>
      </c>
      <c r="L7" s="56"/>
      <c r="M7" s="130">
        <f>'Stats Global'!J8</f>
        <v>0</v>
      </c>
      <c r="N7" s="130">
        <f>'Stats Global'!G8</f>
        <v>0</v>
      </c>
      <c r="P7" s="54" t="str">
        <f>'Stats Global'!Z11</f>
        <v>Rudy Hoschke</v>
      </c>
      <c r="Q7" s="54">
        <f>'Stats Global'!AA11</f>
        <v>4</v>
      </c>
      <c r="R7" s="54">
        <f>'Stats Global'!AB11</f>
        <v>1.3333333333333333</v>
      </c>
      <c r="S7" s="54">
        <f>'Stats Global'!AC11</f>
        <v>4</v>
      </c>
      <c r="T7" s="54">
        <f>'Stats Global'!AD11</f>
        <v>1.3333333333333333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0">
        <f>'Stats Global'!M9</f>
        <v>0</v>
      </c>
      <c r="K8" s="130">
        <f>'Stats Global'!H9</f>
        <v>0</v>
      </c>
      <c r="L8" s="56"/>
      <c r="M8" s="130">
        <f>'Stats Global'!J9</f>
        <v>0</v>
      </c>
      <c r="N8" s="130">
        <f>'Stats Global'!G9</f>
        <v>0</v>
      </c>
      <c r="P8" s="54" t="str">
        <f>'Stats Global'!Z20</f>
        <v>Christopher Tomkinson</v>
      </c>
      <c r="Q8" s="54">
        <f>'Stats Global'!AA20</f>
        <v>3</v>
      </c>
      <c r="R8" s="54">
        <f>'Stats Global'!AB20</f>
        <v>1</v>
      </c>
      <c r="S8" s="54">
        <f>'Stats Global'!AC20</f>
        <v>2</v>
      </c>
      <c r="T8" s="54">
        <f>'Stats Global'!AD20</f>
        <v>0.66666666666666663</v>
      </c>
      <c r="U8" s="54">
        <f>'Stats Global'!AE20</f>
        <v>1</v>
      </c>
      <c r="V8" s="54">
        <f>'Stats Global'!AF20</f>
        <v>0.33333333333333331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0">
        <f>'Stats Global'!M10</f>
        <v>0</v>
      </c>
      <c r="K9" s="130">
        <f>'Stats Global'!H10</f>
        <v>0</v>
      </c>
      <c r="L9" s="56"/>
      <c r="M9" s="130">
        <f>'Stats Global'!J10</f>
        <v>0</v>
      </c>
      <c r="N9" s="130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0">
        <f>'Stats Global'!M11</f>
        <v>0</v>
      </c>
      <c r="K10" s="130">
        <f>'Stats Global'!H11</f>
        <v>0</v>
      </c>
      <c r="L10" s="56"/>
      <c r="M10" s="130">
        <f>'Stats Global'!J11</f>
        <v>0</v>
      </c>
      <c r="N10" s="130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0">
        <f>'Stats Global'!M12</f>
        <v>0</v>
      </c>
      <c r="K11" s="130">
        <f>'Stats Global'!H12</f>
        <v>0</v>
      </c>
      <c r="L11" s="56"/>
      <c r="M11" s="130">
        <f>'Stats Global'!J12</f>
        <v>0</v>
      </c>
      <c r="N11" s="130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0">
        <f>'Stats Global'!M13</f>
        <v>0</v>
      </c>
      <c r="K12" s="130">
        <f>'Stats Global'!H13</f>
        <v>0</v>
      </c>
      <c r="L12" s="56"/>
      <c r="M12" s="130">
        <f>'Stats Global'!J13</f>
        <v>0</v>
      </c>
      <c r="N12" s="130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0">
        <f>'Stats Global'!M14</f>
        <v>0</v>
      </c>
      <c r="K13" s="130">
        <f>'Stats Global'!H14</f>
        <v>0</v>
      </c>
      <c r="L13" s="56"/>
      <c r="M13" s="130">
        <f>'Stats Global'!J14</f>
        <v>0</v>
      </c>
      <c r="N13" s="130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0">
        <f>'Stats Global'!M15</f>
        <v>0</v>
      </c>
      <c r="K14" s="130">
        <f>'Stats Global'!H15</f>
        <v>0</v>
      </c>
      <c r="L14" s="56"/>
      <c r="M14" s="130">
        <f>'Stats Global'!J15</f>
        <v>0</v>
      </c>
      <c r="N14" s="130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0">
        <f>'Stats Global'!M16</f>
        <v>0</v>
      </c>
      <c r="K15" s="130">
        <f>'Stats Global'!H16</f>
        <v>0</v>
      </c>
      <c r="L15" s="56"/>
      <c r="M15" s="130">
        <f>'Stats Global'!J16</f>
        <v>0</v>
      </c>
      <c r="N15" s="130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0">
        <f>'Stats Global'!M17</f>
        <v>0</v>
      </c>
      <c r="K16" s="130">
        <f>'Stats Global'!H17</f>
        <v>0</v>
      </c>
      <c r="L16" s="56"/>
      <c r="M16" s="130">
        <f>'Stats Global'!J17</f>
        <v>0</v>
      </c>
      <c r="N16" s="130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0">
        <f>'Stats Global'!M18</f>
        <v>0</v>
      </c>
      <c r="K17" s="130">
        <f>'Stats Global'!H18</f>
        <v>0</v>
      </c>
      <c r="L17" s="56"/>
      <c r="M17" s="130">
        <f>'Stats Global'!J18</f>
        <v>0</v>
      </c>
      <c r="N17" s="130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0">
        <f>'Stats Global'!M19</f>
        <v>0</v>
      </c>
      <c r="K18" s="130">
        <f>'Stats Global'!H19</f>
        <v>0</v>
      </c>
      <c r="L18" s="56"/>
      <c r="M18" s="130">
        <f>'Stats Global'!J19</f>
        <v>0</v>
      </c>
      <c r="N18" s="130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0">
        <f>'Stats Global'!M20</f>
        <v>0</v>
      </c>
      <c r="K19" s="130">
        <f>'Stats Global'!H20</f>
        <v>0</v>
      </c>
      <c r="L19" s="56"/>
      <c r="M19" s="130">
        <f>'Stats Global'!J20</f>
        <v>0</v>
      </c>
      <c r="N19" s="130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0">
        <f>'Stats Global'!M21</f>
        <v>0</v>
      </c>
      <c r="K20" s="130">
        <f>'Stats Global'!H21</f>
        <v>0</v>
      </c>
      <c r="L20" s="56"/>
      <c r="M20" s="130">
        <f>'Stats Global'!J21</f>
        <v>0</v>
      </c>
      <c r="N20" s="130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0">
        <f>'Stats Global'!M22</f>
        <v>0</v>
      </c>
      <c r="K21" s="130">
        <f>'Stats Global'!H22</f>
        <v>0</v>
      </c>
      <c r="L21" s="56"/>
      <c r="M21" s="130">
        <f>'Stats Global'!J22</f>
        <v>0</v>
      </c>
      <c r="N21" s="130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0">
        <f>'Stats Global'!M23</f>
        <v>0</v>
      </c>
      <c r="K22" s="130">
        <f>'Stats Global'!H23</f>
        <v>0</v>
      </c>
      <c r="L22" s="56"/>
      <c r="M22" s="130">
        <f>'Stats Global'!J23</f>
        <v>0</v>
      </c>
      <c r="N22" s="130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0">
        <f>'Stats Global'!M24</f>
        <v>0</v>
      </c>
      <c r="K23" s="130">
        <f>'Stats Global'!H24</f>
        <v>0</v>
      </c>
      <c r="L23" s="56"/>
      <c r="M23" s="130">
        <f>'Stats Global'!J24</f>
        <v>0</v>
      </c>
      <c r="N23" s="130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0">
        <f>'Stats Global'!M25</f>
        <v>0</v>
      </c>
      <c r="K24" s="130">
        <f>'Stats Global'!H25</f>
        <v>0</v>
      </c>
      <c r="L24" s="56"/>
      <c r="M24" s="130">
        <f>'Stats Global'!J25</f>
        <v>0</v>
      </c>
      <c r="N24" s="130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0">
        <f>'Stats Global'!M26</f>
        <v>0</v>
      </c>
      <c r="K25" s="130">
        <f>'Stats Global'!H26</f>
        <v>0</v>
      </c>
      <c r="L25" s="56"/>
      <c r="M25" s="130">
        <f>'Stats Global'!J26</f>
        <v>0</v>
      </c>
      <c r="N25" s="130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0">
        <f>'Stats Global'!M27</f>
        <v>0</v>
      </c>
      <c r="K26" s="130">
        <f>'Stats Global'!H27</f>
        <v>0</v>
      </c>
      <c r="L26" s="56"/>
      <c r="M26" s="130">
        <f>'Stats Global'!J27</f>
        <v>0</v>
      </c>
      <c r="N26" s="130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0">
        <f>'Stats Global'!M28</f>
        <v>0</v>
      </c>
      <c r="K27" s="130">
        <f>'Stats Global'!H28</f>
        <v>0</v>
      </c>
      <c r="L27" s="56"/>
      <c r="M27" s="130">
        <f>'Stats Global'!J28</f>
        <v>0</v>
      </c>
      <c r="N27" s="130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0">
        <f>'Stats Global'!M29</f>
        <v>0</v>
      </c>
      <c r="K28" s="130">
        <f>'Stats Global'!H29</f>
        <v>0</v>
      </c>
      <c r="L28" s="56"/>
      <c r="M28" s="130">
        <f>'Stats Global'!J29</f>
        <v>0</v>
      </c>
      <c r="N28" s="130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0">
        <f>'Stats Global'!M30</f>
        <v>0</v>
      </c>
      <c r="K29" s="130">
        <f>'Stats Global'!H30</f>
        <v>0</v>
      </c>
      <c r="L29" s="56"/>
      <c r="M29" s="130">
        <f>'Stats Global'!J30</f>
        <v>0</v>
      </c>
      <c r="N29" s="130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0">
        <f>'Stats Global'!M31</f>
        <v>0</v>
      </c>
      <c r="K30" s="130">
        <f>'Stats Global'!H31</f>
        <v>0</v>
      </c>
      <c r="L30" s="56"/>
      <c r="M30" s="130">
        <f>'Stats Global'!J31</f>
        <v>0</v>
      </c>
      <c r="N30" s="130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0">
        <f>'Stats Global'!M32</f>
        <v>0</v>
      </c>
      <c r="K31" s="130">
        <f>'Stats Global'!H32</f>
        <v>0</v>
      </c>
      <c r="L31" s="56"/>
      <c r="M31" s="130">
        <f>'Stats Global'!J32</f>
        <v>0</v>
      </c>
      <c r="N31" s="130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0">
        <f>'Stats Global'!M33</f>
        <v>0</v>
      </c>
      <c r="K32" s="130">
        <f>'Stats Global'!H33</f>
        <v>0</v>
      </c>
      <c r="L32" s="56"/>
      <c r="M32" s="130">
        <f>'Stats Global'!J33</f>
        <v>0</v>
      </c>
      <c r="N32" s="130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0">
        <f>'Stats Global'!M34</f>
        <v>0</v>
      </c>
      <c r="K33" s="130">
        <f>'Stats Global'!H34</f>
        <v>0</v>
      </c>
      <c r="L33" s="56"/>
      <c r="M33" s="130">
        <f>'Stats Global'!J34</f>
        <v>0</v>
      </c>
      <c r="N33" s="130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0">
        <f>'Stats Global'!M35</f>
        <v>0</v>
      </c>
      <c r="K34" s="130">
        <f>'Stats Global'!H35</f>
        <v>0</v>
      </c>
      <c r="L34" s="56"/>
      <c r="M34" s="130">
        <f>'Stats Global'!J35</f>
        <v>0</v>
      </c>
      <c r="N34" s="130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0">
        <f>'Stats Global'!M36</f>
        <v>0</v>
      </c>
      <c r="K35" s="130">
        <f>'Stats Global'!H36</f>
        <v>0</v>
      </c>
      <c r="L35" s="56"/>
      <c r="M35" s="130">
        <f>'Stats Global'!J36</f>
        <v>0</v>
      </c>
      <c r="N35" s="130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0">
        <f>'Stats Global'!M37</f>
        <v>0</v>
      </c>
      <c r="K36" s="130">
        <f>'Stats Global'!H37</f>
        <v>0</v>
      </c>
      <c r="L36" s="56"/>
      <c r="M36" s="130">
        <f>'Stats Global'!J37</f>
        <v>0</v>
      </c>
      <c r="N36" s="130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0">
        <f>'Stats Global'!M38</f>
        <v>0</v>
      </c>
      <c r="K37" s="130">
        <f>'Stats Global'!H38</f>
        <v>0</v>
      </c>
      <c r="L37" s="56"/>
      <c r="M37" s="130">
        <f>'Stats Global'!J38</f>
        <v>0</v>
      </c>
      <c r="N37" s="130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0">
        <f>'Stats Global'!M39</f>
        <v>0</v>
      </c>
      <c r="K38" s="130">
        <f>'Stats Global'!H39</f>
        <v>0</v>
      </c>
      <c r="L38" s="56"/>
      <c r="M38" s="130">
        <f>'Stats Global'!J39</f>
        <v>0</v>
      </c>
      <c r="N38" s="130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0">
        <f>'Stats Global'!M40</f>
        <v>0</v>
      </c>
      <c r="K39" s="130">
        <f>'Stats Global'!H40</f>
        <v>0</v>
      </c>
      <c r="L39" s="56"/>
      <c r="M39" s="130">
        <f>'Stats Global'!J40</f>
        <v>0</v>
      </c>
      <c r="N39" s="130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0">
        <f>'Stats Global'!M41</f>
        <v>0</v>
      </c>
      <c r="K40" s="130">
        <f>'Stats Global'!H41</f>
        <v>0</v>
      </c>
      <c r="L40" s="56"/>
      <c r="M40" s="130">
        <f>'Stats Global'!J41</f>
        <v>0</v>
      </c>
      <c r="N40" s="130">
        <f>'Stats Global'!G41</f>
        <v>0</v>
      </c>
    </row>
    <row r="41" spans="1:14" ht="14.25" customHeight="1" x14ac:dyDescent="0.45">
      <c r="C41" s="76">
        <f>SUM(B4:B40)/SUM(B4:C40)</f>
        <v>0.6</v>
      </c>
      <c r="E41" s="116"/>
      <c r="H41" s="54"/>
      <c r="I41" s="52" t="s">
        <v>81</v>
      </c>
      <c r="J41" s="110">
        <f>SUM(J4:J40)</f>
        <v>3</v>
      </c>
      <c r="K41" s="110">
        <f>SUM(K4:K40)</f>
        <v>1</v>
      </c>
      <c r="L41" s="54"/>
      <c r="M41" s="110">
        <f>SUM(M4:M40)</f>
        <v>3</v>
      </c>
      <c r="N41" s="110">
        <f>SUM(N4:N40)</f>
        <v>2</v>
      </c>
    </row>
    <row r="42" spans="1:14" ht="14.25" customHeight="1" x14ac:dyDescent="0.45">
      <c r="J42" s="58">
        <f>IFERROR(J41/(K41+J41),0)</f>
        <v>0.75</v>
      </c>
      <c r="M42" s="58">
        <f>IFERROR(M41/(N41+M41),0)</f>
        <v>0.6</v>
      </c>
    </row>
    <row r="43" spans="1:14" ht="14.25" customHeight="1" x14ac:dyDescent="0.45">
      <c r="G43" s="59" t="str">
        <f>F3&amp;","&amp;G3&amp;","&amp;H3&amp;"],"</f>
        <v>6,4,9],</v>
      </c>
      <c r="I43" s="36" t="s">
        <v>106</v>
      </c>
      <c r="K43" s="36" t="s">
        <v>110</v>
      </c>
      <c r="M43" s="60">
        <f>IFERROR(ROUND((SUM(Table1114[Points]))/'Stats Global'!AA6,1),0)</f>
        <v>4.7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6,"Alexander Galt",6,"Alexander Galt",1,"Ryan Pattemore",0,"N/A"],</v>
      </c>
      <c r="I44" s="36" t="s">
        <v>107</v>
      </c>
      <c r="K44" s="61">
        <f>MAX(Table1114[Points])</f>
        <v>6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4</v>
      </c>
    </row>
    <row r="45" spans="1:14" ht="14.25" customHeight="1" x14ac:dyDescent="0.45">
      <c r="G45" s="36" t="str">
        <f>M43&amp;","&amp;M44&amp;","&amp;M45&amp;","&amp;M46&amp;","&amp;M47&amp;","&amp;M48&amp;"],"</f>
        <v>4.7,4,0.7,0,2,1.3],</v>
      </c>
      <c r="I45" s="36" t="s">
        <v>108</v>
      </c>
      <c r="K45" s="61">
        <f>MAX(Table1114[Finishes])</f>
        <v>6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0.7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3,1,75,3,2,60],</v>
      </c>
      <c r="I46" s="36" t="s">
        <v>109</v>
      </c>
      <c r="K46" s="61">
        <f>MAX(Table1114[Midranges])</f>
        <v>1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2</v>
      </c>
    </row>
    <row r="48" spans="1:14" ht="14.25" customHeight="1" x14ac:dyDescent="0.45">
      <c r="M48" s="36">
        <f>IFERROR(ROUND(G3/'Stats Global'!AA6,1),0)</f>
        <v>1.3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3</v>
      </c>
      <c r="G3" s="109">
        <f>SUM(C4:C40)</f>
        <v>4</v>
      </c>
      <c r="H3" s="109">
        <f>SUM(D4:D40)</f>
        <v>5.5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31">
        <f>'Stats Global'!K5</f>
        <v>1</v>
      </c>
      <c r="K4" s="131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0.66666666666666663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0.33333333333333331</v>
      </c>
      <c r="V4" s="63">
        <f>'Stats Global'!AJ15</f>
        <v>0</v>
      </c>
    </row>
    <row r="5" spans="1:22" ht="14.25" customHeight="1" x14ac:dyDescent="0.45">
      <c r="A5" s="107" t="str">
        <f>'Stats Global'!B6</f>
        <v>25 January</v>
      </c>
      <c r="B5" s="108">
        <f>'Stats Global'!L6</f>
        <v>1</v>
      </c>
      <c r="C5" s="108">
        <f>'Stats Global'!M6+'Stats Global'!N6</f>
        <v>1</v>
      </c>
      <c r="D5" s="108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 t="str">
        <f>'Stats Global'!B7</f>
        <v>29 January</v>
      </c>
      <c r="B6" s="108">
        <f>'Stats Global'!L7</f>
        <v>0</v>
      </c>
      <c r="C6" s="108">
        <f>'Stats Global'!M7+'Stats Global'!N7</f>
        <v>0</v>
      </c>
      <c r="D6" s="108">
        <f>'Stats Global'!Q7</f>
        <v>2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1</v>
      </c>
      <c r="O6" s="54">
        <f>'Stats Global'!AB16</f>
        <v>0.33333333333333331</v>
      </c>
      <c r="P6" s="54">
        <f>'Stats Global'!AC16</f>
        <v>1</v>
      </c>
      <c r="Q6" s="54">
        <f>'Stats Global'!AD16</f>
        <v>0.33333333333333331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3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4</v>
      </c>
      <c r="O8" s="54">
        <f>'Stats Global'!AB21</f>
        <v>1.3333333333333333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2</v>
      </c>
      <c r="U8" s="54">
        <f>'Stats Global'!AH21</f>
        <v>0.66666666666666663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0.42857142857142855</v>
      </c>
      <c r="H41" s="54"/>
      <c r="I41" s="36" t="s">
        <v>81</v>
      </c>
      <c r="J41" s="111">
        <f>SUM(J4:J40)</f>
        <v>1</v>
      </c>
      <c r="K41" s="111">
        <f>SUM(K4:K40)</f>
        <v>2</v>
      </c>
      <c r="L41" s="54"/>
      <c r="M41" s="54"/>
    </row>
    <row r="42" spans="1:14" ht="14.25" customHeight="1" x14ac:dyDescent="0.45">
      <c r="J42" s="58">
        <f>IFERROR(J41/(K41+J41),0)</f>
        <v>0.33333333333333331</v>
      </c>
    </row>
    <row r="43" spans="1:14" ht="14.25" customHeight="1" x14ac:dyDescent="0.45">
      <c r="H43" s="59" t="str">
        <f>F3&amp;","&amp;G3&amp;","&amp;H3&amp;"],"</f>
        <v>3,4,5.5],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4.7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4,"Angus Walker",1,"William Kim",0,"N/A",2,"Angus Walker"],</v>
      </c>
      <c r="J44" s="36" t="s">
        <v>107</v>
      </c>
      <c r="L44" s="61">
        <f>MAX(Table1113[Points])</f>
        <v>4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0.3</v>
      </c>
    </row>
    <row r="45" spans="1:14" ht="14.25" customHeight="1" x14ac:dyDescent="0.45">
      <c r="H45" s="36" t="str">
        <f>N43&amp;","&amp;N44&amp;","&amp;N45&amp;","&amp;N46&amp;","&amp;N47&amp;","&amp;N48&amp;"],"</f>
        <v>4.7,0.3,0,1,1,1.3],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1,3,25,1,2,33.3],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Global'!AA6,1),0)</f>
        <v>1</v>
      </c>
    </row>
    <row r="47" spans="1:14" ht="14.25" customHeight="1" x14ac:dyDescent="0.4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</v>
      </c>
    </row>
    <row r="48" spans="1:14" ht="14.25" customHeight="1" x14ac:dyDescent="0.45">
      <c r="N48" s="36">
        <f>IFERROR(ROUND(G3/'Stats Global'!AA6,1),0)</f>
        <v>1.3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3</v>
      </c>
      <c r="F3" s="109">
        <f>SUM(C4:C40)</f>
        <v>5</v>
      </c>
      <c r="G3" s="109">
        <f>SUM(D4:D40)</f>
        <v>3.5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 t="str">
        <f>'Stats Global'!B6</f>
        <v>25 January</v>
      </c>
      <c r="B5" s="108">
        <f>'Stats Global'!I6</f>
        <v>1</v>
      </c>
      <c r="C5" s="108">
        <f>'Stats Global'!J6+'Stats Global'!K6</f>
        <v>2</v>
      </c>
      <c r="D5" s="108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 t="str">
        <f>'Stats Global'!B7</f>
        <v>29 January</v>
      </c>
      <c r="B6" s="108">
        <f>'Stats Global'!I7</f>
        <v>0</v>
      </c>
      <c r="C6" s="108">
        <f>'Stats Global'!J7+'Stats Global'!K7</f>
        <v>0</v>
      </c>
      <c r="D6" s="108">
        <f>'Stats Global'!P7</f>
        <v>1</v>
      </c>
      <c r="E6" s="52"/>
      <c r="F6" s="62"/>
      <c r="H6" s="54"/>
      <c r="I6" s="54" t="str">
        <f>'Stats Global'!Z12</f>
        <v>Michael Iffland</v>
      </c>
      <c r="J6" s="54">
        <f>'Stats Global'!AA12</f>
        <v>3</v>
      </c>
      <c r="K6" s="54">
        <f>'Stats Global'!AB12</f>
        <v>1</v>
      </c>
      <c r="L6" s="54">
        <f>'Stats Global'!AC12</f>
        <v>2</v>
      </c>
      <c r="M6" s="54">
        <f>'Stats Global'!AD12</f>
        <v>0.66666666666666663</v>
      </c>
      <c r="N6" s="54">
        <f>'Stats Global'!AE12</f>
        <v>1</v>
      </c>
      <c r="O6" s="54">
        <f>'Stats Global'!AF12</f>
        <v>0.33333333333333331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1</v>
      </c>
      <c r="K7" s="54">
        <f>'Stats Global'!AB13</f>
        <v>0.33333333333333331</v>
      </c>
      <c r="L7" s="54">
        <f>'Stats Global'!AC13</f>
        <v>1</v>
      </c>
      <c r="M7" s="54">
        <f>'Stats Global'!AD13</f>
        <v>0.33333333333333331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5</v>
      </c>
      <c r="K8" s="54">
        <f>'Stats Global'!AB17</f>
        <v>1.6666666666666667</v>
      </c>
      <c r="L8" s="54">
        <f>'Stats Global'!AC17</f>
        <v>2</v>
      </c>
      <c r="M8" s="54">
        <f>'Stats Global'!AD17</f>
        <v>0.66666666666666663</v>
      </c>
      <c r="N8" s="54">
        <f>'Stats Global'!AE17</f>
        <v>3</v>
      </c>
      <c r="O8" s="54">
        <f>'Stats Global'!AF17</f>
        <v>1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0.33333333333333331</v>
      </c>
      <c r="L9" s="54">
        <f>'Stats Global'!AC22</f>
        <v>1</v>
      </c>
      <c r="M9" s="54">
        <f>'Stats Global'!AD22</f>
        <v>0.33333333333333331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3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3,5,3.5],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3.3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5,"Samuel McConaghy",2,"N/A",3,"N/A",0,"N/A"],</v>
      </c>
      <c r="J33" s="36" t="s">
        <v>107</v>
      </c>
      <c r="L33" s="61">
        <f>MAX(Table11[Points])</f>
        <v>5</v>
      </c>
      <c r="M33" s="36" t="str">
        <f>IF(L33&lt;&gt;0, _xlfn.XLOOKUP(L33,J5:J10,I5:I10, "N/A"), "N/A")</f>
        <v>Samuel McConaghy</v>
      </c>
      <c r="N33" s="60">
        <f>IFERROR(ROUND((SUM(Table11[Finishes]))/'Stats Global'!AA6,1),0)</f>
        <v>2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3.3,2,1.3,0,1,1.7],</v>
      </c>
      <c r="J34" s="36" t="s">
        <v>108</v>
      </c>
      <c r="L34" s="61">
        <f>MAX(Table11[Finishes])</f>
        <v>2</v>
      </c>
      <c r="M34" s="36" t="str">
        <f>IF(L33&lt;&gt;0, _xlfn.XLOOKUP(L33,K5:K10,I5:I10, "N/A"), "N/A")</f>
        <v>N/A</v>
      </c>
      <c r="N34" s="60">
        <f>IFERROR(ROUND((SUM(Table11[Midranges]))/'Stats Global'!AA6,1),0)</f>
        <v>1.3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2,3,40,2,1,66.7],</v>
      </c>
      <c r="J35" s="36" t="s">
        <v>109</v>
      </c>
      <c r="L35" s="61">
        <f>MAX(Table11[Midranges])</f>
        <v>3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1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1.7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>
        <f>SUM(B4:B40)/SUM(B4:C40)</f>
        <v>0.375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L26" sqref="L2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9" t="s">
        <v>223</v>
      </c>
      <c r="C4" s="133"/>
      <c r="D4" s="133"/>
      <c r="E4" s="133"/>
      <c r="F4" s="133"/>
      <c r="G4" s="133"/>
      <c r="H4" s="133"/>
      <c r="I4" s="133"/>
      <c r="J4" s="133"/>
      <c r="K4" s="133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3"/>
      <c r="D5" s="133"/>
      <c r="E5" s="133"/>
      <c r="F5" s="133"/>
      <c r="G5" s="133"/>
      <c r="H5" s="133"/>
      <c r="I5" s="133"/>
      <c r="J5" s="133"/>
      <c r="K5" s="133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3"/>
      <c r="D6" s="133"/>
      <c r="E6" s="133"/>
      <c r="F6" s="133"/>
      <c r="G6" s="133"/>
      <c r="H6" s="133"/>
      <c r="I6" s="133"/>
      <c r="J6" s="133"/>
      <c r="K6" s="133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3"/>
      <c r="D7" s="133"/>
      <c r="E7" s="133"/>
      <c r="F7" s="133"/>
      <c r="G7" s="133"/>
      <c r="H7" s="133"/>
      <c r="I7" s="133"/>
      <c r="J7" s="133"/>
      <c r="K7" s="133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3"/>
      <c r="D8" s="133"/>
      <c r="E8" s="133"/>
      <c r="F8" s="133"/>
      <c r="G8" s="133"/>
      <c r="H8" s="133"/>
      <c r="I8" s="133"/>
      <c r="J8" s="133"/>
      <c r="K8" s="133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3"/>
      <c r="D9" s="133"/>
      <c r="E9" s="133"/>
      <c r="F9" s="133"/>
      <c r="G9" s="133"/>
      <c r="H9" s="133"/>
      <c r="I9" s="133"/>
      <c r="J9" s="133"/>
      <c r="K9" s="133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3"/>
      <c r="D10" s="133"/>
      <c r="E10" s="133"/>
      <c r="F10" s="133"/>
      <c r="G10" s="133"/>
      <c r="H10" s="133"/>
      <c r="I10" s="133"/>
      <c r="J10" s="133"/>
      <c r="K10" s="133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3"/>
      <c r="D11" s="133"/>
      <c r="E11" s="133"/>
      <c r="F11" s="133"/>
      <c r="G11" s="133"/>
      <c r="H11" s="133"/>
      <c r="I11" s="133"/>
      <c r="J11" s="133"/>
      <c r="K11" s="133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3"/>
      <c r="D12" s="133"/>
      <c r="E12" s="133"/>
      <c r="F12" s="133"/>
      <c r="G12" s="133"/>
      <c r="H12" s="133"/>
      <c r="I12" s="133"/>
      <c r="J12" s="133"/>
      <c r="K12" s="133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3"/>
      <c r="D13" s="133"/>
      <c r="E13" s="133"/>
      <c r="F13" s="133"/>
      <c r="G13" s="133"/>
      <c r="H13" s="133"/>
      <c r="I13" s="133"/>
      <c r="J13" s="133"/>
      <c r="K13" s="133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3"/>
      <c r="D14" s="133"/>
      <c r="E14" s="133"/>
      <c r="F14" s="133"/>
      <c r="G14" s="133"/>
      <c r="H14" s="133"/>
      <c r="I14" s="133"/>
      <c r="J14" s="133"/>
      <c r="K14" s="133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3"/>
      <c r="D15" s="133"/>
      <c r="E15" s="133"/>
      <c r="F15" s="133"/>
      <c r="G15" s="133"/>
      <c r="H15" s="133"/>
      <c r="I15" s="133"/>
      <c r="J15" s="133"/>
      <c r="K15" s="133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3"/>
      <c r="D16" s="133"/>
      <c r="E16" s="133"/>
      <c r="F16" s="133"/>
      <c r="G16" s="133"/>
      <c r="H16" s="133"/>
      <c r="I16" s="133"/>
      <c r="J16" s="133"/>
      <c r="K16" s="133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3"/>
      <c r="D17" s="133"/>
      <c r="E17" s="133"/>
      <c r="F17" s="133"/>
      <c r="G17" s="133"/>
      <c r="H17" s="133"/>
      <c r="I17" s="133"/>
      <c r="J17" s="133"/>
      <c r="K17" s="133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3"/>
      <c r="D18" s="133"/>
      <c r="E18" s="133"/>
      <c r="F18" s="133"/>
      <c r="G18" s="133"/>
      <c r="H18" s="133"/>
      <c r="I18" s="133"/>
      <c r="J18" s="133"/>
      <c r="K18" s="133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3"/>
      <c r="D19" s="133"/>
      <c r="E19" s="133"/>
      <c r="F19" s="133"/>
      <c r="G19" s="133"/>
      <c r="H19" s="133"/>
      <c r="I19" s="133"/>
      <c r="J19" s="133"/>
      <c r="K19" s="133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3"/>
      <c r="D20" s="133"/>
      <c r="E20" s="133"/>
      <c r="F20" s="133"/>
      <c r="G20" s="133"/>
      <c r="H20" s="133"/>
      <c r="I20" s="133"/>
      <c r="J20" s="133"/>
      <c r="K20" s="133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3"/>
      <c r="D21" s="133"/>
      <c r="E21" s="133"/>
      <c r="F21" s="133"/>
      <c r="G21" s="133"/>
      <c r="H21" s="133"/>
      <c r="I21" s="133"/>
      <c r="J21" s="133"/>
      <c r="K21" s="133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dimension ref="B1:AF1000"/>
  <sheetViews>
    <sheetView zoomScale="50" workbookViewId="0">
      <selection activeCell="B5" sqref="B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9" t="s">
        <v>224</v>
      </c>
      <c r="C4" s="133"/>
      <c r="D4" s="133"/>
      <c r="E4" s="133"/>
      <c r="F4" s="133"/>
      <c r="G4" s="133"/>
      <c r="H4" s="133"/>
      <c r="I4" s="133"/>
      <c r="J4" s="133"/>
      <c r="K4" s="133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3"/>
      <c r="D5" s="133"/>
      <c r="E5" s="133"/>
      <c r="F5" s="133"/>
      <c r="G5" s="133"/>
      <c r="H5" s="133"/>
      <c r="I5" s="133"/>
      <c r="J5" s="133"/>
      <c r="K5" s="133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3"/>
      <c r="D6" s="133"/>
      <c r="E6" s="133"/>
      <c r="F6" s="133"/>
      <c r="G6" s="133"/>
      <c r="H6" s="133"/>
      <c r="I6" s="133"/>
      <c r="J6" s="133"/>
      <c r="K6" s="133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3"/>
      <c r="D7" s="133"/>
      <c r="E7" s="133"/>
      <c r="F7" s="133"/>
      <c r="G7" s="133"/>
      <c r="H7" s="133"/>
      <c r="I7" s="133"/>
      <c r="J7" s="133"/>
      <c r="K7" s="133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3"/>
      <c r="D8" s="133"/>
      <c r="E8" s="133"/>
      <c r="F8" s="133"/>
      <c r="G8" s="133"/>
      <c r="H8" s="133"/>
      <c r="I8" s="133"/>
      <c r="J8" s="133"/>
      <c r="K8" s="133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3"/>
      <c r="D9" s="133"/>
      <c r="E9" s="133"/>
      <c r="F9" s="133"/>
      <c r="G9" s="133"/>
      <c r="H9" s="133"/>
      <c r="I9" s="133"/>
      <c r="J9" s="133"/>
      <c r="K9" s="133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3"/>
      <c r="D10" s="133"/>
      <c r="E10" s="133"/>
      <c r="F10" s="133"/>
      <c r="G10" s="133"/>
      <c r="H10" s="133"/>
      <c r="I10" s="133"/>
      <c r="J10" s="133"/>
      <c r="K10" s="133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3"/>
      <c r="D11" s="133"/>
      <c r="E11" s="133"/>
      <c r="F11" s="133"/>
      <c r="G11" s="133"/>
      <c r="H11" s="133"/>
      <c r="I11" s="133"/>
      <c r="J11" s="133"/>
      <c r="K11" s="133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3"/>
      <c r="D12" s="133"/>
      <c r="E12" s="133"/>
      <c r="F12" s="133"/>
      <c r="G12" s="133"/>
      <c r="H12" s="133"/>
      <c r="I12" s="133"/>
      <c r="J12" s="133"/>
      <c r="K12" s="133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3"/>
      <c r="D13" s="133"/>
      <c r="E13" s="133"/>
      <c r="F13" s="133"/>
      <c r="G13" s="133"/>
      <c r="H13" s="133"/>
      <c r="I13" s="133"/>
      <c r="J13" s="133"/>
      <c r="K13" s="133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3"/>
      <c r="D14" s="133"/>
      <c r="E14" s="133"/>
      <c r="F14" s="133"/>
      <c r="G14" s="133"/>
      <c r="H14" s="133"/>
      <c r="I14" s="133"/>
      <c r="J14" s="133"/>
      <c r="K14" s="133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3"/>
      <c r="D15" s="133"/>
      <c r="E15" s="133"/>
      <c r="F15" s="133"/>
      <c r="G15" s="133"/>
      <c r="H15" s="133"/>
      <c r="I15" s="133"/>
      <c r="J15" s="133"/>
      <c r="K15" s="133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3"/>
      <c r="D16" s="133"/>
      <c r="E16" s="133"/>
      <c r="F16" s="133"/>
      <c r="G16" s="133"/>
      <c r="H16" s="133"/>
      <c r="I16" s="133"/>
      <c r="J16" s="133"/>
      <c r="K16" s="133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3"/>
      <c r="D17" s="133"/>
      <c r="E17" s="133"/>
      <c r="F17" s="133"/>
      <c r="G17" s="133"/>
      <c r="H17" s="133"/>
      <c r="I17" s="133"/>
      <c r="J17" s="133"/>
      <c r="K17" s="133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3"/>
      <c r="D18" s="133"/>
      <c r="E18" s="133"/>
      <c r="F18" s="133"/>
      <c r="G18" s="133"/>
      <c r="H18" s="133"/>
      <c r="I18" s="133"/>
      <c r="J18" s="133"/>
      <c r="K18" s="133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3"/>
      <c r="D19" s="133"/>
      <c r="E19" s="133"/>
      <c r="F19" s="133"/>
      <c r="G19" s="133"/>
      <c r="H19" s="133"/>
      <c r="I19" s="133"/>
      <c r="J19" s="133"/>
      <c r="K19" s="133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3"/>
      <c r="D20" s="133"/>
      <c r="E20" s="133"/>
      <c r="F20" s="133"/>
      <c r="G20" s="133"/>
      <c r="H20" s="133"/>
      <c r="I20" s="133"/>
      <c r="J20" s="133"/>
      <c r="K20" s="133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3"/>
      <c r="D21" s="133"/>
      <c r="E21" s="133"/>
      <c r="F21" s="133"/>
      <c r="G21" s="133"/>
      <c r="H21" s="133"/>
      <c r="I21" s="133"/>
      <c r="J21" s="133"/>
      <c r="K21" s="133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5">
      <c r="B4" s="129" t="s">
        <v>223</v>
      </c>
      <c r="C4" s="133">
        <v>1</v>
      </c>
      <c r="D4" s="133" t="s">
        <v>173</v>
      </c>
      <c r="E4" s="133" t="s">
        <v>171</v>
      </c>
      <c r="F4" s="133" t="s">
        <v>217</v>
      </c>
      <c r="G4" s="133" t="s">
        <v>52</v>
      </c>
      <c r="H4" s="133" t="s">
        <v>218</v>
      </c>
      <c r="I4" s="133" t="s">
        <v>219</v>
      </c>
      <c r="J4" s="133" t="s">
        <v>219</v>
      </c>
      <c r="K4" s="133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3">
        <v>1</v>
      </c>
      <c r="D5" s="133" t="s">
        <v>171</v>
      </c>
      <c r="E5" s="133" t="s">
        <v>173</v>
      </c>
      <c r="F5" s="133" t="s">
        <v>221</v>
      </c>
      <c r="G5" s="133" t="s">
        <v>44</v>
      </c>
      <c r="H5" s="133" t="s">
        <v>83</v>
      </c>
      <c r="I5" s="133" t="s">
        <v>219</v>
      </c>
      <c r="J5" s="133" t="s">
        <v>219</v>
      </c>
      <c r="K5" s="133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3">
        <v>1</v>
      </c>
      <c r="D6" s="133" t="s">
        <v>173</v>
      </c>
      <c r="E6" s="133" t="s">
        <v>171</v>
      </c>
      <c r="F6" s="133" t="s">
        <v>220</v>
      </c>
      <c r="G6" s="133" t="s">
        <v>30</v>
      </c>
      <c r="H6" s="133" t="s">
        <v>218</v>
      </c>
      <c r="I6" s="133">
        <v>1</v>
      </c>
      <c r="J6" s="133">
        <v>1</v>
      </c>
      <c r="K6" s="133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3">
        <v>2</v>
      </c>
      <c r="D7" s="133" t="s">
        <v>173</v>
      </c>
      <c r="E7" s="133" t="s">
        <v>172</v>
      </c>
      <c r="F7" s="133" t="s">
        <v>217</v>
      </c>
      <c r="G7" s="133" t="s">
        <v>52</v>
      </c>
      <c r="H7" s="133" t="s">
        <v>83</v>
      </c>
      <c r="I7" s="133" t="s">
        <v>219</v>
      </c>
      <c r="J7" s="133" t="s">
        <v>219</v>
      </c>
      <c r="K7" s="133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3">
        <v>2</v>
      </c>
      <c r="D8" s="133" t="s">
        <v>173</v>
      </c>
      <c r="E8" s="133" t="s">
        <v>172</v>
      </c>
      <c r="F8" s="133" t="s">
        <v>215</v>
      </c>
      <c r="G8" s="133" t="s">
        <v>30</v>
      </c>
      <c r="H8" s="133" t="s">
        <v>218</v>
      </c>
      <c r="I8" s="133">
        <v>2</v>
      </c>
      <c r="J8" s="133">
        <v>1</v>
      </c>
      <c r="K8" s="133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3">
        <v>3</v>
      </c>
      <c r="D9" s="133" t="s">
        <v>171</v>
      </c>
      <c r="E9" s="133" t="s">
        <v>173</v>
      </c>
      <c r="F9" s="133" t="s">
        <v>217</v>
      </c>
      <c r="G9" s="133" t="s">
        <v>44</v>
      </c>
      <c r="H9" s="133" t="s">
        <v>83</v>
      </c>
      <c r="I9" s="133" t="s">
        <v>219</v>
      </c>
      <c r="J9" s="133" t="s">
        <v>219</v>
      </c>
      <c r="K9" s="133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3">
        <v>3</v>
      </c>
      <c r="D10" s="133" t="s">
        <v>173</v>
      </c>
      <c r="E10" s="133" t="s">
        <v>171</v>
      </c>
      <c r="F10" s="133" t="s">
        <v>221</v>
      </c>
      <c r="G10" s="133" t="s">
        <v>27</v>
      </c>
      <c r="H10" s="133" t="s">
        <v>218</v>
      </c>
      <c r="I10" s="133" t="s">
        <v>219</v>
      </c>
      <c r="J10" s="133" t="s">
        <v>219</v>
      </c>
      <c r="K10" s="133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3">
        <v>3</v>
      </c>
      <c r="D11" s="133" t="s">
        <v>171</v>
      </c>
      <c r="E11" s="133" t="s">
        <v>173</v>
      </c>
      <c r="F11" s="133" t="s">
        <v>220</v>
      </c>
      <c r="G11" s="133" t="s">
        <v>37</v>
      </c>
      <c r="H11" s="133" t="s">
        <v>218</v>
      </c>
      <c r="I11" s="133">
        <v>1</v>
      </c>
      <c r="J11" s="133">
        <v>1</v>
      </c>
      <c r="K11" s="133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3">
        <v>4</v>
      </c>
      <c r="D12" s="133" t="s">
        <v>171</v>
      </c>
      <c r="E12" s="133" t="s">
        <v>172</v>
      </c>
      <c r="F12" s="133" t="s">
        <v>217</v>
      </c>
      <c r="G12" s="133" t="s">
        <v>44</v>
      </c>
      <c r="H12" s="133" t="s">
        <v>83</v>
      </c>
      <c r="I12" s="133" t="s">
        <v>219</v>
      </c>
      <c r="J12" s="133" t="s">
        <v>219</v>
      </c>
      <c r="K12" s="133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3">
        <v>4</v>
      </c>
      <c r="D13" s="133" t="s">
        <v>172</v>
      </c>
      <c r="E13" s="133" t="s">
        <v>171</v>
      </c>
      <c r="F13" s="133" t="s">
        <v>220</v>
      </c>
      <c r="G13" s="133" t="s">
        <v>55</v>
      </c>
      <c r="H13" s="133" t="s">
        <v>216</v>
      </c>
      <c r="I13" s="133">
        <v>1</v>
      </c>
      <c r="J13" s="133">
        <v>1</v>
      </c>
      <c r="K13" s="133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32"/>
      <c r="D14" s="132"/>
      <c r="E14" s="132"/>
      <c r="F14" s="132"/>
      <c r="G14" s="132"/>
      <c r="H14" s="132"/>
      <c r="I14" s="132"/>
      <c r="J14" s="132"/>
      <c r="K14" s="132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/>
      <c r="D15" s="132"/>
      <c r="E15" s="132"/>
      <c r="F15" s="132"/>
      <c r="G15" s="132"/>
      <c r="H15" s="132"/>
      <c r="I15" s="132"/>
      <c r="J15" s="132"/>
      <c r="K15" s="132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/>
      <c r="D16" s="132"/>
      <c r="E16" s="132"/>
      <c r="F16" s="132"/>
      <c r="G16" s="132"/>
      <c r="H16" s="132"/>
      <c r="I16" s="132"/>
      <c r="J16" s="132"/>
      <c r="K16" s="132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/>
      <c r="D17" s="132"/>
      <c r="E17" s="132"/>
      <c r="F17" s="132"/>
      <c r="G17" s="132"/>
      <c r="H17" s="132"/>
      <c r="I17" s="132"/>
      <c r="J17" s="132"/>
      <c r="K17" s="132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/>
      <c r="D18" s="132"/>
      <c r="E18" s="132"/>
      <c r="F18" s="132"/>
      <c r="G18" s="132"/>
      <c r="H18" s="132"/>
      <c r="I18" s="132"/>
      <c r="J18" s="132"/>
      <c r="K18" s="132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/>
      <c r="D19" s="132"/>
      <c r="E19" s="132"/>
      <c r="F19" s="132"/>
      <c r="G19" s="132"/>
      <c r="H19" s="132"/>
      <c r="I19" s="132"/>
      <c r="J19" s="132"/>
      <c r="K19" s="132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/>
      <c r="D20" s="132"/>
      <c r="E20" s="132"/>
      <c r="F20" s="132"/>
      <c r="G20" s="132"/>
      <c r="H20" s="132"/>
      <c r="I20" s="132"/>
      <c r="J20" s="132"/>
      <c r="K20" s="132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/>
      <c r="D21" s="132"/>
      <c r="E21" s="132"/>
      <c r="F21" s="132"/>
      <c r="G21" s="132"/>
      <c r="H21" s="132"/>
      <c r="I21" s="132"/>
      <c r="J21" s="132"/>
      <c r="K21" s="132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2">
        <v>1</v>
      </c>
      <c r="D4" s="132" t="s">
        <v>172</v>
      </c>
      <c r="E4" s="132" t="s">
        <v>173</v>
      </c>
      <c r="F4" s="132" t="s">
        <v>215</v>
      </c>
      <c r="G4" s="132" t="s">
        <v>39</v>
      </c>
      <c r="H4" s="132" t="s">
        <v>216</v>
      </c>
      <c r="I4" s="132">
        <v>1</v>
      </c>
      <c r="J4" s="132">
        <v>1</v>
      </c>
      <c r="K4" s="132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32">
        <v>2</v>
      </c>
      <c r="D5" s="132" t="s">
        <v>171</v>
      </c>
      <c r="E5" s="132" t="s">
        <v>172</v>
      </c>
      <c r="F5" s="132" t="s">
        <v>217</v>
      </c>
      <c r="G5" s="132" t="s">
        <v>32</v>
      </c>
      <c r="H5" s="132" t="s">
        <v>218</v>
      </c>
      <c r="I5" s="132" t="s">
        <v>219</v>
      </c>
      <c r="J5" s="132" t="s">
        <v>219</v>
      </c>
      <c r="K5" s="132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>
        <v>2</v>
      </c>
      <c r="D6" s="132" t="s">
        <v>172</v>
      </c>
      <c r="E6" s="132" t="s">
        <v>171</v>
      </c>
      <c r="F6" s="132" t="s">
        <v>220</v>
      </c>
      <c r="G6" s="132" t="s">
        <v>55</v>
      </c>
      <c r="H6" s="132" t="s">
        <v>216</v>
      </c>
      <c r="I6" s="132">
        <v>2</v>
      </c>
      <c r="J6" s="132">
        <v>1</v>
      </c>
      <c r="K6" s="132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32">
        <v>3</v>
      </c>
      <c r="D7" s="132" t="s">
        <v>173</v>
      </c>
      <c r="E7" s="132" t="s">
        <v>172</v>
      </c>
      <c r="F7" s="132" t="s">
        <v>217</v>
      </c>
      <c r="G7" s="132" t="s">
        <v>27</v>
      </c>
      <c r="H7" s="132" t="s">
        <v>218</v>
      </c>
      <c r="I7" s="132" t="s">
        <v>219</v>
      </c>
      <c r="J7" s="132" t="s">
        <v>219</v>
      </c>
      <c r="K7" s="132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>
        <v>3</v>
      </c>
      <c r="D8" s="132" t="s">
        <v>173</v>
      </c>
      <c r="E8" s="132" t="s">
        <v>172</v>
      </c>
      <c r="F8" s="132" t="s">
        <v>215</v>
      </c>
      <c r="G8" s="132" t="s">
        <v>52</v>
      </c>
      <c r="H8" s="132" t="s">
        <v>218</v>
      </c>
      <c r="I8" s="132">
        <v>1</v>
      </c>
      <c r="J8" s="132">
        <v>1</v>
      </c>
      <c r="K8" s="132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>
        <v>4</v>
      </c>
      <c r="D9" s="132" t="s">
        <v>173</v>
      </c>
      <c r="E9" s="132" t="s">
        <v>171</v>
      </c>
      <c r="F9" s="132" t="s">
        <v>217</v>
      </c>
      <c r="G9" s="132" t="s">
        <v>27</v>
      </c>
      <c r="H9" s="132" t="s">
        <v>218</v>
      </c>
      <c r="I9" s="132" t="s">
        <v>219</v>
      </c>
      <c r="J9" s="132" t="s">
        <v>219</v>
      </c>
      <c r="K9" s="132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>
        <v>4</v>
      </c>
      <c r="D10" s="132" t="s">
        <v>171</v>
      </c>
      <c r="E10" s="132" t="s">
        <v>173</v>
      </c>
      <c r="F10" s="132" t="s">
        <v>221</v>
      </c>
      <c r="G10" s="132" t="s">
        <v>32</v>
      </c>
      <c r="H10" s="132" t="s">
        <v>83</v>
      </c>
      <c r="I10" s="132" t="s">
        <v>219</v>
      </c>
      <c r="J10" s="132" t="s">
        <v>219</v>
      </c>
      <c r="K10" s="132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>
        <v>4</v>
      </c>
      <c r="D11" s="132" t="s">
        <v>171</v>
      </c>
      <c r="E11" s="132" t="s">
        <v>173</v>
      </c>
      <c r="F11" s="132" t="s">
        <v>220</v>
      </c>
      <c r="G11" s="132" t="s">
        <v>192</v>
      </c>
      <c r="H11" s="132" t="s">
        <v>218</v>
      </c>
      <c r="I11" s="132">
        <v>1</v>
      </c>
      <c r="J11" s="132">
        <v>1</v>
      </c>
      <c r="K11" s="132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2">
        <v>5</v>
      </c>
      <c r="D12" s="132" t="s">
        <v>171</v>
      </c>
      <c r="E12" s="132" t="s">
        <v>172</v>
      </c>
      <c r="F12" s="132" t="s">
        <v>217</v>
      </c>
      <c r="G12" s="132" t="s">
        <v>44</v>
      </c>
      <c r="H12" s="132" t="s">
        <v>218</v>
      </c>
      <c r="I12" s="132" t="s">
        <v>219</v>
      </c>
      <c r="J12" s="132" t="s">
        <v>219</v>
      </c>
      <c r="K12" s="132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>
        <v>5</v>
      </c>
      <c r="D13" s="132" t="s">
        <v>171</v>
      </c>
      <c r="E13" s="132" t="s">
        <v>172</v>
      </c>
      <c r="F13" s="132" t="s">
        <v>215</v>
      </c>
      <c r="G13" s="132" t="s">
        <v>32</v>
      </c>
      <c r="H13" s="132" t="s">
        <v>218</v>
      </c>
      <c r="I13" s="132">
        <v>2</v>
      </c>
      <c r="J13" s="132">
        <v>2</v>
      </c>
      <c r="K13" s="132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32">
        <v>6</v>
      </c>
      <c r="D14" s="132" t="s">
        <v>173</v>
      </c>
      <c r="E14" s="132" t="s">
        <v>171</v>
      </c>
      <c r="F14" s="132" t="s">
        <v>217</v>
      </c>
      <c r="G14" s="132" t="s">
        <v>27</v>
      </c>
      <c r="H14" s="132" t="s">
        <v>218</v>
      </c>
      <c r="I14" s="132" t="s">
        <v>219</v>
      </c>
      <c r="J14" s="132" t="s">
        <v>219</v>
      </c>
      <c r="K14" s="132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>
        <v>6</v>
      </c>
      <c r="D15" s="132" t="s">
        <v>173</v>
      </c>
      <c r="E15" s="132" t="s">
        <v>171</v>
      </c>
      <c r="F15" s="132" t="s">
        <v>215</v>
      </c>
      <c r="G15" s="132" t="s">
        <v>27</v>
      </c>
      <c r="H15" s="132" t="s">
        <v>218</v>
      </c>
      <c r="I15" s="132">
        <v>1</v>
      </c>
      <c r="J15" s="132">
        <v>1</v>
      </c>
      <c r="K15" s="132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>
        <v>7</v>
      </c>
      <c r="D16" s="132" t="s">
        <v>173</v>
      </c>
      <c r="E16" s="132" t="s">
        <v>172</v>
      </c>
      <c r="F16" s="132" t="s">
        <v>217</v>
      </c>
      <c r="G16" s="132" t="s">
        <v>46</v>
      </c>
      <c r="H16" s="132" t="s">
        <v>83</v>
      </c>
      <c r="I16" s="132" t="s">
        <v>219</v>
      </c>
      <c r="J16" s="132" t="s">
        <v>219</v>
      </c>
      <c r="K16" s="132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>
        <v>7</v>
      </c>
      <c r="D17" s="132" t="s">
        <v>172</v>
      </c>
      <c r="E17" s="132" t="s">
        <v>173</v>
      </c>
      <c r="F17" s="132" t="s">
        <v>221</v>
      </c>
      <c r="G17" s="132" t="s">
        <v>41</v>
      </c>
      <c r="H17" s="132" t="s">
        <v>218</v>
      </c>
      <c r="I17" s="132" t="s">
        <v>219</v>
      </c>
      <c r="J17" s="132" t="s">
        <v>219</v>
      </c>
      <c r="K17" s="132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>
        <v>7</v>
      </c>
      <c r="D18" s="132" t="s">
        <v>173</v>
      </c>
      <c r="E18" s="132" t="s">
        <v>172</v>
      </c>
      <c r="F18" s="132" t="s">
        <v>220</v>
      </c>
      <c r="G18" s="132" t="s">
        <v>27</v>
      </c>
      <c r="H18" s="132" t="s">
        <v>218</v>
      </c>
      <c r="I18" s="132">
        <v>2</v>
      </c>
      <c r="J18" s="132">
        <v>3</v>
      </c>
      <c r="K18" s="132">
        <v>1</v>
      </c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>
        <v>8</v>
      </c>
      <c r="D19" s="132" t="s">
        <v>173</v>
      </c>
      <c r="E19" s="132" t="s">
        <v>171</v>
      </c>
      <c r="F19" s="132" t="s">
        <v>217</v>
      </c>
      <c r="G19" s="132" t="s">
        <v>30</v>
      </c>
      <c r="H19" s="132" t="s">
        <v>218</v>
      </c>
      <c r="I19" s="132" t="s">
        <v>219</v>
      </c>
      <c r="J19" s="132" t="s">
        <v>219</v>
      </c>
      <c r="K19" s="132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>
        <v>8</v>
      </c>
      <c r="D20" s="132" t="s">
        <v>171</v>
      </c>
      <c r="E20" s="132" t="s">
        <v>173</v>
      </c>
      <c r="F20" s="132" t="s">
        <v>221</v>
      </c>
      <c r="G20" s="132" t="s">
        <v>44</v>
      </c>
      <c r="H20" s="132" t="s">
        <v>218</v>
      </c>
      <c r="I20" s="132" t="s">
        <v>219</v>
      </c>
      <c r="J20" s="132" t="s">
        <v>219</v>
      </c>
      <c r="K20" s="132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>
        <v>8</v>
      </c>
      <c r="D21" s="132" t="s">
        <v>173</v>
      </c>
      <c r="E21" s="132" t="s">
        <v>171</v>
      </c>
      <c r="F21" s="132" t="s">
        <v>220</v>
      </c>
      <c r="G21" s="132" t="s">
        <v>30</v>
      </c>
      <c r="H21" s="132" t="s">
        <v>218</v>
      </c>
      <c r="I21" s="132">
        <v>3</v>
      </c>
      <c r="J21" s="132">
        <v>2</v>
      </c>
      <c r="K21" s="132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CT</vt:lpstr>
      <vt:lpstr>Statistics TC</vt:lpstr>
      <vt:lpstr>Statistics GM</vt:lpstr>
      <vt:lpstr>Template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2024-01-28T23:56:08Z</dcterms:modified>
</cp:coreProperties>
</file>