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BA08DE2E-0AE2-481C-874A-D71D0A144352}" xr6:coauthVersionLast="47" xr6:coauthVersionMax="47" xr10:uidLastSave="{00000000-0000-0000-0000-000000000000}"/>
  <bookViews>
    <workbookView xWindow="-98" yWindow="-98" windowWidth="22695" windowHeight="14595" activeTab="5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01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7" l="1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W38" i="7" s="1"/>
  <c r="V18" i="7"/>
  <c r="V38" i="7" s="1"/>
  <c r="U18" i="7"/>
  <c r="U38" i="7" s="1"/>
  <c r="T18" i="7"/>
  <c r="T38" i="7" s="1"/>
  <c r="AB17" i="7"/>
  <c r="AA17" i="7"/>
  <c r="Z17" i="7"/>
  <c r="W17" i="7"/>
  <c r="W37" i="7" s="1"/>
  <c r="V17" i="7"/>
  <c r="V37" i="7" s="1"/>
  <c r="U17" i="7"/>
  <c r="U37" i="7" s="1"/>
  <c r="T17" i="7"/>
  <c r="T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T15" i="7"/>
  <c r="T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T11" i="7" s="1"/>
  <c r="T31" i="7" s="1"/>
  <c r="V11" i="7"/>
  <c r="V31" i="7" s="1"/>
  <c r="U11" i="7"/>
  <c r="U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T7" i="7"/>
  <c r="T27" i="7" s="1"/>
  <c r="AB6" i="7"/>
  <c r="AA6" i="7"/>
  <c r="Z6" i="7"/>
  <c r="N3" i="7" s="1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I45" i="7" s="1"/>
  <c r="AA4" i="7"/>
  <c r="N4" i="7" s="1"/>
  <c r="Z4" i="7"/>
  <c r="K45" i="7" s="1"/>
  <c r="W4" i="7"/>
  <c r="W24" i="7" s="1"/>
  <c r="V4" i="7"/>
  <c r="V24" i="7" s="1"/>
  <c r="U4" i="7"/>
  <c r="U24" i="7" s="1"/>
  <c r="T4" i="7"/>
  <c r="T24" i="7" s="1"/>
  <c r="W3" i="7"/>
  <c r="W23" i="7" s="1"/>
  <c r="V3" i="7"/>
  <c r="V23" i="7" s="1"/>
  <c r="U3" i="7"/>
  <c r="U23" i="7" s="1"/>
  <c r="T3" i="7"/>
  <c r="T23" i="7" s="1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N4" i="8" s="1"/>
  <c r="M45" i="8" s="1"/>
  <c r="L5" i="3" s="1"/>
  <c r="B4" i="5" s="1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N3" i="8" s="1"/>
  <c r="G45" i="8" s="1"/>
  <c r="F5" i="3" s="1"/>
  <c r="B4" i="4" s="1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T45" i="8" s="1"/>
  <c r="W18" i="8"/>
  <c r="W38" i="8" s="1"/>
  <c r="V18" i="8"/>
  <c r="V38" i="8" s="1"/>
  <c r="U18" i="8"/>
  <c r="U38" i="8" s="1"/>
  <c r="W17" i="8"/>
  <c r="W37" i="8" s="1"/>
  <c r="V17" i="8"/>
  <c r="V37" i="8" s="1"/>
  <c r="U17" i="8"/>
  <c r="U37" i="8" s="1"/>
  <c r="W16" i="8"/>
  <c r="W36" i="8" s="1"/>
  <c r="V16" i="8"/>
  <c r="V36" i="8" s="1"/>
  <c r="U16" i="8"/>
  <c r="U36" i="8" s="1"/>
  <c r="W15" i="8"/>
  <c r="W35" i="8" s="1"/>
  <c r="V15" i="8"/>
  <c r="V35" i="8" s="1"/>
  <c r="U15" i="8"/>
  <c r="U35" i="8" s="1"/>
  <c r="W14" i="8"/>
  <c r="W34" i="8" s="1"/>
  <c r="V14" i="8"/>
  <c r="V34" i="8" s="1"/>
  <c r="U14" i="8"/>
  <c r="U34" i="8" s="1"/>
  <c r="W13" i="8"/>
  <c r="W33" i="8" s="1"/>
  <c r="V13" i="8"/>
  <c r="V33" i="8" s="1"/>
  <c r="U13" i="8"/>
  <c r="U33" i="8" s="1"/>
  <c r="W12" i="8"/>
  <c r="W32" i="8" s="1"/>
  <c r="V12" i="8"/>
  <c r="V32" i="8" s="1"/>
  <c r="U12" i="8"/>
  <c r="U32" i="8" s="1"/>
  <c r="W11" i="8"/>
  <c r="T11" i="8" s="1"/>
  <c r="T31" i="8" s="1"/>
  <c r="V11" i="8"/>
  <c r="V31" i="8" s="1"/>
  <c r="U11" i="8"/>
  <c r="U31" i="8" s="1"/>
  <c r="W10" i="8"/>
  <c r="W30" i="8" s="1"/>
  <c r="V10" i="8"/>
  <c r="V30" i="8" s="1"/>
  <c r="U10" i="8"/>
  <c r="U30" i="8" s="1"/>
  <c r="W9" i="8"/>
  <c r="W29" i="8" s="1"/>
  <c r="V9" i="8"/>
  <c r="V29" i="8" s="1"/>
  <c r="U9" i="8"/>
  <c r="U29" i="8" s="1"/>
  <c r="W8" i="8"/>
  <c r="W28" i="8" s="1"/>
  <c r="V8" i="8"/>
  <c r="V28" i="8" s="1"/>
  <c r="U8" i="8"/>
  <c r="U28" i="8" s="1"/>
  <c r="W7" i="8"/>
  <c r="W27" i="8" s="1"/>
  <c r="V7" i="8"/>
  <c r="V27" i="8" s="1"/>
  <c r="U7" i="8"/>
  <c r="U27" i="8" s="1"/>
  <c r="T7" i="8"/>
  <c r="T27" i="8" s="1"/>
  <c r="W6" i="8"/>
  <c r="W26" i="8" s="1"/>
  <c r="V6" i="8"/>
  <c r="V26" i="8" s="1"/>
  <c r="U6" i="8"/>
  <c r="U26" i="8" s="1"/>
  <c r="W5" i="8"/>
  <c r="W25" i="8" s="1"/>
  <c r="V5" i="8"/>
  <c r="V25" i="8" s="1"/>
  <c r="U5" i="8"/>
  <c r="U25" i="8" s="1"/>
  <c r="W4" i="8"/>
  <c r="W24" i="8" s="1"/>
  <c r="V4" i="8"/>
  <c r="V24" i="8" s="1"/>
  <c r="U4" i="8"/>
  <c r="U24" i="8" s="1"/>
  <c r="W3" i="8"/>
  <c r="W23" i="8" s="1"/>
  <c r="V3" i="8"/>
  <c r="V23" i="8" s="1"/>
  <c r="U3" i="8"/>
  <c r="U23" i="8" s="1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M45" i="7" l="1"/>
  <c r="G45" i="7"/>
  <c r="L45" i="7"/>
  <c r="O4" i="7" s="1"/>
  <c r="N5" i="7"/>
  <c r="F45" i="7" s="1"/>
  <c r="N45" i="7"/>
  <c r="O45" i="7"/>
  <c r="T6" i="7"/>
  <c r="T26" i="7" s="1"/>
  <c r="T14" i="7"/>
  <c r="T34" i="7" s="1"/>
  <c r="H45" i="7"/>
  <c r="O3" i="7" s="1"/>
  <c r="Q3" i="7" s="1"/>
  <c r="P45" i="7" s="1"/>
  <c r="T5" i="7"/>
  <c r="T25" i="7" s="1"/>
  <c r="T13" i="7"/>
  <c r="T33" i="7" s="1"/>
  <c r="T12" i="7"/>
  <c r="T32" i="7" s="1"/>
  <c r="W31" i="7"/>
  <c r="T10" i="8"/>
  <c r="T30" i="8" s="1"/>
  <c r="T17" i="8"/>
  <c r="T37" i="8" s="1"/>
  <c r="T6" i="8"/>
  <c r="T26" i="8" s="1"/>
  <c r="T13" i="8"/>
  <c r="T33" i="8" s="1"/>
  <c r="T15" i="8"/>
  <c r="T35" i="8" s="1"/>
  <c r="T14" i="8"/>
  <c r="T34" i="8" s="1"/>
  <c r="K45" i="8"/>
  <c r="T5" i="8"/>
  <c r="T25" i="8" s="1"/>
  <c r="T9" i="8"/>
  <c r="T29" i="8" s="1"/>
  <c r="H45" i="8"/>
  <c r="I45" i="8"/>
  <c r="H5" i="3" s="1"/>
  <c r="K4" i="4" s="1"/>
  <c r="T18" i="8"/>
  <c r="T38" i="8" s="1"/>
  <c r="D45" i="8"/>
  <c r="C5" i="3" s="1"/>
  <c r="L45" i="8"/>
  <c r="K5" i="3" s="1"/>
  <c r="J4" i="5" s="1"/>
  <c r="T3" i="8"/>
  <c r="T23" i="8" s="1"/>
  <c r="T4" i="8"/>
  <c r="T24" i="8" s="1"/>
  <c r="T8" i="8"/>
  <c r="T28" i="8" s="1"/>
  <c r="T16" i="8"/>
  <c r="T36" i="8" s="1"/>
  <c r="F45" i="8"/>
  <c r="E5" i="3" s="1"/>
  <c r="V6" i="3" s="1"/>
  <c r="N45" i="8"/>
  <c r="O45" i="8"/>
  <c r="N5" i="3" s="1"/>
  <c r="T12" i="8"/>
  <c r="T32" i="8" s="1"/>
  <c r="W31" i="8"/>
  <c r="A4" i="6"/>
  <c r="C6" i="5"/>
  <c r="C6" i="6"/>
  <c r="A6" i="4"/>
  <c r="A6" i="5"/>
  <c r="A5" i="4"/>
  <c r="A5" i="5"/>
  <c r="F3" i="5"/>
  <c r="N47" i="5" s="1"/>
  <c r="E3" i="6"/>
  <c r="N36" i="6" s="1"/>
  <c r="C5" i="4"/>
  <c r="D5" i="5"/>
  <c r="B5" i="4"/>
  <c r="C5" i="5"/>
  <c r="K4" i="5"/>
  <c r="AJ9" i="3"/>
  <c r="R5" i="6" s="1"/>
  <c r="AJ8" i="3"/>
  <c r="Y5" i="4" s="1"/>
  <c r="AA4" i="3"/>
  <c r="X42" i="3"/>
  <c r="Q4" i="7" l="1"/>
  <c r="R45" i="7" s="1"/>
  <c r="P4" i="7"/>
  <c r="O5" i="7"/>
  <c r="Q5" i="7" s="1"/>
  <c r="Q45" i="7" s="1"/>
  <c r="P3" i="7"/>
  <c r="J45" i="7"/>
  <c r="D45" i="7"/>
  <c r="E45" i="7" s="1"/>
  <c r="J5" i="3"/>
  <c r="M4" i="4" s="1"/>
  <c r="O4" i="8"/>
  <c r="P4" i="8" s="1"/>
  <c r="G5" i="3"/>
  <c r="O3" i="8"/>
  <c r="P3" i="8" s="1"/>
  <c r="O5" i="8"/>
  <c r="P5" i="8" s="1"/>
  <c r="M5" i="3"/>
  <c r="J4" i="4" s="1"/>
  <c r="J41" i="4" s="1"/>
  <c r="H3" i="5"/>
  <c r="Q4" i="8"/>
  <c r="R45" i="8" s="1"/>
  <c r="Q5" i="3" s="1"/>
  <c r="D4" i="5" s="1"/>
  <c r="E45" i="8"/>
  <c r="D5" i="3" s="1"/>
  <c r="U6" i="3" s="1"/>
  <c r="C4" i="6"/>
  <c r="C4" i="5"/>
  <c r="G3" i="5" s="1"/>
  <c r="C5" i="6"/>
  <c r="F3" i="6" s="1"/>
  <c r="N37" i="6" s="1"/>
  <c r="C41" i="5"/>
  <c r="F3" i="4"/>
  <c r="M47" i="4" s="1"/>
  <c r="D5" i="6"/>
  <c r="D5" i="4"/>
  <c r="L3" i="2"/>
  <c r="L50" i="2" s="1"/>
  <c r="AP9" i="3"/>
  <c r="L4" i="2"/>
  <c r="L51" i="2" s="1"/>
  <c r="AP8" i="3"/>
  <c r="P5" i="7" l="1"/>
  <c r="Q5" i="8"/>
  <c r="Q45" i="8" s="1"/>
  <c r="P5" i="3" s="1"/>
  <c r="D4" i="6" s="1"/>
  <c r="G3" i="6" s="1"/>
  <c r="H32" i="6" s="1"/>
  <c r="AE11" i="2" s="1"/>
  <c r="AD25" i="2" s="1"/>
  <c r="N4" i="4"/>
  <c r="C4" i="4"/>
  <c r="Q3" i="8"/>
  <c r="P45" i="8" s="1"/>
  <c r="O5" i="3" s="1"/>
  <c r="D4" i="4" s="1"/>
  <c r="H3" i="4" s="1"/>
  <c r="C41" i="6"/>
  <c r="H43" i="5"/>
  <c r="AE7" i="2" s="1"/>
  <c r="AD21" i="2" s="1"/>
  <c r="N48" i="5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C41" i="4" l="1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G14" i="2" l="1"/>
  <c r="G61" i="2" s="1"/>
  <c r="P7" i="5"/>
  <c r="K16" i="2"/>
  <c r="K63" i="2" s="1"/>
  <c r="T8" i="5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N44" i="5" s="1"/>
  <c r="U8" i="4"/>
  <c r="I15" i="2"/>
  <c r="I62" i="2" s="1"/>
  <c r="W8" i="4"/>
  <c r="K15" i="2"/>
  <c r="K62" i="2" s="1"/>
  <c r="R8" i="5"/>
  <c r="I16" i="2"/>
  <c r="I63" i="2" s="1"/>
  <c r="P10" i="6"/>
  <c r="K18" i="2"/>
  <c r="K65" i="2" s="1"/>
  <c r="N34" i="6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5" i="6" l="1"/>
  <c r="N33" i="6"/>
  <c r="S7" i="5"/>
  <c r="H14" i="2"/>
  <c r="H61" i="2" s="1"/>
  <c r="N8" i="5"/>
  <c r="E16" i="2"/>
  <c r="E63" i="2" s="1"/>
  <c r="M45" i="4"/>
  <c r="Q5" i="4"/>
  <c r="J5" i="6"/>
  <c r="M46" i="4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R8" i="4" l="1"/>
  <c r="D15" i="2"/>
  <c r="D62" i="2" s="1"/>
  <c r="K9" i="6"/>
  <c r="D17" i="2"/>
  <c r="D64" i="2" s="1"/>
  <c r="F17" i="2"/>
  <c r="F64" i="2" s="1"/>
  <c r="M9" i="6"/>
  <c r="S8" i="5"/>
  <c r="H16" i="2"/>
  <c r="H63" i="2" s="1"/>
  <c r="N43" i="5"/>
  <c r="M43" i="4"/>
  <c r="N32" i="6"/>
  <c r="H34" i="6" s="1"/>
  <c r="AE13" i="2" s="1"/>
  <c r="AD27" i="2" s="1"/>
  <c r="M39" i="6"/>
  <c r="R5" i="4"/>
  <c r="N45" i="5"/>
  <c r="O9" i="6"/>
  <c r="H17" i="2"/>
  <c r="H64" i="2" s="1"/>
  <c r="H15" i="2"/>
  <c r="H62" i="2" s="1"/>
  <c r="V8" i="4"/>
  <c r="N46" i="5"/>
  <c r="H45" i="5" s="1"/>
  <c r="AE9" i="2" s="1"/>
  <c r="AD23" i="2" s="1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G45" i="4"/>
  <c r="AE5" i="2" s="1"/>
  <c r="AD19" i="2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J17" i="2" l="1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5" i="6" l="1"/>
  <c r="M34" i="6"/>
  <c r="M33" i="6"/>
  <c r="M36" i="6"/>
  <c r="G44" i="4"/>
  <c r="AE4" i="2" s="1"/>
  <c r="AD18" i="2" s="1"/>
  <c r="H44" i="5"/>
  <c r="AE8" i="2" s="1"/>
  <c r="AD22" i="2" s="1"/>
  <c r="H33" i="6"/>
  <c r="AE12" i="2" s="1"/>
  <c r="AD26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<sst xmlns="http://schemas.openxmlformats.org/spreadsheetml/2006/main" count="648" uniqueCount="217">
  <si>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</si>
  <si>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</si>
  <si>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</si>
  <si>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</si>
  <si>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</si>
  <si>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</si>
  <si>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</si>
  <si>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</si>
  <si>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</si>
  <si>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</si>
  <si>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</si>
  <si>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</si>
  <si>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</si>
  <si>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</si>
  <si>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</si>
  <si>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</si>
  <si>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</si>
  <si>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</si>
  <si>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</si>
  <si>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</si>
  <si>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</si>
  <si>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</si>
  <si>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</si>
  <si>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</si>
  <si>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</si>
  <si>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</si>
  <si>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</si>
  <si>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</si>
  <si>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</si>
  <si>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</si>
  <si>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</si>
  <si>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</si>
  <si>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</si>
  <si>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</si>
  <si>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</si>
  <si>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</si>
  <si>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</si>
  <si>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</si>
  <si>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</si>
  <si>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</si>
  <si>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</si>
  <si>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</si>
  <si>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</si>
  <si>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</si>
  <si>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</si>
  <si>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</si>
  <si>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</si>
  <si>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</si>
  <si>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</si>
  <si>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</si>
  <si>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</si>
  <si>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</si>
  <si>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</si>
  <si>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</si>
  <si>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</si>
  <si>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</si>
  <si>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</si>
  <si>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</si>
  <si>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</si>
  <si>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</si>
  <si>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</si>
  <si>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</si>
  <si>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</si>
  <si>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</si>
  <si>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</si>
  <si>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</si>
  <si>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</si>
  <si>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</si>
  <si>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</si>
  <si>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</si>
  <si>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</si>
  <si>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</si>
  <si>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</si>
  <si>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</si>
  <si>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</si>
  <si>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</si>
  <si>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</si>
  <si>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</si>
  <si>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</si>
  <si>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</si>
  <si>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</si>
  <si>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</si>
  <si>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</si>
  <si>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</si>
  <si>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</si>
  <si>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</si>
  <si>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</si>
  <si>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</si>
  <si>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</si>
  <si>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</si>
  <si>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</si>
  <si>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</si>
  <si>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</si>
  <si>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</si>
  <si>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</si>
  <si>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</si>
  <si>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</si>
  <si>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</si>
  <si>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</si>
  <si>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</si>
  <si>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</si>
  <si>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</si>
  <si>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</si>
  <si>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</si>
  <si>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</si>
  <si>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</si>
  <si>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</si>
  <si>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</si>
  <si>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</si>
  <si>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</si>
  <si>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</si>
  <si>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</si>
  <si>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</si>
  <si>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</si>
  <si>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</si>
  <si>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</si>
  <si>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</si>
  <si>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</si>
  <si>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</si>
  <si>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</si>
  <si>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</si>
  <si>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</si>
  <si>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</si>
  <si>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</si>
  <si>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</si>
  <si>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</si>
  <si>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</si>
  <si>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</si>
  <si>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</si>
  <si>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</si>
  <si>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</si>
  <si>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</si>
  <si>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</si>
  <si>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</si>
  <si>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</si>
  <si>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</si>
  <si>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</si>
  <si>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</si>
  <si>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</si>
  <si>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</si>
  <si>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</si>
  <si>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</si>
  <si>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</si>
  <si>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</si>
  <si>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</si>
  <si>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</si>
  <si>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</si>
  <si>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</si>
  <si>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</si>
  <si>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</si>
  <si>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</si>
  <si>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</si>
  <si>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</si>
  <si>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</si>
  <si>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</si>
  <si>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</si>
  <si>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</si>
  <si>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</si>
  <si>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</si>
  <si>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</si>
  <si>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</si>
  <si>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</si>
  <si>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</si>
  <si>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</si>
  <si>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</si>
  <si>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</si>
  <si>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</si>
  <si>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</si>
  <si>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</si>
  <si>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</si>
  <si>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</si>
  <si>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</si>
  <si>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</si>
  <si>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</si>
  <si>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</si>
  <si>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</si>
  <si>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</si>
  <si>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</si>
  <si>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</si>
  <si>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</si>
  <si>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</si>
  <si>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</si>
  <si>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</si>
  <si>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</si>
  <si>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</si>
  <si>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</si>
  <si>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</si>
  <si>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</si>
  <si>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</si>
  <si>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</si>
  <si>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</si>
  <si>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</si>
  <si>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</si>
  <si>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</si>
  <si>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</si>
  <si>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</si>
  <si>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</si>
  <si>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</si>
  <si>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</si>
  <si>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</si>
  <si>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</si>
  <si>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</si>
  <si>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</si>
  <si>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</si>
  <si>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</si>
  <si>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</si>
  <si>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</si>
  <si>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</si>
  <si>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</si>
  <si>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</si>
  <si>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</si>
  <si>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}</t>
  </si>
  <si>
    <t>{</t>
  </si>
  <si>
    <t>24 January</t>
  </si>
  <si>
    <t>Score</t>
  </si>
  <si>
    <t>Week3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</si>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</sst>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2" dataDxfId="140" headerRowBorderDxfId="141" tableBorderDxfId="139" totalsRowBorderDxfId="138">
  <autoFilter ref="Z7:AJ23" xr:uid="{598ECA3B-99B4-4CAB-8F81-5D711AA5A7FC}"/>
  <tableColumns count="11">
    <tableColumn id="1" xr3:uid="{9B036617-5450-4894-9268-827D2E0914FF}" name="Scoring" dataDxfId="137">
      <calculatedColumnFormula>SfW!B3</calculatedColumnFormula>
    </tableColumn>
    <tableColumn id="2" xr3:uid="{6662CE93-E9C4-47DE-9476-E46126825B0A}" name="Points" dataDxfId="136">
      <calculatedColumnFormula>SUM(AA29,AA49,AL49,AA69,AL69,AA89,AL29)</calculatedColumnFormula>
    </tableColumn>
    <tableColumn id="3" xr3:uid="{8FDDFCB0-2692-4EB0-948C-7B877263B55B}" name="Average" dataDxfId="13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4">
      <calculatedColumnFormula>SUM(AB29,AB49,AM49,AB69,AM69,AB89,AM29)</calculatedColumnFormula>
    </tableColumn>
    <tableColumn id="5" xr3:uid="{5F324C66-956D-4EDC-870F-8EDE96C328C8}" name="Averages" dataDxfId="13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2">
      <calculatedColumnFormula>SUM(AC29,AC49,AN49,AC69,AN69,AC89,AN29)</calculatedColumnFormula>
    </tableColumn>
    <tableColumn id="7" xr3:uid="{8E7E6B37-23A0-4556-8839-B9D7834E3E68}" name="Averages2" dataDxfId="13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0">
      <calculatedColumnFormula>SUM(AD29,AD49,AO49,AD69,AO69,AD89,AO29)</calculatedColumnFormula>
    </tableColumn>
    <tableColumn id="9" xr3:uid="{E0C0BF1C-40E8-4137-8E0F-BB238D651DAE}" name="Averages3" dataDxfId="12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8">
      <calculatedColumnFormula>SfW!C3</calculatedColumnFormula>
    </tableColumn>
    <tableColumn id="11" xr3:uid="{E167D7FA-56F9-4571-B292-FF3869585F59}" name="Missed Games" dataDxfId="127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0" dataDxfId="29">
  <autoFilter ref="M3:V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8" dataDxfId="17">
  <autoFilter ref="I4:R10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26" dataDxfId="125">
  <autoFilter ref="Z28:AI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/>
    <tableColumn id="3" xr3:uid="{2D436F37-54B6-4820-9145-F48B4EF9B294}" name="Finishes" dataDxfId="122"/>
    <tableColumn id="4" xr3:uid="{1D9B6A22-B682-47F3-B738-7C138F317A41}" name="Midranges" dataDxfId="121"/>
    <tableColumn id="5" xr3:uid="{9966C9A0-3872-44E9-BB39-05DE197EAA68}" name="Threes" dataDxfId="120"/>
    <tableColumn id="6" xr3:uid="{CC4AB646-735F-425F-8528-C5EFE7FE11DC}" name="Avg P" dataDxfId="119"/>
    <tableColumn id="7" xr3:uid="{F8D0247E-C6F7-467A-9F38-46084D44F8AB}" name="Avg F" dataDxfId="118"/>
    <tableColumn id="8" xr3:uid="{7CCF1C77-9DB0-4EB2-B7D0-FD0BDBEBFA0E}" name="Avg M" dataDxfId="117"/>
    <tableColumn id="9" xr3:uid="{582A1A4E-5383-4383-A480-735408867046}" name="Avg T" dataDxfId="116"/>
    <tableColumn id="10" xr3:uid="{E547AEB5-F9BA-4C5F-8DCE-34B6A8FF303A}" name="Missed Games" dataDxfId="1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4" dataDxfId="53">
  <autoFilter ref="AK28:AT4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Template!AC51</calculatedColumnFormula>
    </tableColumn>
    <tableColumn id="3" xr3:uid="{460771D3-3BD8-4DA3-AF1B-1A0F98EF1499}" name="Finishes" dataDxfId="50">
      <calculatedColumnFormula>Template!AD51</calculatedColumnFormula>
    </tableColumn>
    <tableColumn id="4" xr3:uid="{3C08B2D7-823D-49C3-A627-A5848E664B2F}" name="Midranges" dataDxfId="49">
      <calculatedColumnFormula>Template!AE51</calculatedColumnFormula>
    </tableColumn>
    <tableColumn id="5" xr3:uid="{E88F45FB-4C46-4674-86D5-74808E7E5368}" name="Threes" dataDxfId="48">
      <calculatedColumnFormula>Template!AF51</calculatedColumnFormula>
    </tableColumn>
    <tableColumn id="6" xr3:uid="{0C0E8016-1E6E-4F25-9675-4EE061FFD0F7}" name="Avg P" dataDxfId="47">
      <calculatedColumnFormula>AL29/#REF!</calculatedColumnFormula>
    </tableColumn>
    <tableColumn id="7" xr3:uid="{F7AC350B-AE4B-4912-B21D-16D99E2AE8BF}" name="Avg F" dataDxfId="46">
      <calculatedColumnFormula>AM29/#REF!</calculatedColumnFormula>
    </tableColumn>
    <tableColumn id="8" xr3:uid="{F451E5CA-B9C4-4EFA-A647-CEDB2FB39550}" name="Avg M" dataDxfId="45">
      <calculatedColumnFormula>AN29/#REF!</calculatedColumnFormula>
    </tableColumn>
    <tableColumn id="9" xr3:uid="{ED1D92B5-05F1-40CE-A89F-E6627FAB4A59}" name="Avg T" dataDxfId="44">
      <calculatedColumnFormula>AO29/#REF!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2" dataDxfId="41">
  <autoFilter ref="P3:Y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/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R1" zoomScale="78" workbookViewId="0">
      <selection activeCell="T33" sqref="T33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0,0,0],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0,"N/A",0,"N/A",0,"N/A",0,"N/A"],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0,0,0,0,0,0],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0</v>
      </c>
      <c r="E6" s="1">
        <f>'Stats Global'!AA11</f>
        <v>0</v>
      </c>
      <c r="F6" s="5">
        <f>'Stats Global'!AD11</f>
        <v>0</v>
      </c>
      <c r="G6" s="1">
        <f>'Stats Global'!AC11</f>
        <v>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0,0,0,0,0,0],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0</v>
      </c>
      <c r="E7" s="1">
        <f>'Stats Global'!AA12</f>
        <v>0</v>
      </c>
      <c r="F7" s="5">
        <f>'Stats Global'!AD12</f>
        <v>0</v>
      </c>
      <c r="G7" s="1">
        <f>'Stats Global'!AC12</f>
        <v>0</v>
      </c>
      <c r="H7" s="5">
        <f>'Stats Global'!AF12</f>
        <v>0</v>
      </c>
      <c r="I7" s="1">
        <f>'Stats Global'!AE12</f>
        <v>0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0,0,0],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0,"N/A",0,"N/A",0,"N/A",0,"N/A"],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0,0,0,0,0,0],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0</v>
      </c>
      <c r="E10" s="1">
        <f>'Stats Global'!AA15</f>
        <v>0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</v>
      </c>
      <c r="K10" s="1">
        <f>'Stats Global'!AG15</f>
        <v>0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0,0,100,0,0,0],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0</v>
      </c>
      <c r="E11" s="1">
        <f>'Stats Global'!AA16</f>
        <v>0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0,0,0],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0</v>
      </c>
      <c r="E12" s="1">
        <f>'Stats Global'!AA17</f>
        <v>0</v>
      </c>
      <c r="F12" s="5">
        <f>'Stats Global'!AD17</f>
        <v>0</v>
      </c>
      <c r="G12" s="1">
        <f>'Stats Global'!AC17</f>
        <v>0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0,"N/A",0,"N/A",0,"N/A",0,"N/A"],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0</v>
      </c>
      <c r="E13" s="1">
        <f>'Stats Global'!AA18</f>
        <v>0</v>
      </c>
      <c r="F13" s="5">
        <f>'Stats Global'!AD18</f>
        <v>0</v>
      </c>
      <c r="G13" s="1">
        <f>'Stats Global'!AC18</f>
        <v>0</v>
      </c>
      <c r="H13" s="5">
        <f>'Stats Global'!AF18</f>
        <v>0</v>
      </c>
      <c r="I13" s="1">
        <f>'Stats Global'!AE18</f>
        <v>0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0,0,0,0,0,0],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0,0,100,0,0,100],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0</v>
      </c>
      <c r="E15" s="1">
        <f>'Stats Global'!AA20</f>
        <v>0</v>
      </c>
      <c r="F15" s="5">
        <f>'Stats Global'!AD20</f>
        <v>0</v>
      </c>
      <c r="G15" s="1">
        <f>'Stats Global'!AC20</f>
        <v>0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0</v>
      </c>
      <c r="E16" s="1">
        <f>'Stats Global'!AA21</f>
        <v>0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0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"PartACT":[0,0,0],</v>
      </c>
    </row>
    <row r="18" spans="2:30" ht="14.25" customHeight="1" x14ac:dyDescent="0.45">
      <c r="B18" s="125" t="s">
        <v>206</v>
      </c>
      <c r="C18" s="126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5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"PartBCT":[0,"N/A",0,"N/A",0,"N/A",0,"N/A"],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"PartCCT":[0,0,0,0,0,0],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"PartDCT":[0,0,0,0,0,0],</v>
      </c>
    </row>
    <row r="21" spans="2:30" ht="14.25" customHeight="1" x14ac:dyDescent="0.45">
      <c r="Y21" t="s">
        <v>144</v>
      </c>
      <c r="AD21" s="35" t="str">
        <f t="shared" si="3"/>
        <v>"PartATC":[0,0,0],</v>
      </c>
    </row>
    <row r="22" spans="2:30" ht="14.25" customHeight="1" x14ac:dyDescent="0.9">
      <c r="B22" s="131" t="s">
        <v>95</v>
      </c>
      <c r="C22" s="131"/>
      <c r="D22" s="64"/>
      <c r="Y22" s="1" t="s">
        <v>103</v>
      </c>
      <c r="AD22" s="35" t="str">
        <f t="shared" si="3"/>
        <v>"PartBTC":[0,"N/A",0,"N/A",0,"N/A",0,"N/A"],</v>
      </c>
    </row>
    <row r="23" spans="2:30" ht="14.25" customHeight="1" x14ac:dyDescent="0.9">
      <c r="B23" s="131"/>
      <c r="C23" s="131"/>
      <c r="D23" s="64"/>
      <c r="Y23" s="1" t="s">
        <v>62</v>
      </c>
      <c r="AD23" s="35" t="str">
        <f t="shared" si="3"/>
        <v>"PartCTC":[0,0,0,0,0,0],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"PartDTC":[0,0,100,0,0,0],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"PartAGM":[0,0,0],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"PartBGM":[0,"N/A",0,"N/A",0,"N/A",0,"N/A"],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"PPG":[0,0,0,0,0,0,0,0,0,0,0,0,0,0,0,"0"],</v>
      </c>
      <c r="AD27" s="35" t="str">
        <f t="shared" si="3"/>
        <v>"PartCGM":[0,0,0,0,0,0],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"TP":[0,0,0,0,0,0,0,0,0,0,0,0,0,0,0,"0"],</v>
      </c>
      <c r="AD28" s="35" t="str">
        <f t="shared" si="3"/>
        <v>"PartDGM":[0,0,100,0,0,100],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"FPG":[0,0,0,0,0,0,0,0,0,0,0,0,0,0,0,"0"],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"TF":[0,0,0,0,0,0,0,0,0,0,0,0,0,0,0,"0"],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"MPG":[0,0,0,0,0,0,0,0,0,0,0,0,0,0,0,"0"],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"TM":[0,0,0,0,0,0,0,0,0,0,0,0,0,0,0,"0"],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"TPG":[0,0,0,0,0,0,0,0,0,0,0,0,0,0,0,"0"],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"TT":[0,0,0,0,0,0,0,0,0,0,0,0,0,0,0,"0"],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0,</v>
      </c>
      <c r="E52" s="12" t="str">
        <f t="shared" si="7"/>
        <v>0,</v>
      </c>
      <c r="F52" s="12" t="str">
        <f t="shared" si="8"/>
        <v>0,</v>
      </c>
      <c r="G52" s="12" t="str">
        <f t="shared" si="9"/>
        <v>0,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0,</v>
      </c>
      <c r="E53" s="12" t="str">
        <f t="shared" si="7"/>
        <v>0,</v>
      </c>
      <c r="F53" s="12" t="str">
        <f t="shared" si="8"/>
        <v>0,</v>
      </c>
      <c r="G53" s="12" t="str">
        <f t="shared" si="9"/>
        <v>0,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0,</v>
      </c>
      <c r="E54" s="12" t="str">
        <f t="shared" si="7"/>
        <v>0,</v>
      </c>
      <c r="F54" s="12" t="str">
        <f t="shared" si="8"/>
        <v>0,</v>
      </c>
      <c r="G54" s="12" t="str">
        <f t="shared" si="9"/>
        <v>0,</v>
      </c>
      <c r="H54" s="12" t="str">
        <f t="shared" si="10"/>
        <v>0,</v>
      </c>
      <c r="I54" s="12" t="str">
        <f t="shared" si="11"/>
        <v>0,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0,</v>
      </c>
      <c r="E57" s="12" t="str">
        <f t="shared" si="7"/>
        <v>0,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0,</v>
      </c>
      <c r="K57" s="12" t="str">
        <f t="shared" si="13"/>
        <v>0,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0,</v>
      </c>
      <c r="E58" s="12" t="str">
        <f t="shared" si="7"/>
        <v>0,</v>
      </c>
      <c r="F58" s="12" t="str">
        <f t="shared" si="8"/>
        <v>0,</v>
      </c>
      <c r="G58" s="12" t="str">
        <f t="shared" si="9"/>
        <v>0,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0,</v>
      </c>
      <c r="E59" s="12" t="str">
        <f t="shared" si="7"/>
        <v>0,</v>
      </c>
      <c r="F59" s="12" t="str">
        <f t="shared" si="8"/>
        <v>0,</v>
      </c>
      <c r="G59" s="12" t="str">
        <f t="shared" si="9"/>
        <v>0,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0,</v>
      </c>
      <c r="E60" s="12" t="str">
        <f t="shared" si="7"/>
        <v>0,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0,</v>
      </c>
      <c r="I60" s="12" t="str">
        <f t="shared" si="11"/>
        <v>0,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0,</v>
      </c>
      <c r="E62" s="12" t="str">
        <f t="shared" si="7"/>
        <v>0,</v>
      </c>
      <c r="F62" s="12" t="str">
        <f t="shared" si="8"/>
        <v>0,</v>
      </c>
      <c r="G62" s="12" t="str">
        <f t="shared" si="9"/>
        <v>0,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0,</v>
      </c>
      <c r="E63" s="12" t="str">
        <f t="shared" si="7"/>
        <v>0,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0,</v>
      </c>
      <c r="K63" s="12" t="str">
        <f t="shared" ref="K63:L63" si="35">K16&amp;","</f>
        <v>0,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0,</v>
      </c>
      <c r="E64" s="12" t="str">
        <f t="shared" si="7"/>
        <v>0,</v>
      </c>
      <c r="F64" s="12" t="str">
        <f t="shared" si="8"/>
        <v>0,</v>
      </c>
      <c r="G64" s="12" t="str">
        <f t="shared" si="9"/>
        <v>0,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0,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U1" zoomScale="57" workbookViewId="0">
      <selection activeCell="AK68" sqref="AK68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</v>
      </c>
    </row>
    <row r="5" spans="1:55" ht="14.25" customHeight="1" x14ac:dyDescent="0.45">
      <c r="B5" s="124" t="str">
        <f>'2401'!C45</f>
        <v>24 January</v>
      </c>
      <c r="C5" s="124">
        <f>'2401'!D45</f>
        <v>0</v>
      </c>
      <c r="D5" s="124">
        <f>'2401'!E45</f>
        <v>0</v>
      </c>
      <c r="E5" s="124">
        <f>'2401'!F45</f>
        <v>0</v>
      </c>
      <c r="F5" s="124">
        <f>'2401'!G45</f>
        <v>0</v>
      </c>
      <c r="G5" s="124">
        <f>'2401'!H45</f>
        <v>0</v>
      </c>
      <c r="H5" s="124">
        <f>'2401'!I45</f>
        <v>0</v>
      </c>
      <c r="I5" s="124">
        <f>'2401'!J45</f>
        <v>0</v>
      </c>
      <c r="J5" s="124">
        <f>'2401'!K45</f>
        <v>0</v>
      </c>
      <c r="K5" s="124">
        <f>'2401'!L45</f>
        <v>0</v>
      </c>
      <c r="L5" s="124">
        <f>'2401'!M45</f>
        <v>0</v>
      </c>
      <c r="M5" s="124">
        <f>'2401'!N45</f>
        <v>0</v>
      </c>
      <c r="N5" s="124">
        <f>'2401'!O45</f>
        <v>0</v>
      </c>
      <c r="O5" s="124">
        <f>'2401'!P45</f>
        <v>0</v>
      </c>
      <c r="P5" s="124">
        <f>'2401'!Q45</f>
        <v>0</v>
      </c>
      <c r="Q5" s="124">
        <f>'2401'!R45</f>
        <v>0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S6" s="3">
        <f>SUM(C5:E40)/COUNT(C5:C40)</f>
        <v>0</v>
      </c>
      <c r="T6" s="113">
        <f>AVERAGE(C5:C40)</f>
        <v>0</v>
      </c>
      <c r="U6" s="113">
        <f>AVERAGE(D5:D40)</f>
        <v>0</v>
      </c>
      <c r="V6" s="113">
        <f>AVERAGE(E5:E40)</f>
        <v>0</v>
      </c>
      <c r="Z6" s="48" t="s">
        <v>134</v>
      </c>
      <c r="AA6" s="6">
        <f>AA47+AA67+AA27+AL47+AL67+AA87+AL27</f>
        <v>0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>SUM(AI29,AI49,AT49,AI69,AT69,AI89,AT29)</f>
        <v>0</v>
      </c>
      <c r="AK8" s="42"/>
      <c r="AL8" s="78" t="s">
        <v>0</v>
      </c>
      <c r="AM8" s="77">
        <f>AVERAGE(Table1[Average])</f>
        <v>0</v>
      </c>
      <c r="AN8" s="77">
        <f>MEDIAN(Table1[Average])</f>
        <v>0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>SUM(AA30,AA50,AL50,AA70,AL70,AA90,AL30)</f>
        <v>0</v>
      </c>
      <c r="AB9" s="99">
        <f>IF($AA$6-Table1[[#This Row],[Missed Games]]=0, 0,Table1[[#This Row],[Points]]/($AA$6-Table1[[#This Row],[Missed Games]]))</f>
        <v>0</v>
      </c>
      <c r="AC9" s="100">
        <f>SUM(AB30,AB50,AM50,AB70,AM70,AB90,AM30)</f>
        <v>0</v>
      </c>
      <c r="AD9" s="97">
        <f>IF($AA$6-Table1[[#This Row],[Missed Games]]=0, 0,Table1[[#This Row],[Finishes]]/($AA$6-Table1[[#This Row],[Missed Games]]))</f>
        <v>0</v>
      </c>
      <c r="AE9" s="100">
        <f>SUM(AC30,AC50,AN50,AC70,AN70,AC90,AN30)</f>
        <v>0</v>
      </c>
      <c r="AF9" s="97">
        <f>IF($AA$6-Table1[[#This Row],[Missed Games]]=0, 0,Table1[[#This Row],[Midranges]]/($AA$6-Table1[[#This Row],[Missed Games]]))</f>
        <v>0</v>
      </c>
      <c r="AG9" s="100">
        <f>SUM(AD30,AD50,AO50,AD70,AO70,AD90,AO30)</f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>SUM(AI30,AI50,AT50,AI70,AT70,AI90,AT30)</f>
        <v>0</v>
      </c>
      <c r="AK9" s="42"/>
      <c r="AL9" s="78" t="s">
        <v>1</v>
      </c>
      <c r="AM9" s="77">
        <f>AVERAGE(Table1[Finishes])</f>
        <v>0</v>
      </c>
      <c r="AN9" s="77">
        <f>MEDIAN(Table1[Finishes])</f>
        <v>0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>SUM(AA31,AA51,AL51,AA71,AL71,AA91,AL31)</f>
        <v>0</v>
      </c>
      <c r="AB10" s="45">
        <f>IF($AA$6-Table1[[#This Row],[Missed Games]]=0, 0,Table1[[#This Row],[Points]]/($AA$6-Table1[[#This Row],[Missed Games]]))</f>
        <v>0</v>
      </c>
      <c r="AC10" s="46">
        <f>SUM(AB31,AB51,AM51,AB71,AM71,AB91,AM31)</f>
        <v>0</v>
      </c>
      <c r="AD10" s="43">
        <f>IF($AA$6-Table1[[#This Row],[Missed Games]]=0, 0,Table1[[#This Row],[Finishes]]/($AA$6-Table1[[#This Row],[Missed Games]]))</f>
        <v>0</v>
      </c>
      <c r="AE10" s="46">
        <f>SUM(AC31,AC51,AN51,AC71,AN71,AC91,AN31)</f>
        <v>0</v>
      </c>
      <c r="AF10" s="43">
        <f>IF($AA$6-Table1[[#This Row],[Missed Games]]=0, 0,Table1[[#This Row],[Midranges]]/($AA$6-Table1[[#This Row],[Missed Games]]))</f>
        <v>0</v>
      </c>
      <c r="AG10" s="46">
        <f>SUM(AD31,AD51,AO51,AD71,AO71,AD91,AO31)</f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>SUM(AI31,AI51,AT51,AI71,AT71,AI91,AT31)</f>
        <v>0</v>
      </c>
      <c r="AK10" s="42"/>
      <c r="AL10" s="78" t="s">
        <v>146</v>
      </c>
      <c r="AM10" s="77">
        <f>AVERAGE(Table1[Midranges])</f>
        <v>0</v>
      </c>
      <c r="AN10" s="77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0</v>
      </c>
      <c r="AR10" s="81">
        <f>AP10-Table1[[#This Row],[Points]]</f>
        <v>63</v>
      </c>
      <c r="AS10" s="87">
        <f>Table1[[#This Row],[Points]]/(20-AA$5-Table1[[#This Row],[Missed Games]])</f>
        <v>0</v>
      </c>
      <c r="AT10" s="92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>SUM(AA32,AA52,AL52,AA72,AL72,AA92,AL32)</f>
        <v>0</v>
      </c>
      <c r="AB11" s="45">
        <f>IF($AA$6-Table1[[#This Row],[Missed Games]]=0, 0,Table1[[#This Row],[Points]]/($AA$6-Table1[[#This Row],[Missed Games]]))</f>
        <v>0</v>
      </c>
      <c r="AC11" s="46">
        <f>SUM(AB32,AB52,AM52,AB72,AM72,AB92,AM32)</f>
        <v>0</v>
      </c>
      <c r="AD11" s="43">
        <f>IF($AA$6-Table1[[#This Row],[Missed Games]]=0, 0,Table1[[#This Row],[Finishes]]/($AA$6-Table1[[#This Row],[Missed Games]]))</f>
        <v>0</v>
      </c>
      <c r="AE11" s="46">
        <f>SUM(AC32,AC52,AN52,AC72,AN72,AC92,AN32)</f>
        <v>0</v>
      </c>
      <c r="AF11" s="43">
        <f>IF($AA$6-Table1[[#This Row],[Missed Games]]=0, 0,Table1[[#This Row],[Midranges]]/($AA$6-Table1[[#This Row],[Missed Games]]))</f>
        <v>0</v>
      </c>
      <c r="AG11" s="46">
        <f>SUM(AD32,AD52,AO52,AD72,AO72,AD92,AO32)</f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>SUM(AI32,AI52,AT52,AI72,AT72,AI92,AT32)</f>
        <v>0</v>
      </c>
      <c r="AK11" s="42"/>
      <c r="AL11" s="78" t="s">
        <v>3</v>
      </c>
      <c r="AM11" s="77">
        <f>AVERAGE(Table1[Threes])</f>
        <v>0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</v>
      </c>
      <c r="AR11" s="81">
        <f>AP11-Table1[[#This Row],[Points]]</f>
        <v>57</v>
      </c>
      <c r="AS11" s="87">
        <f>Table1[[#This Row],[Points]]/(20-AA$5-Table1[[#This Row],[Missed Games]])</f>
        <v>0</v>
      </c>
      <c r="AT11" s="92">
        <f>Table1[[#This Row],[Average]]-'[1]Stats Global'!R11</f>
        <v>-2.8125</v>
      </c>
      <c r="AU11" s="20">
        <f>(Table1[[#This Row],[Average]]-'[1]Stats Global'!R11)/'[1]Stats Global'!R11</f>
        <v>-1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>SUM(AA33,AA53,AL53,AA73,AL73,AA93,AL33)</f>
        <v>0</v>
      </c>
      <c r="AB12" s="45">
        <f>IF($AA$6-Table1[[#This Row],[Missed Games]]=0, 0,Table1[[#This Row],[Points]]/($AA$6-Table1[[#This Row],[Missed Games]]))</f>
        <v>0</v>
      </c>
      <c r="AC12" s="46">
        <f>SUM(AB33,AB53,AM53,AB73,AM73,AB93,AM33)</f>
        <v>0</v>
      </c>
      <c r="AD12" s="43">
        <f>IF($AA$6-Table1[[#This Row],[Missed Games]]=0, 0,Table1[[#This Row],[Finishes]]/($AA$6-Table1[[#This Row],[Missed Games]]))</f>
        <v>0</v>
      </c>
      <c r="AE12" s="46">
        <f>SUM(AC33,AC53,AN53,AC73,AN73,AC93,AN33)</f>
        <v>0</v>
      </c>
      <c r="AF12" s="43">
        <f>IF($AA$6-Table1[[#This Row],[Missed Games]]=0, 0,Table1[[#This Row],[Midranges]]/($AA$6-Table1[[#This Row],[Missed Games]]))</f>
        <v>0</v>
      </c>
      <c r="AG12" s="46">
        <f>SUM(AD33,AD53,AO53,AD73,AO73,AD93,AO33)</f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>SUM(AI33,AI53,AT53,AI73,AT73,AI93,AT33)</f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</v>
      </c>
      <c r="AR12" s="81">
        <f>AP12-Table1[[#This Row],[Points]]</f>
        <v>42</v>
      </c>
      <c r="AS12" s="87">
        <f>Table1[[#This Row],[Points]]/(20-AA$5-Table1[[#This Row],[Missed Games]])</f>
        <v>0</v>
      </c>
      <c r="AT12" s="92">
        <f>Table1[[#This Row],[Average]]-'[1]Stats Global'!R12</f>
        <v>-2.0588235294117645</v>
      </c>
      <c r="AU12" s="20">
        <f>(Table1[[#This Row],[Average]]-'[1]Stats Global'!R12)/'[1]Stats Global'!R12</f>
        <v>-1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>SUM(AA34,AA54,AL54,AA74,AL74,AA94,AL34)</f>
        <v>0</v>
      </c>
      <c r="AB13" s="99">
        <f>IF($AA$6-Table1[[#This Row],[Missed Games]]=0, 0,Table1[[#This Row],[Points]]/($AA$6-Table1[[#This Row],[Missed Games]]))</f>
        <v>0</v>
      </c>
      <c r="AC13" s="100">
        <f>SUM(AB34,AB54,AM54,AB74,AM74,AB94,AM34)</f>
        <v>0</v>
      </c>
      <c r="AD13" s="97">
        <f>IF($AA$6-Table1[[#This Row],[Missed Games]]=0, 0,Table1[[#This Row],[Finishes]]/($AA$6-Table1[[#This Row],[Missed Games]]))</f>
        <v>0</v>
      </c>
      <c r="AE13" s="100">
        <f>SUM(AC34,AC54,AN54,AC74,AN74,AC94,AN34)</f>
        <v>0</v>
      </c>
      <c r="AF13" s="97">
        <f>IF($AA$6-Table1[[#This Row],[Missed Games]]=0, 0,Table1[[#This Row],[Midranges]]/($AA$6-Table1[[#This Row],[Missed Games]]))</f>
        <v>0</v>
      </c>
      <c r="AG13" s="100">
        <f>SUM(AD34,AD54,AO54,AD74,AO74,AD94,AO34)</f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>SUM(AI34,AI54,AT54,AI74,AT74,AI94,AT34)</f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1">
        <f>AP13-Table1[[#This Row],[Points]]</f>
        <v>23</v>
      </c>
      <c r="AS13" s="87">
        <f>Table1[[#This Row],[Points]]/(20-AA$5-Table1[[#This Row],[Missed Games]])</f>
        <v>0</v>
      </c>
      <c r="AT13" s="92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>SUM(AA35,AA55,AL55,AA75,AL75,AA95,AL35)</f>
        <v>0</v>
      </c>
      <c r="AB14" s="99">
        <f>IF($AA$6-Table1[[#This Row],[Missed Games]]=0, 0,Table1[[#This Row],[Points]]/($AA$6-Table1[[#This Row],[Missed Games]]))</f>
        <v>0</v>
      </c>
      <c r="AC14" s="100">
        <f>SUM(AB35,AB55,AM55,AB75,AM75,AB95,AM35)</f>
        <v>0</v>
      </c>
      <c r="AD14" s="97">
        <f>IF($AA$6-Table1[[#This Row],[Missed Games]]=0, 0,Table1[[#This Row],[Finishes]]/($AA$6-Table1[[#This Row],[Missed Games]]))</f>
        <v>0</v>
      </c>
      <c r="AE14" s="100">
        <f>SUM(AC35,AC55,AN55,AC75,AN75,AC95,AN35)</f>
        <v>0</v>
      </c>
      <c r="AF14" s="97">
        <f>IF($AA$6-Table1[[#This Row],[Missed Games]]=0, 0,Table1[[#This Row],[Midranges]]/($AA$6-Table1[[#This Row],[Missed Games]]))</f>
        <v>0</v>
      </c>
      <c r="AG14" s="100">
        <f>SUM(AD35,AD55,AO55,AD75,AO75,AD95,AO35)</f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>SUM(AI35,AI55,AT55,AI75,AT75,AI95,AT35)</f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1">
        <f>AP14-Table1[[#This Row],[Points]]</f>
        <v>7</v>
      </c>
      <c r="AS14" s="87">
        <f>Table1[[#This Row],[Points]]/(20-AA$5-Table1[[#This Row],[Missed Games]])</f>
        <v>0</v>
      </c>
      <c r="AT14" s="92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>SUM(AA36,AA56,AL56,AA76,AL76,AA96,AL36)</f>
        <v>0</v>
      </c>
      <c r="AB15" s="99">
        <f>IF($AA$6-Table1[[#This Row],[Missed Games]]=0, 0,Table1[[#This Row],[Points]]/($AA$6-Table1[[#This Row],[Missed Games]]))</f>
        <v>0</v>
      </c>
      <c r="AC15" s="100">
        <f>SUM(AB36,AB56,AM56,AB76,AM76,AB96,AM36)</f>
        <v>0</v>
      </c>
      <c r="AD15" s="97">
        <f>IF($AA$6-Table1[[#This Row],[Missed Games]]=0, 0,Table1[[#This Row],[Finishes]]/($AA$6-Table1[[#This Row],[Missed Games]]))</f>
        <v>0</v>
      </c>
      <c r="AE15" s="100">
        <f>SUM(AC36,AC56,AN56,AC76,AN76,AC96,AN36)</f>
        <v>0</v>
      </c>
      <c r="AF15" s="97">
        <f>IF($AA$6-Table1[[#This Row],[Missed Games]]=0, 0,Table1[[#This Row],[Midranges]]/($AA$6-Table1[[#This Row],[Missed Games]]))</f>
        <v>0</v>
      </c>
      <c r="AG15" s="100">
        <f>SUM(AD36,AD56,AO56,AD76,AO76,AD96,AO36)</f>
        <v>0</v>
      </c>
      <c r="AH15" s="97">
        <f>IF($AA$6-Table1[[#This Row],[Missed Games]]=0, 0,Table1[[#This Row],[Threes]]/($AA$6-Table1[[#This Row],[Missed Games]]))</f>
        <v>0</v>
      </c>
      <c r="AI15" s="97" t="str">
        <f>SfW!C10</f>
        <v>Traffic Controllers</v>
      </c>
      <c r="AJ15" s="101">
        <f>SUM(AI36,AI56,AT56,AI76,AT76,AI96,AT36)</f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0</v>
      </c>
      <c r="AR15" s="81">
        <f>AP15-Table1[[#This Row],[Points]]</f>
        <v>32</v>
      </c>
      <c r="AS15" s="87">
        <f>Table1[[#This Row],[Points]]/(20-AA$5-Table1[[#This Row],[Missed Games]])</f>
        <v>0</v>
      </c>
      <c r="AT15" s="92">
        <f>Table1[[#This Row],[Average]]-'[1]Stats Global'!R14</f>
        <v>-1.588235294117647</v>
      </c>
      <c r="AU15" s="20">
        <f>(Table1[[#This Row],[Average]]-'[1]Stats Global'!R14)/'[1]Stats Global'!R14</f>
        <v>-1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>SUM(AA37,AA57,AL57,AA77,AL77,AA97,AL37)</f>
        <v>0</v>
      </c>
      <c r="AB16" s="45">
        <f>IF($AA$6-Table1[[#This Row],[Missed Games]]=0, 0,Table1[[#This Row],[Points]]/($AA$6-Table1[[#This Row],[Missed Games]]))</f>
        <v>0</v>
      </c>
      <c r="AC16" s="46">
        <f>SUM(AB37,AB57,AM57,AB77,AM77,AB97,AM37)</f>
        <v>0</v>
      </c>
      <c r="AD16" s="43">
        <f>IF($AA$6-Table1[[#This Row],[Missed Games]]=0, 0,Table1[[#This Row],[Finishes]]/($AA$6-Table1[[#This Row],[Missed Games]]))</f>
        <v>0</v>
      </c>
      <c r="AE16" s="46">
        <f>SUM(AC37,AC57,AN57,AC77,AN77,AC97,AN37)</f>
        <v>0</v>
      </c>
      <c r="AF16" s="43">
        <f>IF($AA$6-Table1[[#This Row],[Missed Games]]=0, 0,Table1[[#This Row],[Midranges]]/($AA$6-Table1[[#This Row],[Missed Games]]))</f>
        <v>0</v>
      </c>
      <c r="AG16" s="46">
        <f>SUM(AD37,AD57,AO57,AD77,AO77,AD97,AO37)</f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>SUM(AI37,AI57,AT57,AI77,AT77,AI97,AT37)</f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0</v>
      </c>
      <c r="AR16" s="81">
        <f>AP16-Table1[[#This Row],[Points]]</f>
        <v>29</v>
      </c>
      <c r="AS16" s="87">
        <f>Table1[[#This Row],[Points]]/(20-AA$5-Table1[[#This Row],[Missed Games]])</f>
        <v>0</v>
      </c>
      <c r="AT16" s="92">
        <f>Table1[[#This Row],[Average]]-'[1]Stats Global'!R15</f>
        <v>-1.411764705882353</v>
      </c>
      <c r="AU16" s="20">
        <f>(Table1[[#This Row],[Average]]-'[1]Stats Global'!R15)/'[1]Stats Global'!R15</f>
        <v>-1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>SUM(AA38,AA58,AL58,AA78,AL78,AA98,AL38)</f>
        <v>0</v>
      </c>
      <c r="AB17" s="45">
        <f>IF($AA$6-Table1[[#This Row],[Missed Games]]=0, 0,Table1[[#This Row],[Points]]/($AA$6-Table1[[#This Row],[Missed Games]]))</f>
        <v>0</v>
      </c>
      <c r="AC17" s="46">
        <f>SUM(AB38,AB58,AM58,AB78,AM78,AB98,AM38)</f>
        <v>0</v>
      </c>
      <c r="AD17" s="43">
        <f>IF($AA$6-Table1[[#This Row],[Missed Games]]=0, 0,Table1[[#This Row],[Finishes]]/($AA$6-Table1[[#This Row],[Missed Games]]))</f>
        <v>0</v>
      </c>
      <c r="AE17" s="46">
        <f>SUM(AC38,AC58,AN58,AC78,AN78,AC98,AN38)</f>
        <v>0</v>
      </c>
      <c r="AF17" s="43">
        <f>IF($AA$6-Table1[[#This Row],[Missed Games]]=0, 0,Table1[[#This Row],[Midranges]]/($AA$6-Table1[[#This Row],[Missed Games]]))</f>
        <v>0</v>
      </c>
      <c r="AG17" s="46">
        <f>SUM(AD38,AD58,AO58,AD78,AO78,AD98,AO38)</f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>SUM(AI38,AI58,AT58,AI78,AT78,AI98,AT38)</f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</v>
      </c>
      <c r="AR17" s="81">
        <f>AP17-Table1[[#This Row],[Points]]</f>
        <v>51</v>
      </c>
      <c r="AS17" s="87">
        <f>Table1[[#This Row],[Points]]/(20-AA$5-Table1[[#This Row],[Missed Games]])</f>
        <v>0</v>
      </c>
      <c r="AT17" s="92">
        <f>Table1[[#This Row],[Average]]-'[1]Stats Global'!R16</f>
        <v>-2.5333333333333332</v>
      </c>
      <c r="AU17" s="20">
        <f>(Table1[[#This Row],[Average]]-'[1]Stats Global'!R16)/'[1]Stats Global'!R16</f>
        <v>-1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>SUM(AA39,AA59,AL59,AA79,AL79,AA99,AL39)</f>
        <v>0</v>
      </c>
      <c r="AB18" s="99">
        <f>IF($AA$6-Table1[[#This Row],[Missed Games]]=0, 0,Table1[[#This Row],[Points]]/($AA$6-Table1[[#This Row],[Missed Games]]))</f>
        <v>0</v>
      </c>
      <c r="AC18" s="100">
        <f>SUM(AB39,AB59,AM59,AB79,AM79,AB99,AM39)</f>
        <v>0</v>
      </c>
      <c r="AD18" s="97">
        <f>IF($AA$6-Table1[[#This Row],[Missed Games]]=0, 0,Table1[[#This Row],[Finishes]]/($AA$6-Table1[[#This Row],[Missed Games]]))</f>
        <v>0</v>
      </c>
      <c r="AE18" s="100">
        <f>SUM(AC39,AC59,AN59,AC79,AN79,AC99,AN39)</f>
        <v>0</v>
      </c>
      <c r="AF18" s="97">
        <f>IF($AA$6-Table1[[#This Row],[Missed Games]]=0, 0,Table1[[#This Row],[Midranges]]/($AA$6-Table1[[#This Row],[Missed Games]]))</f>
        <v>0</v>
      </c>
      <c r="AG18" s="100">
        <f>SUM(AD39,AD59,AO59,AD79,AO79,AD99,AO39)</f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>SUM(AI39,AI59,AT59,AI79,AT79,AI99,AT39)</f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0</v>
      </c>
      <c r="AR18" s="81">
        <f>AP18-Table1[[#This Row],[Points]]</f>
        <v>18</v>
      </c>
      <c r="AS18" s="87">
        <f>Table1[[#This Row],[Points]]/(20-AA$5-Table1[[#This Row],[Missed Games]])</f>
        <v>0</v>
      </c>
      <c r="AT18" s="92">
        <f>Table1[[#This Row],[Average]]-'[1]Stats Global'!R17</f>
        <v>-0.875</v>
      </c>
      <c r="AU18" s="20">
        <f>(Table1[[#This Row],[Average]]-'[1]Stats Global'!R17)/'[1]Stats Global'!R17</f>
        <v>-1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>SUM(AA40,AA60,AL60,AA80,AL80,AA100,AL40)</f>
        <v>0</v>
      </c>
      <c r="AB19" s="99">
        <f>IF($AA$6-Table1[[#This Row],[Missed Games]]=0, 0,Table1[[#This Row],[Points]]/($AA$6-Table1[[#This Row],[Missed Games]]))</f>
        <v>0</v>
      </c>
      <c r="AC19" s="100">
        <f>SUM(AB40,AB60,AM60,AB80,AM80,AB100,AM40)</f>
        <v>0</v>
      </c>
      <c r="AD19" s="97">
        <f>IF($AA$6-Table1[[#This Row],[Missed Games]]=0, 0,Table1[[#This Row],[Finishes]]/($AA$6-Table1[[#This Row],[Missed Games]]))</f>
        <v>0</v>
      </c>
      <c r="AE19" s="100">
        <f>SUM(AC40,AC60,AN60,AC80,AN80,AC100,AN40)</f>
        <v>0</v>
      </c>
      <c r="AF19" s="97">
        <f>IF($AA$6-Table1[[#This Row],[Missed Games]]=0, 0,Table1[[#This Row],[Midranges]]/($AA$6-Table1[[#This Row],[Missed Games]]))</f>
        <v>0</v>
      </c>
      <c r="AG19" s="100">
        <f>SUM(AD40,AD60,AO60,AD80,AO80,AD100,AO40)</f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>SUM(AI40,AI60,AT60,AI80,AT80,AI100,AT40)</f>
        <v>0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>SUM(AA41,AA61,AL61,AA81,AL81,AA101,AL41)</f>
        <v>0</v>
      </c>
      <c r="AB20" s="99">
        <f>IF($AA$6-Table1[[#This Row],[Missed Games]]=0, 0,Table1[[#This Row],[Points]]/($AA$6-Table1[[#This Row],[Missed Games]]))</f>
        <v>0</v>
      </c>
      <c r="AC20" s="100">
        <f>SUM(AB41,AB61,AM61,AB81,AM81,AB101,AM41)</f>
        <v>0</v>
      </c>
      <c r="AD20" s="97">
        <f>IF($AA$6-Table1[[#This Row],[Missed Games]]=0, 0,Table1[[#This Row],[Finishes]]/($AA$6-Table1[[#This Row],[Missed Games]]))</f>
        <v>0</v>
      </c>
      <c r="AE20" s="100">
        <f>SUM(AC41,AC61,AN61,AC81,AN81,AC101,AN41)</f>
        <v>0</v>
      </c>
      <c r="AF20" s="97">
        <f>IF($AA$6-Table1[[#This Row],[Missed Games]]=0, 0,Table1[[#This Row],[Midranges]]/($AA$6-Table1[[#This Row],[Missed Games]]))</f>
        <v>0</v>
      </c>
      <c r="AG20" s="100">
        <f>SUM(AD41,AD61,AO61,AD81,AO81,AD101,AO41)</f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>SUM(AI41,AI61,AT61,AI81,AT81,AI101,AT41)</f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</v>
      </c>
      <c r="AR20" s="81">
        <f>AP20-Table1[[#This Row],[Points]]</f>
        <v>22</v>
      </c>
      <c r="AS20" s="87">
        <f>Table1[[#This Row],[Points]]/(20-AA$5-Table1[[#This Row],[Missed Games]])</f>
        <v>0</v>
      </c>
      <c r="AT20" s="92">
        <f>Table1[[#This Row],[Average]]-'[1]Stats Global'!R18</f>
        <v>-1.0666666666666667</v>
      </c>
      <c r="AU20" s="20">
        <f>(Table1[[#This Row],[Average]]-'[1]Stats Global'!R18)/'[1]Stats Global'!R18</f>
        <v>-1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>SUM(AA42,AA62,AL62,AA82,AL82,AA102,AL42)</f>
        <v>0</v>
      </c>
      <c r="AB21" s="99">
        <f>IF($AA$6-Table1[[#This Row],[Missed Games]]=0, 0,Table1[[#This Row],[Points]]/($AA$6-Table1[[#This Row],[Missed Games]]))</f>
        <v>0</v>
      </c>
      <c r="AC21" s="100">
        <f>SUM(AB42,AB62,AM62,AB82,AM82,AB102,AM42)</f>
        <v>0</v>
      </c>
      <c r="AD21" s="97">
        <f>IF($AA$6-Table1[[#This Row],[Missed Games]]=0, 0,Table1[[#This Row],[Finishes]]/($AA$6-Table1[[#This Row],[Missed Games]]))</f>
        <v>0</v>
      </c>
      <c r="AE21" s="100">
        <f>SUM(AC42,AC62,AN62,AC82,AN82,AC102,AN42)</f>
        <v>0</v>
      </c>
      <c r="AF21" s="97">
        <f>IF($AA$6-Table1[[#This Row],[Missed Games]]=0, 0,Table1[[#This Row],[Midranges]]/($AA$6-Table1[[#This Row],[Missed Games]]))</f>
        <v>0</v>
      </c>
      <c r="AG21" s="100">
        <f>SUM(AD42,AD62,AO62,AD82,AO82,AD102,AO42)</f>
        <v>0</v>
      </c>
      <c r="AH21" s="97">
        <f>IF($AA$6-Table1[[#This Row],[Missed Games]]=0, 0,Table1[[#This Row],[Threes]]/($AA$6-Table1[[#This Row],[Missed Games]]))</f>
        <v>0</v>
      </c>
      <c r="AI21" s="43" t="str">
        <f>SfW!C16</f>
        <v>Traffic Controllers</v>
      </c>
      <c r="AJ21" s="101">
        <f>SUM(AI42,AI62,AT62,AI82,AT82,AI102,AT42)</f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</v>
      </c>
      <c r="AR21" s="81">
        <f>AP21-Table1[[#This Row],[Points]]</f>
        <v>22</v>
      </c>
      <c r="AS21" s="87">
        <f>Table1[[#This Row],[Points]]/(20-AA$5-Table1[[#This Row],[Missed Games]])</f>
        <v>0</v>
      </c>
      <c r="AT21" s="92">
        <f>Table1[[#This Row],[Average]]-'[1]Stats Global'!R19</f>
        <v>-1.0588235294117647</v>
      </c>
      <c r="AU21" s="20">
        <f>(Table1[[#This Row],[Average]]-'[1]Stats Global'!R19)/'[1]Stats Global'!R19</f>
        <v>-1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>SUM(AA43,AA63,AL63,AA83,AL83,AA103,AL43)</f>
        <v>0</v>
      </c>
      <c r="AB22" s="45">
        <f>IF($AA$6-Table1[[#This Row],[Missed Games]]=0, 0,Table1[[#This Row],[Points]]/($AA$6-Table1[[#This Row],[Missed Games]]))</f>
        <v>0</v>
      </c>
      <c r="AC22" s="46">
        <f>SUM(AB43,AB63,AM63,AB83,AM83,AB103,AM43)</f>
        <v>0</v>
      </c>
      <c r="AD22" s="72">
        <f>IF($AA$6-Table1[[#This Row],[Missed Games]]=0, 0,Table1[[#This Row],[Finishes]]/($AA$6-Table1[[#This Row],[Missed Games]]))</f>
        <v>0</v>
      </c>
      <c r="AE22" s="46">
        <f>SUM(AC43,AC63,AN63,AC83,AN83,AC103,AN43)</f>
        <v>0</v>
      </c>
      <c r="AF22" s="72">
        <f>IF($AA$6-Table1[[#This Row],[Missed Games]]=0, 0,Table1[[#This Row],[Midranges]]/($AA$6-Table1[[#This Row],[Missed Games]]))</f>
        <v>0</v>
      </c>
      <c r="AG22" s="46">
        <f>SUM(AD43,AD63,AO63,AD83,AO83,AD103,AO43)</f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>SUM(AI43,AI63,AT63,AI83,AT83,AI103,AT43)</f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0</v>
      </c>
      <c r="AR22" s="81">
        <f>AP22-Table1[[#This Row],[Points]]</f>
        <v>49</v>
      </c>
      <c r="AS22" s="87">
        <f>Table1[[#This Row],[Points]]/(20-AA$5-Table1[[#This Row],[Missed Games]])</f>
        <v>0</v>
      </c>
      <c r="AT22" s="92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>SUM(AA44,AA64,AL64,AA84,AL84,AA104,AL44)</f>
        <v>0</v>
      </c>
      <c r="AB23" s="103">
        <f>IF($AA$6-Table1[[#This Row],[Missed Games]]=0, 0,Table1[[#This Row],[Points]]/($AA$6-Table1[[#This Row],[Missed Games]]))</f>
        <v>0</v>
      </c>
      <c r="AC23" s="100">
        <f>SUM(AB44,AB64,AM64,AB84,AM84,AB104,AM44)</f>
        <v>0</v>
      </c>
      <c r="AD23" s="102">
        <f>IF($AA$6-Table1[[#This Row],[Missed Games]]=0, 0,Table1[[#This Row],[Finishes]]/($AA$6-Table1[[#This Row],[Missed Games]]))</f>
        <v>0</v>
      </c>
      <c r="AE23" s="100">
        <f>SUM(AC44,AC64,AN64,AC84,AN84,AC104,AN44)</f>
        <v>0</v>
      </c>
      <c r="AF23" s="102">
        <f>IF($AA$6-Table1[[#This Row],[Missed Games]]=0, 0,Table1[[#This Row],[Midranges]]/($AA$6-Table1[[#This Row],[Missed Games]]))</f>
        <v>0</v>
      </c>
      <c r="AG23" s="100">
        <f>SUM(AD44,AD64,AO64,AD84,AO84,AD104,AO44)</f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>SUM(AI44,AI64,AT64,AI84,AT84,AI104,AT44)</f>
        <v>0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1">
        <f>AP23-Table1[[#This Row],[Points]]</f>
        <v>3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0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/>
      <c r="AB29" s="22"/>
      <c r="AC29" s="22"/>
      <c r="AD29" s="22"/>
      <c r="AE29" s="6"/>
      <c r="AF29" s="6"/>
      <c r="AG29" s="6"/>
      <c r="AH29" s="6"/>
      <c r="AI29" s="22"/>
      <c r="AK29" s="1" t="s">
        <v>25</v>
      </c>
      <c r="AL29" s="22"/>
      <c r="AM29" s="22"/>
      <c r="AN29" s="22"/>
      <c r="AO29" s="22"/>
      <c r="AP29" s="22"/>
      <c r="AQ29" s="22"/>
      <c r="AR29" s="22"/>
      <c r="AS29" s="22"/>
      <c r="AT29" s="22"/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/>
      <c r="AB30" s="22"/>
      <c r="AC30" s="22"/>
      <c r="AD30" s="22"/>
      <c r="AE30" s="22"/>
      <c r="AF30" s="22"/>
      <c r="AG30" s="22"/>
      <c r="AH30" s="22"/>
      <c r="AI30" s="22"/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/>
      <c r="AB31" s="22"/>
      <c r="AC31" s="22"/>
      <c r="AD31" s="22"/>
      <c r="AE31" s="22"/>
      <c r="AF31" s="22"/>
      <c r="AG31" s="22"/>
      <c r="AH31" s="22"/>
      <c r="AI31" s="22"/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/>
      <c r="AB32" s="22"/>
      <c r="AC32" s="22"/>
      <c r="AD32" s="22"/>
      <c r="AE32" s="22"/>
      <c r="AF32" s="22"/>
      <c r="AG32" s="22"/>
      <c r="AH32" s="22"/>
      <c r="AI32" s="22"/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/>
      <c r="AB33" s="22"/>
      <c r="AC33" s="22"/>
      <c r="AD33" s="22"/>
      <c r="AE33" s="22"/>
      <c r="AF33" s="22"/>
      <c r="AG33" s="22"/>
      <c r="AH33" s="22"/>
      <c r="AI33" s="22"/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/>
      <c r="AB34" s="22"/>
      <c r="AC34" s="22"/>
      <c r="AD34" s="22"/>
      <c r="AE34" s="22"/>
      <c r="AF34" s="22"/>
      <c r="AG34" s="22"/>
      <c r="AH34" s="22"/>
      <c r="AI34" s="22"/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/>
      <c r="AB35" s="22"/>
      <c r="AC35" s="22"/>
      <c r="AD35" s="22"/>
      <c r="AE35" s="22"/>
      <c r="AF35" s="22"/>
      <c r="AG35" s="22"/>
      <c r="AH35" s="22"/>
      <c r="AI35" s="22"/>
      <c r="AK35" t="s">
        <v>91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/>
      <c r="AB36" s="22"/>
      <c r="AC36" s="22"/>
      <c r="AD36" s="22"/>
      <c r="AE36" s="22"/>
      <c r="AF36" s="22"/>
      <c r="AG36" s="22"/>
      <c r="AH36" s="22"/>
      <c r="AI36" s="22"/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/>
      <c r="AB37" s="22"/>
      <c r="AC37" s="22"/>
      <c r="AD37" s="22"/>
      <c r="AE37" s="22"/>
      <c r="AF37" s="22"/>
      <c r="AG37" s="22"/>
      <c r="AH37" s="22"/>
      <c r="AI37" s="22"/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/>
      <c r="AB38" s="22"/>
      <c r="AC38" s="22"/>
      <c r="AD38" s="22"/>
      <c r="AE38" s="22"/>
      <c r="AF38" s="22"/>
      <c r="AG38" s="22"/>
      <c r="AH38" s="22"/>
      <c r="AI38" s="22"/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/>
      <c r="AB39" s="22"/>
      <c r="AC39" s="22"/>
      <c r="AD39" s="22"/>
      <c r="AE39" s="22"/>
      <c r="AF39" s="22"/>
      <c r="AG39" s="22"/>
      <c r="AH39" s="22"/>
      <c r="AI39" s="22"/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/>
      <c r="AB40" s="22"/>
      <c r="AC40" s="22"/>
      <c r="AD40" s="22"/>
      <c r="AE40" s="22"/>
      <c r="AF40" s="22"/>
      <c r="AG40" s="22"/>
      <c r="AH40" s="22"/>
      <c r="AI40" s="22"/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163</v>
      </c>
      <c r="S41">
        <f>'Statistics CT'!H3</f>
        <v>0</v>
      </c>
      <c r="T41" s="79" t="e">
        <f>S41/SUM(S41:S43)</f>
        <v>#DIV/0!</v>
      </c>
      <c r="U41" s="83">
        <v>0.32188841201716739</v>
      </c>
      <c r="V41" s="30">
        <v>0.36899999999999999</v>
      </c>
      <c r="W41" t="e">
        <f>T41*(6*(20-AA$5))</f>
        <v>#DIV/0!</v>
      </c>
      <c r="X41" s="13">
        <f>((MAX(U41:U43)+MAX(V41:V43))/2)*6*(20-AA5)</f>
        <v>43.255879828326172</v>
      </c>
      <c r="Y41" s="84">
        <v>1</v>
      </c>
      <c r="Z41" t="s">
        <v>52</v>
      </c>
      <c r="AA41" s="22"/>
      <c r="AB41" s="22"/>
      <c r="AC41" s="22"/>
      <c r="AD41" s="22"/>
      <c r="AE41" s="22"/>
      <c r="AF41" s="22"/>
      <c r="AG41" s="22"/>
      <c r="AH41" s="22"/>
      <c r="AI41" s="22"/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164</v>
      </c>
      <c r="S42">
        <f>'Statistics TC'!H3</f>
        <v>0</v>
      </c>
      <c r="T42" s="83" t="e">
        <f>S42/SUM(S41:S43)</f>
        <v>#DIV/0!</v>
      </c>
      <c r="U42" s="83">
        <v>0.35193133047210301</v>
      </c>
      <c r="V42" s="30">
        <v>0.26200000000000001</v>
      </c>
      <c r="W42" t="e">
        <f t="shared" ref="W42:W43" si="0">T42*(6*(20-AA$5))</f>
        <v>#DIV/0!</v>
      </c>
      <c r="X42" s="13">
        <f>6*(20-AA5)-X41-X43</f>
        <v>41.710815450643778</v>
      </c>
      <c r="Y42" s="84">
        <v>2</v>
      </c>
      <c r="Z42" t="s">
        <v>55</v>
      </c>
      <c r="AA42" s="22"/>
      <c r="AB42" s="22"/>
      <c r="AC42" s="22"/>
      <c r="AD42" s="22"/>
      <c r="AE42" s="22"/>
      <c r="AF42" s="22"/>
      <c r="AG42" s="22"/>
      <c r="AH42" s="22"/>
      <c r="AI42" s="22"/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0</v>
      </c>
      <c r="T43" s="83" t="e">
        <f>S43/SUM(S41:S43)</f>
        <v>#DIV/0!</v>
      </c>
      <c r="U43" s="83">
        <v>0.3261802575107296</v>
      </c>
      <c r="V43" s="30">
        <v>0.36899999999999999</v>
      </c>
      <c r="W43" t="e">
        <f t="shared" si="0"/>
        <v>#DIV/0!</v>
      </c>
      <c r="X43" s="13">
        <f>((MIN(U41:U43)+MIN(V41:V43))/2)*6*(20-AA5)</f>
        <v>35.033304721030049</v>
      </c>
      <c r="Y43" s="84">
        <v>3</v>
      </c>
      <c r="Z43" t="s">
        <v>192</v>
      </c>
      <c r="AA43" s="22"/>
      <c r="AB43" s="22"/>
      <c r="AC43" s="22"/>
      <c r="AD43" s="22"/>
      <c r="AE43" s="22"/>
      <c r="AF43" s="22"/>
      <c r="AG43" s="22"/>
      <c r="AH43" s="22"/>
      <c r="AI43" s="22"/>
      <c r="AK43" t="s">
        <v>192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206</v>
      </c>
      <c r="AA44" s="22"/>
      <c r="AB44" s="22"/>
      <c r="AC44" s="22"/>
      <c r="AD44" s="22"/>
      <c r="AE44" s="22"/>
      <c r="AF44" s="22"/>
      <c r="AG44" s="22"/>
      <c r="AH44" s="22"/>
      <c r="AI44" s="22"/>
      <c r="AK44" t="s">
        <v>206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155</v>
      </c>
      <c r="W45">
        <f>(20-AA6-AA5)*2</f>
        <v>40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20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215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0</v>
      </c>
      <c r="V49" s="12" t="e">
        <f>U49/AA6</f>
        <v>#DIV/0!</v>
      </c>
      <c r="W49" s="20" t="e">
        <f>U49/SUM($U$49:$U$51)</f>
        <v>#DIV/0!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0</v>
      </c>
      <c r="V50" s="12" t="e">
        <f>U50/AA6</f>
        <v>#DIV/0!</v>
      </c>
      <c r="W50" s="20" t="e">
        <f>U50/SUM($U$49:$U$51)</f>
        <v>#DIV/0!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0</v>
      </c>
      <c r="V51" s="12" t="e">
        <f>U51/AA6</f>
        <v>#DIV/0!</v>
      </c>
      <c r="W51" s="20" t="e">
        <f>U51/SUM($U$49:$U$51)</f>
        <v>#DIV/0!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</v>
      </c>
      <c r="V55" s="25">
        <f>'Statistics CT'!M42</f>
        <v>0</v>
      </c>
      <c r="W55" s="25">
        <f>AVERAGE(U55:V55)</f>
        <v>0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1</v>
      </c>
      <c r="U56" s="27" t="s">
        <v>105</v>
      </c>
      <c r="V56" s="25">
        <f>'Statistics TC'!J42</f>
        <v>0</v>
      </c>
      <c r="W56" s="25">
        <f>AVERAGE(T56:V56)</f>
        <v>0.5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1</v>
      </c>
      <c r="U57" s="25">
        <f>1-V56</f>
        <v>1</v>
      </c>
      <c r="V57" s="27" t="s">
        <v>105</v>
      </c>
      <c r="W57" s="25">
        <f>AVERAGE(T57:V57)</f>
        <v>1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216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0" workbookViewId="0">
      <selection activeCell="I16" sqref="I16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6"/>
      <c r="F3" s="106">
        <f>SUM(B4:B40)</f>
        <v>0</v>
      </c>
      <c r="G3" s="106">
        <f>SUM(C4:C40)</f>
        <v>0</v>
      </c>
      <c r="H3" s="106">
        <f>SUM(D4:D40)</f>
        <v>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0</v>
      </c>
      <c r="C4" s="107">
        <f>'Stats Global'!G5+'Stats Global'!G5</f>
        <v>0</v>
      </c>
      <c r="D4" s="107">
        <f>'Stats Global'!O5</f>
        <v>0</v>
      </c>
      <c r="E4" s="116"/>
      <c r="H4" s="54"/>
      <c r="J4" s="132">
        <f>'Stats Global'!M5</f>
        <v>0</v>
      </c>
      <c r="K4" s="132">
        <f>'Stats Global'!H5</f>
        <v>0</v>
      </c>
      <c r="L4" s="56"/>
      <c r="M4" s="132">
        <f>'Stats Global'!J5</f>
        <v>0</v>
      </c>
      <c r="N4" s="132">
        <f>'Stats Global'!G5</f>
        <v>0</v>
      </c>
      <c r="P4" s="70" t="str">
        <f>'Stats Global'!Z18</f>
        <v>Ryan Pattemore</v>
      </c>
      <c r="Q4" s="70">
        <f>'Stats Global'!AA18</f>
        <v>0</v>
      </c>
      <c r="R4" s="70">
        <f>'Stats Global'!AB18</f>
        <v>0</v>
      </c>
      <c r="S4" s="70">
        <f>'Stats Global'!AC18</f>
        <v>0</v>
      </c>
      <c r="T4" s="70">
        <f>'Stats Global'!AD18</f>
        <v>0</v>
      </c>
      <c r="U4" s="70">
        <f>'Stats Global'!AE18</f>
        <v>0</v>
      </c>
      <c r="V4" s="70">
        <f>'Stats Global'!AF18</f>
        <v>0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>
        <f>'Stats Global'!B6</f>
        <v>0</v>
      </c>
      <c r="B5" s="107">
        <f>'Stats Global'!F6</f>
        <v>0</v>
      </c>
      <c r="C5" s="107">
        <f>'Stats Global'!G6+'Stats Global'!G6</f>
        <v>0</v>
      </c>
      <c r="D5" s="107">
        <f>'Stats Global'!O6</f>
        <v>0</v>
      </c>
      <c r="E5" s="116"/>
      <c r="G5" s="52"/>
      <c r="H5" s="54"/>
      <c r="J5" s="132">
        <f>'Stats Global'!M6</f>
        <v>0</v>
      </c>
      <c r="K5" s="132">
        <f>'Stats Global'!H6</f>
        <v>0</v>
      </c>
      <c r="L5" s="56"/>
      <c r="M5" s="132">
        <f>'Stats Global'!J6</f>
        <v>0</v>
      </c>
      <c r="N5" s="132">
        <f>'Stats Global'!G6</f>
        <v>0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>
        <f>'Stats Global'!B7</f>
        <v>0</v>
      </c>
      <c r="B6" s="107">
        <f>'Stats Global'!F7</f>
        <v>0</v>
      </c>
      <c r="C6" s="107">
        <f>'Stats Global'!G7+'Stats Global'!G7</f>
        <v>0</v>
      </c>
      <c r="D6" s="107">
        <f>'Stats Global'!O7</f>
        <v>0</v>
      </c>
      <c r="E6" s="116"/>
      <c r="G6" s="52"/>
      <c r="H6" s="54"/>
      <c r="J6" s="132">
        <f>'Stats Global'!M7</f>
        <v>0</v>
      </c>
      <c r="K6" s="132">
        <f>'Stats Global'!H7</f>
        <v>0</v>
      </c>
      <c r="L6" s="56"/>
      <c r="M6" s="132">
        <f>'Stats Global'!J7</f>
        <v>0</v>
      </c>
      <c r="N6" s="132">
        <f>'Stats Global'!G7</f>
        <v>0</v>
      </c>
      <c r="P6" s="63" t="str">
        <f>'Stats Global'!Z10</f>
        <v>Alexander Galt</v>
      </c>
      <c r="Q6" s="63">
        <f>'Stats Global'!AA10</f>
        <v>0</v>
      </c>
      <c r="R6" s="63">
        <f>'Stats Global'!AB10</f>
        <v>0</v>
      </c>
      <c r="S6" s="63">
        <f>'Stats Global'!AC10</f>
        <v>0</v>
      </c>
      <c r="T6" s="63">
        <f>'Stats Global'!AD10</f>
        <v>0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E7" s="116"/>
      <c r="G7" s="52"/>
      <c r="H7" s="54"/>
      <c r="J7" s="132">
        <f>'Stats Global'!M8</f>
        <v>0</v>
      </c>
      <c r="K7" s="132">
        <f>'Stats Global'!H8</f>
        <v>0</v>
      </c>
      <c r="L7" s="56"/>
      <c r="M7" s="132">
        <f>'Stats Global'!J8</f>
        <v>0</v>
      </c>
      <c r="N7" s="132">
        <f>'Stats Global'!G8</f>
        <v>0</v>
      </c>
      <c r="P7" s="54" t="str">
        <f>'Stats Global'!Z11</f>
        <v>Rudy Hoschke</v>
      </c>
      <c r="Q7" s="54">
        <f>'Stats Global'!AA11</f>
        <v>0</v>
      </c>
      <c r="R7" s="54">
        <f>'Stats Global'!AB11</f>
        <v>0</v>
      </c>
      <c r="S7" s="54">
        <f>'Stats Global'!AC11</f>
        <v>0</v>
      </c>
      <c r="T7" s="54">
        <f>'Stats Global'!AD11</f>
        <v>0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E8" s="116"/>
      <c r="G8" s="52"/>
      <c r="H8" s="54"/>
      <c r="J8" s="132">
        <f>'Stats Global'!M9</f>
        <v>0</v>
      </c>
      <c r="K8" s="132">
        <f>'Stats Global'!H9</f>
        <v>0</v>
      </c>
      <c r="L8" s="56"/>
      <c r="M8" s="132">
        <f>'Stats Global'!J9</f>
        <v>0</v>
      </c>
      <c r="N8" s="132">
        <f>'Stats Global'!G9</f>
        <v>0</v>
      </c>
      <c r="P8" s="54" t="str">
        <f>'Stats Global'!Z20</f>
        <v>Christopher Tomkinson</v>
      </c>
      <c r="Q8" s="54">
        <f>'Stats Global'!AA20</f>
        <v>0</v>
      </c>
      <c r="R8" s="54">
        <f>'Stats Global'!AB20</f>
        <v>0</v>
      </c>
      <c r="S8" s="54">
        <f>'Stats Global'!AC20</f>
        <v>0</v>
      </c>
      <c r="T8" s="54">
        <f>'Stats Global'!AD20</f>
        <v>0</v>
      </c>
      <c r="U8" s="54">
        <f>'Stats Global'!AE20</f>
        <v>0</v>
      </c>
      <c r="V8" s="54">
        <f>'Stats Global'!AF20</f>
        <v>0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E9" s="116"/>
      <c r="G9" s="52"/>
      <c r="H9" s="54"/>
      <c r="J9" s="132">
        <f>'Stats Global'!M10</f>
        <v>0</v>
      </c>
      <c r="K9" s="132">
        <f>'Stats Global'!H10</f>
        <v>0</v>
      </c>
      <c r="L9" s="56"/>
      <c r="M9" s="132">
        <f>'Stats Global'!J10</f>
        <v>0</v>
      </c>
      <c r="N9" s="132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E10" s="116"/>
      <c r="G10" s="52"/>
      <c r="H10" s="54"/>
      <c r="J10" s="132">
        <f>'Stats Global'!M11</f>
        <v>0</v>
      </c>
      <c r="K10" s="132">
        <f>'Stats Global'!H11</f>
        <v>0</v>
      </c>
      <c r="L10" s="56"/>
      <c r="M10" s="132">
        <f>'Stats Global'!J11</f>
        <v>0</v>
      </c>
      <c r="N10" s="132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E11" s="116"/>
      <c r="G11" s="52"/>
      <c r="H11" s="54"/>
      <c r="J11" s="132">
        <f>'Stats Global'!M12</f>
        <v>0</v>
      </c>
      <c r="K11" s="132">
        <f>'Stats Global'!H12</f>
        <v>0</v>
      </c>
      <c r="L11" s="56"/>
      <c r="M11" s="132">
        <f>'Stats Global'!J12</f>
        <v>0</v>
      </c>
      <c r="N11" s="132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E12" s="116"/>
      <c r="G12" s="52"/>
      <c r="H12" s="54"/>
      <c r="J12" s="132">
        <f>'Stats Global'!M13</f>
        <v>0</v>
      </c>
      <c r="K12" s="132">
        <f>'Stats Global'!H13</f>
        <v>0</v>
      </c>
      <c r="L12" s="56"/>
      <c r="M12" s="132">
        <f>'Stats Global'!J13</f>
        <v>0</v>
      </c>
      <c r="N12" s="132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E13" s="116"/>
      <c r="H13" s="54"/>
      <c r="J13" s="132">
        <f>'Stats Global'!M14</f>
        <v>0</v>
      </c>
      <c r="K13" s="132">
        <f>'Stats Global'!H14</f>
        <v>0</v>
      </c>
      <c r="L13" s="56"/>
      <c r="M13" s="132">
        <f>'Stats Global'!J14</f>
        <v>0</v>
      </c>
      <c r="N13" s="132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E14" s="116"/>
      <c r="H14" s="54"/>
      <c r="J14" s="132">
        <f>'Stats Global'!M15</f>
        <v>0</v>
      </c>
      <c r="K14" s="132">
        <f>'Stats Global'!H15</f>
        <v>0</v>
      </c>
      <c r="L14" s="56"/>
      <c r="M14" s="132">
        <f>'Stats Global'!J15</f>
        <v>0</v>
      </c>
      <c r="N14" s="132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E15" s="116"/>
      <c r="H15" s="54"/>
      <c r="J15" s="132">
        <f>'Stats Global'!M16</f>
        <v>0</v>
      </c>
      <c r="K15" s="132">
        <f>'Stats Global'!H16</f>
        <v>0</v>
      </c>
      <c r="L15" s="56"/>
      <c r="M15" s="132">
        <f>'Stats Global'!J16</f>
        <v>0</v>
      </c>
      <c r="N15" s="132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E16" s="116"/>
      <c r="H16" s="54"/>
      <c r="J16" s="132">
        <f>'Stats Global'!M17</f>
        <v>0</v>
      </c>
      <c r="K16" s="132">
        <f>'Stats Global'!H17</f>
        <v>0</v>
      </c>
      <c r="L16" s="56"/>
      <c r="M16" s="132">
        <f>'Stats Global'!J17</f>
        <v>0</v>
      </c>
      <c r="N16" s="132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7"/>
      <c r="H17" s="54"/>
      <c r="J17" s="132">
        <f>'Stats Global'!M18</f>
        <v>0</v>
      </c>
      <c r="K17" s="132">
        <f>'Stats Global'!H18</f>
        <v>0</v>
      </c>
      <c r="L17" s="56"/>
      <c r="M17" s="132">
        <f>'Stats Global'!J18</f>
        <v>0</v>
      </c>
      <c r="N17" s="132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8"/>
      <c r="H18" s="54"/>
      <c r="J18" s="132">
        <f>'Stats Global'!M19</f>
        <v>0</v>
      </c>
      <c r="K18" s="132">
        <f>'Stats Global'!H19</f>
        <v>0</v>
      </c>
      <c r="L18" s="56"/>
      <c r="M18" s="132">
        <f>'Stats Global'!J19</f>
        <v>0</v>
      </c>
      <c r="N18" s="132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9"/>
      <c r="H19" s="54"/>
      <c r="J19" s="132">
        <f>'Stats Global'!M20</f>
        <v>0</v>
      </c>
      <c r="K19" s="132">
        <f>'Stats Global'!H20</f>
        <v>0</v>
      </c>
      <c r="L19" s="56"/>
      <c r="M19" s="132">
        <f>'Stats Global'!J20</f>
        <v>0</v>
      </c>
      <c r="N19" s="132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20"/>
      <c r="H20" s="54"/>
      <c r="J20" s="132">
        <f>'Stats Global'!M21</f>
        <v>0</v>
      </c>
      <c r="K20" s="132">
        <f>'Stats Global'!H21</f>
        <v>0</v>
      </c>
      <c r="L20" s="56"/>
      <c r="M20" s="132">
        <f>'Stats Global'!J21</f>
        <v>0</v>
      </c>
      <c r="N20" s="132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E21" s="116"/>
      <c r="H21" s="54"/>
      <c r="J21" s="132">
        <f>'Stats Global'!M22</f>
        <v>0</v>
      </c>
      <c r="K21" s="132">
        <f>'Stats Global'!H22</f>
        <v>0</v>
      </c>
      <c r="L21" s="56"/>
      <c r="M21" s="132">
        <f>'Stats Global'!J22</f>
        <v>0</v>
      </c>
      <c r="N21" s="132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E22" s="116"/>
      <c r="F22" s="57"/>
      <c r="H22" s="54"/>
      <c r="J22" s="132">
        <f>'Stats Global'!M23</f>
        <v>0</v>
      </c>
      <c r="K22" s="132">
        <f>'Stats Global'!H23</f>
        <v>0</v>
      </c>
      <c r="L22" s="56"/>
      <c r="M22" s="132">
        <f>'Stats Global'!J23</f>
        <v>0</v>
      </c>
      <c r="N22" s="132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1"/>
      <c r="F23" s="57"/>
      <c r="H23" s="54"/>
      <c r="J23" s="132">
        <f>'Stats Global'!M24</f>
        <v>0</v>
      </c>
      <c r="K23" s="132">
        <f>'Stats Global'!H24</f>
        <v>0</v>
      </c>
      <c r="L23" s="56"/>
      <c r="M23" s="132">
        <f>'Stats Global'!J24</f>
        <v>0</v>
      </c>
      <c r="N23" s="132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122"/>
      <c r="F24" s="57"/>
      <c r="H24" s="54"/>
      <c r="J24" s="132">
        <f>'Stats Global'!M25</f>
        <v>0</v>
      </c>
      <c r="K24" s="132">
        <f>'Stats Global'!H25</f>
        <v>0</v>
      </c>
      <c r="L24" s="56"/>
      <c r="M24" s="132">
        <f>'Stats Global'!J25</f>
        <v>0</v>
      </c>
      <c r="N24" s="132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122"/>
      <c r="H25" s="54"/>
      <c r="J25" s="132">
        <f>'Stats Global'!M26</f>
        <v>0</v>
      </c>
      <c r="K25" s="132">
        <f>'Stats Global'!H26</f>
        <v>0</v>
      </c>
      <c r="L25" s="56"/>
      <c r="M25" s="132">
        <f>'Stats Global'!J26</f>
        <v>0</v>
      </c>
      <c r="N25" s="132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E26" s="116"/>
      <c r="H26" s="54"/>
      <c r="J26" s="132">
        <f>'Stats Global'!M27</f>
        <v>0</v>
      </c>
      <c r="K26" s="132">
        <f>'Stats Global'!H27</f>
        <v>0</v>
      </c>
      <c r="L26" s="56"/>
      <c r="M26" s="132">
        <f>'Stats Global'!J27</f>
        <v>0</v>
      </c>
      <c r="N26" s="132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E27" s="116"/>
      <c r="H27" s="54"/>
      <c r="J27" s="132">
        <f>'Stats Global'!M28</f>
        <v>0</v>
      </c>
      <c r="K27" s="132">
        <f>'Stats Global'!H28</f>
        <v>0</v>
      </c>
      <c r="L27" s="56"/>
      <c r="M27" s="132">
        <f>'Stats Global'!J28</f>
        <v>0</v>
      </c>
      <c r="N27" s="132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E28" s="116"/>
      <c r="H28" s="54"/>
      <c r="J28" s="132">
        <f>'Stats Global'!M29</f>
        <v>0</v>
      </c>
      <c r="K28" s="132">
        <f>'Stats Global'!H29</f>
        <v>0</v>
      </c>
      <c r="L28" s="56"/>
      <c r="M28" s="132">
        <f>'Stats Global'!J29</f>
        <v>0</v>
      </c>
      <c r="N28" s="132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E29" s="116"/>
      <c r="H29" s="54"/>
      <c r="J29" s="132">
        <f>'Stats Global'!M30</f>
        <v>0</v>
      </c>
      <c r="K29" s="132">
        <f>'Stats Global'!H30</f>
        <v>0</v>
      </c>
      <c r="L29" s="56"/>
      <c r="M29" s="132">
        <f>'Stats Global'!J30</f>
        <v>0</v>
      </c>
      <c r="N29" s="132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E30" s="116"/>
      <c r="J30" s="132">
        <f>'Stats Global'!M31</f>
        <v>0</v>
      </c>
      <c r="K30" s="132">
        <f>'Stats Global'!H31</f>
        <v>0</v>
      </c>
      <c r="L30" s="56"/>
      <c r="M30" s="132">
        <f>'Stats Global'!J31</f>
        <v>0</v>
      </c>
      <c r="N30" s="132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E31" s="116"/>
      <c r="J31" s="132">
        <f>'Stats Global'!M32</f>
        <v>0</v>
      </c>
      <c r="K31" s="132">
        <f>'Stats Global'!H32</f>
        <v>0</v>
      </c>
      <c r="L31" s="56"/>
      <c r="M31" s="132">
        <f>'Stats Global'!J32</f>
        <v>0</v>
      </c>
      <c r="N31" s="132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E32" s="116"/>
      <c r="J32" s="132">
        <f>'Stats Global'!M33</f>
        <v>0</v>
      </c>
      <c r="K32" s="132">
        <f>'Stats Global'!H33</f>
        <v>0</v>
      </c>
      <c r="L32" s="56"/>
      <c r="M32" s="132">
        <f>'Stats Global'!J33</f>
        <v>0</v>
      </c>
      <c r="N32" s="132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E33" s="116"/>
      <c r="J33" s="132">
        <f>'Stats Global'!M34</f>
        <v>0</v>
      </c>
      <c r="K33" s="132">
        <f>'Stats Global'!H34</f>
        <v>0</v>
      </c>
      <c r="L33" s="56"/>
      <c r="M33" s="132">
        <f>'Stats Global'!J34</f>
        <v>0</v>
      </c>
      <c r="N33" s="132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E34" s="116"/>
      <c r="J34" s="132">
        <f>'Stats Global'!M35</f>
        <v>0</v>
      </c>
      <c r="K34" s="132">
        <f>'Stats Global'!H35</f>
        <v>0</v>
      </c>
      <c r="L34" s="56"/>
      <c r="M34" s="132">
        <f>'Stats Global'!J35</f>
        <v>0</v>
      </c>
      <c r="N34" s="132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E35" s="116"/>
      <c r="J35" s="132">
        <f>'Stats Global'!M36</f>
        <v>0</v>
      </c>
      <c r="K35" s="132">
        <f>'Stats Global'!H36</f>
        <v>0</v>
      </c>
      <c r="L35" s="56"/>
      <c r="M35" s="132">
        <f>'Stats Global'!J36</f>
        <v>0</v>
      </c>
      <c r="N35" s="132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E36" s="116"/>
      <c r="J36" s="132">
        <f>'Stats Global'!M37</f>
        <v>0</v>
      </c>
      <c r="K36" s="132">
        <f>'Stats Global'!H37</f>
        <v>0</v>
      </c>
      <c r="L36" s="56"/>
      <c r="M36" s="132">
        <f>'Stats Global'!J37</f>
        <v>0</v>
      </c>
      <c r="N36" s="132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E37" s="116"/>
      <c r="J37" s="132">
        <f>'Stats Global'!M38</f>
        <v>0</v>
      </c>
      <c r="K37" s="132">
        <f>'Stats Global'!H38</f>
        <v>0</v>
      </c>
      <c r="L37" s="56"/>
      <c r="M37" s="132">
        <f>'Stats Global'!J38</f>
        <v>0</v>
      </c>
      <c r="N37" s="132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E38" s="116"/>
      <c r="J38" s="132">
        <f>'Stats Global'!M39</f>
        <v>0</v>
      </c>
      <c r="K38" s="132">
        <f>'Stats Global'!H39</f>
        <v>0</v>
      </c>
      <c r="L38" s="56"/>
      <c r="M38" s="132">
        <f>'Stats Global'!J39</f>
        <v>0</v>
      </c>
      <c r="N38" s="132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E39" s="116"/>
      <c r="J39" s="132">
        <f>'Stats Global'!M40</f>
        <v>0</v>
      </c>
      <c r="K39" s="132">
        <f>'Stats Global'!H40</f>
        <v>0</v>
      </c>
      <c r="L39" s="56"/>
      <c r="M39" s="132">
        <f>'Stats Global'!J40</f>
        <v>0</v>
      </c>
      <c r="N39" s="132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E40" s="116"/>
      <c r="J40" s="132">
        <f>'Stats Global'!M41</f>
        <v>0</v>
      </c>
      <c r="K40" s="132">
        <f>'Stats Global'!H41</f>
        <v>0</v>
      </c>
      <c r="L40" s="56"/>
      <c r="M40" s="132">
        <f>'Stats Global'!J41</f>
        <v>0</v>
      </c>
      <c r="N40" s="132">
        <f>'Stats Global'!G41</f>
        <v>0</v>
      </c>
    </row>
    <row r="41" spans="1:14" ht="14.25" customHeight="1" x14ac:dyDescent="0.45">
      <c r="C41" s="76" t="e">
        <f>SUM(B4:B40)/SUM(B4:C40)</f>
        <v>#DIV/0!</v>
      </c>
      <c r="E41" s="116"/>
      <c r="H41" s="54"/>
      <c r="I41" s="52" t="s">
        <v>81</v>
      </c>
      <c r="J41" s="110">
        <f>SUM(J4:J40)</f>
        <v>0</v>
      </c>
      <c r="K41" s="110">
        <f>SUM(K4:K40)</f>
        <v>0</v>
      </c>
      <c r="L41" s="54"/>
      <c r="M41" s="110">
        <f>SUM(M4:M40)</f>
        <v>0</v>
      </c>
      <c r="N41" s="110">
        <f>SUM(N4:N40)</f>
        <v>0</v>
      </c>
    </row>
    <row r="42" spans="1:14" ht="14.25" customHeight="1" x14ac:dyDescent="0.45">
      <c r="J42" s="58">
        <f>IFERROR(J41/(K41+J41),0)</f>
        <v>0</v>
      </c>
      <c r="M42" s="58">
        <f>IFERROR(M41/(N41+M41),0)</f>
        <v>0</v>
      </c>
    </row>
    <row r="43" spans="1:14" ht="14.25" customHeight="1" x14ac:dyDescent="0.45">
      <c r="G43" s="59" t="str">
        <f>F3&amp;","&amp;G3&amp;","&amp;H3&amp;"],"</f>
        <v>0,0,0],</v>
      </c>
      <c r="I43" s="36" t="s">
        <v>106</v>
      </c>
      <c r="K43" s="36" t="s">
        <v>110</v>
      </c>
      <c r="M43" s="60">
        <f>IFERROR(ROUND((SUM(Table1114[Points]))/'Stats Global'!AA6,1),0)</f>
        <v>0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0,"N/A",0,"N/A",0,"N/A",0,"N/A"],</v>
      </c>
      <c r="I44" s="36" t="s">
        <v>107</v>
      </c>
      <c r="K44" s="61">
        <f>MAX(Table1114[Points])</f>
        <v>0</v>
      </c>
      <c r="L44" s="36" t="str">
        <f>IF(K44&lt;&gt;0, _xlfn.XLOOKUP(K44,Table1114[Points],Table1114[Name], "N/A"), "N/A")</f>
        <v>N/A</v>
      </c>
      <c r="M44" s="60">
        <f>IFERROR(ROUND((SUM(Table1114[Finishes]))/'Stats Global'!AA7,1),0)</f>
        <v>0</v>
      </c>
    </row>
    <row r="45" spans="1:14" ht="14.25" customHeight="1" x14ac:dyDescent="0.45">
      <c r="G45" s="36" t="str">
        <f>M43&amp;","&amp;M44&amp;","&amp;M45&amp;","&amp;M46&amp;","&amp;M47&amp;","&amp;M48&amp;"],"</f>
        <v>0,0,0,0,0,0],</v>
      </c>
      <c r="I45" s="36" t="s">
        <v>108</v>
      </c>
      <c r="K45" s="61">
        <f>MAX(Table1114[Finishes])</f>
        <v>0</v>
      </c>
      <c r="L45" s="36" t="str">
        <f>IF(K45&lt;&gt;0, _xlfn.XLOOKUP(K45,Table1114[Finishes],Table1114[Name], "N/A"), "N/A")</f>
        <v>N/A</v>
      </c>
      <c r="M45" s="60">
        <f>IFERROR(ROUND((SUM(Table1114[Midranges]))/'Stats Global'!AA8,1),0)</f>
        <v>0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0,0,0,0,0,0],</v>
      </c>
      <c r="I46" s="36" t="s">
        <v>109</v>
      </c>
      <c r="K46" s="61">
        <f>MAX(Table1114[Midranges])</f>
        <v>0</v>
      </c>
      <c r="L46" s="36" t="str">
        <f>IF(K46&lt;&gt;0, _xlfn.XLOOKUP(K46,Table1114[Midranges],Table1114[Name], "N/A"), "N/A")</f>
        <v>N/A</v>
      </c>
      <c r="M46" s="60">
        <f>IFERROR(ROUND((SUM(Table1114[Threes]))/'Stats Global'!AA9,1),0)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0</v>
      </c>
    </row>
    <row r="48" spans="1:14" ht="14.25" customHeight="1" x14ac:dyDescent="0.45">
      <c r="M48" s="36">
        <f>IFERROR(ROUND(G3/'Stats Global'!AA6,1),0)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zoomScale="78" workbookViewId="0">
      <selection activeCell="K4" sqref="K4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0</v>
      </c>
      <c r="G3" s="109">
        <f>SUM(C4:C40)</f>
        <v>0</v>
      </c>
      <c r="H3" s="109">
        <f>SUM(D4:D40)</f>
        <v>0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0</v>
      </c>
      <c r="C4" s="108">
        <f>'Stats Global'!M5+'Stats Global'!N5</f>
        <v>0</v>
      </c>
      <c r="D4" s="108">
        <f>'Stats Global'!Q5</f>
        <v>0</v>
      </c>
      <c r="J4" s="133">
        <f>'Stats Global'!K5</f>
        <v>0</v>
      </c>
      <c r="K4" s="133">
        <f>'Stats Global'!N5</f>
        <v>0</v>
      </c>
      <c r="L4" s="56"/>
      <c r="M4" s="54" t="str">
        <f>'Stats Global'!Z15</f>
        <v>Clarrie Jones</v>
      </c>
      <c r="N4" s="54">
        <f>'Stats Global'!AA15</f>
        <v>0</v>
      </c>
      <c r="O4" s="54">
        <f>'Stats Global'!AB15</f>
        <v>0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0</v>
      </c>
      <c r="U4" s="54">
        <f>'Stats Global'!AH15</f>
        <v>0</v>
      </c>
      <c r="V4" s="63">
        <f>'Stats Global'!AJ15</f>
        <v>0</v>
      </c>
    </row>
    <row r="5" spans="1:22" ht="14.25" customHeight="1" x14ac:dyDescent="0.45">
      <c r="A5" s="107">
        <f>'Stats Global'!B6</f>
        <v>0</v>
      </c>
      <c r="B5" s="108">
        <f>'Stats Global'!L6</f>
        <v>0</v>
      </c>
      <c r="C5" s="108">
        <f>'Stats Global'!M6+'Stats Global'!N6</f>
        <v>0</v>
      </c>
      <c r="D5" s="108">
        <f>'Stats Global'!Q6</f>
        <v>0</v>
      </c>
      <c r="H5" s="54"/>
      <c r="J5" s="55">
        <f>'Stats Global'!N6</f>
        <v>0</v>
      </c>
      <c r="K5" s="55">
        <f>'Stats Global'!K6</f>
        <v>0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>
        <f>'Stats Global'!B7</f>
        <v>0</v>
      </c>
      <c r="B6" s="108">
        <f>'Stats Global'!L7</f>
        <v>0</v>
      </c>
      <c r="C6" s="108">
        <f>'Stats Global'!M7+'Stats Global'!N7</f>
        <v>0</v>
      </c>
      <c r="D6" s="108">
        <f>'Stats Global'!Q7</f>
        <v>0</v>
      </c>
      <c r="G6" s="52"/>
      <c r="H6" s="54"/>
      <c r="J6" s="55">
        <f>'Stats Global'!N7</f>
        <v>0</v>
      </c>
      <c r="K6" s="55">
        <f>'Stats Global'!K7</f>
        <v>0</v>
      </c>
      <c r="L6" s="56"/>
      <c r="M6" s="54" t="str">
        <f>'Stats Global'!Z16</f>
        <v>William Kim</v>
      </c>
      <c r="N6" s="54">
        <f>'Stats Global'!AA16</f>
        <v>0</v>
      </c>
      <c r="O6" s="54">
        <f>'Stats Global'!AB16</f>
        <v>0</v>
      </c>
      <c r="P6" s="54">
        <f>'Stats Global'!AC16</f>
        <v>0</v>
      </c>
      <c r="Q6" s="54">
        <f>'Stats Global'!AD16</f>
        <v>0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0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0</v>
      </c>
      <c r="O8" s="54">
        <f>'Stats Global'!AB21</f>
        <v>0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0</v>
      </c>
      <c r="U8" s="54">
        <f>'Stats Global'!AH21</f>
        <v>0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 t="e">
        <f>SUM(B4:B40)/SUM(B4:C40)</f>
        <v>#DIV/0!</v>
      </c>
      <c r="H41" s="54"/>
      <c r="I41" s="36" t="s">
        <v>81</v>
      </c>
      <c r="J41" s="111">
        <f>SUM(J4:J40)</f>
        <v>0</v>
      </c>
      <c r="K41" s="111">
        <f>SUM(K4:K40)</f>
        <v>0</v>
      </c>
      <c r="L41" s="54"/>
      <c r="M41" s="54"/>
    </row>
    <row r="42" spans="1:14" ht="14.25" customHeight="1" x14ac:dyDescent="0.45">
      <c r="J42" s="58">
        <f>IFERROR(J41/(K41+J41),0)</f>
        <v>0</v>
      </c>
    </row>
    <row r="43" spans="1:14" ht="14.25" customHeight="1" x14ac:dyDescent="0.45">
      <c r="H43" s="59" t="str">
        <f>F3&amp;","&amp;G3&amp;","&amp;H3&amp;"],"</f>
        <v>0,0,0],</v>
      </c>
      <c r="I43" s="52"/>
      <c r="J43" s="36" t="s">
        <v>106</v>
      </c>
      <c r="L43" s="36" t="s">
        <v>110</v>
      </c>
      <c r="N43" s="60">
        <f>IFERROR(ROUND((SUM(Table1114[Points]))/'Stats Global'!AB6,1),0)</f>
        <v>0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0,"N/A",0,"N/A",0,"N/A",0,"N/A"],</v>
      </c>
      <c r="J44" s="36" t="s">
        <v>107</v>
      </c>
      <c r="L44" s="61">
        <f>MAX(Table1113[Points])</f>
        <v>0</v>
      </c>
      <c r="M44" s="36" t="str">
        <f>IF(L44&lt;&gt;0, _xlfn.XLOOKUP(L44,Table1113[Points],Table1113[Name], "N/A"), "N/A")</f>
        <v>N/A</v>
      </c>
      <c r="N44" s="60">
        <f>IFERROR(ROUND((SUM(Table1113[Finishes]))/'Stats Global'!AB7,1),0)</f>
        <v>0</v>
      </c>
    </row>
    <row r="45" spans="1:14" ht="14.25" customHeight="1" x14ac:dyDescent="0.45">
      <c r="H45" s="36" t="str">
        <f>N43&amp;","&amp;N44&amp;","&amp;N45&amp;","&amp;N46&amp;","&amp;N47&amp;","&amp;N48&amp;"],"</f>
        <v>0,0,0,0,0,0],</v>
      </c>
      <c r="J45" s="36" t="s">
        <v>108</v>
      </c>
      <c r="L45" s="61">
        <f>MAX(Table1113[Finishes])</f>
        <v>0</v>
      </c>
      <c r="M45" s="36" t="str">
        <f>IF(L45&lt;&gt;0, _xlfn.XLOOKUP(L45,Table1113[Finishes],Table1113[Name], "N/A"), "N/A")</f>
        <v>N/A</v>
      </c>
      <c r="N45" s="60">
        <f>IFERROR(ROUND((SUM(Table1113[Midranges]))/'Stats Global'!AB8,1),0)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0,0,100,0,0,0],</v>
      </c>
      <c r="J46" s="36" t="s">
        <v>109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Global'!AB9,1),0)</f>
        <v>0</v>
      </c>
    </row>
    <row r="47" spans="1:14" ht="14.25" customHeight="1" x14ac:dyDescent="0.45">
      <c r="L47" s="61">
        <f>MAX(Table1113[Threes])</f>
        <v>0</v>
      </c>
      <c r="M47" s="36" t="str">
        <f>IF(L47&lt;&gt;0, _xlfn.XLOOKUP(L47,Table1113[Threes],Table1113[Name], "N/A"), "N/A")</f>
        <v>N/A</v>
      </c>
      <c r="N47" s="36">
        <f>IFERROR(ROUND(F3/'Stats Global'!AA6,1),0)</f>
        <v>0</v>
      </c>
    </row>
    <row r="48" spans="1:14" ht="14.25" customHeight="1" x14ac:dyDescent="0.45">
      <c r="N48" s="36">
        <f>IFERROR(ROUND(G3/'Stats Global'!AA6,1),0)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/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0</v>
      </c>
      <c r="F3" s="109">
        <f>SUM(C4:C40)</f>
        <v>0</v>
      </c>
      <c r="G3" s="109">
        <f>SUM(D4:D40)</f>
        <v>0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0</v>
      </c>
      <c r="C4" s="108">
        <f>'Stats Global'!J5+'Stats Global'!K5</f>
        <v>0</v>
      </c>
      <c r="D4" s="108">
        <f>'Stats Global'!P5</f>
        <v>0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>
        <f>'Stats Global'!B6</f>
        <v>0</v>
      </c>
      <c r="B5" s="108">
        <f>'Stats Global'!I6</f>
        <v>0</v>
      </c>
      <c r="C5" s="108">
        <f>'Stats Global'!J6+'Stats Global'!K6</f>
        <v>0</v>
      </c>
      <c r="D5" s="108">
        <f>'Stats Global'!P6</f>
        <v>0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>
        <f>'Stats Global'!B7</f>
        <v>0</v>
      </c>
      <c r="B6" s="108">
        <f>'Stats Global'!I7</f>
        <v>0</v>
      </c>
      <c r="C6" s="108">
        <f>'Stats Global'!J7+'Stats Global'!K7</f>
        <v>0</v>
      </c>
      <c r="D6" s="108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0</v>
      </c>
      <c r="K6" s="54">
        <f>'Stats Global'!AB12</f>
        <v>0</v>
      </c>
      <c r="L6" s="54">
        <f>'Stats Global'!AC12</f>
        <v>0</v>
      </c>
      <c r="M6" s="54">
        <f>'Stats Global'!AD12</f>
        <v>0</v>
      </c>
      <c r="N6" s="54">
        <f>'Stats Global'!AE12</f>
        <v>0</v>
      </c>
      <c r="O6" s="54">
        <f>'Stats Global'!AF12</f>
        <v>0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0</v>
      </c>
      <c r="K7" s="54">
        <f>'Stats Global'!AB13</f>
        <v>0</v>
      </c>
      <c r="L7" s="54">
        <f>'Stats Global'!AC13</f>
        <v>0</v>
      </c>
      <c r="M7" s="54">
        <f>'Stats Global'!AD13</f>
        <v>0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0</v>
      </c>
      <c r="K8" s="54">
        <f>'Stats Global'!AB17</f>
        <v>0</v>
      </c>
      <c r="L8" s="54">
        <f>'Stats Global'!AC17</f>
        <v>0</v>
      </c>
      <c r="M8" s="54">
        <f>'Stats Global'!AD17</f>
        <v>0</v>
      </c>
      <c r="N8" s="54">
        <f>'Stats Global'!AE17</f>
        <v>0</v>
      </c>
      <c r="O8" s="54">
        <f>'Stats Global'!AF17</f>
        <v>0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0</v>
      </c>
      <c r="K9" s="54">
        <f>'Stats Global'!AB22</f>
        <v>0</v>
      </c>
      <c r="L9" s="54">
        <f>'Stats Global'!AC22</f>
        <v>0</v>
      </c>
      <c r="M9" s="54">
        <f>'Stats Global'!AD22</f>
        <v>0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0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0,0,0],</v>
      </c>
      <c r="I32" s="52"/>
      <c r="J32" s="36" t="s">
        <v>106</v>
      </c>
      <c r="L32" s="36" t="s">
        <v>110</v>
      </c>
      <c r="N32" s="60">
        <f>IFERROR(ROUND((SUM(Table11[Points]))/'Stats Global'!#REF!,1),0)</f>
        <v>0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0,"N/A",0,"N/A",0,"N/A",0,"N/A"],</v>
      </c>
      <c r="J33" s="36" t="s">
        <v>107</v>
      </c>
      <c r="L33" s="61">
        <f>MAX(Table11[Points])</f>
        <v>0</v>
      </c>
      <c r="M33" s="36" t="str">
        <f>IF(L33&lt;&gt;0, _xlfn.XLOOKUP(L39,J5:J10,I5:I10, "N/A"), "N/A")</f>
        <v>N/A</v>
      </c>
      <c r="N33" s="60">
        <f>IFERROR(ROUND((SUM(Table11[Finishes]))/'Stats Global'!#REF!,1),0)</f>
        <v>0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0,0,0,0,0,0],</v>
      </c>
      <c r="J34" s="36" t="s">
        <v>108</v>
      </c>
      <c r="L34" s="61">
        <f>MAX(Table11[Finishes])</f>
        <v>0</v>
      </c>
      <c r="M34" s="36" t="str">
        <f>IF(L33&lt;&gt;0, _xlfn.XLOOKUP(L39,K5:K10,I5:I10, "N/A"), "N/A")</f>
        <v>N/A</v>
      </c>
      <c r="N34" s="60">
        <f>IFERROR(ROUND((SUM(Table11[Midranges]))/'Stats Global'!#REF!,1),0)</f>
        <v>0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0,0,100,0,0,100],</v>
      </c>
      <c r="J35" s="36" t="s">
        <v>109</v>
      </c>
      <c r="L35" s="61">
        <f>MAX(Table11[Midranges])</f>
        <v>0</v>
      </c>
      <c r="M35" s="36" t="str">
        <f>IF(L33&lt;&gt;0, _xlfn.XLOOKUP(L39,L5:L10,I5:I10, "N/A"), "N/A")</f>
        <v>N/A</v>
      </c>
      <c r="N35" s="60">
        <f>IFERROR(ROUND((SUM(Table11[Threes]))/'Stats Global'!#REF!,1),0)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_xlfn.XLOOKUP(L39,M5:M10,I5:I10, "N/A"), "N/A")</f>
        <v>N/A</v>
      </c>
      <c r="N36" s="36">
        <f>IFERROR(ROUND(E3/'Stats Global'!AA6,1),0)</f>
        <v>0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0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  <c r="E40" s="116"/>
      <c r="F40" s="116"/>
    </row>
    <row r="41" spans="1:14" ht="14.25" customHeight="1" x14ac:dyDescent="0.45">
      <c r="C41" s="76" t="e">
        <f>SUM(B4:B40)/SUM(B4:C40)</f>
        <v>#DIV/0!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abSelected="1" zoomScale="50" workbookViewId="0">
      <selection activeCell="AB12" sqref="AB12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214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f>IF(O3&lt;&gt;0,IF(AND(P3&gt;P4,P3&gt;P5),3,IF(OR(P3&gt;P4,P3&gt;P5),2,1)),0)</f>
        <v>0</v>
      </c>
      <c r="S3" s="1" t="s">
        <v>25</v>
      </c>
      <c r="T3" s="6">
        <f t="shared" ref="T3:T18" si="0">COUNTIF($F$3:$F$40, S3)+W3</f>
        <v>0</v>
      </c>
      <c r="U3" s="7">
        <f t="shared" ref="U3:U18" si="1">COUNTIFS($F$3:$F$40, $S3,$G$3:$G$40,"Finish")</f>
        <v>0</v>
      </c>
      <c r="V3" s="7">
        <f t="shared" ref="V3:V18" si="2">COUNTIFS($F$3:$F$40, $S3,$G$3:$G$40,"Midrange")</f>
        <v>0</v>
      </c>
      <c r="W3" s="7">
        <f t="shared" ref="W3:W18" si="3">COUNTIFS($F$3:$F$40, $S3,$G$3:$G$40,"Three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213</v>
      </c>
      <c r="C4" s="130"/>
      <c r="D4" s="130"/>
      <c r="E4" s="130"/>
      <c r="F4" s="130"/>
      <c r="G4" s="130"/>
      <c r="H4" s="130"/>
      <c r="I4" s="130"/>
      <c r="J4" s="130"/>
      <c r="K4" s="130"/>
      <c r="M4" s="1" t="s">
        <v>164</v>
      </c>
      <c r="N4" s="1">
        <f>COUNTIF(AA4:AA39,"*")-COUNTIF(AA4:AA39,"")</f>
        <v>0</v>
      </c>
      <c r="O4" s="1">
        <f>K45+L45</f>
        <v>0</v>
      </c>
      <c r="P4" s="8" t="e">
        <f t="shared" ref="P4:P5" si="4">N4/(N4+O4)</f>
        <v>#DIV/0!</v>
      </c>
      <c r="Q4" s="1">
        <f>IF(O4&lt;&gt;0,IF(AND(P4&gt;P3,P4&gt;P5),3,IF(OR(P4&gt;P3,P4&gt;P5),2,1)),0)</f>
        <v>0</v>
      </c>
      <c r="S4" s="1" t="s">
        <v>26</v>
      </c>
      <c r="T4" s="6">
        <f t="shared" si="0"/>
        <v>0</v>
      </c>
      <c r="U4" s="7">
        <f t="shared" si="1"/>
        <v>0</v>
      </c>
      <c r="V4" s="7">
        <f t="shared" si="2"/>
        <v>0</v>
      </c>
      <c r="W4" s="7">
        <f t="shared" si="3"/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0"/>
      <c r="D5" s="130"/>
      <c r="E5" s="130"/>
      <c r="F5" s="130"/>
      <c r="G5" s="130"/>
      <c r="H5" s="130"/>
      <c r="I5" s="130"/>
      <c r="J5" s="130"/>
      <c r="K5" s="130"/>
      <c r="M5" s="1" t="s">
        <v>35</v>
      </c>
      <c r="N5" s="1">
        <f>COUNTIF(AB4:AB39,"*")-COUNTIF(AB4:AB39,"")</f>
        <v>0</v>
      </c>
      <c r="O5" s="1">
        <f>N45+O45</f>
        <v>0</v>
      </c>
      <c r="P5" s="8" t="e">
        <f t="shared" si="4"/>
        <v>#DIV/0!</v>
      </c>
      <c r="Q5" s="1">
        <f>IF(O5&lt;&gt;0,IF(AND(P5&gt;P4, P5&gt;P3), 3, IF(OR(P5&gt;P4, P5&gt;P3), 2, 1)),0)</f>
        <v>0</v>
      </c>
      <c r="S5" s="1" t="s">
        <v>27</v>
      </c>
      <c r="T5" s="6">
        <f t="shared" si="0"/>
        <v>0</v>
      </c>
      <c r="U5" s="7">
        <f t="shared" si="1"/>
        <v>0</v>
      </c>
      <c r="V5" s="7">
        <f t="shared" si="2"/>
        <v>0</v>
      </c>
      <c r="W5" s="7">
        <f t="shared" si="3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0"/>
      <c r="D6" s="130"/>
      <c r="E6" s="130"/>
      <c r="F6" s="130"/>
      <c r="G6" s="130"/>
      <c r="H6" s="130"/>
      <c r="I6" s="130"/>
      <c r="J6" s="130"/>
      <c r="K6" s="130"/>
      <c r="S6" s="1" t="s">
        <v>30</v>
      </c>
      <c r="T6" s="6">
        <f t="shared" si="0"/>
        <v>0</v>
      </c>
      <c r="U6" s="7">
        <f t="shared" si="1"/>
        <v>0</v>
      </c>
      <c r="V6" s="7">
        <f t="shared" si="2"/>
        <v>0</v>
      </c>
      <c r="W6" s="7">
        <f t="shared" si="3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0"/>
      <c r="D7" s="130"/>
      <c r="E7" s="130"/>
      <c r="F7" s="130"/>
      <c r="G7" s="130"/>
      <c r="H7" s="130"/>
      <c r="I7" s="130"/>
      <c r="J7" s="130"/>
      <c r="K7" s="130"/>
      <c r="S7" s="1" t="s">
        <v>32</v>
      </c>
      <c r="T7" s="6">
        <f t="shared" si="0"/>
        <v>0</v>
      </c>
      <c r="U7" s="7">
        <f t="shared" si="1"/>
        <v>0</v>
      </c>
      <c r="V7" s="7">
        <f t="shared" si="2"/>
        <v>0</v>
      </c>
      <c r="W7" s="7">
        <f t="shared" si="3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0"/>
      <c r="D8" s="130"/>
      <c r="E8" s="130"/>
      <c r="F8" s="130"/>
      <c r="G8" s="130"/>
      <c r="H8" s="130"/>
      <c r="I8" s="130"/>
      <c r="J8" s="130"/>
      <c r="K8" s="130"/>
      <c r="S8" s="1" t="s">
        <v>37</v>
      </c>
      <c r="T8" s="6">
        <f t="shared" si="0"/>
        <v>0</v>
      </c>
      <c r="U8" s="7">
        <f t="shared" si="1"/>
        <v>0</v>
      </c>
      <c r="V8" s="7">
        <f t="shared" si="2"/>
        <v>0</v>
      </c>
      <c r="W8" s="7">
        <f t="shared" si="3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0"/>
      <c r="D9" s="130"/>
      <c r="E9" s="130"/>
      <c r="F9" s="130"/>
      <c r="G9" s="130"/>
      <c r="H9" s="130"/>
      <c r="I9" s="130"/>
      <c r="J9" s="130"/>
      <c r="K9" s="130"/>
      <c r="S9" t="s">
        <v>91</v>
      </c>
      <c r="T9" s="6">
        <f t="shared" si="0"/>
        <v>0</v>
      </c>
      <c r="U9" s="7">
        <f t="shared" si="1"/>
        <v>0</v>
      </c>
      <c r="V9" s="7">
        <f t="shared" si="2"/>
        <v>0</v>
      </c>
      <c r="W9" s="7">
        <f t="shared" si="3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0"/>
      <c r="D10" s="130"/>
      <c r="E10" s="130"/>
      <c r="F10" s="130"/>
      <c r="G10" s="130"/>
      <c r="H10" s="130"/>
      <c r="I10" s="130"/>
      <c r="J10" s="130"/>
      <c r="K10" s="130"/>
      <c r="S10" s="1" t="s">
        <v>39</v>
      </c>
      <c r="T10" s="6">
        <f t="shared" si="0"/>
        <v>0</v>
      </c>
      <c r="U10" s="7">
        <f t="shared" si="1"/>
        <v>0</v>
      </c>
      <c r="V10" s="7">
        <f t="shared" si="2"/>
        <v>0</v>
      </c>
      <c r="W10" s="7">
        <f t="shared" si="3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S11" s="1" t="s">
        <v>41</v>
      </c>
      <c r="T11" s="6">
        <f t="shared" si="0"/>
        <v>0</v>
      </c>
      <c r="U11" s="7">
        <f t="shared" si="1"/>
        <v>0</v>
      </c>
      <c r="V11" s="7">
        <f t="shared" si="2"/>
        <v>0</v>
      </c>
      <c r="W11" s="7">
        <f t="shared" si="3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S12" s="1" t="s">
        <v>44</v>
      </c>
      <c r="T12" s="6">
        <f t="shared" si="0"/>
        <v>0</v>
      </c>
      <c r="U12" s="7">
        <f t="shared" si="1"/>
        <v>0</v>
      </c>
      <c r="V12" s="7">
        <f t="shared" si="2"/>
        <v>0</v>
      </c>
      <c r="W12" s="7">
        <f t="shared" si="3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45">
      <c r="S13" s="1" t="s">
        <v>46</v>
      </c>
      <c r="T13" s="6">
        <f t="shared" si="0"/>
        <v>0</v>
      </c>
      <c r="U13" s="7">
        <f t="shared" si="1"/>
        <v>0</v>
      </c>
      <c r="V13" s="7">
        <f t="shared" si="2"/>
        <v>0</v>
      </c>
      <c r="W13" s="7">
        <f t="shared" si="3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S14" s="1" t="s">
        <v>49</v>
      </c>
      <c r="T14" s="6">
        <f t="shared" si="0"/>
        <v>0</v>
      </c>
      <c r="U14" s="7">
        <f t="shared" si="1"/>
        <v>0</v>
      </c>
      <c r="V14" s="7">
        <f t="shared" si="2"/>
        <v>0</v>
      </c>
      <c r="W14" s="7">
        <f t="shared" si="3"/>
        <v>0</v>
      </c>
      <c r="X14" s="19" t="b">
        <v>0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45">
      <c r="S15" s="1" t="s">
        <v>52</v>
      </c>
      <c r="T15" s="6">
        <f t="shared" si="0"/>
        <v>0</v>
      </c>
      <c r="U15" s="7">
        <f t="shared" si="1"/>
        <v>0</v>
      </c>
      <c r="V15" s="7">
        <f t="shared" si="2"/>
        <v>0</v>
      </c>
      <c r="W15" s="7">
        <f t="shared" si="3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S16" s="1" t="s">
        <v>55</v>
      </c>
      <c r="T16" s="6">
        <f t="shared" si="0"/>
        <v>0</v>
      </c>
      <c r="U16" s="7">
        <f t="shared" si="1"/>
        <v>0</v>
      </c>
      <c r="V16" s="7">
        <f t="shared" si="2"/>
        <v>0</v>
      </c>
      <c r="W16" s="7">
        <f t="shared" si="3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19:32" ht="14.25" customHeight="1" x14ac:dyDescent="0.45">
      <c r="S17" s="1" t="s">
        <v>192</v>
      </c>
      <c r="T17" s="6">
        <f t="shared" si="0"/>
        <v>0</v>
      </c>
      <c r="U17" s="7">
        <f t="shared" si="1"/>
        <v>0</v>
      </c>
      <c r="V17" s="7">
        <f t="shared" si="2"/>
        <v>0</v>
      </c>
      <c r="W17" s="7">
        <f t="shared" si="3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19:32" ht="14.25" customHeight="1" x14ac:dyDescent="0.45">
      <c r="S18" s="125" t="s">
        <v>206</v>
      </c>
      <c r="T18" s="6">
        <f t="shared" si="0"/>
        <v>0</v>
      </c>
      <c r="U18" s="7">
        <f t="shared" si="1"/>
        <v>0</v>
      </c>
      <c r="V18" s="7">
        <f t="shared" si="2"/>
        <v>0</v>
      </c>
      <c r="W18" s="7">
        <f t="shared" si="3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19:32" ht="14.25" customHeight="1" x14ac:dyDescent="0.45"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19:32" ht="14.25" customHeight="1" x14ac:dyDescent="0.45"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19:32" ht="14.25" customHeight="1" x14ac:dyDescent="0.45"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19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19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19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19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19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19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19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19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19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19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19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0,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:Z74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0</v>
      </c>
      <c r="R45">
        <f>Q4</f>
        <v>0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"Missed":[0,0,0,0,0,0,0,0,0,0,0,0,0,0,0,0],</v>
      </c>
      <c r="U45" s="10"/>
    </row>
    <row r="46" spans="3:28" ht="14.25" customHeight="1" x14ac:dyDescent="0.45">
      <c r="T46" s="10" t="s">
        <v>212</v>
      </c>
      <c r="U46" s="10"/>
    </row>
    <row r="47" spans="3:28" ht="14.25" customHeight="1" x14ac:dyDescent="0.45"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J35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214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f>IF(O3&lt;&gt;0,IF(AND(P3&gt;P4,P3&gt;P5),3,IF(OR(P3&gt;P4,P3&gt;P5),2,1)),0)</f>
        <v>0</v>
      </c>
      <c r="S3" s="1" t="s">
        <v>25</v>
      </c>
      <c r="T3" s="6">
        <f t="shared" ref="T3:T18" si="0">COUNTIF($F$3:$F$40, S3)+W3</f>
        <v>0</v>
      </c>
      <c r="U3" s="7">
        <f t="shared" ref="U3:U18" si="1">COUNTIFS($F$3:$F$40, $S3,$G$3:$G$40,"Finish")</f>
        <v>0</v>
      </c>
      <c r="V3" s="7">
        <f t="shared" ref="V3:V18" si="2">COUNTIFS($F$3:$F$40, $S3,$G$3:$G$40,"Midrange")</f>
        <v>0</v>
      </c>
      <c r="W3" s="7">
        <f t="shared" ref="W3:W18" si="3">COUNTIFS($F$3:$F$40, $S3,$G$3:$G$40,"Three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213</v>
      </c>
      <c r="C4" s="130"/>
      <c r="D4" s="130"/>
      <c r="E4" s="130"/>
      <c r="F4" s="130"/>
      <c r="G4" s="130"/>
      <c r="H4" s="130"/>
      <c r="I4" s="130"/>
      <c r="J4" s="130"/>
      <c r="K4" s="130"/>
      <c r="M4" s="1" t="s">
        <v>164</v>
      </c>
      <c r="N4" s="1">
        <f>COUNTIF(AA4:AA39,"*")-COUNTIF(AA4:AA39,"")</f>
        <v>0</v>
      </c>
      <c r="O4" s="1">
        <f>K45+L45</f>
        <v>0</v>
      </c>
      <c r="P4" s="8" t="e">
        <f t="shared" ref="P4:P5" si="4">N4/(N4+O4)</f>
        <v>#DIV/0!</v>
      </c>
      <c r="Q4" s="1">
        <f>IF(O4&lt;&gt;0,IF(AND(P4&gt;P3,P4&gt;P5),3,IF(OR(P4&gt;P3,P4&gt;P5),2,1)),0)</f>
        <v>0</v>
      </c>
      <c r="S4" s="1" t="s">
        <v>26</v>
      </c>
      <c r="T4" s="6">
        <f t="shared" si="0"/>
        <v>0</v>
      </c>
      <c r="U4" s="7">
        <f t="shared" si="1"/>
        <v>0</v>
      </c>
      <c r="V4" s="7">
        <f t="shared" si="2"/>
        <v>0</v>
      </c>
      <c r="W4" s="7">
        <f t="shared" si="3"/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0"/>
      <c r="D5" s="130"/>
      <c r="E5" s="130"/>
      <c r="F5" s="130"/>
      <c r="G5" s="130"/>
      <c r="H5" s="130"/>
      <c r="I5" s="130"/>
      <c r="J5" s="130"/>
      <c r="K5" s="130"/>
      <c r="M5" s="1" t="s">
        <v>35</v>
      </c>
      <c r="N5" s="1">
        <f>COUNTIF(AB4:AB39,"*")-COUNTIF(AB4:AB39,"")</f>
        <v>0</v>
      </c>
      <c r="O5" s="1">
        <f>N45+O45</f>
        <v>0</v>
      </c>
      <c r="P5" s="8" t="e">
        <f t="shared" si="4"/>
        <v>#DIV/0!</v>
      </c>
      <c r="Q5" s="1">
        <f>IF(O5&lt;&gt;0,IF(AND(P5&gt;P4, P5&gt;P3), 3, IF(OR(P5&gt;P4, P5&gt;P3), 2, 1)),0)</f>
        <v>0</v>
      </c>
      <c r="S5" s="1" t="s">
        <v>27</v>
      </c>
      <c r="T5" s="6">
        <f t="shared" si="0"/>
        <v>0</v>
      </c>
      <c r="U5" s="7">
        <f t="shared" si="1"/>
        <v>0</v>
      </c>
      <c r="V5" s="7">
        <f t="shared" si="2"/>
        <v>0</v>
      </c>
      <c r="W5" s="7">
        <f t="shared" si="3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0"/>
      <c r="D6" s="130"/>
      <c r="E6" s="130"/>
      <c r="F6" s="130"/>
      <c r="G6" s="130"/>
      <c r="H6" s="130"/>
      <c r="I6" s="130"/>
      <c r="J6" s="130"/>
      <c r="K6" s="130"/>
      <c r="S6" s="1" t="s">
        <v>30</v>
      </c>
      <c r="T6" s="6">
        <f t="shared" si="0"/>
        <v>0</v>
      </c>
      <c r="U6" s="7">
        <f t="shared" si="1"/>
        <v>0</v>
      </c>
      <c r="V6" s="7">
        <f t="shared" si="2"/>
        <v>0</v>
      </c>
      <c r="W6" s="7">
        <f t="shared" si="3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0"/>
      <c r="D7" s="130"/>
      <c r="E7" s="130"/>
      <c r="F7" s="130"/>
      <c r="G7" s="130"/>
      <c r="H7" s="130"/>
      <c r="I7" s="130"/>
      <c r="J7" s="130"/>
      <c r="K7" s="130"/>
      <c r="S7" s="1" t="s">
        <v>32</v>
      </c>
      <c r="T7" s="6">
        <f t="shared" si="0"/>
        <v>0</v>
      </c>
      <c r="U7" s="7">
        <f t="shared" si="1"/>
        <v>0</v>
      </c>
      <c r="V7" s="7">
        <f t="shared" si="2"/>
        <v>0</v>
      </c>
      <c r="W7" s="7">
        <f t="shared" si="3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0"/>
      <c r="D8" s="130"/>
      <c r="E8" s="130"/>
      <c r="F8" s="130"/>
      <c r="G8" s="130"/>
      <c r="H8" s="130"/>
      <c r="I8" s="130"/>
      <c r="J8" s="130"/>
      <c r="K8" s="130"/>
      <c r="S8" s="1" t="s">
        <v>37</v>
      </c>
      <c r="T8" s="6">
        <f t="shared" si="0"/>
        <v>0</v>
      </c>
      <c r="U8" s="7">
        <f t="shared" si="1"/>
        <v>0</v>
      </c>
      <c r="V8" s="7">
        <f t="shared" si="2"/>
        <v>0</v>
      </c>
      <c r="W8" s="7">
        <f t="shared" si="3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0"/>
      <c r="D9" s="130"/>
      <c r="E9" s="130"/>
      <c r="F9" s="130"/>
      <c r="G9" s="130"/>
      <c r="H9" s="130"/>
      <c r="I9" s="130"/>
      <c r="J9" s="130"/>
      <c r="K9" s="130"/>
      <c r="S9" t="s">
        <v>91</v>
      </c>
      <c r="T9" s="6">
        <f t="shared" si="0"/>
        <v>0</v>
      </c>
      <c r="U9" s="7">
        <f t="shared" si="1"/>
        <v>0</v>
      </c>
      <c r="V9" s="7">
        <f t="shared" si="2"/>
        <v>0</v>
      </c>
      <c r="W9" s="7">
        <f t="shared" si="3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0"/>
      <c r="D10" s="130"/>
      <c r="E10" s="130"/>
      <c r="F10" s="130"/>
      <c r="G10" s="130"/>
      <c r="H10" s="130"/>
      <c r="I10" s="130"/>
      <c r="J10" s="130"/>
      <c r="K10" s="130"/>
      <c r="S10" s="1" t="s">
        <v>39</v>
      </c>
      <c r="T10" s="6">
        <f t="shared" si="0"/>
        <v>0</v>
      </c>
      <c r="U10" s="7">
        <f t="shared" si="1"/>
        <v>0</v>
      </c>
      <c r="V10" s="7">
        <f t="shared" si="2"/>
        <v>0</v>
      </c>
      <c r="W10" s="7">
        <f t="shared" si="3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S11" s="1" t="s">
        <v>41</v>
      </c>
      <c r="T11" s="6">
        <f t="shared" si="0"/>
        <v>0</v>
      </c>
      <c r="U11" s="7">
        <f t="shared" si="1"/>
        <v>0</v>
      </c>
      <c r="V11" s="7">
        <f t="shared" si="2"/>
        <v>0</v>
      </c>
      <c r="W11" s="7">
        <f t="shared" si="3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S12" s="1" t="s">
        <v>44</v>
      </c>
      <c r="T12" s="6">
        <f t="shared" si="0"/>
        <v>0</v>
      </c>
      <c r="U12" s="7">
        <f t="shared" si="1"/>
        <v>0</v>
      </c>
      <c r="V12" s="7">
        <f t="shared" si="2"/>
        <v>0</v>
      </c>
      <c r="W12" s="7">
        <f t="shared" si="3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45">
      <c r="S13" s="1" t="s">
        <v>46</v>
      </c>
      <c r="T13" s="6">
        <f t="shared" si="0"/>
        <v>0</v>
      </c>
      <c r="U13" s="7">
        <f t="shared" si="1"/>
        <v>0</v>
      </c>
      <c r="V13" s="7">
        <f t="shared" si="2"/>
        <v>0</v>
      </c>
      <c r="W13" s="7">
        <f t="shared" si="3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S14" s="1" t="s">
        <v>49</v>
      </c>
      <c r="T14" s="6">
        <f t="shared" si="0"/>
        <v>0</v>
      </c>
      <c r="U14" s="7">
        <f t="shared" si="1"/>
        <v>0</v>
      </c>
      <c r="V14" s="7">
        <f t="shared" si="2"/>
        <v>0</v>
      </c>
      <c r="W14" s="7">
        <f t="shared" si="3"/>
        <v>0</v>
      </c>
      <c r="X14" s="19" t="b">
        <v>0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45">
      <c r="S15" s="1" t="s">
        <v>52</v>
      </c>
      <c r="T15" s="6">
        <f t="shared" si="0"/>
        <v>0</v>
      </c>
      <c r="U15" s="7">
        <f t="shared" si="1"/>
        <v>0</v>
      </c>
      <c r="V15" s="7">
        <f t="shared" si="2"/>
        <v>0</v>
      </c>
      <c r="W15" s="7">
        <f t="shared" si="3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S16" s="1" t="s">
        <v>55</v>
      </c>
      <c r="T16" s="6">
        <f t="shared" si="0"/>
        <v>0</v>
      </c>
      <c r="U16" s="7">
        <f t="shared" si="1"/>
        <v>0</v>
      </c>
      <c r="V16" s="7">
        <f t="shared" si="2"/>
        <v>0</v>
      </c>
      <c r="W16" s="7">
        <f t="shared" si="3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19:32" ht="14.25" customHeight="1" x14ac:dyDescent="0.45">
      <c r="S17" s="1" t="s">
        <v>192</v>
      </c>
      <c r="T17" s="6">
        <f t="shared" si="0"/>
        <v>0</v>
      </c>
      <c r="U17" s="7">
        <f t="shared" si="1"/>
        <v>0</v>
      </c>
      <c r="V17" s="7">
        <f t="shared" si="2"/>
        <v>0</v>
      </c>
      <c r="W17" s="7">
        <f t="shared" si="3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19:32" ht="14.25" customHeight="1" x14ac:dyDescent="0.45">
      <c r="S18" s="125" t="s">
        <v>206</v>
      </c>
      <c r="T18" s="6">
        <f t="shared" si="0"/>
        <v>0</v>
      </c>
      <c r="U18" s="7">
        <f t="shared" si="1"/>
        <v>0</v>
      </c>
      <c r="V18" s="7">
        <f t="shared" si="2"/>
        <v>0</v>
      </c>
      <c r="W18" s="7">
        <f t="shared" si="3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19:32" ht="14.25" customHeight="1" x14ac:dyDescent="0.45"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19:32" ht="14.25" customHeight="1" x14ac:dyDescent="0.45"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19:32" ht="14.25" customHeight="1" x14ac:dyDescent="0.45"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19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19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19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19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19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19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19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19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19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19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19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0,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4: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0</v>
      </c>
      <c r="R45">
        <f>Q4</f>
        <v>0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"Missed":[0,0,0,0,0,0,0,0,0,0,0,0,0,0,0,0],</v>
      </c>
      <c r="U45" s="10"/>
    </row>
    <row r="46" spans="3:28" ht="14.25" customHeight="1" x14ac:dyDescent="0.45">
      <c r="T46" s="10" t="s">
        <v>212</v>
      </c>
      <c r="U46" s="10"/>
    </row>
    <row r="47" spans="3:28" ht="14.25" customHeight="1" x14ac:dyDescent="0.45"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SfW</vt:lpstr>
      <vt:lpstr>Stats Global</vt:lpstr>
      <vt:lpstr>Statistics CT</vt:lpstr>
      <vt:lpstr>Statistics TC</vt:lpstr>
      <vt:lpstr>Statistics GM</vt:lpstr>
      <vt:lpstr>Template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2024-01-24T00:01:45Z</dcterms:modified>
</cp:coreProperties>
</file>