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89EE14A-931C-429E-8901-6F2AD6F1B2D1}" xr6:coauthVersionLast="47" xr6:coauthVersionMax="47" xr10:uidLastSave="{00000000-0000-0000-0000-000000000000}"/>
  <bookViews>
    <workbookView xWindow="-98" yWindow="-98" windowWidth="22695" windowHeight="14595" activeTab="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7" l="1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3" i="7"/>
  <c r="T44" i="7"/>
  <c r="W38" i="7"/>
  <c r="T38" i="7"/>
  <c r="U38" i="7"/>
  <c r="V38" i="7"/>
  <c r="S38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V23" i="7"/>
  <c r="T23" i="7"/>
  <c r="U23" i="7"/>
  <c r="S23" i="7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D65" i="2"/>
  <c r="E65" i="2"/>
  <c r="F65" i="2"/>
  <c r="G65" i="2"/>
  <c r="H65" i="2"/>
  <c r="I65" i="2"/>
  <c r="J65" i="2"/>
  <c r="K65" i="2"/>
  <c r="L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T9" i="7"/>
  <c r="U9" i="7"/>
  <c r="V9" i="7"/>
  <c r="S9" i="7" s="1"/>
  <c r="T10" i="7"/>
  <c r="U10" i="7"/>
  <c r="V10" i="7"/>
  <c r="S10" i="7" s="1"/>
  <c r="T11" i="7"/>
  <c r="U11" i="7"/>
  <c r="V11" i="7"/>
  <c r="S11" i="7" s="1"/>
  <c r="T12" i="7"/>
  <c r="U12" i="7"/>
  <c r="V12" i="7"/>
  <c r="S12" i="7" s="1"/>
  <c r="T13" i="7"/>
  <c r="U13" i="7"/>
  <c r="V13" i="7"/>
  <c r="S13" i="7" s="1"/>
  <c r="T14" i="7"/>
  <c r="U14" i="7"/>
  <c r="V14" i="7"/>
  <c r="S14" i="7" s="1"/>
  <c r="S15" i="7"/>
  <c r="T15" i="7"/>
  <c r="U15" i="7"/>
  <c r="V15" i="7"/>
  <c r="T16" i="7"/>
  <c r="U16" i="7"/>
  <c r="V16" i="7"/>
  <c r="S16" i="7" s="1"/>
  <c r="S17" i="7"/>
  <c r="T17" i="7"/>
  <c r="U17" i="7"/>
  <c r="V17" i="7"/>
  <c r="T18" i="7"/>
  <c r="U18" i="7"/>
  <c r="V18" i="7"/>
  <c r="S18" i="7" s="1"/>
  <c r="AI17" i="3"/>
  <c r="AI18" i="3"/>
  <c r="AI19" i="3"/>
  <c r="AI20" i="3"/>
  <c r="AI21" i="3"/>
  <c r="AI22" i="3"/>
  <c r="AI23" i="3"/>
  <c r="Z19" i="3"/>
  <c r="Z20" i="3"/>
  <c r="Z21" i="3"/>
  <c r="M8" i="5" s="1"/>
  <c r="Z22" i="3"/>
  <c r="P5" i="4" s="1"/>
  <c r="Z23" i="3"/>
  <c r="I9" i="6" s="1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M4" i="4"/>
  <c r="N4" i="4"/>
  <c r="K4" i="4"/>
  <c r="J4" i="4"/>
  <c r="J41" i="4" s="1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I7" i="6" s="1"/>
  <c r="Z11" i="3"/>
  <c r="I6" i="6" s="1"/>
  <c r="Z12" i="3"/>
  <c r="P8" i="4" s="1"/>
  <c r="Z13" i="3"/>
  <c r="I8" i="6" s="1"/>
  <c r="Z14" i="3"/>
  <c r="P7" i="4" s="1"/>
  <c r="Z15" i="3"/>
  <c r="M4" i="5" s="1"/>
  <c r="Z16" i="3"/>
  <c r="M7" i="5" s="1"/>
  <c r="Z17" i="3"/>
  <c r="Z18" i="3"/>
  <c r="P4" i="4" s="1"/>
  <c r="P6" i="4"/>
  <c r="Z8" i="3"/>
  <c r="M5" i="5" s="1"/>
  <c r="B4" i="5"/>
  <c r="J4" i="5"/>
  <c r="D4" i="4"/>
  <c r="C4" i="4"/>
  <c r="B4" i="4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H45" i="7" s="1"/>
  <c r="Y6" i="7"/>
  <c r="AA5" i="7"/>
  <c r="L45" i="7" s="1"/>
  <c r="Z5" i="7"/>
  <c r="Y5" i="7"/>
  <c r="AA4" i="7"/>
  <c r="Z4" i="7"/>
  <c r="Y4" i="7"/>
  <c r="B4" i="6"/>
  <c r="D4" i="6"/>
  <c r="D4" i="5"/>
  <c r="A4" i="5"/>
  <c r="N5" i="7"/>
  <c r="M5" i="7"/>
  <c r="M4" i="7"/>
  <c r="N4" i="7"/>
  <c r="N3" i="7"/>
  <c r="M3" i="7"/>
  <c r="M6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N27" i="4"/>
  <c r="M27" i="4"/>
  <c r="L49" i="2"/>
  <c r="AA6" i="3"/>
  <c r="W45" i="3" s="1"/>
  <c r="X43" i="3"/>
  <c r="X41" i="3"/>
  <c r="N45" i="7" l="1"/>
  <c r="I45" i="7"/>
  <c r="O45" i="7"/>
  <c r="A4" i="6"/>
  <c r="C6" i="5"/>
  <c r="C6" i="6"/>
  <c r="A6" i="4"/>
  <c r="A6" i="5"/>
  <c r="A5" i="4"/>
  <c r="A5" i="5"/>
  <c r="F3" i="5"/>
  <c r="E3" i="6"/>
  <c r="C5" i="4"/>
  <c r="G3" i="4" s="1"/>
  <c r="V6" i="3"/>
  <c r="D5" i="5"/>
  <c r="H3" i="5" s="1"/>
  <c r="B5" i="4"/>
  <c r="C5" i="5"/>
  <c r="K45" i="7"/>
  <c r="K4" i="5"/>
  <c r="AJ9" i="3"/>
  <c r="R5" i="6" s="1"/>
  <c r="AJ8" i="3"/>
  <c r="V5" i="5" s="1"/>
  <c r="AA4" i="3"/>
  <c r="X42" i="3"/>
  <c r="C4" i="6" l="1"/>
  <c r="C4" i="5"/>
  <c r="G3" i="5" s="1"/>
  <c r="H43" i="5" s="1"/>
  <c r="AE7" i="2" s="1"/>
  <c r="AD21" i="2" s="1"/>
  <c r="C5" i="6"/>
  <c r="F3" i="6" s="1"/>
  <c r="C41" i="5"/>
  <c r="C41" i="6"/>
  <c r="C41" i="4"/>
  <c r="F3" i="4"/>
  <c r="D5" i="6"/>
  <c r="G3" i="6" s="1"/>
  <c r="U6" i="3"/>
  <c r="D5" i="4"/>
  <c r="H3" i="4" s="1"/>
  <c r="L3" i="2"/>
  <c r="L50" i="2" s="1"/>
  <c r="AP9" i="3"/>
  <c r="L4" i="2"/>
  <c r="L51" i="2" s="1"/>
  <c r="AP8" i="3"/>
  <c r="G43" i="4" l="1"/>
  <c r="AE3" i="2" s="1"/>
  <c r="AD17" i="2" s="1"/>
  <c r="H32" i="6"/>
  <c r="AE11" i="2" s="1"/>
  <c r="AD25" i="2" s="1"/>
  <c r="T6" i="3"/>
  <c r="S6" i="3"/>
  <c r="AJ10" i="3"/>
  <c r="R7" i="6" s="1"/>
  <c r="AJ11" i="3"/>
  <c r="AJ12" i="3"/>
  <c r="Y8" i="4" s="1"/>
  <c r="AJ13" i="3"/>
  <c r="R8" i="6" s="1"/>
  <c r="AJ14" i="3"/>
  <c r="Y7" i="4" s="1"/>
  <c r="AJ15" i="3"/>
  <c r="AJ17" i="3"/>
  <c r="AJ19" i="3"/>
  <c r="AJ20" i="3"/>
  <c r="Y6" i="4" s="1"/>
  <c r="AJ21" i="3"/>
  <c r="V8" i="5" s="1"/>
  <c r="AJ22" i="3"/>
  <c r="Y5" i="4" s="1"/>
  <c r="AJ23" i="3"/>
  <c r="AJ16" i="3"/>
  <c r="V7" i="5" s="1"/>
  <c r="AJ18" i="3"/>
  <c r="L13" i="2" s="1"/>
  <c r="L10" i="2" l="1"/>
  <c r="L57" i="2" s="1"/>
  <c r="V4" i="5"/>
  <c r="L9" i="2"/>
  <c r="L56" i="2" s="1"/>
  <c r="L8" i="2"/>
  <c r="L55" i="2" s="1"/>
  <c r="L7" i="2"/>
  <c r="L54" i="2" s="1"/>
  <c r="L17" i="2"/>
  <c r="R9" i="6"/>
  <c r="L12" i="2"/>
  <c r="L59" i="2" s="1"/>
  <c r="V6" i="5"/>
  <c r="L6" i="2"/>
  <c r="L53" i="2" s="1"/>
  <c r="R6" i="6"/>
  <c r="L14" i="2"/>
  <c r="L5" i="2"/>
  <c r="L52" i="2" s="1"/>
  <c r="AA16" i="3"/>
  <c r="N7" i="5" s="1"/>
  <c r="AP21" i="3"/>
  <c r="L15" i="2"/>
  <c r="AP22" i="3"/>
  <c r="L16" i="2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P6" i="5" s="1"/>
  <c r="AC9" i="3"/>
  <c r="L5" i="6" s="1"/>
  <c r="AG19" i="3"/>
  <c r="AG11" i="3"/>
  <c r="P6" i="6" s="1"/>
  <c r="AE23" i="3"/>
  <c r="N9" i="6" s="1"/>
  <c r="AE22" i="3"/>
  <c r="U5" i="4" s="1"/>
  <c r="AE14" i="3"/>
  <c r="U7" i="4" s="1"/>
  <c r="C45" i="7"/>
  <c r="V8" i="7"/>
  <c r="U8" i="7"/>
  <c r="T8" i="7"/>
  <c r="V7" i="7"/>
  <c r="U7" i="7"/>
  <c r="T7" i="7"/>
  <c r="V6" i="7"/>
  <c r="S6" i="7" s="1"/>
  <c r="U6" i="7"/>
  <c r="T6" i="7"/>
  <c r="V5" i="7"/>
  <c r="U5" i="7"/>
  <c r="T5" i="7"/>
  <c r="P5" i="7"/>
  <c r="J45" i="7"/>
  <c r="V4" i="7"/>
  <c r="U4" i="7"/>
  <c r="T4" i="7"/>
  <c r="P4" i="7"/>
  <c r="M45" i="7"/>
  <c r="V3" i="7"/>
  <c r="U3" i="7"/>
  <c r="T3" i="7"/>
  <c r="P3" i="7"/>
  <c r="W14" i="2"/>
  <c r="S8" i="7" l="1"/>
  <c r="S4" i="7"/>
  <c r="B35" i="2"/>
  <c r="AC8" i="3"/>
  <c r="P5" i="5" s="1"/>
  <c r="AE17" i="3"/>
  <c r="R6" i="5" s="1"/>
  <c r="AE20" i="3"/>
  <c r="U6" i="4" s="1"/>
  <c r="AC21" i="3"/>
  <c r="P8" i="5" s="1"/>
  <c r="AC11" i="3"/>
  <c r="L6" i="6" s="1"/>
  <c r="AC20" i="3"/>
  <c r="S6" i="4" s="1"/>
  <c r="AC23" i="3"/>
  <c r="L9" i="6" s="1"/>
  <c r="AG23" i="3"/>
  <c r="P9" i="6" s="1"/>
  <c r="AG13" i="3"/>
  <c r="P8" i="6" s="1"/>
  <c r="AE11" i="3"/>
  <c r="N6" i="6" s="1"/>
  <c r="AE18" i="3"/>
  <c r="U4" i="4" s="1"/>
  <c r="AG22" i="3"/>
  <c r="W5" i="4" s="1"/>
  <c r="AG8" i="3"/>
  <c r="T5" i="5" s="1"/>
  <c r="AG10" i="3"/>
  <c r="P7" i="6" s="1"/>
  <c r="AE16" i="3"/>
  <c r="R7" i="5" s="1"/>
  <c r="AC14" i="3"/>
  <c r="S7" i="4" s="1"/>
  <c r="AG14" i="3"/>
  <c r="W7" i="4" s="1"/>
  <c r="AG20" i="3"/>
  <c r="W6" i="4" s="1"/>
  <c r="AE8" i="3"/>
  <c r="R5" i="5" s="1"/>
  <c r="AC10" i="3"/>
  <c r="L7" i="6" s="1"/>
  <c r="AE13" i="3"/>
  <c r="N8" i="6" s="1"/>
  <c r="AC19" i="3"/>
  <c r="AG16" i="3"/>
  <c r="T7" i="5" s="1"/>
  <c r="AG17" i="3"/>
  <c r="T6" i="5" s="1"/>
  <c r="AG9" i="3"/>
  <c r="P5" i="6" s="1"/>
  <c r="AG12" i="3"/>
  <c r="W8" i="4" s="1"/>
  <c r="AE10" i="3"/>
  <c r="N7" i="6" s="1"/>
  <c r="AC16" i="3"/>
  <c r="P7" i="5" s="1"/>
  <c r="AG21" i="3"/>
  <c r="T8" i="5" s="1"/>
  <c r="AE19" i="3"/>
  <c r="AE9" i="3"/>
  <c r="N5" i="6" s="1"/>
  <c r="AE12" i="3"/>
  <c r="U8" i="4" s="1"/>
  <c r="AE15" i="3"/>
  <c r="R4" i="5" s="1"/>
  <c r="AC13" i="3"/>
  <c r="L8" i="6" s="1"/>
  <c r="AG18" i="3"/>
  <c r="W4" i="4" s="1"/>
  <c r="AC22" i="3"/>
  <c r="S5" i="4" s="1"/>
  <c r="AC12" i="3"/>
  <c r="S8" i="4" s="1"/>
  <c r="AC15" i="3"/>
  <c r="P4" i="5" s="1"/>
  <c r="AC18" i="3"/>
  <c r="S4" i="4" s="1"/>
  <c r="AG15" i="3"/>
  <c r="T4" i="5" s="1"/>
  <c r="AE21" i="3"/>
  <c r="R8" i="5" s="1"/>
  <c r="V78" i="3"/>
  <c r="T78" i="3"/>
  <c r="U78" i="3"/>
  <c r="K6" i="4"/>
  <c r="K6" i="5"/>
  <c r="M6" i="4"/>
  <c r="J6" i="5"/>
  <c r="J6" i="4"/>
  <c r="N6" i="4"/>
  <c r="F45" i="7"/>
  <c r="S5" i="7"/>
  <c r="S3" i="7"/>
  <c r="O5" i="7"/>
  <c r="G45" i="7"/>
  <c r="S7" i="7"/>
  <c r="O3" i="7"/>
  <c r="O4" i="7"/>
  <c r="R45" i="7" s="1"/>
  <c r="D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7" i="4"/>
  <c r="K7" i="4"/>
  <c r="M7" i="4"/>
  <c r="N7" i="4"/>
  <c r="J8" i="4"/>
  <c r="K8" i="4"/>
  <c r="M8" i="4"/>
  <c r="N8" i="4"/>
  <c r="J9" i="4"/>
  <c r="K9" i="4"/>
  <c r="M9" i="4"/>
  <c r="N9" i="4"/>
  <c r="J10" i="4"/>
  <c r="K10" i="4"/>
  <c r="M10" i="4"/>
  <c r="N10" i="4"/>
  <c r="J11" i="4"/>
  <c r="K11" i="4"/>
  <c r="M11" i="4"/>
  <c r="N11" i="4"/>
  <c r="J12" i="4"/>
  <c r="K12" i="4"/>
  <c r="M12" i="4"/>
  <c r="N12" i="4"/>
  <c r="J13" i="4"/>
  <c r="K13" i="4"/>
  <c r="M13" i="4"/>
  <c r="N13" i="4"/>
  <c r="J14" i="4"/>
  <c r="K14" i="4"/>
  <c r="M14" i="4"/>
  <c r="N14" i="4"/>
  <c r="J15" i="4"/>
  <c r="K15" i="4"/>
  <c r="M15" i="4"/>
  <c r="N15" i="4"/>
  <c r="J16" i="4"/>
  <c r="K16" i="4"/>
  <c r="M16" i="4"/>
  <c r="N16" i="4"/>
  <c r="J17" i="4"/>
  <c r="K17" i="4"/>
  <c r="M17" i="4"/>
  <c r="N17" i="4"/>
  <c r="J18" i="4"/>
  <c r="K18" i="4"/>
  <c r="M18" i="4"/>
  <c r="N18" i="4"/>
  <c r="J19" i="4"/>
  <c r="K19" i="4"/>
  <c r="M19" i="4"/>
  <c r="N19" i="4"/>
  <c r="J20" i="4"/>
  <c r="K20" i="4"/>
  <c r="M20" i="4"/>
  <c r="N20" i="4"/>
  <c r="J21" i="4"/>
  <c r="K21" i="4"/>
  <c r="M21" i="4"/>
  <c r="N21" i="4"/>
  <c r="J22" i="4"/>
  <c r="K22" i="4"/>
  <c r="M22" i="4"/>
  <c r="N22" i="4"/>
  <c r="J23" i="4"/>
  <c r="K23" i="4"/>
  <c r="M23" i="4"/>
  <c r="N23" i="4"/>
  <c r="J24" i="4"/>
  <c r="K24" i="4"/>
  <c r="M24" i="4"/>
  <c r="N24" i="4"/>
  <c r="J25" i="4"/>
  <c r="K25" i="4"/>
  <c r="M25" i="4"/>
  <c r="N25" i="4"/>
  <c r="J26" i="4"/>
  <c r="K26" i="4"/>
  <c r="M26" i="4"/>
  <c r="N26" i="4"/>
  <c r="J27" i="4"/>
  <c r="K27" i="4"/>
  <c r="J28" i="4"/>
  <c r="K28" i="4"/>
  <c r="M28" i="4"/>
  <c r="N28" i="4"/>
  <c r="J29" i="4"/>
  <c r="K29" i="4"/>
  <c r="M29" i="4"/>
  <c r="N29" i="4"/>
  <c r="J30" i="4"/>
  <c r="K30" i="4"/>
  <c r="M30" i="4"/>
  <c r="N30" i="4"/>
  <c r="J31" i="4"/>
  <c r="K31" i="4"/>
  <c r="M31" i="4"/>
  <c r="N31" i="4"/>
  <c r="J32" i="4"/>
  <c r="K32" i="4"/>
  <c r="M32" i="4"/>
  <c r="N32" i="4"/>
  <c r="J33" i="4"/>
  <c r="K33" i="4"/>
  <c r="M33" i="4"/>
  <c r="N33" i="4"/>
  <c r="J34" i="4"/>
  <c r="K34" i="4"/>
  <c r="M34" i="4"/>
  <c r="N34" i="4"/>
  <c r="J35" i="4"/>
  <c r="K35" i="4"/>
  <c r="M35" i="4"/>
  <c r="N35" i="4"/>
  <c r="J36" i="4"/>
  <c r="K36" i="4"/>
  <c r="M36" i="4"/>
  <c r="N36" i="4"/>
  <c r="J37" i="4"/>
  <c r="K37" i="4"/>
  <c r="M37" i="4"/>
  <c r="N37" i="4"/>
  <c r="J38" i="4"/>
  <c r="K38" i="4"/>
  <c r="M38" i="4"/>
  <c r="N38" i="4"/>
  <c r="J39" i="4"/>
  <c r="K39" i="4"/>
  <c r="M39" i="4"/>
  <c r="N39" i="4"/>
  <c r="J40" i="4"/>
  <c r="K40" i="4"/>
  <c r="M40" i="4"/>
  <c r="N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B26" i="2" l="1"/>
  <c r="E45" i="7"/>
  <c r="N34" i="6"/>
  <c r="N45" i="5"/>
  <c r="N33" i="6"/>
  <c r="N35" i="6"/>
  <c r="N44" i="5"/>
  <c r="N46" i="5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N8" i="5" s="1"/>
  <c r="AA9" i="3"/>
  <c r="AA20" i="3"/>
  <c r="Q6" i="4" s="1"/>
  <c r="AA15" i="3"/>
  <c r="AA18" i="3"/>
  <c r="AA8" i="3"/>
  <c r="N5" i="5" s="1"/>
  <c r="AS16" i="3"/>
  <c r="AA10" i="3"/>
  <c r="J7" i="6" s="1"/>
  <c r="AA19" i="3"/>
  <c r="AA14" i="3"/>
  <c r="Q7" i="4" s="1"/>
  <c r="AA22" i="3"/>
  <c r="Q5" i="4" s="1"/>
  <c r="AA23" i="3"/>
  <c r="J9" i="6" s="1"/>
  <c r="AA12" i="3"/>
  <c r="Q8" i="4" s="1"/>
  <c r="AA13" i="3"/>
  <c r="J8" i="6" s="1"/>
  <c r="AA11" i="3"/>
  <c r="J6" i="6" s="1"/>
  <c r="AA17" i="3"/>
  <c r="N6" i="5" s="1"/>
  <c r="P45" i="7"/>
  <c r="Q45" i="7"/>
  <c r="AD13" i="3"/>
  <c r="M8" i="6" s="1"/>
  <c r="N5" i="4"/>
  <c r="N41" i="4" s="1"/>
  <c r="K5" i="5"/>
  <c r="K41" i="5" s="1"/>
  <c r="K5" i="4"/>
  <c r="K41" i="4" s="1"/>
  <c r="J42" i="4" s="1"/>
  <c r="J5" i="5"/>
  <c r="J41" i="5" s="1"/>
  <c r="AH19" i="3"/>
  <c r="AD19" i="3"/>
  <c r="AF19" i="3"/>
  <c r="AF13" i="3"/>
  <c r="O8" i="6" s="1"/>
  <c r="AF10" i="3"/>
  <c r="O7" i="6" s="1"/>
  <c r="AF14" i="3"/>
  <c r="V7" i="4" s="1"/>
  <c r="AF12" i="3"/>
  <c r="V8" i="4" s="1"/>
  <c r="AF17" i="3"/>
  <c r="S6" i="5" s="1"/>
  <c r="AD8" i="3"/>
  <c r="Q5" i="5" s="1"/>
  <c r="AD11" i="3"/>
  <c r="M6" i="6" s="1"/>
  <c r="AH13" i="3"/>
  <c r="Q8" i="6" s="1"/>
  <c r="J42" i="5" l="1"/>
  <c r="AS18" i="3"/>
  <c r="Q4" i="4"/>
  <c r="AS15" i="3"/>
  <c r="N4" i="5"/>
  <c r="AS14" i="3"/>
  <c r="AS21" i="3"/>
  <c r="AS9" i="3"/>
  <c r="J5" i="6"/>
  <c r="AS8" i="3"/>
  <c r="N43" i="5"/>
  <c r="N32" i="6"/>
  <c r="M47" i="4"/>
  <c r="N36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R8" i="4" s="1"/>
  <c r="AQ12" i="3"/>
  <c r="AQ23" i="3"/>
  <c r="AQ20" i="3"/>
  <c r="AB17" i="3"/>
  <c r="O6" i="5" s="1"/>
  <c r="AQ17" i="3"/>
  <c r="AQ22" i="3"/>
  <c r="S42" i="3"/>
  <c r="AB11" i="3"/>
  <c r="K6" i="6" s="1"/>
  <c r="N47" i="5"/>
  <c r="M44" i="4"/>
  <c r="J5" i="4"/>
  <c r="N48" i="5"/>
  <c r="M5" i="4"/>
  <c r="M41" i="4" s="1"/>
  <c r="M42" i="4" s="1"/>
  <c r="N37" i="6"/>
  <c r="M48" i="4"/>
  <c r="AB16" i="3"/>
  <c r="O7" i="5" s="1"/>
  <c r="AD20" i="3"/>
  <c r="T6" i="4" s="1"/>
  <c r="AF20" i="3"/>
  <c r="V6" i="4" s="1"/>
  <c r="L35" i="6"/>
  <c r="M35" i="6" s="1"/>
  <c r="AB20" i="3"/>
  <c r="R6" i="4" s="1"/>
  <c r="AF15" i="3"/>
  <c r="S4" i="5" s="1"/>
  <c r="AH18" i="3"/>
  <c r="X4" i="4" s="1"/>
  <c r="AD9" i="3"/>
  <c r="M5" i="6" s="1"/>
  <c r="AD17" i="3"/>
  <c r="Q6" i="5" s="1"/>
  <c r="AD21" i="3"/>
  <c r="Q8" i="5" s="1"/>
  <c r="AH10" i="3"/>
  <c r="Q7" i="6" s="1"/>
  <c r="AF21" i="3"/>
  <c r="S8" i="5" s="1"/>
  <c r="AD14" i="3"/>
  <c r="T7" i="4" s="1"/>
  <c r="AF9" i="3"/>
  <c r="O5" i="6" s="1"/>
  <c r="AD10" i="3"/>
  <c r="M7" i="6" s="1"/>
  <c r="AH12" i="3"/>
  <c r="X8" i="4" s="1"/>
  <c r="AD16" i="3"/>
  <c r="Q7" i="5" s="1"/>
  <c r="AH21" i="3"/>
  <c r="U8" i="5" s="1"/>
  <c r="AF22" i="3"/>
  <c r="AD22" i="3"/>
  <c r="AF18" i="3"/>
  <c r="V4" i="4" s="1"/>
  <c r="AH16" i="3"/>
  <c r="U7" i="5" s="1"/>
  <c r="AF16" i="3"/>
  <c r="S7" i="5" s="1"/>
  <c r="AD23" i="3"/>
  <c r="M9" i="6" s="1"/>
  <c r="AH8" i="3"/>
  <c r="U5" i="5" s="1"/>
  <c r="AB15" i="3"/>
  <c r="O4" i="5" s="1"/>
  <c r="AB8" i="3"/>
  <c r="O5" i="5" s="1"/>
  <c r="AB22" i="3"/>
  <c r="AB9" i="3"/>
  <c r="K5" i="6" s="1"/>
  <c r="AB23" i="3"/>
  <c r="K9" i="6" s="1"/>
  <c r="M45" i="4"/>
  <c r="M46" i="4"/>
  <c r="H35" i="6" l="1"/>
  <c r="AE14" i="2" s="1"/>
  <c r="AD28" i="2" s="1"/>
  <c r="H46" i="5"/>
  <c r="AE10" i="2" s="1"/>
  <c r="AD24" i="2" s="1"/>
  <c r="H34" i="6"/>
  <c r="AE13" i="2" s="1"/>
  <c r="AD27" i="2" s="1"/>
  <c r="H45" i="5"/>
  <c r="AE9" i="2" s="1"/>
  <c r="AD23" i="2" s="1"/>
  <c r="AU22" i="3"/>
  <c r="R5" i="4"/>
  <c r="T5" i="4"/>
  <c r="AU16" i="3"/>
  <c r="V5" i="4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O6" i="6" s="1"/>
  <c r="AB10" i="3"/>
  <c r="K7" i="6" s="1"/>
  <c r="AH11" i="3"/>
  <c r="Q6" i="6" s="1"/>
  <c r="M43" i="4"/>
  <c r="G45" i="4" s="1"/>
  <c r="AE5" i="2" s="1"/>
  <c r="AD19" i="2" s="1"/>
  <c r="AB13" i="3"/>
  <c r="K8" i="6" s="1"/>
  <c r="AH20" i="3"/>
  <c r="X6" i="4" s="1"/>
  <c r="AH23" i="3"/>
  <c r="Q9" i="6" s="1"/>
  <c r="K45" i="4"/>
  <c r="L45" i="4" s="1"/>
  <c r="AH9" i="3"/>
  <c r="Q5" i="6" s="1"/>
  <c r="AH22" i="3"/>
  <c r="AD12" i="3"/>
  <c r="T8" i="4" s="1"/>
  <c r="L34" i="6"/>
  <c r="M34" i="6" s="1"/>
  <c r="AH14" i="3"/>
  <c r="X7" i="4" s="1"/>
  <c r="AD15" i="3"/>
  <c r="Q4" i="5" s="1"/>
  <c r="AH17" i="3"/>
  <c r="U6" i="5" s="1"/>
  <c r="AD18" i="3"/>
  <c r="T4" i="4" s="1"/>
  <c r="AH15" i="3"/>
  <c r="U4" i="5" s="1"/>
  <c r="AF23" i="3"/>
  <c r="O9" i="6" s="1"/>
  <c r="K46" i="4"/>
  <c r="L46" i="4" s="1"/>
  <c r="AF8" i="3"/>
  <c r="S5" i="5" s="1"/>
  <c r="AB14" i="3"/>
  <c r="R7" i="4" s="1"/>
  <c r="K44" i="4"/>
  <c r="AB21" i="3"/>
  <c r="O8" i="5" s="1"/>
  <c r="AB18" i="3"/>
  <c r="R4" i="4" s="1"/>
  <c r="L44" i="4" l="1"/>
  <c r="AU21" i="3"/>
  <c r="X5" i="4"/>
  <c r="AU14" i="3"/>
  <c r="AU18" i="3"/>
  <c r="AT21" i="3"/>
  <c r="AU10" i="3"/>
  <c r="AT10" i="3"/>
  <c r="AU13" i="3"/>
  <c r="AT13" i="3"/>
  <c r="AT14" i="3"/>
  <c r="AT18" i="3"/>
  <c r="L44" i="5"/>
  <c r="AM8" i="3"/>
  <c r="AN8" i="3"/>
  <c r="L46" i="5"/>
  <c r="M46" i="5" s="1"/>
  <c r="L33" i="6"/>
  <c r="L47" i="5"/>
  <c r="M47" i="5" s="1"/>
  <c r="L36" i="6"/>
  <c r="M36" i="6" s="1"/>
  <c r="K47" i="4"/>
  <c r="L47" i="4" s="1"/>
  <c r="L45" i="5"/>
  <c r="M45" i="5" s="1"/>
  <c r="G3" i="2"/>
  <c r="I3" i="2"/>
  <c r="K3" i="2"/>
  <c r="G44" i="4" l="1"/>
  <c r="AE4" i="2" s="1"/>
  <c r="AD18" i="2" s="1"/>
  <c r="M44" i="5"/>
  <c r="H44" i="5" s="1"/>
  <c r="AE8" i="2" s="1"/>
  <c r="AD22" i="2" s="1"/>
  <c r="M33" i="6"/>
  <c r="H33" i="6" s="1"/>
  <c r="AE12" i="2" s="1"/>
  <c r="AD26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J5" i="2"/>
  <c r="J52" i="2" s="1"/>
  <c r="H6" i="2"/>
  <c r="H53" i="2" s="1"/>
  <c r="J10" i="2"/>
  <c r="J57" i="2" s="1"/>
  <c r="H9" i="2"/>
  <c r="J13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<sst xmlns="http://schemas.openxmlformats.org/spreadsheetml/2006/main" count="611" uniqueCount="218">
  <si>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</si>
  <si>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</si>
  <si>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</si>
  <si>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</si>
  <si>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</si>
  <si>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</si>
  <si>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</si>
  <si>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</si>
  <si>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</si>
  <si>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</si>
  <si>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</si>
  <si>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</si>
  <si>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</si>
  <si>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</si>
  <si>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</si>
  <si>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</si>
  <si>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</si>
  <si>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</si>
  <si>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</si>
  <si>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</si>
  <si>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</si>
  <si>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</si>
  <si>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</si>
  <si>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</si>
  <si>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</si>
  <si>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</si>
  <si>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</si>
  <si>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</si>
  <si>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</si>
  <si>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</si>
  <si>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</si>
  <si>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</si>
  <si>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</si>
  <si>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</si>
  <si>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</si>
  <si>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</si>
  <si>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</si>
  <si>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</si>
  <si>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</si>
  <si>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</si>
  <si>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</si>
  <si>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</si>
  <si>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</si>
  <si>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</si>
  <si>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</si>
  <si>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</si>
  <si>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</si>
  <si>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</si>
  <si>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</si>
  <si>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</si>
  <si>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</si>
  <si>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</si>
  <si>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</si>
  <si>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</si>
  <si>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</si>
  <si>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</si>
  <si>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</si>
  <si>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</si>
  <si>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</si>
  <si>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</si>
  <si>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</si>
  <si>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</si>
  <si>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</si>
  <si>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</si>
  <si>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</si>
  <si>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</si>
  <si>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</si>
  <si>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</si>
  <si>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</si>
  <si>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</si>
  <si>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</si>
  <si>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</si>
  <si>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</si>
  <si>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</si>
  <si>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</si>
  <si>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</si>
  <si>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</si>
  <si>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</si>
  <si>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</si>
  <si>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</si>
  <si>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</si>
  <si>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</si>
  <si>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</si>
  <si>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</si>
  <si>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</si>
  <si>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</si>
  <si>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</si>
  <si>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</si>
  <si>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</si>
  <si>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</si>
  <si>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</si>
  <si>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</si>
  <si>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</si>
  <si>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</si>
  <si>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</si>
  <si>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</si>
  <si>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</si>
  <si>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</si>
  <si>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</si>
  <si>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</si>
  <si>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</si>
  <si>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</si>
  <si>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</si>
  <si>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</si>
  <si>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</si>
  <si>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</si>
  <si>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</si>
  <si>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</si>
  <si>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</si>
  <si>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</si>
  <si>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</si>
  <si>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</si>
  <si>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</si>
  <si>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</si>
  <si>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</si>
  <si>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</si>
  <si>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</si>
  <si>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</si>
  <si>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</si>
  <si>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</si>
  <si>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</si>
  <si>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</si>
  <si>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</si>
  <si>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</si>
  <si>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</si>
  <si>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</si>
  <si>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</si>
  <si>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</si>
  <si>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</si>
  <si>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</si>
  <si>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</si>
  <si>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</si>
  <si>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</si>
  <si>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</si>
  <si>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</si>
  <si>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</si>
  <si>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</si>
  <si>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</si>
  <si>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</si>
  <si>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</si>
  <si>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</si>
  <si>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</si>
  <si>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</si>
  <si>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</si>
  <si>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</si>
  <si>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</si>
  <si>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</si>
  <si>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Week 7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</si>
  <si>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</si>
  <si>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</si>
  <si>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</si>
  <si>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</si>
  <si>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</si>
  <si>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</si>
  <si>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</si>
  <si>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</si>
  <si>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</si>
  <si>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</si>
  <si>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</si>
  <si>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</si>
  <si>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</si>
  <si>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</si>
  <si>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</si>
  <si>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</si>
  <si>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</si>
  <si>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</si>
  <si>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</si>
  <si>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</si>
  <si>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</si>
  <si>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</si>
  <si>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</si>
  <si>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</si>
  <si>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</si>
  <si>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</si>
  <si>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</si>
  <si>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</si>
  <si>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</si>
  <si>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</si>
  <si>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</si>
  <si>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</si>
  <si>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</si>
  <si>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</si>
  <si>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</si>
  <si>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</si>
  <si>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</si>
  <si>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</si>
  <si>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</si>
  <si>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</si>
  <si>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</si>
  <si>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</si>
  <si>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</si>
  <si>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</si>
  <si>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</si>
  <si>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</si>
  <si>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</si>
  <si>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</si>
  <si>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</si>
  <si>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</si>
  <si>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</si>
  <si>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</si>
  <si>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</si>
  <si>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</si>
  <si>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</si>
  <si>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</si>
  <si>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</si>
  <si>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</si>
  <si>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</si>
  <si>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</si>
  <si>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</si>
  <si>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</si>
  <si>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</si>
  <si>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</si>
  <si>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</si>
  <si>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</si>
  <si>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</si>
  <si>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}</t>
  </si>
  <si>
    <t>{</t>
  </si>
  <si>
    <t>12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</si>
</sst>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0" fontId="23" fillId="0" borderId="0" xfId="0" applyFont="1" applyAlignment="1">
      <alignment vertical="center"/>
    </xf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32" fillId="0" borderId="1" xfId="0" applyFont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9" totalsRowShown="0" headerRowDxfId="18" dataDxfId="17">
  <autoFilter ref="I4:R9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136"/>
    <tableColumn id="2" xr3:uid="{BE8EBD49-660A-4C9F-970E-230EBB942EF1}" name="Points" dataDxfId="135"/>
    <tableColumn id="3" xr3:uid="{C2C49EF0-4D8C-4F8C-8D19-CDD1481D9568}" name="Finishes" dataDxfId="134"/>
    <tableColumn id="4" xr3:uid="{7E789F8C-B8F3-4D6E-AB6C-C9454835B062}" name="Midranges" dataDxfId="133"/>
    <tableColumn id="5" xr3:uid="{18C990F2-A6D0-4F57-B96A-D00066DCC8D8}" name="Threes" dataDxfId="132"/>
    <tableColumn id="6" xr3:uid="{40526534-76CA-42BA-A8B6-AB092D9CE18F}" name="Avg P" dataDxfId="131"/>
    <tableColumn id="7" xr3:uid="{693AF117-21F6-4887-B78D-D59235BABA44}" name="Avg F" dataDxfId="130"/>
    <tableColumn id="8" xr3:uid="{02AC8FBF-EBB3-4AFC-BAC5-B773E33B7279}" name="Avg M" dataDxfId="129"/>
    <tableColumn id="9" xr3:uid="{CCF75EB4-34C4-4D47-9D51-E8D85C07E38B}" name="Avg T" dataDxfId="128"/>
    <tableColumn id="10" xr3:uid="{1A786A5C-D0C2-4ABC-904C-983180542D5F}" name="Missed Games" dataDxf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6" dataDxfId="125">
  <autoFilter ref="AK28:AT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/>
    <tableColumn id="3" xr3:uid="{2D436F37-54B6-4820-9145-F48B4EF9B294}" name="Finishes" dataDxfId="122"/>
    <tableColumn id="4" xr3:uid="{1D9B6A22-B682-47F3-B738-7C138F317A41}" name="Midranges" dataDxfId="121"/>
    <tableColumn id="5" xr3:uid="{9966C9A0-3872-44E9-BB39-05DE197EAA68}" name="Threes" dataDxfId="120"/>
    <tableColumn id="6" xr3:uid="{CC4AB646-735F-425F-8528-C5EFE7FE11DC}" name="Avg P" dataDxfId="119"/>
    <tableColumn id="7" xr3:uid="{F8D0247E-C6F7-467A-9F38-46084D44F8AB}" name="Avg F" dataDxfId="118"/>
    <tableColumn id="8" xr3:uid="{7CCF1C77-9DB0-4EB2-B7D0-FD0BDBEBFA0E}" name="Avg M" dataDxfId="117"/>
    <tableColumn id="9" xr3:uid="{582A1A4E-5383-4383-A480-735408867046}" name="Avg T" dataDxfId="116"/>
    <tableColumn id="10" xr3:uid="{E547AEB5-F9BA-4C5F-8DCE-34B6A8FF303A}" name="Missed Games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4" dataDxfId="53">
  <autoFilter ref="AK88:AT10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A10" zoomScale="49" zoomScaleNormal="55" workbookViewId="0">
      <selection activeCell="B25" sqref="B25:B46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152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7" t="s">
        <v>177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197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178</v>
      </c>
      <c r="AD3" t="s">
        <v>198</v>
      </c>
      <c r="AE3" t="str">
        <f>'Statistics CT'!G43</f>
        <v>0,0,0],</v>
      </c>
    </row>
    <row r="4" spans="2:31" ht="14.25" customHeight="1" x14ac:dyDescent="0.45">
      <c r="B4" s="1" t="s">
        <v>26</v>
      </c>
      <c r="C4" s="106" t="s">
        <v>175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172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179</v>
      </c>
      <c r="AD4" t="s">
        <v>199</v>
      </c>
      <c r="AE4" t="str">
        <f>'Statistics CT'!G44</f>
        <v>0,"N/A",0,"N/A",0,"N/A",0,"N/A"],</v>
      </c>
    </row>
    <row r="5" spans="2:31" ht="14.25" customHeight="1" x14ac:dyDescent="0.45">
      <c r="B5" s="1" t="s">
        <v>27</v>
      </c>
      <c r="C5" s="117" t="s">
        <v>177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124</v>
      </c>
      <c r="P5" t="s">
        <v>125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180</v>
      </c>
      <c r="AD5" t="s">
        <v>200</v>
      </c>
      <c r="AE5" t="e">
        <f>'Statistics CT'!G45</f>
        <v>#DIV/0!</v>
      </c>
    </row>
    <row r="6" spans="2:31" ht="14.25" customHeight="1" x14ac:dyDescent="0.45">
      <c r="B6" s="1" t="s">
        <v>30</v>
      </c>
      <c r="C6" s="117" t="s">
        <v>177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124</v>
      </c>
      <c r="Q6" t="s">
        <v>125</v>
      </c>
      <c r="R6" t="s">
        <v>128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134</v>
      </c>
      <c r="AD6" t="s">
        <v>201</v>
      </c>
      <c r="AE6" t="str">
        <f>'Statistics CT'!G46</f>
        <v>0,0,0,0,0,0],</v>
      </c>
    </row>
    <row r="7" spans="2:31" ht="14.25" customHeight="1" x14ac:dyDescent="0.45">
      <c r="B7" s="1" t="s">
        <v>32</v>
      </c>
      <c r="C7" s="117" t="s">
        <v>175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124</v>
      </c>
      <c r="P7" t="s">
        <v>126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202</v>
      </c>
      <c r="AE7" t="str">
        <f>'Statistics TC'!H43</f>
        <v>0,0,0],</v>
      </c>
    </row>
    <row r="8" spans="2:31" ht="14.25" customHeight="1" x14ac:dyDescent="0.45">
      <c r="B8" s="1" t="s">
        <v>37</v>
      </c>
      <c r="C8" s="117" t="s">
        <v>175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127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203</v>
      </c>
      <c r="AE8" t="str">
        <f>'Statistics TC'!H44</f>
        <v>0,"N/A",0,"N/A",0,"N/A",0,"N/A"],</v>
      </c>
    </row>
    <row r="9" spans="2:31" ht="14.25" customHeight="1" x14ac:dyDescent="0.45">
      <c r="B9" t="s">
        <v>92</v>
      </c>
      <c r="C9" s="117" t="s">
        <v>176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149</v>
      </c>
      <c r="N9" t="s">
        <v>129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204</v>
      </c>
      <c r="AE9" t="e">
        <f>'Statistics TC'!H45</f>
        <v>#DIV/0!</v>
      </c>
    </row>
    <row r="10" spans="2:31" ht="14.25" customHeight="1" x14ac:dyDescent="0.45">
      <c r="B10" s="1" t="s">
        <v>39</v>
      </c>
      <c r="C10" s="106" t="s">
        <v>176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132</v>
      </c>
      <c r="N10" s="1" t="s">
        <v>29</v>
      </c>
      <c r="O10" s="1" t="s">
        <v>131</v>
      </c>
      <c r="P10" t="s">
        <v>123</v>
      </c>
      <c r="Q10" t="s">
        <v>127</v>
      </c>
      <c r="R10" t="s">
        <v>126</v>
      </c>
      <c r="S10" t="s">
        <v>129</v>
      </c>
      <c r="U10" t="s">
        <v>174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205</v>
      </c>
      <c r="AE10" t="str">
        <f>'Statistics TC'!H46</f>
        <v>0,0,100,0,0,0],</v>
      </c>
    </row>
    <row r="11" spans="2:31" ht="14.25" customHeight="1" x14ac:dyDescent="0.45">
      <c r="B11" s="1" t="s">
        <v>41</v>
      </c>
      <c r="C11" s="115" t="s">
        <v>176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127</v>
      </c>
      <c r="Q11" t="s">
        <v>125</v>
      </c>
      <c r="R11" t="s">
        <v>129</v>
      </c>
      <c r="S11" t="s">
        <v>130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206</v>
      </c>
      <c r="AE11" t="str">
        <f>'Statistics GM'!H32</f>
        <v>0,0,0],</v>
      </c>
    </row>
    <row r="12" spans="2:31" ht="14.25" customHeight="1" x14ac:dyDescent="0.45">
      <c r="B12" s="1" t="s">
        <v>44</v>
      </c>
      <c r="C12" s="117" t="s">
        <v>175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124</v>
      </c>
      <c r="Q12" t="s">
        <v>125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207</v>
      </c>
      <c r="AE12" t="str">
        <f>'Statistics GM'!H33</f>
        <v>0,"N/A",0,"N/A",0,"N/A",0,"N/A"],</v>
      </c>
    </row>
    <row r="13" spans="2:31" ht="14.25" customHeight="1" x14ac:dyDescent="0.45">
      <c r="B13" s="1" t="s">
        <v>46</v>
      </c>
      <c r="C13" s="106" t="s">
        <v>177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173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208</v>
      </c>
      <c r="AE13" t="e">
        <f>'Statistics GM'!H34</f>
        <v>#DIV/0!</v>
      </c>
    </row>
    <row r="14" spans="2:31" ht="14.25" customHeight="1" x14ac:dyDescent="0.45">
      <c r="B14" s="1" t="s">
        <v>49</v>
      </c>
      <c r="C14" s="117" t="s">
        <v>176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121</v>
      </c>
      <c r="P14" t="s">
        <v>122</v>
      </c>
      <c r="Q14" t="s">
        <v>127</v>
      </c>
      <c r="R14" t="s">
        <v>126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209</v>
      </c>
      <c r="AE14" t="str">
        <f>'Statistics GM'!H35</f>
        <v>0,0,100,0,0,100],</v>
      </c>
    </row>
    <row r="15" spans="2:31" ht="14.25" customHeight="1" x14ac:dyDescent="0.45">
      <c r="B15" s="1" t="s">
        <v>52</v>
      </c>
      <c r="C15" s="117" t="s">
        <v>177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118</v>
      </c>
      <c r="O15" t="s">
        <v>119</v>
      </c>
      <c r="P15" t="s">
        <v>127</v>
      </c>
      <c r="Q15" t="s">
        <v>126</v>
      </c>
      <c r="R15" t="s">
        <v>129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7" t="s">
        <v>176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Global'!AJ22</f>
        <v>0</v>
      </c>
      <c r="M16" s="1" t="s">
        <v>133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124</v>
      </c>
      <c r="S16" t="s">
        <v>125</v>
      </c>
      <c r="T16" t="s">
        <v>129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196</v>
      </c>
      <c r="C17" s="117" t="s">
        <v>175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120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"PartACT":[0,0,0],</v>
      </c>
    </row>
    <row r="18" spans="2:30" ht="14.25" customHeight="1" x14ac:dyDescent="0.45">
      <c r="B18" s="128" t="s">
        <v>210</v>
      </c>
      <c r="C18" s="129" t="s">
        <v>175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"PartBCT":[0,"N/A",0,"N/A",0,"N/A",0,"N/A"],</v>
      </c>
    </row>
    <row r="19" spans="2:30" ht="14.25" customHeight="1" x14ac:dyDescent="0.45">
      <c r="B19" s="1"/>
      <c r="C19" s="89"/>
      <c r="D19" s="5"/>
      <c r="E19" s="1"/>
      <c r="F19" s="5"/>
      <c r="G19" s="1"/>
      <c r="H19" s="5"/>
      <c r="I19" s="1"/>
      <c r="J19" s="5"/>
      <c r="K19" s="1"/>
      <c r="L19" s="13"/>
      <c r="U19" s="89"/>
      <c r="V19" s="1"/>
      <c r="W19" s="1"/>
      <c r="Y19" s="1" t="s">
        <v>60</v>
      </c>
      <c r="AD19" s="35" t="e">
        <f t="shared" si="3"/>
        <v>#DIV/0!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"PartDCT":[0,0,0,0,0,0],</v>
      </c>
    </row>
    <row r="21" spans="2:30" ht="14.25" customHeight="1" x14ac:dyDescent="0.45">
      <c r="Y21" t="s">
        <v>148</v>
      </c>
      <c r="AD21" s="35" t="str">
        <f t="shared" si="3"/>
        <v>"PartATC":[0,0,0],</v>
      </c>
    </row>
    <row r="22" spans="2:30" ht="14.25" customHeight="1" x14ac:dyDescent="0.9">
      <c r="B22" s="130" t="s">
        <v>96</v>
      </c>
      <c r="C22" s="130"/>
      <c r="D22" s="64"/>
      <c r="Y22" s="1" t="s">
        <v>104</v>
      </c>
      <c r="AD22" s="35" t="str">
        <f t="shared" si="3"/>
        <v>"PartBTC":[0,"N/A",0,"N/A",0,"N/A",0,"N/A"],</v>
      </c>
    </row>
    <row r="23" spans="2:30" ht="14.25" customHeight="1" x14ac:dyDescent="0.9">
      <c r="B23" s="130"/>
      <c r="C23" s="130"/>
      <c r="D23" s="64"/>
      <c r="Y23" s="1" t="s">
        <v>62</v>
      </c>
      <c r="AD23" s="35" t="e">
        <f t="shared" si="3"/>
        <v>#DIV/0!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"PartDTC":[0,0,100,0,0,0],</v>
      </c>
    </row>
    <row r="25" spans="2:30" ht="14.25" customHeight="1" x14ac:dyDescent="0.9">
      <c r="B25" s="118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148</v>
      </c>
      <c r="AD25" s="35" t="str">
        <f t="shared" si="3"/>
        <v>"PartAGM":[0,0,0],</v>
      </c>
    </row>
    <row r="26" spans="2:30" ht="14.25" customHeight="1" x14ac:dyDescent="0.9">
      <c r="B26" s="118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"PartBGM":[0,"N/A",0,"N/A",0,"N/A",0,"N/A"],</v>
      </c>
    </row>
    <row r="27" spans="2:30" ht="14.25" customHeight="1" x14ac:dyDescent="0.45">
      <c r="B27" s="118" t="str">
        <f>D49&amp;":["&amp;D50&amp;D51&amp;D52&amp;D53&amp;D54&amp;D55&amp;D56&amp;D57&amp;D58&amp;D59&amp;D60&amp;D61&amp;D62&amp;D63&amp;D64&amp;D65&amp;"],"</f>
        <v>"PPG":[0,0,0,0,0,0,0,0,0,0,0,0,0,0,0,"0"],</v>
      </c>
      <c r="AD27" s="35" t="e">
        <f t="shared" si="3"/>
        <v>#DIV/0!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"TP":[0,0,0,0,0,0,0,0,0,0,0,0,0,0,0,"0"],</v>
      </c>
      <c r="AD28" s="35" t="str">
        <f t="shared" si="3"/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0,</v>
      </c>
      <c r="E52" s="12" t="str">
        <f t="shared" si="7"/>
        <v>0,</v>
      </c>
      <c r="F52" s="12" t="str">
        <f t="shared" si="8"/>
        <v>0,</v>
      </c>
      <c r="G52" s="12" t="str">
        <f t="shared" si="9"/>
        <v>0,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0,</v>
      </c>
      <c r="E53" s="12" t="str">
        <f t="shared" si="7"/>
        <v>0,</v>
      </c>
      <c r="F53" s="12" t="str">
        <f t="shared" si="8"/>
        <v>0,</v>
      </c>
      <c r="G53" s="12" t="str">
        <f t="shared" si="9"/>
        <v>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0,</v>
      </c>
      <c r="E54" s="12" t="str">
        <f t="shared" si="7"/>
        <v>0,</v>
      </c>
      <c r="F54" s="12" t="str">
        <f t="shared" si="8"/>
        <v>0,</v>
      </c>
      <c r="G54" s="12" t="str">
        <f t="shared" si="9"/>
        <v>0,</v>
      </c>
      <c r="H54" s="12" t="str">
        <f t="shared" si="10"/>
        <v>0,</v>
      </c>
      <c r="I54" s="12" t="str">
        <f t="shared" si="11"/>
        <v>0,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0,</v>
      </c>
      <c r="E57" s="12" t="str">
        <f t="shared" si="7"/>
        <v>0,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0,</v>
      </c>
      <c r="K57" s="12" t="str">
        <f t="shared" si="13"/>
        <v>0,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0,</v>
      </c>
      <c r="E58" s="12" t="str">
        <f t="shared" si="7"/>
        <v>0,</v>
      </c>
      <c r="F58" s="12" t="str">
        <f t="shared" si="8"/>
        <v>0,</v>
      </c>
      <c r="G58" s="12" t="str">
        <f t="shared" si="9"/>
        <v>0,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0,</v>
      </c>
      <c r="E59" s="12" t="str">
        <f t="shared" si="7"/>
        <v>0,</v>
      </c>
      <c r="F59" s="12" t="str">
        <f t="shared" si="8"/>
        <v>0,</v>
      </c>
      <c r="G59" s="12" t="str">
        <f t="shared" si="9"/>
        <v>0,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0,</v>
      </c>
      <c r="E60" s="12" t="str">
        <f t="shared" si="7"/>
        <v>0,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0,</v>
      </c>
      <c r="I60" s="12" t="str">
        <f t="shared" si="11"/>
        <v>0,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0,</v>
      </c>
      <c r="E62" s="12" t="str">
        <f t="shared" si="7"/>
        <v>0,</v>
      </c>
      <c r="F62" s="12" t="str">
        <f t="shared" si="8"/>
        <v>0,</v>
      </c>
      <c r="G62" s="12" t="str">
        <f t="shared" si="9"/>
        <v>0,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0,</v>
      </c>
      <c r="E63" s="12" t="str">
        <f t="shared" si="7"/>
        <v>0,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0,</v>
      </c>
      <c r="K63" s="12" t="str">
        <f t="shared" ref="K63:L63" si="35">K16&amp;","</f>
        <v>0,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0,</v>
      </c>
      <c r="E64" s="12" t="str">
        <f t="shared" si="7"/>
        <v>0,</v>
      </c>
      <c r="F64" s="12" t="str">
        <f t="shared" si="8"/>
        <v>0,</v>
      </c>
      <c r="G64" s="12" t="str">
        <f t="shared" si="9"/>
        <v>0,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53" zoomScaleNormal="70" workbookViewId="0">
      <selection activeCell="AI16" sqref="AI16:AI23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184</v>
      </c>
      <c r="G4" s="71" t="s">
        <v>186</v>
      </c>
      <c r="H4" s="71" t="s">
        <v>190</v>
      </c>
      <c r="I4" s="71" t="s">
        <v>187</v>
      </c>
      <c r="J4" s="71" t="s">
        <v>188</v>
      </c>
      <c r="K4" s="71" t="s">
        <v>191</v>
      </c>
      <c r="L4" s="71" t="s">
        <v>192</v>
      </c>
      <c r="M4" s="71" t="s">
        <v>193</v>
      </c>
      <c r="N4" s="71" t="s">
        <v>194</v>
      </c>
      <c r="O4" s="71" t="s">
        <v>185</v>
      </c>
      <c r="P4" s="71" t="s">
        <v>189</v>
      </c>
      <c r="Q4" s="71" t="s">
        <v>195</v>
      </c>
      <c r="S4" s="2" t="s">
        <v>69</v>
      </c>
      <c r="Z4" t="s">
        <v>115</v>
      </c>
      <c r="AA4" s="80">
        <f>AA6/(20-AA5)</f>
        <v>0</v>
      </c>
    </row>
    <row r="5" spans="1:55" ht="14.25" customHeight="1" x14ac:dyDescent="0.45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S5" s="1" t="s">
        <v>70</v>
      </c>
      <c r="T5" s="1" t="s">
        <v>66</v>
      </c>
      <c r="U5" s="1" t="s">
        <v>67</v>
      </c>
      <c r="V5" s="1" t="s">
        <v>68</v>
      </c>
      <c r="Z5" t="s">
        <v>152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 t="e">
        <f>SUM(C5:E40)/COUNT(C5:C40)</f>
        <v>#DIV/0!</v>
      </c>
      <c r="T6" s="116" t="e">
        <f>AVERAGE(C5:C40)</f>
        <v>#DIV/0!</v>
      </c>
      <c r="U6" s="116" t="e">
        <f>AVERAGE(D5:D40)</f>
        <v>#DIV/0!</v>
      </c>
      <c r="V6" s="116" t="e">
        <f>AVERAGE(E5:E40)</f>
        <v>#DIV/0!</v>
      </c>
      <c r="Z6" s="48" t="s">
        <v>137</v>
      </c>
      <c r="AA6" s="6">
        <f>AA47+AA67+AL27+AL47+AL67+AA87+AL87</f>
        <v>0</v>
      </c>
      <c r="AK6" s="10"/>
      <c r="AL6" s="10"/>
      <c r="AM6" s="10" t="s">
        <v>151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94</v>
      </c>
      <c r="AG7" s="16" t="s">
        <v>3</v>
      </c>
      <c r="AH7" s="17" t="s">
        <v>95</v>
      </c>
      <c r="AI7" s="18" t="s">
        <v>5</v>
      </c>
      <c r="AJ7" s="24" t="s">
        <v>97</v>
      </c>
      <c r="AK7" s="41"/>
      <c r="AL7" s="41"/>
      <c r="AM7" s="41" t="s">
        <v>69</v>
      </c>
      <c r="AN7" s="10" t="s">
        <v>150</v>
      </c>
      <c r="AO7" s="10"/>
      <c r="AP7" s="20" t="s">
        <v>156</v>
      </c>
      <c r="AQ7" s="86"/>
      <c r="AR7" s="87" t="s">
        <v>157</v>
      </c>
      <c r="AS7" s="39" t="s">
        <v>158</v>
      </c>
      <c r="AT7" s="93" t="s">
        <v>161</v>
      </c>
      <c r="AU7" s="95" t="s">
        <v>162</v>
      </c>
      <c r="AW7" s="1"/>
      <c r="AX7" s="92"/>
      <c r="AY7" s="92"/>
      <c r="AZ7" s="92"/>
      <c r="BA7" s="92"/>
      <c r="BB7" s="92"/>
      <c r="BC7" s="92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9" t="str">
        <f>SfW!B3</f>
        <v>Jasper Collier</v>
      </c>
      <c r="AA8" s="100">
        <f t="shared" ref="AA8:AA23" si="0">SUM(AL29,AA49,AL49,AA69,AL69,AA89,AL89)</f>
        <v>0</v>
      </c>
      <c r="AB8" s="101">
        <f>IF($AA$6-Table1[[#This Row],[Missed Games]]=0, 0,Table1[[#This Row],[Points]]/($AA$6-Table1[[#This Row],[Missed Games]]))</f>
        <v>0</v>
      </c>
      <c r="AC8" s="102">
        <f t="shared" ref="AC8:AC23" si="1">SUM(AM29,AB49,AM49,AB69,AM69,AB89,AM89)</f>
        <v>0</v>
      </c>
      <c r="AD8" s="99">
        <f>IF($AA$6-Table1[[#This Row],[Missed Games]]=0, 0,Table1[[#This Row],[Finishes]]/($AA$6-Table1[[#This Row],[Missed Games]]))</f>
        <v>0</v>
      </c>
      <c r="AE8" s="102">
        <f t="shared" ref="AE8:AE23" si="2">SUM(AN29,AC49,AN49,AC69,AN69,AC89,AN89)</f>
        <v>0</v>
      </c>
      <c r="AF8" s="99">
        <f>IF($AA$6-Table1[[#This Row],[Missed Games]]=0, 0,Table1[[#This Row],[Midranges]]/($AA$6-Table1[[#This Row],[Missed Games]]))</f>
        <v>0</v>
      </c>
      <c r="AG8" s="102">
        <f t="shared" ref="AG8:AG23" si="3">SUM(AO29,AD49,AO49,AD69,AO69,AD89,AO89)</f>
        <v>0</v>
      </c>
      <c r="AH8" s="99">
        <f>IF($AA$6-Table1[[#This Row],[Missed Games]]=0, 0,Table1[[#This Row],[Threes]]/($AA$6-Table1[[#This Row],[Missed Games]]))</f>
        <v>0</v>
      </c>
      <c r="AI8" s="99" t="str">
        <f>SfW!C3</f>
        <v>Choc-Tops</v>
      </c>
      <c r="AJ8" s="103">
        <f t="shared" ref="AJ8:AJ23" si="4">SUM(AT29,AI49,AT49,AI69,AT69,AI89,AT89)</f>
        <v>0</v>
      </c>
      <c r="AK8" s="42"/>
      <c r="AL8" s="79" t="s">
        <v>0</v>
      </c>
      <c r="AM8" s="78">
        <f>AVERAGE(Table1[Average])</f>
        <v>0</v>
      </c>
      <c r="AN8" s="78">
        <f>MEDIAN(Table1[Average])</f>
        <v>0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2">
        <f>AP8-Table1[[#This Row],[Points]]</f>
        <v>9</v>
      </c>
      <c r="AS8" s="88">
        <f>Table1[[#This Row],[Points]]/(20-AA$5-Table1[[#This Row],[Missed Games]])</f>
        <v>0</v>
      </c>
      <c r="AT8" s="94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9" t="str">
        <f>SfW!B4</f>
        <v>Conor Farrington</v>
      </c>
      <c r="AA9" s="100">
        <f t="shared" si="0"/>
        <v>0</v>
      </c>
      <c r="AB9" s="101">
        <f>IF($AA$6-Table1[[#This Row],[Missed Games]]=0, 0,Table1[[#This Row],[Points]]/($AA$6-Table1[[#This Row],[Missed Games]]))</f>
        <v>0</v>
      </c>
      <c r="AC9" s="102">
        <f t="shared" si="1"/>
        <v>0</v>
      </c>
      <c r="AD9" s="99">
        <f>IF($AA$6-Table1[[#This Row],[Missed Games]]=0, 0,Table1[[#This Row],[Finishes]]/($AA$6-Table1[[#This Row],[Missed Games]]))</f>
        <v>0</v>
      </c>
      <c r="AE9" s="102">
        <f t="shared" si="2"/>
        <v>0</v>
      </c>
      <c r="AF9" s="99">
        <f>IF($AA$6-Table1[[#This Row],[Missed Games]]=0, 0,Table1[[#This Row],[Midranges]]/($AA$6-Table1[[#This Row],[Missed Games]]))</f>
        <v>0</v>
      </c>
      <c r="AG9" s="102">
        <f t="shared" si="3"/>
        <v>0</v>
      </c>
      <c r="AH9" s="99">
        <f>IF($AA$6-Table1[[#This Row],[Missed Games]]=0, 0,Table1[[#This Row],[Threes]]/($AA$6-Table1[[#This Row],[Missed Games]]))</f>
        <v>0</v>
      </c>
      <c r="AI9" s="99" t="str">
        <f>SfW!C4</f>
        <v>Gentle, Men</v>
      </c>
      <c r="AJ9" s="103">
        <f t="shared" si="4"/>
        <v>0</v>
      </c>
      <c r="AK9" s="42"/>
      <c r="AL9" s="79" t="s">
        <v>1</v>
      </c>
      <c r="AM9" s="78">
        <f>AVERAGE(Table1[Finishes])</f>
        <v>0</v>
      </c>
      <c r="AN9" s="78">
        <f>MEDIAN(Table1[Finishes])</f>
        <v>0</v>
      </c>
      <c r="AO9" s="83"/>
      <c r="AP9" s="13">
        <f>_xlfn.CEILING.MATH('[1]Stats Global'!R9*(20-$AA$5-$AJ9))</f>
        <v>12</v>
      </c>
      <c r="AQ9" s="20">
        <f>Table1[[#This Row],[Points]]/AP9</f>
        <v>0</v>
      </c>
      <c r="AR9" s="82">
        <f>AP9-Table1[[#This Row],[Points]]</f>
        <v>12</v>
      </c>
      <c r="AS9" s="88">
        <f>Table1[[#This Row],[Points]]/(20-AA$5-Table1[[#This Row],[Missed Games]])</f>
        <v>0</v>
      </c>
      <c r="AT9" s="94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9" t="str">
        <f>SfW!B5</f>
        <v>Alexander Galt</v>
      </c>
      <c r="AA10" s="44">
        <f t="shared" si="0"/>
        <v>0</v>
      </c>
      <c r="AB10" s="45">
        <f>IF($AA$6-Table1[[#This Row],[Missed Games]]=0, 0,Table1[[#This Row],[Points]]/($AA$6-Table1[[#This Row],[Missed Games]]))</f>
        <v>0</v>
      </c>
      <c r="AC10" s="46">
        <f t="shared" si="1"/>
        <v>0</v>
      </c>
      <c r="AD10" s="43">
        <f>IF($AA$6-Table1[[#This Row],[Missed Games]]=0, 0,Table1[[#This Row],[Finishes]]/($AA$6-Table1[[#This Row],[Missed Games]]))</f>
        <v>0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9" t="s">
        <v>150</v>
      </c>
      <c r="AM10" s="78">
        <f>AVERAGE(Table1[Midranges])</f>
        <v>0</v>
      </c>
      <c r="AN10" s="78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0</v>
      </c>
      <c r="AR10" s="82">
        <f>AP10-Table1[[#This Row],[Points]]</f>
        <v>63</v>
      </c>
      <c r="AS10" s="88">
        <f>Table1[[#This Row],[Points]]/(20-AA$5-Table1[[#This Row],[Missed Games]])</f>
        <v>0</v>
      </c>
      <c r="AT10" s="94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9" t="str">
        <f>SfW!B6</f>
        <v>Rudy Hoschke</v>
      </c>
      <c r="AA11" s="44">
        <f t="shared" si="0"/>
        <v>0</v>
      </c>
      <c r="AB11" s="45">
        <f>IF($AA$6-Table1[[#This Row],[Missed Games]]=0, 0,Table1[[#This Row],[Points]]/($AA$6-Table1[[#This Row],[Missed Games]]))</f>
        <v>0</v>
      </c>
      <c r="AC11" s="46">
        <f t="shared" si="1"/>
        <v>0</v>
      </c>
      <c r="AD11" s="43">
        <f>IF($AA$6-Table1[[#This Row],[Missed Games]]=0, 0,Table1[[#This Row],[Finishes]]/($AA$6-Table1[[#This Row],[Missed Games]]))</f>
        <v>0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9" t="s">
        <v>3</v>
      </c>
      <c r="AM11" s="78">
        <f>AVERAGE(Table1[Threes])</f>
        <v>0</v>
      </c>
      <c r="AN11" s="78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</v>
      </c>
      <c r="AR11" s="82">
        <f>AP11-Table1[[#This Row],[Points]]</f>
        <v>57</v>
      </c>
      <c r="AS11" s="88">
        <f>Table1[[#This Row],[Points]]/(20-AA$5-Table1[[#This Row],[Missed Games]])</f>
        <v>0</v>
      </c>
      <c r="AT11" s="94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9" t="str">
        <f>SfW!B7</f>
        <v>Michael Iffland</v>
      </c>
      <c r="AA12" s="44">
        <f t="shared" si="0"/>
        <v>0</v>
      </c>
      <c r="AB12" s="45">
        <f>IF($AA$6-Table1[[#This Row],[Missed Games]]=0, 0,Table1[[#This Row],[Points]]/($AA$6-Table1[[#This Row],[Missed Games]]))</f>
        <v>0</v>
      </c>
      <c r="AC12" s="46">
        <f t="shared" si="1"/>
        <v>0</v>
      </c>
      <c r="AD12" s="43">
        <f>IF($AA$6-Table1[[#This Row],[Missed Games]]=0, 0,Table1[[#This Row],[Finishes]]/($AA$6-Table1[[#This Row],[Missed Games]]))</f>
        <v>0</v>
      </c>
      <c r="AE12" s="46">
        <f t="shared" si="2"/>
        <v>0</v>
      </c>
      <c r="AF12" s="43">
        <f>IF($AA$6-Table1[[#This Row],[Missed Games]]=0, 0,Table1[[#This Row],[Midranges]]/($AA$6-Table1[[#This Row],[Missed Games]]))</f>
        <v>0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</v>
      </c>
      <c r="AR12" s="82">
        <f>AP12-Table1[[#This Row],[Points]]</f>
        <v>42</v>
      </c>
      <c r="AS12" s="88">
        <f>Table1[[#This Row],[Points]]/(20-AA$5-Table1[[#This Row],[Missed Games]])</f>
        <v>0</v>
      </c>
      <c r="AT12" s="94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9" t="str">
        <f>SfW!B8</f>
        <v>Lukas Johnston</v>
      </c>
      <c r="AA13" s="100">
        <f t="shared" si="0"/>
        <v>0</v>
      </c>
      <c r="AB13" s="101">
        <f>IF($AA$6-Table1[[#This Row],[Missed Games]]=0, 0,Table1[[#This Row],[Points]]/($AA$6-Table1[[#This Row],[Missed Games]]))</f>
        <v>0</v>
      </c>
      <c r="AC13" s="102">
        <f t="shared" si="1"/>
        <v>0</v>
      </c>
      <c r="AD13" s="99">
        <f>IF($AA$6-Table1[[#This Row],[Missed Games]]=0, 0,Table1[[#This Row],[Finishes]]/($AA$6-Table1[[#This Row],[Missed Games]]))</f>
        <v>0</v>
      </c>
      <c r="AE13" s="102">
        <f t="shared" si="2"/>
        <v>0</v>
      </c>
      <c r="AF13" s="99">
        <f>IF($AA$6-Table1[[#This Row],[Missed Games]]=0, 0,Table1[[#This Row],[Midranges]]/($AA$6-Table1[[#This Row],[Missed Games]]))</f>
        <v>0</v>
      </c>
      <c r="AG13" s="102">
        <f t="shared" si="3"/>
        <v>0</v>
      </c>
      <c r="AH13" s="99">
        <f>IF($AA$6-Table1[[#This Row],[Missed Games]]=0, 0,Table1[[#This Row],[Threes]]/($AA$6-Table1[[#This Row],[Missed Games]]))</f>
        <v>0</v>
      </c>
      <c r="AI13" s="99" t="str">
        <f>SfW!C8</f>
        <v>Gentle, Men</v>
      </c>
      <c r="AJ13" s="103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2">
        <f>AP13-Table1[[#This Row],[Points]]</f>
        <v>23</v>
      </c>
      <c r="AS13" s="88">
        <f>Table1[[#This Row],[Points]]/(20-AA$5-Table1[[#This Row],[Missed Games]])</f>
        <v>0</v>
      </c>
      <c r="AT13" s="94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9" t="str">
        <f>SfW!B9</f>
        <v>Sam James</v>
      </c>
      <c r="AA14" s="100">
        <f t="shared" si="0"/>
        <v>0</v>
      </c>
      <c r="AB14" s="101">
        <f>IF($AA$6-Table1[[#This Row],[Missed Games]]=0, 0,Table1[[#This Row],[Points]]/($AA$6-Table1[[#This Row],[Missed Games]]))</f>
        <v>0</v>
      </c>
      <c r="AC14" s="102">
        <f t="shared" si="1"/>
        <v>0</v>
      </c>
      <c r="AD14" s="99">
        <f>IF($AA$6-Table1[[#This Row],[Missed Games]]=0, 0,Table1[[#This Row],[Finishes]]/($AA$6-Table1[[#This Row],[Missed Games]]))</f>
        <v>0</v>
      </c>
      <c r="AE14" s="102">
        <f t="shared" si="2"/>
        <v>0</v>
      </c>
      <c r="AF14" s="99">
        <f>IF($AA$6-Table1[[#This Row],[Missed Games]]=0, 0,Table1[[#This Row],[Midranges]]/($AA$6-Table1[[#This Row],[Missed Games]]))</f>
        <v>0</v>
      </c>
      <c r="AG14" s="102">
        <f t="shared" si="3"/>
        <v>0</v>
      </c>
      <c r="AH14" s="99">
        <f>IF($AA$6-Table1[[#This Row],[Missed Games]]=0, 0,Table1[[#This Row],[Threes]]/($AA$6-Table1[[#This Row],[Missed Games]]))</f>
        <v>0</v>
      </c>
      <c r="AI14" s="99" t="str">
        <f>SfW!C9</f>
        <v>Traffic Controllers</v>
      </c>
      <c r="AJ14" s="103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2">
        <f>AP14-Table1[[#This Row],[Points]]</f>
        <v>7</v>
      </c>
      <c r="AS14" s="88">
        <f>Table1[[#This Row],[Points]]/(20-AA$5-Table1[[#This Row],[Missed Games]])</f>
        <v>0</v>
      </c>
      <c r="AT14" s="94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9" t="str">
        <f>SfW!B10</f>
        <v>Clarrie Jones</v>
      </c>
      <c r="AA15" s="100">
        <f t="shared" si="0"/>
        <v>0</v>
      </c>
      <c r="AB15" s="101">
        <f>IF($AA$6-Table1[[#This Row],[Missed Games]]=0, 0,Table1[[#This Row],[Points]]/($AA$6-Table1[[#This Row],[Missed Games]]))</f>
        <v>0</v>
      </c>
      <c r="AC15" s="102">
        <f t="shared" si="1"/>
        <v>0</v>
      </c>
      <c r="AD15" s="99">
        <f>IF($AA$6-Table1[[#This Row],[Missed Games]]=0, 0,Table1[[#This Row],[Finishes]]/($AA$6-Table1[[#This Row],[Missed Games]]))</f>
        <v>0</v>
      </c>
      <c r="AE15" s="102">
        <f t="shared" si="2"/>
        <v>0</v>
      </c>
      <c r="AF15" s="99">
        <f>IF($AA$6-Table1[[#This Row],[Missed Games]]=0, 0,Table1[[#This Row],[Midranges]]/($AA$6-Table1[[#This Row],[Missed Games]]))</f>
        <v>0</v>
      </c>
      <c r="AG15" s="102">
        <f t="shared" si="3"/>
        <v>0</v>
      </c>
      <c r="AH15" s="99">
        <f>IF($AA$6-Table1[[#This Row],[Missed Games]]=0, 0,Table1[[#This Row],[Threes]]/($AA$6-Table1[[#This Row],[Missed Games]]))</f>
        <v>0</v>
      </c>
      <c r="AI15" s="99" t="str">
        <f>SfW!C10</f>
        <v>Traffic Controllers</v>
      </c>
      <c r="AJ15" s="103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</v>
      </c>
      <c r="AR15" s="82">
        <f>AP15-Table1[[#This Row],[Points]]</f>
        <v>32</v>
      </c>
      <c r="AS15" s="88">
        <f>Table1[[#This Row],[Points]]/(20-AA$5-Table1[[#This Row],[Missed Games]])</f>
        <v>0</v>
      </c>
      <c r="AT15" s="94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9" t="str">
        <f>SfW!B11</f>
        <v>William Kim</v>
      </c>
      <c r="AA16" s="44">
        <f t="shared" si="0"/>
        <v>0</v>
      </c>
      <c r="AB16" s="45">
        <f>IF($AA$6-Table1[[#This Row],[Missed Games]]=0, 0,Table1[[#This Row],[Points]]/($AA$6-Table1[[#This Row],[Missed Games]]))</f>
        <v>0</v>
      </c>
      <c r="AC16" s="46">
        <f t="shared" si="1"/>
        <v>0</v>
      </c>
      <c r="AD16" s="43">
        <f>IF($AA$6-Table1[[#This Row],[Missed Games]]=0, 0,Table1[[#This Row],[Finishes]]/($AA$6-Table1[[#This Row],[Missed Games]]))</f>
        <v>0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</v>
      </c>
      <c r="AR16" s="82">
        <f>AP16-Table1[[#This Row],[Points]]</f>
        <v>29</v>
      </c>
      <c r="AS16" s="88">
        <f>Table1[[#This Row],[Points]]/(20-AA$5-Table1[[#This Row],[Missed Games]])</f>
        <v>0</v>
      </c>
      <c r="AT16" s="94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9" t="str">
        <f>SfW!B12</f>
        <v>Samuel McConaghy</v>
      </c>
      <c r="AA17" s="44">
        <f t="shared" si="0"/>
        <v>0</v>
      </c>
      <c r="AB17" s="45">
        <f>IF($AA$6-Table1[[#This Row],[Missed Games]]=0, 0,Table1[[#This Row],[Points]]/($AA$6-Table1[[#This Row],[Missed Games]]))</f>
        <v>0</v>
      </c>
      <c r="AC17" s="46">
        <f t="shared" si="1"/>
        <v>0</v>
      </c>
      <c r="AD17" s="43">
        <f>IF($AA$6-Table1[[#This Row],[Missed Games]]=0, 0,Table1[[#This Row],[Finishes]]/($AA$6-Table1[[#This Row],[Missed Games]]))</f>
        <v>0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</v>
      </c>
      <c r="AR17" s="82">
        <f>AP17-Table1[[#This Row],[Points]]</f>
        <v>51</v>
      </c>
      <c r="AS17" s="88">
        <f>Table1[[#This Row],[Points]]/(20-AA$5-Table1[[#This Row],[Missed Games]])</f>
        <v>0</v>
      </c>
      <c r="AT17" s="94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9" t="str">
        <f>SfW!B13</f>
        <v>Ryan Pattemore</v>
      </c>
      <c r="AA18" s="100">
        <f t="shared" si="0"/>
        <v>0</v>
      </c>
      <c r="AB18" s="101">
        <f>IF($AA$6-Table1[[#This Row],[Missed Games]]=0, 0,Table1[[#This Row],[Points]]/($AA$6-Table1[[#This Row],[Missed Games]]))</f>
        <v>0</v>
      </c>
      <c r="AC18" s="102">
        <f t="shared" si="1"/>
        <v>0</v>
      </c>
      <c r="AD18" s="99">
        <f>IF($AA$6-Table1[[#This Row],[Missed Games]]=0, 0,Table1[[#This Row],[Finishes]]/($AA$6-Table1[[#This Row],[Missed Games]]))</f>
        <v>0</v>
      </c>
      <c r="AE18" s="102">
        <f t="shared" si="2"/>
        <v>0</v>
      </c>
      <c r="AF18" s="99">
        <f>IF($AA$6-Table1[[#This Row],[Missed Games]]=0, 0,Table1[[#This Row],[Midranges]]/($AA$6-Table1[[#This Row],[Missed Games]]))</f>
        <v>0</v>
      </c>
      <c r="AG18" s="102">
        <f t="shared" si="3"/>
        <v>0</v>
      </c>
      <c r="AH18" s="99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3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0</v>
      </c>
      <c r="AR18" s="82">
        <f>AP18-Table1[[#This Row],[Points]]</f>
        <v>18</v>
      </c>
      <c r="AS18" s="88">
        <f>Table1[[#This Row],[Points]]/(20-AA$5-Table1[[#This Row],[Missed Games]])</f>
        <v>0</v>
      </c>
      <c r="AT18" s="94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Z19" s="99" t="str">
        <f>SfW!B14</f>
        <v>Nicholas Szogi</v>
      </c>
      <c r="AA19" s="100">
        <f t="shared" si="0"/>
        <v>0</v>
      </c>
      <c r="AB19" s="101">
        <f>IF($AA$6-Table1[[#This Row],[Missed Games]]=0, 0,Table1[[#This Row],[Points]]/($AA$6-Table1[[#This Row],[Missed Games]]))</f>
        <v>0</v>
      </c>
      <c r="AC19" s="102">
        <f t="shared" si="1"/>
        <v>0</v>
      </c>
      <c r="AD19" s="99">
        <f>IF($AA$6-Table1[[#This Row],[Missed Games]]=0, 0,Table1[[#This Row],[Finishes]]/($AA$6-Table1[[#This Row],[Missed Games]]))</f>
        <v>0</v>
      </c>
      <c r="AE19" s="102">
        <f t="shared" si="2"/>
        <v>0</v>
      </c>
      <c r="AF19" s="99">
        <f>IF($AA$6-Table1[[#This Row],[Missed Games]]=0, 0,Table1[[#This Row],[Midranges]]/($AA$6-Table1[[#This Row],[Missed Games]]))</f>
        <v>0</v>
      </c>
      <c r="AG19" s="102">
        <f t="shared" si="3"/>
        <v>0</v>
      </c>
      <c r="AH19" s="99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3">
        <f t="shared" si="4"/>
        <v>0</v>
      </c>
      <c r="AK19" s="42"/>
      <c r="AL19" s="42"/>
      <c r="AM19" s="42"/>
      <c r="AO19" s="23"/>
      <c r="AP19" s="13">
        <v>0</v>
      </c>
      <c r="AQ19" s="20">
        <v>1</v>
      </c>
      <c r="AR19" s="82">
        <f>AP19-Table1[[#This Row],[Points]]</f>
        <v>0</v>
      </c>
      <c r="AS19" s="88">
        <f>Table1[[#This Row],[Points]]/(20-AA$5-Table1[[#This Row],[Missed Games]])</f>
        <v>0</v>
      </c>
      <c r="AT19" s="94">
        <v>0</v>
      </c>
      <c r="AU19" s="25">
        <v>0</v>
      </c>
      <c r="AW19" s="1"/>
    </row>
    <row r="20" spans="2:49" ht="14.25" customHeight="1" x14ac:dyDescent="0.45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Z20" s="99" t="str">
        <f>SfW!B15</f>
        <v>Christopher Tomkinson</v>
      </c>
      <c r="AA20" s="100">
        <f t="shared" si="0"/>
        <v>0</v>
      </c>
      <c r="AB20" s="101">
        <f>IF($AA$6-Table1[[#This Row],[Missed Games]]=0, 0,Table1[[#This Row],[Points]]/($AA$6-Table1[[#This Row],[Missed Games]]))</f>
        <v>0</v>
      </c>
      <c r="AC20" s="102">
        <f t="shared" si="1"/>
        <v>0</v>
      </c>
      <c r="AD20" s="99">
        <f>IF($AA$6-Table1[[#This Row],[Missed Games]]=0, 0,Table1[[#This Row],[Finishes]]/($AA$6-Table1[[#This Row],[Missed Games]]))</f>
        <v>0</v>
      </c>
      <c r="AE20" s="102">
        <f t="shared" si="2"/>
        <v>0</v>
      </c>
      <c r="AF20" s="99">
        <f>IF($AA$6-Table1[[#This Row],[Missed Games]]=0, 0,Table1[[#This Row],[Midranges]]/($AA$6-Table1[[#This Row],[Missed Games]]))</f>
        <v>0</v>
      </c>
      <c r="AG20" s="102">
        <f t="shared" si="3"/>
        <v>0</v>
      </c>
      <c r="AH20" s="99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3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</v>
      </c>
      <c r="AR20" s="82">
        <f>AP20-Table1[[#This Row],[Points]]</f>
        <v>22</v>
      </c>
      <c r="AS20" s="88">
        <f>Table1[[#This Row],[Points]]/(20-AA$5-Table1[[#This Row],[Missed Games]])</f>
        <v>0</v>
      </c>
      <c r="AT20" s="94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Z21" s="99" t="str">
        <f>SfW!B16</f>
        <v>Angus Walker</v>
      </c>
      <c r="AA21" s="100">
        <f t="shared" si="0"/>
        <v>0</v>
      </c>
      <c r="AB21" s="101">
        <f>IF($AA$6-Table1[[#This Row],[Missed Games]]=0, 0,Table1[[#This Row],[Points]]/($AA$6-Table1[[#This Row],[Missed Games]]))</f>
        <v>0</v>
      </c>
      <c r="AC21" s="102">
        <f t="shared" si="1"/>
        <v>0</v>
      </c>
      <c r="AD21" s="99">
        <f>IF($AA$6-Table1[[#This Row],[Missed Games]]=0, 0,Table1[[#This Row],[Finishes]]/($AA$6-Table1[[#This Row],[Missed Games]]))</f>
        <v>0</v>
      </c>
      <c r="AE21" s="102">
        <f t="shared" si="2"/>
        <v>0</v>
      </c>
      <c r="AF21" s="99">
        <f>IF($AA$6-Table1[[#This Row],[Missed Games]]=0, 0,Table1[[#This Row],[Midranges]]/($AA$6-Table1[[#This Row],[Missed Games]]))</f>
        <v>0</v>
      </c>
      <c r="AG21" s="102">
        <f t="shared" si="3"/>
        <v>0</v>
      </c>
      <c r="AH21" s="99">
        <f>IF($AA$6-Table1[[#This Row],[Missed Games]]=0, 0,Table1[[#This Row],[Threes]]/($AA$6-Table1[[#This Row],[Missed Games]]))</f>
        <v>0</v>
      </c>
      <c r="AI21" s="43" t="str">
        <f>SfW!C16</f>
        <v>Traffic Controllers</v>
      </c>
      <c r="AJ21" s="103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</v>
      </c>
      <c r="AR21" s="82">
        <f>AP21-Table1[[#This Row],[Points]]</f>
        <v>22</v>
      </c>
      <c r="AS21" s="88">
        <f>Table1[[#This Row],[Points]]/(20-AA$5-Table1[[#This Row],[Missed Games]])</f>
        <v>0</v>
      </c>
      <c r="AT21" s="94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9" t="str">
        <f>SfW!B17</f>
        <v>Will Weekes</v>
      </c>
      <c r="AA22" s="44">
        <f t="shared" si="0"/>
        <v>0</v>
      </c>
      <c r="AB22" s="45">
        <f>IF($AA$6-Table1[[#This Row],[Missed Games]]=0, 0,Table1[[#This Row],[Points]]/($AA$6-Table1[[#This Row],[Missed Games]]))</f>
        <v>0</v>
      </c>
      <c r="AC22" s="46">
        <f t="shared" si="1"/>
        <v>0</v>
      </c>
      <c r="AD22" s="72">
        <f>IF($AA$6-Table1[[#This Row],[Missed Games]]=0, 0,Table1[[#This Row],[Finishes]]/($AA$6-Table1[[#This Row],[Missed Games]]))</f>
        <v>0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0</v>
      </c>
      <c r="AR22" s="82">
        <f>AP22-Table1[[#This Row],[Points]]</f>
        <v>49</v>
      </c>
      <c r="AS22" s="88">
        <f>Table1[[#This Row],[Points]]/(20-AA$5-Table1[[#This Row],[Missed Games]])</f>
        <v>0</v>
      </c>
      <c r="AT22" s="94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9" t="str">
        <f>SfW!B18</f>
        <v>Mitch Yue</v>
      </c>
      <c r="AA23" s="100">
        <f t="shared" si="0"/>
        <v>0</v>
      </c>
      <c r="AB23" s="105">
        <f>IF($AA$6-Table1[[#This Row],[Missed Games]]=0, 0,Table1[[#This Row],[Points]]/($AA$6-Table1[[#This Row],[Missed Games]]))</f>
        <v>0</v>
      </c>
      <c r="AC23" s="102">
        <f t="shared" si="1"/>
        <v>0</v>
      </c>
      <c r="AD23" s="104">
        <f>IF($AA$6-Table1[[#This Row],[Missed Games]]=0, 0,Table1[[#This Row],[Finishes]]/($AA$6-Table1[[#This Row],[Missed Games]]))</f>
        <v>0</v>
      </c>
      <c r="AE23" s="102">
        <f t="shared" si="2"/>
        <v>0</v>
      </c>
      <c r="AF23" s="104">
        <f>IF($AA$6-Table1[[#This Row],[Missed Games]]=0, 0,Table1[[#This Row],[Midranges]]/($AA$6-Table1[[#This Row],[Missed Games]]))</f>
        <v>0</v>
      </c>
      <c r="AG23" s="102">
        <f t="shared" si="3"/>
        <v>0</v>
      </c>
      <c r="AH23" s="104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3">
        <f t="shared" si="4"/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2">
        <f>AP23-Table1[[#This Row],[Points]]</f>
        <v>3</v>
      </c>
      <c r="AS23" s="88">
        <f>Table1[[#This Row],[Points]]/(20-AA$5-Table1[[#This Row],[Missed Games]])</f>
        <v>0</v>
      </c>
      <c r="AT23" s="94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9"/>
      <c r="AA24" s="100"/>
      <c r="AB24" s="101"/>
      <c r="AC24" s="102"/>
      <c r="AD24" s="99"/>
      <c r="AE24" s="102"/>
      <c r="AF24" s="99"/>
      <c r="AG24" s="102"/>
      <c r="AH24" s="99"/>
      <c r="AI24" s="99"/>
      <c r="AJ24" s="103"/>
      <c r="AL24" s="30"/>
      <c r="AN24" s="3"/>
      <c r="AP24" s="13"/>
      <c r="AQ24" s="20"/>
      <c r="AR24" s="82"/>
      <c r="AS24" s="88"/>
      <c r="AT24" s="94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136</v>
      </c>
      <c r="AA27" s="1">
        <v>0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90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101</v>
      </c>
      <c r="AF28" s="21" t="s">
        <v>99</v>
      </c>
      <c r="AG28" s="10" t="s">
        <v>100</v>
      </c>
      <c r="AH28" s="21" t="s">
        <v>135</v>
      </c>
      <c r="AI28" s="2" t="s">
        <v>97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101</v>
      </c>
      <c r="AQ28" s="21" t="s">
        <v>99</v>
      </c>
      <c r="AR28" s="10" t="s">
        <v>100</v>
      </c>
      <c r="AS28" s="21" t="s">
        <v>135</v>
      </c>
      <c r="AT28" s="2" t="s">
        <v>97</v>
      </c>
    </row>
    <row r="29" spans="2:49" ht="14.25" customHeight="1" x14ac:dyDescent="0.4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2"/>
      <c r="S29" t="s">
        <v>91</v>
      </c>
      <c r="X29" s="14"/>
      <c r="Y29" s="14"/>
      <c r="Z29" s="1" t="s">
        <v>25</v>
      </c>
      <c r="AA29" s="22"/>
      <c r="AB29" s="22"/>
      <c r="AC29" s="22"/>
      <c r="AD29" s="22"/>
      <c r="AE29" s="6"/>
      <c r="AF29" s="6"/>
      <c r="AG29" s="6"/>
      <c r="AH29" s="6"/>
      <c r="AK29" s="1" t="s">
        <v>25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4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2"/>
      <c r="S30" s="65" t="s">
        <v>139</v>
      </c>
      <c r="Z30" s="1" t="s">
        <v>26</v>
      </c>
      <c r="AA30" s="22"/>
      <c r="AB30" s="22"/>
      <c r="AC30" s="22"/>
      <c r="AD30" s="22"/>
      <c r="AE30" s="6"/>
      <c r="AF30" s="6"/>
      <c r="AG30" s="6"/>
      <c r="AH30" s="6"/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2"/>
      <c r="S31" s="65" t="s">
        <v>140</v>
      </c>
      <c r="Z31" s="1" t="s">
        <v>27</v>
      </c>
      <c r="AA31" s="22"/>
      <c r="AB31" s="22"/>
      <c r="AC31" s="22"/>
      <c r="AD31" s="22"/>
      <c r="AE31" s="6"/>
      <c r="AF31" s="6"/>
      <c r="AG31" s="6"/>
      <c r="AH31" s="6"/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S32" s="65" t="s">
        <v>141</v>
      </c>
      <c r="X32" s="13"/>
      <c r="Z32" s="1" t="s">
        <v>30</v>
      </c>
      <c r="AA32" s="22"/>
      <c r="AB32" s="22"/>
      <c r="AC32" s="22"/>
      <c r="AD32" s="22"/>
      <c r="AE32" s="6"/>
      <c r="AF32" s="6"/>
      <c r="AG32" s="6"/>
      <c r="AH32" s="6"/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S33" s="65" t="s">
        <v>142</v>
      </c>
      <c r="Z33" s="1" t="s">
        <v>32</v>
      </c>
      <c r="AA33" s="22"/>
      <c r="AB33" s="22"/>
      <c r="AC33" s="22"/>
      <c r="AD33" s="22"/>
      <c r="AE33" s="6"/>
      <c r="AF33" s="6"/>
      <c r="AG33" s="6"/>
      <c r="AH33" s="6"/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S34" s="65" t="s">
        <v>143</v>
      </c>
      <c r="Z34" s="1" t="s">
        <v>37</v>
      </c>
      <c r="AA34" s="22"/>
      <c r="AB34" s="22"/>
      <c r="AC34" s="22"/>
      <c r="AD34" s="22"/>
      <c r="AE34" s="6"/>
      <c r="AF34" s="6"/>
      <c r="AG34" s="6"/>
      <c r="AH34" s="6"/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S35" s="65" t="s">
        <v>144</v>
      </c>
      <c r="Z35" t="s">
        <v>92</v>
      </c>
      <c r="AA35" s="22"/>
      <c r="AB35" s="22"/>
      <c r="AC35" s="22"/>
      <c r="AD35" s="22"/>
      <c r="AE35" s="6"/>
      <c r="AF35" s="6"/>
      <c r="AG35" s="6"/>
      <c r="AH35" s="6"/>
      <c r="AK35" t="s">
        <v>92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S36" s="65" t="s">
        <v>145</v>
      </c>
      <c r="Z36" s="1" t="s">
        <v>39</v>
      </c>
      <c r="AA36" s="22"/>
      <c r="AB36" s="22"/>
      <c r="AC36" s="22"/>
      <c r="AD36" s="22"/>
      <c r="AE36" s="6"/>
      <c r="AF36" s="6"/>
      <c r="AG36" s="6"/>
      <c r="AH36" s="6"/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Z37" s="1" t="s">
        <v>41</v>
      </c>
      <c r="AA37" s="22"/>
      <c r="AB37" s="22"/>
      <c r="AC37" s="22"/>
      <c r="AD37" s="22"/>
      <c r="AE37" s="6"/>
      <c r="AF37" s="6"/>
      <c r="AG37" s="6"/>
      <c r="AH37" s="6"/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Z38" s="1" t="s">
        <v>44</v>
      </c>
      <c r="AA38" s="22"/>
      <c r="AB38" s="22"/>
      <c r="AC38" s="22"/>
      <c r="AD38" s="22"/>
      <c r="AE38" s="6"/>
      <c r="AF38" s="6"/>
      <c r="AG38" s="6"/>
      <c r="AH38" s="6"/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Z39" s="1" t="s">
        <v>46</v>
      </c>
      <c r="AA39" s="22"/>
      <c r="AB39" s="22"/>
      <c r="AC39" s="22"/>
      <c r="AD39" s="22"/>
      <c r="AE39" s="6"/>
      <c r="AF39" s="6"/>
      <c r="AG39" s="6"/>
      <c r="AH39" s="6"/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10" t="s">
        <v>93</v>
      </c>
      <c r="U40" t="s">
        <v>153</v>
      </c>
      <c r="V40" t="s">
        <v>154</v>
      </c>
      <c r="W40" t="s">
        <v>155</v>
      </c>
      <c r="X40" t="s">
        <v>160</v>
      </c>
      <c r="Z40" t="s">
        <v>49</v>
      </c>
      <c r="AA40" s="22"/>
      <c r="AB40" s="22"/>
      <c r="AC40" s="22"/>
      <c r="AD40" s="22"/>
      <c r="AE40" s="6"/>
      <c r="AF40" s="6"/>
      <c r="AG40" s="6"/>
      <c r="AH40" s="6"/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167</v>
      </c>
      <c r="S41">
        <f>'Statistics CT'!H3</f>
        <v>0</v>
      </c>
      <c r="T41" s="80" t="e">
        <f>S41/SUM(S41:S43)</f>
        <v>#DIV/0!</v>
      </c>
      <c r="U41" s="84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43.255879828326172</v>
      </c>
      <c r="Y41" s="85">
        <v>1</v>
      </c>
      <c r="Z41" t="s">
        <v>52</v>
      </c>
      <c r="AA41" s="22"/>
      <c r="AB41" s="22"/>
      <c r="AC41" s="22"/>
      <c r="AD41" s="22"/>
      <c r="AE41" s="6"/>
      <c r="AF41" s="6"/>
      <c r="AG41" s="6"/>
      <c r="AH41" s="6"/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168</v>
      </c>
      <c r="S42">
        <f>'Statistics TC'!H3</f>
        <v>0</v>
      </c>
      <c r="T42" s="84" t="e">
        <f>S42/SUM(S41:S43)</f>
        <v>#DIV/0!</v>
      </c>
      <c r="U42" s="84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41.710815450643778</v>
      </c>
      <c r="Y42" s="85">
        <v>2</v>
      </c>
      <c r="Z42" t="s">
        <v>55</v>
      </c>
      <c r="AA42" s="22"/>
      <c r="AB42" s="22"/>
      <c r="AC42" s="22"/>
      <c r="AD42" s="22"/>
      <c r="AE42" s="6"/>
      <c r="AF42" s="6"/>
      <c r="AG42" s="6"/>
      <c r="AH42" s="6"/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0</v>
      </c>
      <c r="T43" s="84" t="e">
        <f>S43/SUM(S41:S43)</f>
        <v>#DIV/0!</v>
      </c>
      <c r="U43" s="84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35.033304721030049</v>
      </c>
      <c r="Y43" s="85">
        <v>3</v>
      </c>
      <c r="Z43" t="s">
        <v>196</v>
      </c>
      <c r="AA43" s="22"/>
      <c r="AB43" s="22"/>
      <c r="AC43" s="22"/>
      <c r="AD43" s="22"/>
      <c r="AE43" s="6"/>
      <c r="AF43" s="6"/>
      <c r="AG43" s="6"/>
      <c r="AH43" s="6"/>
      <c r="AK43" t="s">
        <v>196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210</v>
      </c>
      <c r="AA44" s="22"/>
      <c r="AB44" s="22"/>
      <c r="AC44" s="22"/>
      <c r="AD44" s="22"/>
      <c r="AE44" s="6"/>
      <c r="AF44" s="6"/>
      <c r="AG44" s="6"/>
      <c r="AH44" s="6"/>
      <c r="AK44" t="s">
        <v>210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159</v>
      </c>
      <c r="W45">
        <f>(20-AA6-AA5)*2</f>
        <v>40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163</v>
      </c>
      <c r="W46">
        <f>(W45-(MAX(S41:S43)-MIN(S41:S43)))/2</f>
        <v>20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103</v>
      </c>
      <c r="AA47" s="1">
        <v>0</v>
      </c>
      <c r="AI47" s="2"/>
      <c r="AK47" s="1" t="s">
        <v>105</v>
      </c>
      <c r="AL47" s="1">
        <v>0</v>
      </c>
      <c r="AT47" s="2"/>
    </row>
    <row r="48" spans="2:46" ht="14.25" customHeight="1" x14ac:dyDescent="0.45">
      <c r="S48" s="10" t="s">
        <v>114</v>
      </c>
      <c r="U48" s="10" t="s">
        <v>71</v>
      </c>
      <c r="V48" s="10" t="s">
        <v>74</v>
      </c>
      <c r="W48" s="10" t="s">
        <v>115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101</v>
      </c>
      <c r="AF48" s="21" t="s">
        <v>99</v>
      </c>
      <c r="AG48" s="10" t="s">
        <v>100</v>
      </c>
      <c r="AH48" s="21" t="s">
        <v>135</v>
      </c>
      <c r="AI48" s="2" t="s">
        <v>97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101</v>
      </c>
      <c r="AQ48" s="21" t="s">
        <v>99</v>
      </c>
      <c r="AR48" s="10" t="s">
        <v>100</v>
      </c>
      <c r="AS48" s="21" t="s">
        <v>135</v>
      </c>
      <c r="AT48" s="2" t="s">
        <v>97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 t="e">
        <f>U49/AA6</f>
        <v>#DIV/0!</v>
      </c>
      <c r="W49" s="20" t="e">
        <f>U49/SUM($U$49:$U$51)</f>
        <v>#DIV/0!</v>
      </c>
      <c r="Z49" s="1" t="s">
        <v>25</v>
      </c>
      <c r="AA49" s="22"/>
      <c r="AB49" s="22"/>
      <c r="AC49" s="22"/>
      <c r="AD49" s="22"/>
      <c r="AE49" s="91"/>
      <c r="AF49" s="91"/>
      <c r="AG49" s="91"/>
      <c r="AH49" s="91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 t="e">
        <f>U50/AA6</f>
        <v>#DIV/0!</v>
      </c>
      <c r="W50" s="20" t="e">
        <f>U50/SUM($U$49:$U$51)</f>
        <v>#DIV/0!</v>
      </c>
      <c r="Z50" s="1" t="s">
        <v>26</v>
      </c>
      <c r="AA50" s="22"/>
      <c r="AB50" s="22"/>
      <c r="AC50" s="22"/>
      <c r="AD50" s="22"/>
      <c r="AE50" s="91"/>
      <c r="AF50" s="91"/>
      <c r="AG50" s="91"/>
      <c r="AH50" s="91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 t="e">
        <f>U51/AA6</f>
        <v>#DIV/0!</v>
      </c>
      <c r="W51" s="20" t="e">
        <f>U51/SUM($U$49:$U$51)</f>
        <v>#DIV/0!</v>
      </c>
      <c r="Z51" s="1" t="s">
        <v>27</v>
      </c>
      <c r="AA51" s="22"/>
      <c r="AB51" s="22"/>
      <c r="AC51" s="22"/>
      <c r="AD51" s="22"/>
      <c r="AE51" s="91"/>
      <c r="AF51" s="91"/>
      <c r="AG51" s="91"/>
      <c r="AH51" s="91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91"/>
      <c r="AF52" s="91"/>
      <c r="AG52" s="91"/>
      <c r="AH52" s="91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106</v>
      </c>
      <c r="Z53" s="1" t="s">
        <v>32</v>
      </c>
      <c r="AA53" s="22"/>
      <c r="AB53" s="22"/>
      <c r="AC53" s="22"/>
      <c r="AD53" s="22"/>
      <c r="AE53" s="91"/>
      <c r="AF53" s="91"/>
      <c r="AG53" s="91"/>
      <c r="AH53" s="91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167</v>
      </c>
      <c r="U54" s="10" t="s">
        <v>168</v>
      </c>
      <c r="V54" s="10" t="s">
        <v>35</v>
      </c>
      <c r="Z54" s="1" t="s">
        <v>37</v>
      </c>
      <c r="AA54" s="22"/>
      <c r="AB54" s="22"/>
      <c r="AC54" s="22"/>
      <c r="AD54" s="22"/>
      <c r="AE54" s="91"/>
      <c r="AF54" s="91"/>
      <c r="AG54" s="91"/>
      <c r="AH54" s="91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169</v>
      </c>
      <c r="T55" s="27" t="s">
        <v>107</v>
      </c>
      <c r="U55" s="25">
        <f>'Statistics CT'!J42</f>
        <v>0</v>
      </c>
      <c r="V55" s="25">
        <f>'Statistics CT'!M42</f>
        <v>0</v>
      </c>
      <c r="W55" s="25">
        <f>AVERAGE(U55:V55)</f>
        <v>0</v>
      </c>
      <c r="Z55" t="s">
        <v>92</v>
      </c>
      <c r="AA55" s="22"/>
      <c r="AB55" s="22"/>
      <c r="AC55" s="22"/>
      <c r="AD55" s="22"/>
      <c r="AE55" s="91"/>
      <c r="AF55" s="91"/>
      <c r="AG55" s="91"/>
      <c r="AH55" s="91"/>
      <c r="AI55" s="22"/>
      <c r="AK55" t="s">
        <v>92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170</v>
      </c>
      <c r="T56" s="25">
        <f>1-'Statistics CT'!J42</f>
        <v>1</v>
      </c>
      <c r="U56" s="27" t="s">
        <v>107</v>
      </c>
      <c r="V56" s="25">
        <f>'Statistics TC'!J42</f>
        <v>0</v>
      </c>
      <c r="W56" s="25">
        <f>AVERAGE(T56:V56)</f>
        <v>0.5</v>
      </c>
      <c r="Z56" s="1" t="s">
        <v>39</v>
      </c>
      <c r="AA56" s="22"/>
      <c r="AB56" s="22"/>
      <c r="AC56" s="22"/>
      <c r="AD56" s="22"/>
      <c r="AE56" s="91"/>
      <c r="AF56" s="91"/>
      <c r="AG56" s="91"/>
      <c r="AH56" s="91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171</v>
      </c>
      <c r="T57" s="25">
        <f>1-V55</f>
        <v>1</v>
      </c>
      <c r="U57" s="25">
        <f>1-V56</f>
        <v>1</v>
      </c>
      <c r="V57" s="27" t="s">
        <v>107</v>
      </c>
      <c r="W57" s="25">
        <f>AVERAGE(T57:V57)</f>
        <v>1</v>
      </c>
      <c r="Z57" s="1" t="s">
        <v>41</v>
      </c>
      <c r="AA57" s="22"/>
      <c r="AB57" s="22"/>
      <c r="AC57" s="22"/>
      <c r="AD57" s="22"/>
      <c r="AE57" s="91"/>
      <c r="AF57" s="91"/>
      <c r="AG57" s="91"/>
      <c r="AH57" s="91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91"/>
      <c r="AF58" s="91"/>
      <c r="AG58" s="91"/>
      <c r="AH58" s="91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91"/>
      <c r="AF59" s="91"/>
      <c r="AG59" s="91"/>
      <c r="AH59" s="91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91"/>
      <c r="AF60" s="91"/>
      <c r="AG60" s="91"/>
      <c r="AH60" s="91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91"/>
      <c r="AF61" s="91"/>
      <c r="AG61" s="91"/>
      <c r="AH61" s="91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91"/>
      <c r="AF62" s="91"/>
      <c r="AG62" s="91"/>
      <c r="AH62" s="91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196</v>
      </c>
      <c r="AA63" s="22"/>
      <c r="AB63" s="22"/>
      <c r="AC63" s="22"/>
      <c r="AD63" s="22"/>
      <c r="AE63" s="91"/>
      <c r="AF63" s="91"/>
      <c r="AG63" s="91"/>
      <c r="AH63" s="91"/>
      <c r="AI63" s="22"/>
      <c r="AK63" t="s">
        <v>196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210</v>
      </c>
      <c r="AA64" s="22"/>
      <c r="AB64" s="22"/>
      <c r="AC64" s="22"/>
      <c r="AD64" s="22"/>
      <c r="AE64" s="91"/>
      <c r="AF64" s="91"/>
      <c r="AG64" s="91"/>
      <c r="AH64" s="91"/>
      <c r="AI64" s="22"/>
      <c r="AK64" t="s">
        <v>210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1"/>
      <c r="AF65" s="91"/>
      <c r="AG65" s="91"/>
      <c r="AH65" s="91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113</v>
      </c>
      <c r="AA67" s="1">
        <v>0</v>
      </c>
      <c r="AI67" s="2"/>
      <c r="AK67" s="1" t="s">
        <v>117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101</v>
      </c>
      <c r="AF68" s="21" t="s">
        <v>99</v>
      </c>
      <c r="AG68" s="10" t="s">
        <v>100</v>
      </c>
      <c r="AH68" s="21" t="s">
        <v>135</v>
      </c>
      <c r="AI68" s="2" t="s">
        <v>97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101</v>
      </c>
      <c r="AQ68" s="21" t="s">
        <v>99</v>
      </c>
      <c r="AR68" s="10" t="s">
        <v>100</v>
      </c>
      <c r="AS68" s="21" t="s">
        <v>135</v>
      </c>
      <c r="AT68" s="2" t="s">
        <v>97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91"/>
      <c r="AF69" s="91"/>
      <c r="AG69" s="91"/>
      <c r="AH69" s="91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116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167</v>
      </c>
      <c r="U77" t="s">
        <v>35</v>
      </c>
      <c r="V77" t="s">
        <v>168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196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196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210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210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164</v>
      </c>
      <c r="AA87" s="1">
        <v>0</v>
      </c>
      <c r="AI87" s="2"/>
      <c r="AK87" s="1" t="s">
        <v>147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101</v>
      </c>
      <c r="AF88" s="21" t="s">
        <v>99</v>
      </c>
      <c r="AG88" s="10" t="s">
        <v>100</v>
      </c>
      <c r="AH88" s="21" t="s">
        <v>135</v>
      </c>
      <c r="AI88" s="2" t="s">
        <v>97</v>
      </c>
      <c r="AK88" s="10" t="s">
        <v>73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101</v>
      </c>
      <c r="AQ88" s="21" t="s">
        <v>99</v>
      </c>
      <c r="AR88" s="10" t="s">
        <v>100</v>
      </c>
      <c r="AS88" s="21" t="s">
        <v>135</v>
      </c>
      <c r="AT88" s="2" t="s">
        <v>97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25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26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27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30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32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37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92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39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41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44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46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49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52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55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196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196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210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210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A4" sqref="A4:D40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181</v>
      </c>
      <c r="F2" s="52" t="s">
        <v>77</v>
      </c>
      <c r="G2" s="52" t="s">
        <v>78</v>
      </c>
      <c r="H2" s="36" t="s">
        <v>79</v>
      </c>
      <c r="J2" s="52" t="s">
        <v>165</v>
      </c>
      <c r="M2" s="52" t="s">
        <v>166</v>
      </c>
      <c r="P2" s="66" t="s">
        <v>146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9"/>
      <c r="F3" s="109">
        <f>SUM(B4:B40)</f>
        <v>0</v>
      </c>
      <c r="G3" s="109">
        <f>SUM(C4:C40)</f>
        <v>0</v>
      </c>
      <c r="H3" s="109">
        <f>SUM(D4:D40)</f>
        <v>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94</v>
      </c>
      <c r="W3" s="68" t="s">
        <v>3</v>
      </c>
      <c r="X3" s="69" t="s">
        <v>95</v>
      </c>
      <c r="Y3" s="69" t="s">
        <v>97</v>
      </c>
    </row>
    <row r="4" spans="1:25" ht="14.55" customHeight="1" x14ac:dyDescent="0.45">
      <c r="A4" s="110">
        <f>'Stats Global'!B5</f>
        <v>0</v>
      </c>
      <c r="B4" s="110">
        <f>'Stats Global'!F5</f>
        <v>0</v>
      </c>
      <c r="C4" s="110">
        <f>'Stats Global'!G5+'Stats Global'!G5</f>
        <v>0</v>
      </c>
      <c r="D4" s="110">
        <f>'Stats Global'!O5</f>
        <v>0</v>
      </c>
      <c r="E4" s="119"/>
      <c r="H4" s="54"/>
      <c r="J4" s="55">
        <f>'Stats Global'!J5</f>
        <v>0</v>
      </c>
      <c r="K4" s="55">
        <f>'Stats Global'!G5</f>
        <v>0</v>
      </c>
      <c r="L4" s="56"/>
      <c r="M4" s="55">
        <f>'Stats Global'!M5</f>
        <v>0</v>
      </c>
      <c r="N4" s="55">
        <f>'Stats Global'!H5</f>
        <v>0</v>
      </c>
      <c r="P4" s="70" t="str">
        <f>'Stats Global'!Z18</f>
        <v>Ryan Pattemore</v>
      </c>
      <c r="Q4" s="70">
        <f>'Stats Global'!AA18</f>
        <v>0</v>
      </c>
      <c r="R4" s="70">
        <f>'Stats Global'!AB18</f>
        <v>0</v>
      </c>
      <c r="S4" s="70">
        <f>'Stats Global'!AC18</f>
        <v>0</v>
      </c>
      <c r="T4" s="70">
        <f>'Stats Global'!AD18</f>
        <v>0</v>
      </c>
      <c r="U4" s="70">
        <f>'Stats Global'!AE18</f>
        <v>0</v>
      </c>
      <c r="V4" s="70">
        <f>'Stats Global'!AF18</f>
        <v>0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10">
        <f>'Stats Global'!B6</f>
        <v>0</v>
      </c>
      <c r="B5" s="110">
        <f>'Stats Global'!F6</f>
        <v>0</v>
      </c>
      <c r="C5" s="110">
        <f>'Stats Global'!G6+'Stats Global'!G6</f>
        <v>0</v>
      </c>
      <c r="D5" s="110">
        <f>'Stats Global'!O6</f>
        <v>0</v>
      </c>
      <c r="E5" s="119"/>
      <c r="G5" s="52"/>
      <c r="H5" s="54"/>
      <c r="J5" s="55">
        <f>'Stats Global'!J6</f>
        <v>0</v>
      </c>
      <c r="K5" s="55">
        <f>'Stats Global'!G6</f>
        <v>0</v>
      </c>
      <c r="L5" s="56"/>
      <c r="M5" s="55">
        <f>'Stats Global'!M6</f>
        <v>0</v>
      </c>
      <c r="N5" s="55">
        <f>'Stats Global'!H6</f>
        <v>0</v>
      </c>
      <c r="P5" s="54" t="str">
        <f>'Stats Global'!Z22</f>
        <v>Will Weekes</v>
      </c>
      <c r="Q5" s="54">
        <f>'Stats Global'!AA22</f>
        <v>0</v>
      </c>
      <c r="R5" s="54">
        <f>'Stats Global'!AB22</f>
        <v>0</v>
      </c>
      <c r="S5" s="54">
        <f>'Stats Global'!AC22</f>
        <v>0</v>
      </c>
      <c r="T5" s="54">
        <f>'Stats Global'!AD22</f>
        <v>0</v>
      </c>
      <c r="U5" s="54">
        <f>'Stats Global'!AE22</f>
        <v>0</v>
      </c>
      <c r="V5" s="54">
        <f>'Stats Global'!AF22</f>
        <v>0</v>
      </c>
      <c r="W5" s="54">
        <f>'Stats Global'!AG22</f>
        <v>0</v>
      </c>
      <c r="X5" s="54">
        <f>'Stats Global'!AH22</f>
        <v>0</v>
      </c>
      <c r="Y5" s="63">
        <f>'Stats Global'!AJ22</f>
        <v>0</v>
      </c>
    </row>
    <row r="6" spans="1:25" ht="14.55" customHeight="1" x14ac:dyDescent="0.45">
      <c r="A6" s="110">
        <f>'Stats Global'!B7</f>
        <v>0</v>
      </c>
      <c r="B6" s="110">
        <f>'Stats Global'!F7</f>
        <v>0</v>
      </c>
      <c r="C6" s="110">
        <f>'Stats Global'!G7+'Stats Global'!G7</f>
        <v>0</v>
      </c>
      <c r="D6" s="110">
        <f>'Stats Global'!O7</f>
        <v>0</v>
      </c>
      <c r="E6" s="119"/>
      <c r="G6" s="52"/>
      <c r="H6" s="54"/>
      <c r="J6" s="55">
        <f>'Stats Global'!J7</f>
        <v>0</v>
      </c>
      <c r="K6" s="55">
        <f>'Stats Global'!G7</f>
        <v>0</v>
      </c>
      <c r="L6" s="56"/>
      <c r="M6" s="55">
        <f>'Stats Global'!M7</f>
        <v>0</v>
      </c>
      <c r="N6" s="55">
        <f>'Stats Global'!H7</f>
        <v>0</v>
      </c>
      <c r="P6" s="63" t="str">
        <f>'Stats Global'!Z20</f>
        <v>Christopher Tomkinson</v>
      </c>
      <c r="Q6" s="63">
        <f>'Stats Global'!AA20</f>
        <v>0</v>
      </c>
      <c r="R6" s="63">
        <f>'Stats Global'!AB20</f>
        <v>0</v>
      </c>
      <c r="S6" s="63">
        <f>'Stats Global'!AC20</f>
        <v>0</v>
      </c>
      <c r="T6" s="63">
        <f>'Stats Global'!AD20</f>
        <v>0</v>
      </c>
      <c r="U6" s="63">
        <f>'Stats Global'!AE20</f>
        <v>0</v>
      </c>
      <c r="V6" s="63">
        <f>'Stats Global'!AF20</f>
        <v>0</v>
      </c>
      <c r="W6" s="63">
        <f>'Stats Global'!AG20</f>
        <v>0</v>
      </c>
      <c r="X6" s="63">
        <f>'Stats Global'!AH20</f>
        <v>0</v>
      </c>
      <c r="Y6" s="63">
        <f>'Stats Global'!AJ20</f>
        <v>0</v>
      </c>
    </row>
    <row r="7" spans="1:25" ht="14.55" customHeight="1" x14ac:dyDescent="0.45">
      <c r="A7" s="110">
        <f>'Stats Global'!B8</f>
        <v>0</v>
      </c>
      <c r="B7" s="110">
        <f>'Stats Global'!F8</f>
        <v>0</v>
      </c>
      <c r="C7" s="110">
        <f>'Stats Global'!G8+'Stats Global'!G8</f>
        <v>0</v>
      </c>
      <c r="D7" s="110">
        <f>'Stats Global'!O8</f>
        <v>0</v>
      </c>
      <c r="E7" s="119"/>
      <c r="G7" s="52"/>
      <c r="H7" s="54"/>
      <c r="J7" s="55">
        <f>'Stats Global'!J8</f>
        <v>0</v>
      </c>
      <c r="K7" s="55">
        <f>'Stats Global'!G8</f>
        <v>0</v>
      </c>
      <c r="L7" s="56"/>
      <c r="M7" s="55">
        <f>'Stats Global'!M8</f>
        <v>0</v>
      </c>
      <c r="N7" s="55">
        <f>'Stats Global'!H8</f>
        <v>0</v>
      </c>
      <c r="P7" s="54" t="str">
        <f>'Stats Global'!Z14</f>
        <v>Sam James</v>
      </c>
      <c r="Q7" s="54">
        <f>'Stats Global'!AA14</f>
        <v>0</v>
      </c>
      <c r="R7" s="54">
        <f>'Stats Global'!AB14</f>
        <v>0</v>
      </c>
      <c r="S7" s="54">
        <f>'Stats Global'!AC14</f>
        <v>0</v>
      </c>
      <c r="T7" s="54">
        <f>'Stats Global'!AD14</f>
        <v>0</v>
      </c>
      <c r="U7" s="54">
        <f>'Stats Global'!AE14</f>
        <v>0</v>
      </c>
      <c r="V7" s="54">
        <f>'Stats Global'!AF14</f>
        <v>0</v>
      </c>
      <c r="W7" s="54">
        <f>'Stats Global'!AG14</f>
        <v>0</v>
      </c>
      <c r="X7" s="54">
        <f>'Stats Global'!AH14</f>
        <v>0</v>
      </c>
      <c r="Y7" s="63">
        <f>'Stats Global'!AJ14</f>
        <v>0</v>
      </c>
    </row>
    <row r="8" spans="1:25" ht="14.55" customHeight="1" x14ac:dyDescent="0.45">
      <c r="A8" s="110">
        <f>'Stats Global'!B9</f>
        <v>0</v>
      </c>
      <c r="B8" s="110">
        <f>'Stats Global'!F9</f>
        <v>0</v>
      </c>
      <c r="C8" s="110">
        <f>'Stats Global'!G9+'Stats Global'!G9</f>
        <v>0</v>
      </c>
      <c r="D8" s="110">
        <f>'Stats Global'!O9</f>
        <v>0</v>
      </c>
      <c r="E8" s="119"/>
      <c r="G8" s="52"/>
      <c r="H8" s="54"/>
      <c r="J8" s="55">
        <f>'Stats Global'!J9</f>
        <v>0</v>
      </c>
      <c r="K8" s="55">
        <f>'Stats Global'!G9</f>
        <v>0</v>
      </c>
      <c r="L8" s="56"/>
      <c r="M8" s="55">
        <f>'Stats Global'!M9</f>
        <v>0</v>
      </c>
      <c r="N8" s="55">
        <f>'Stats Global'!H9</f>
        <v>0</v>
      </c>
      <c r="P8" s="54" t="str">
        <f>'Stats Global'!Z12</f>
        <v>Michael Iffland</v>
      </c>
      <c r="Q8" s="54">
        <f>'Stats Global'!AA12</f>
        <v>0</v>
      </c>
      <c r="R8" s="54">
        <f>'Stats Global'!AB12</f>
        <v>0</v>
      </c>
      <c r="S8" s="54">
        <f>'Stats Global'!AC12</f>
        <v>0</v>
      </c>
      <c r="T8" s="54">
        <f>'Stats Global'!AD12</f>
        <v>0</v>
      </c>
      <c r="U8" s="54">
        <f>'Stats Global'!AE12</f>
        <v>0</v>
      </c>
      <c r="V8" s="54">
        <f>'Stats Global'!AF12</f>
        <v>0</v>
      </c>
      <c r="W8" s="54">
        <f>'Stats Global'!AG12</f>
        <v>0</v>
      </c>
      <c r="X8" s="54">
        <f>'Stats Global'!AH12</f>
        <v>0</v>
      </c>
      <c r="Y8" s="63">
        <f>'Stats Global'!AJ12</f>
        <v>0</v>
      </c>
    </row>
    <row r="9" spans="1:25" ht="14.55" customHeight="1" x14ac:dyDescent="0.45">
      <c r="A9" s="110">
        <f>'Stats Global'!B10</f>
        <v>0</v>
      </c>
      <c r="B9" s="110">
        <f>'Stats Global'!F10</f>
        <v>0</v>
      </c>
      <c r="C9" s="110">
        <f>'Stats Global'!G10+'Stats Global'!G10</f>
        <v>0</v>
      </c>
      <c r="D9" s="110">
        <f>'Stats Global'!O10</f>
        <v>0</v>
      </c>
      <c r="E9" s="119"/>
      <c r="G9" s="52"/>
      <c r="H9" s="54"/>
      <c r="J9" s="55">
        <f>'Stats Global'!J10</f>
        <v>0</v>
      </c>
      <c r="K9" s="55">
        <f>'Stats Global'!G10</f>
        <v>0</v>
      </c>
      <c r="L9" s="56"/>
      <c r="M9" s="55">
        <f>'Stats Global'!M10</f>
        <v>0</v>
      </c>
      <c r="N9" s="55">
        <f>'Stats Global'!H10</f>
        <v>0</v>
      </c>
      <c r="Q9" s="26"/>
      <c r="R9" s="26"/>
      <c r="S9" s="26"/>
      <c r="T9" s="26"/>
      <c r="U9" s="26"/>
    </row>
    <row r="10" spans="1:25" ht="14.55" customHeight="1" x14ac:dyDescent="0.45">
      <c r="A10" s="110">
        <f>'Stats Global'!B11</f>
        <v>0</v>
      </c>
      <c r="B10" s="110">
        <f>'Stats Global'!F11</f>
        <v>0</v>
      </c>
      <c r="C10" s="110">
        <f>'Stats Global'!G11+'Stats Global'!G11</f>
        <v>0</v>
      </c>
      <c r="D10" s="110">
        <f>'Stats Global'!O11</f>
        <v>0</v>
      </c>
      <c r="E10" s="119"/>
      <c r="G10" s="52"/>
      <c r="H10" s="54"/>
      <c r="J10" s="55">
        <f>'Stats Global'!J11</f>
        <v>0</v>
      </c>
      <c r="K10" s="55">
        <f>'Stats Global'!G11</f>
        <v>0</v>
      </c>
      <c r="L10" s="56"/>
      <c r="M10" s="55">
        <f>'Stats Global'!M11</f>
        <v>0</v>
      </c>
      <c r="N10" s="55">
        <f>'Stats Global'!H11</f>
        <v>0</v>
      </c>
      <c r="R10" s="26"/>
      <c r="S10" s="26"/>
      <c r="T10" s="26"/>
      <c r="U10" s="26"/>
    </row>
    <row r="11" spans="1:25" ht="14.55" customHeight="1" x14ac:dyDescent="0.45">
      <c r="A11" s="110">
        <f>'Stats Global'!B12</f>
        <v>0</v>
      </c>
      <c r="B11" s="110">
        <f>'Stats Global'!F12</f>
        <v>0</v>
      </c>
      <c r="C11" s="110">
        <f>'Stats Global'!G12+'Stats Global'!G12</f>
        <v>0</v>
      </c>
      <c r="D11" s="110">
        <f>'Stats Global'!O12</f>
        <v>0</v>
      </c>
      <c r="E11" s="119"/>
      <c r="G11" s="52"/>
      <c r="H11" s="54"/>
      <c r="J11" s="55">
        <f>'Stats Global'!J12</f>
        <v>0</v>
      </c>
      <c r="K11" s="55">
        <f>'Stats Global'!G12</f>
        <v>0</v>
      </c>
      <c r="L11" s="56"/>
      <c r="M11" s="55">
        <f>'Stats Global'!M12</f>
        <v>0</v>
      </c>
      <c r="N11" s="55">
        <f>'Stats Global'!H12</f>
        <v>0</v>
      </c>
      <c r="P11" s="35"/>
      <c r="Q11" s="35"/>
    </row>
    <row r="12" spans="1:25" ht="14.55" customHeight="1" x14ac:dyDescent="0.45">
      <c r="A12" s="110">
        <f>'Stats Global'!B13</f>
        <v>0</v>
      </c>
      <c r="B12" s="110">
        <f>'Stats Global'!F13</f>
        <v>0</v>
      </c>
      <c r="C12" s="110">
        <f>'Stats Global'!G13+'Stats Global'!G13</f>
        <v>0</v>
      </c>
      <c r="D12" s="110">
        <f>'Stats Global'!O13</f>
        <v>0</v>
      </c>
      <c r="E12" s="119"/>
      <c r="G12" s="52"/>
      <c r="H12" s="54"/>
      <c r="J12" s="55">
        <f>'Stats Global'!J13</f>
        <v>0</v>
      </c>
      <c r="K12" s="55">
        <f>'Stats Global'!G13</f>
        <v>0</v>
      </c>
      <c r="L12" s="56"/>
      <c r="M12" s="55">
        <f>'Stats Global'!M13</f>
        <v>0</v>
      </c>
      <c r="N12" s="55">
        <f>'Stats Global'!H13</f>
        <v>0</v>
      </c>
      <c r="R12" s="35"/>
      <c r="S12" s="35"/>
      <c r="T12" s="35"/>
      <c r="U12" s="35"/>
    </row>
    <row r="13" spans="1:25" ht="14.55" customHeight="1" x14ac:dyDescent="0.45">
      <c r="A13" s="110">
        <f>'Stats Global'!B14</f>
        <v>0</v>
      </c>
      <c r="B13" s="110">
        <f>'Stats Global'!F14</f>
        <v>0</v>
      </c>
      <c r="C13" s="110">
        <f>'Stats Global'!G14+'Stats Global'!G14</f>
        <v>0</v>
      </c>
      <c r="D13" s="110">
        <f>'Stats Global'!O14</f>
        <v>0</v>
      </c>
      <c r="E13" s="119"/>
      <c r="H13" s="54"/>
      <c r="J13" s="55">
        <f>'Stats Global'!J14</f>
        <v>0</v>
      </c>
      <c r="K13" s="55">
        <f>'Stats Global'!G14</f>
        <v>0</v>
      </c>
      <c r="L13" s="56"/>
      <c r="M13" s="55">
        <f>'Stats Global'!M14</f>
        <v>0</v>
      </c>
      <c r="N13" s="55">
        <f>'Stats Global'!H14</f>
        <v>0</v>
      </c>
    </row>
    <row r="14" spans="1:25" ht="14.55" customHeight="1" x14ac:dyDescent="0.45">
      <c r="A14" s="110">
        <f>'Stats Global'!B15</f>
        <v>0</v>
      </c>
      <c r="B14" s="110">
        <f>'Stats Global'!F15</f>
        <v>0</v>
      </c>
      <c r="C14" s="110">
        <f>'Stats Global'!G15+'Stats Global'!G15</f>
        <v>0</v>
      </c>
      <c r="D14" s="110">
        <f>'Stats Global'!O15</f>
        <v>0</v>
      </c>
      <c r="E14" s="119"/>
      <c r="H14" s="54"/>
      <c r="J14" s="55">
        <f>'Stats Global'!J15</f>
        <v>0</v>
      </c>
      <c r="K14" s="55">
        <f>'Stats Global'!G15</f>
        <v>0</v>
      </c>
      <c r="L14" s="56"/>
      <c r="M14" s="55">
        <f>'Stats Global'!M15</f>
        <v>0</v>
      </c>
      <c r="N14" s="55">
        <f>'Stats Global'!H15</f>
        <v>0</v>
      </c>
    </row>
    <row r="15" spans="1:25" ht="14.55" customHeight="1" x14ac:dyDescent="0.45">
      <c r="A15" s="110">
        <f>'Stats Global'!B16</f>
        <v>0</v>
      </c>
      <c r="B15" s="110">
        <f>'Stats Global'!F16</f>
        <v>0</v>
      </c>
      <c r="C15" s="110">
        <f>'Stats Global'!G16+'Stats Global'!G16</f>
        <v>0</v>
      </c>
      <c r="D15" s="110">
        <f>'Stats Global'!O16</f>
        <v>0</v>
      </c>
      <c r="E15" s="119"/>
      <c r="H15" s="54"/>
      <c r="J15" s="55">
        <f>'Stats Global'!J16</f>
        <v>0</v>
      </c>
      <c r="K15" s="55">
        <f>'Stats Global'!G16</f>
        <v>0</v>
      </c>
      <c r="L15" s="56"/>
      <c r="M15" s="55">
        <f>'Stats Global'!M16</f>
        <v>0</v>
      </c>
      <c r="N15" s="55">
        <f>'Stats Global'!H16</f>
        <v>0</v>
      </c>
    </row>
    <row r="16" spans="1:25" ht="14.55" customHeight="1" x14ac:dyDescent="0.45">
      <c r="A16" s="110">
        <f>'Stats Global'!B17</f>
        <v>0</v>
      </c>
      <c r="B16" s="110">
        <f>'Stats Global'!F17</f>
        <v>0</v>
      </c>
      <c r="C16" s="110">
        <f>'Stats Global'!G17+'Stats Global'!G17</f>
        <v>0</v>
      </c>
      <c r="D16" s="110">
        <f>'Stats Global'!O17</f>
        <v>0</v>
      </c>
      <c r="E16" s="119"/>
      <c r="H16" s="54"/>
      <c r="J16" s="55">
        <f>'Stats Global'!J17</f>
        <v>0</v>
      </c>
      <c r="K16" s="55">
        <f>'Stats Global'!G17</f>
        <v>0</v>
      </c>
      <c r="L16" s="56"/>
      <c r="M16" s="55">
        <f>'Stats Global'!M17</f>
        <v>0</v>
      </c>
      <c r="N16" s="55">
        <f>'Stats Global'!H17</f>
        <v>0</v>
      </c>
    </row>
    <row r="17" spans="1:14" ht="14.55" customHeight="1" x14ac:dyDescent="0.45">
      <c r="A17" s="110">
        <f>'Stats Global'!B18</f>
        <v>0</v>
      </c>
      <c r="B17" s="110">
        <f>'Stats Global'!F18</f>
        <v>0</v>
      </c>
      <c r="C17" s="110">
        <f>'Stats Global'!G18+'Stats Global'!G18</f>
        <v>0</v>
      </c>
      <c r="D17" s="110">
        <f>'Stats Global'!O18</f>
        <v>0</v>
      </c>
      <c r="E17" s="120"/>
      <c r="H17" s="54"/>
      <c r="J17" s="55">
        <f>'Stats Global'!J18</f>
        <v>0</v>
      </c>
      <c r="K17" s="55">
        <f>'Stats Global'!G18</f>
        <v>0</v>
      </c>
      <c r="L17" s="56"/>
      <c r="M17" s="55">
        <f>'Stats Global'!M18</f>
        <v>0</v>
      </c>
      <c r="N17" s="55">
        <f>'Stats Global'!H18</f>
        <v>0</v>
      </c>
    </row>
    <row r="18" spans="1:14" ht="14.55" customHeight="1" x14ac:dyDescent="0.45">
      <c r="A18" s="110">
        <f>'Stats Global'!B19</f>
        <v>0</v>
      </c>
      <c r="B18" s="110">
        <f>'Stats Global'!F19</f>
        <v>0</v>
      </c>
      <c r="C18" s="110">
        <f>'Stats Global'!G19+'Stats Global'!G19</f>
        <v>0</v>
      </c>
      <c r="D18" s="110">
        <f>'Stats Global'!O19</f>
        <v>0</v>
      </c>
      <c r="E18" s="121"/>
      <c r="H18" s="54"/>
      <c r="J18" s="55">
        <f>'Stats Global'!J19</f>
        <v>0</v>
      </c>
      <c r="K18" s="55">
        <f>'Stats Global'!G19</f>
        <v>0</v>
      </c>
      <c r="L18" s="56"/>
      <c r="M18" s="55">
        <f>'Stats Global'!M19</f>
        <v>0</v>
      </c>
      <c r="N18" s="55">
        <f>'Stats Global'!H19</f>
        <v>0</v>
      </c>
    </row>
    <row r="19" spans="1:14" ht="14.55" customHeight="1" x14ac:dyDescent="0.45">
      <c r="A19" s="110">
        <f>'Stats Global'!B20</f>
        <v>0</v>
      </c>
      <c r="B19" s="110">
        <f>'Stats Global'!F20</f>
        <v>0</v>
      </c>
      <c r="C19" s="110">
        <f>'Stats Global'!G20+'Stats Global'!G20</f>
        <v>0</v>
      </c>
      <c r="D19" s="110">
        <f>'Stats Global'!O20</f>
        <v>0</v>
      </c>
      <c r="E19" s="122"/>
      <c r="H19" s="54"/>
      <c r="J19" s="55">
        <f>'Stats Global'!J20</f>
        <v>0</v>
      </c>
      <c r="K19" s="55">
        <f>'Stats Global'!G20</f>
        <v>0</v>
      </c>
      <c r="L19" s="56"/>
      <c r="M19" s="55">
        <f>'Stats Global'!M20</f>
        <v>0</v>
      </c>
      <c r="N19" s="55">
        <f>'Stats Global'!H20</f>
        <v>0</v>
      </c>
    </row>
    <row r="20" spans="1:14" ht="14.55" customHeight="1" x14ac:dyDescent="0.45">
      <c r="A20" s="110">
        <f>'Stats Global'!B21</f>
        <v>0</v>
      </c>
      <c r="B20" s="110">
        <f>'Stats Global'!F21</f>
        <v>0</v>
      </c>
      <c r="C20" s="110">
        <f>'Stats Global'!G21+'Stats Global'!G21</f>
        <v>0</v>
      </c>
      <c r="D20" s="110">
        <f>'Stats Global'!O21</f>
        <v>0</v>
      </c>
      <c r="E20" s="123"/>
      <c r="H20" s="54"/>
      <c r="J20" s="55">
        <f>'Stats Global'!J21</f>
        <v>0</v>
      </c>
      <c r="K20" s="55">
        <f>'Stats Global'!G21</f>
        <v>0</v>
      </c>
      <c r="L20" s="56"/>
      <c r="M20" s="55">
        <f>'Stats Global'!M21</f>
        <v>0</v>
      </c>
      <c r="N20" s="55">
        <f>'Stats Global'!H21</f>
        <v>0</v>
      </c>
    </row>
    <row r="21" spans="1:14" ht="14.55" customHeight="1" x14ac:dyDescent="0.45">
      <c r="A21" s="110">
        <f>'Stats Global'!B22</f>
        <v>0</v>
      </c>
      <c r="B21" s="110">
        <f>'Stats Global'!F22</f>
        <v>0</v>
      </c>
      <c r="C21" s="110">
        <f>'Stats Global'!G22+'Stats Global'!G22</f>
        <v>0</v>
      </c>
      <c r="D21" s="110">
        <f>'Stats Global'!O22</f>
        <v>0</v>
      </c>
      <c r="E21" s="119"/>
      <c r="H21" s="54"/>
      <c r="J21" s="55">
        <f>'Stats Global'!J22</f>
        <v>0</v>
      </c>
      <c r="K21" s="55">
        <f>'Stats Global'!G22</f>
        <v>0</v>
      </c>
      <c r="L21" s="56"/>
      <c r="M21" s="55">
        <f>'Stats Global'!M22</f>
        <v>0</v>
      </c>
      <c r="N21" s="55">
        <f>'Stats Global'!H22</f>
        <v>0</v>
      </c>
    </row>
    <row r="22" spans="1:14" ht="14.55" customHeight="1" x14ac:dyDescent="0.45">
      <c r="A22" s="110">
        <f>'Stats Global'!B23</f>
        <v>0</v>
      </c>
      <c r="B22" s="110">
        <f>'Stats Global'!F23</f>
        <v>0</v>
      </c>
      <c r="C22" s="110">
        <f>'Stats Global'!G23+'Stats Global'!G23</f>
        <v>0</v>
      </c>
      <c r="D22" s="110">
        <f>'Stats Global'!O23</f>
        <v>0</v>
      </c>
      <c r="E22" s="119"/>
      <c r="F22" s="57"/>
      <c r="H22" s="54"/>
      <c r="J22" s="55">
        <f>'Stats Global'!J23</f>
        <v>0</v>
      </c>
      <c r="K22" s="55">
        <f>'Stats Global'!G23</f>
        <v>0</v>
      </c>
      <c r="L22" s="56"/>
      <c r="M22" s="55">
        <f>'Stats Global'!M23</f>
        <v>0</v>
      </c>
      <c r="N22" s="55">
        <f>'Stats Global'!H23</f>
        <v>0</v>
      </c>
    </row>
    <row r="23" spans="1:14" ht="14.55" customHeight="1" x14ac:dyDescent="0.45">
      <c r="A23" s="110">
        <f>'Stats Global'!B24</f>
        <v>0</v>
      </c>
      <c r="B23" s="110">
        <f>'Stats Global'!F24</f>
        <v>0</v>
      </c>
      <c r="C23" s="110">
        <f>'Stats Global'!G24+'Stats Global'!G24</f>
        <v>0</v>
      </c>
      <c r="D23" s="110">
        <f>'Stats Global'!O24</f>
        <v>0</v>
      </c>
      <c r="E23" s="124"/>
      <c r="F23" s="57"/>
      <c r="H23" s="54"/>
      <c r="J23" s="55">
        <f>'Stats Global'!J24</f>
        <v>0</v>
      </c>
      <c r="K23" s="55">
        <f>'Stats Global'!G24</f>
        <v>0</v>
      </c>
      <c r="L23" s="56"/>
      <c r="M23" s="55">
        <f>'Stats Global'!M24</f>
        <v>0</v>
      </c>
      <c r="N23" s="55">
        <f>'Stats Global'!H24</f>
        <v>0</v>
      </c>
    </row>
    <row r="24" spans="1:14" ht="14.55" customHeight="1" x14ac:dyDescent="0.45">
      <c r="A24" s="110">
        <f>'Stats Global'!B25</f>
        <v>0</v>
      </c>
      <c r="B24" s="110">
        <f>'Stats Global'!F25</f>
        <v>0</v>
      </c>
      <c r="C24" s="110">
        <f>'Stats Global'!G25+'Stats Global'!G25</f>
        <v>0</v>
      </c>
      <c r="D24" s="110">
        <f>'Stats Global'!O25</f>
        <v>0</v>
      </c>
      <c r="E24" s="125"/>
      <c r="F24" s="57"/>
      <c r="H24" s="54"/>
      <c r="J24" s="55">
        <f>'Stats Global'!J25</f>
        <v>0</v>
      </c>
      <c r="K24" s="55">
        <f>'Stats Global'!G25</f>
        <v>0</v>
      </c>
      <c r="L24" s="56"/>
      <c r="M24" s="55">
        <f>'Stats Global'!M25</f>
        <v>0</v>
      </c>
      <c r="N24" s="55">
        <f>'Stats Global'!H25</f>
        <v>0</v>
      </c>
    </row>
    <row r="25" spans="1:14" ht="14.55" customHeight="1" x14ac:dyDescent="0.45">
      <c r="A25" s="110">
        <f>'Stats Global'!B26</f>
        <v>0</v>
      </c>
      <c r="B25" s="110">
        <f>'Stats Global'!F26</f>
        <v>0</v>
      </c>
      <c r="C25" s="110">
        <f>'Stats Global'!G26+'Stats Global'!G26</f>
        <v>0</v>
      </c>
      <c r="D25" s="110">
        <f>'Stats Global'!O26</f>
        <v>0</v>
      </c>
      <c r="E25" s="125"/>
      <c r="H25" s="54"/>
      <c r="J25" s="55">
        <f>'Stats Global'!J26</f>
        <v>0</v>
      </c>
      <c r="K25" s="55">
        <f>'Stats Global'!G26</f>
        <v>0</v>
      </c>
      <c r="L25" s="56"/>
      <c r="M25" s="55">
        <f>'Stats Global'!M26</f>
        <v>0</v>
      </c>
      <c r="N25" s="55">
        <f>'Stats Global'!H26</f>
        <v>0</v>
      </c>
    </row>
    <row r="26" spans="1:14" ht="14.55" customHeight="1" x14ac:dyDescent="0.45">
      <c r="A26" s="110">
        <f>'Stats Global'!B27</f>
        <v>0</v>
      </c>
      <c r="B26" s="110">
        <f>'Stats Global'!F27</f>
        <v>0</v>
      </c>
      <c r="C26" s="110">
        <f>'Stats Global'!G27+'Stats Global'!G27</f>
        <v>0</v>
      </c>
      <c r="D26" s="110">
        <f>'Stats Global'!O27</f>
        <v>0</v>
      </c>
      <c r="E26" s="119"/>
      <c r="H26" s="54"/>
      <c r="J26" s="55">
        <f>'Stats Global'!J27</f>
        <v>0</v>
      </c>
      <c r="K26" s="55">
        <f>'Stats Global'!G27</f>
        <v>0</v>
      </c>
      <c r="L26" s="56"/>
      <c r="M26" s="55">
        <f>'Stats Global'!M27</f>
        <v>0</v>
      </c>
      <c r="N26" s="55">
        <f>'Stats Global'!H27</f>
        <v>0</v>
      </c>
    </row>
    <row r="27" spans="1:14" ht="14.55" customHeight="1" x14ac:dyDescent="0.45">
      <c r="A27" s="110">
        <f>'Stats Global'!B28</f>
        <v>0</v>
      </c>
      <c r="B27" s="110">
        <f>'Stats Global'!F28</f>
        <v>0</v>
      </c>
      <c r="C27" s="110">
        <f>'Stats Global'!G28+'Stats Global'!G28</f>
        <v>0</v>
      </c>
      <c r="D27" s="110">
        <f>'Stats Global'!O28</f>
        <v>0</v>
      </c>
      <c r="E27" s="119"/>
      <c r="H27" s="54"/>
      <c r="J27" s="55">
        <f>'Stats Global'!J28</f>
        <v>0</v>
      </c>
      <c r="K27" s="55">
        <f>'Stats Global'!G28</f>
        <v>0</v>
      </c>
      <c r="L27" s="56"/>
      <c r="M27" s="55">
        <f>'Stats Global'!M28</f>
        <v>0</v>
      </c>
      <c r="N27" s="55">
        <f>'Stats Global'!H28</f>
        <v>0</v>
      </c>
    </row>
    <row r="28" spans="1:14" ht="14.55" customHeight="1" x14ac:dyDescent="0.45">
      <c r="A28" s="110">
        <f>'Stats Global'!B29</f>
        <v>0</v>
      </c>
      <c r="B28" s="110">
        <f>'Stats Global'!F29</f>
        <v>0</v>
      </c>
      <c r="C28" s="110">
        <f>'Stats Global'!G29+'Stats Global'!G29</f>
        <v>0</v>
      </c>
      <c r="D28" s="110">
        <f>'Stats Global'!O29</f>
        <v>0</v>
      </c>
      <c r="E28" s="119"/>
      <c r="H28" s="54"/>
      <c r="J28" s="55">
        <f>'Stats Global'!J29</f>
        <v>0</v>
      </c>
      <c r="K28" s="55">
        <f>'Stats Global'!G29</f>
        <v>0</v>
      </c>
      <c r="L28" s="56"/>
      <c r="M28" s="55">
        <f>'Stats Global'!M29</f>
        <v>0</v>
      </c>
      <c r="N28" s="55">
        <f>'Stats Global'!H29</f>
        <v>0</v>
      </c>
    </row>
    <row r="29" spans="1:14" ht="14.55" customHeight="1" x14ac:dyDescent="0.45">
      <c r="A29" s="110">
        <f>'Stats Global'!B30</f>
        <v>0</v>
      </c>
      <c r="B29" s="110">
        <f>'Stats Global'!F30</f>
        <v>0</v>
      </c>
      <c r="C29" s="110">
        <f>'Stats Global'!G30+'Stats Global'!G30</f>
        <v>0</v>
      </c>
      <c r="D29" s="110">
        <f>'Stats Global'!O30</f>
        <v>0</v>
      </c>
      <c r="E29" s="119"/>
      <c r="H29" s="54"/>
      <c r="J29" s="55">
        <f>'Stats Global'!J30</f>
        <v>0</v>
      </c>
      <c r="K29" s="55">
        <f>'Stats Global'!G30</f>
        <v>0</v>
      </c>
      <c r="L29" s="56"/>
      <c r="M29" s="55">
        <f>'Stats Global'!M30</f>
        <v>0</v>
      </c>
      <c r="N29" s="55">
        <f>'Stats Global'!H30</f>
        <v>0</v>
      </c>
    </row>
    <row r="30" spans="1:14" ht="14.55" customHeight="1" x14ac:dyDescent="0.45">
      <c r="A30" s="110">
        <f>'Stats Global'!B31</f>
        <v>0</v>
      </c>
      <c r="B30" s="110">
        <f>'Stats Global'!F31</f>
        <v>0</v>
      </c>
      <c r="C30" s="110">
        <f>'Stats Global'!G31+'Stats Global'!G31</f>
        <v>0</v>
      </c>
      <c r="D30" s="110">
        <f>'Stats Global'!O31</f>
        <v>0</v>
      </c>
      <c r="E30" s="119"/>
      <c r="J30" s="55">
        <f>'Stats Global'!J31</f>
        <v>0</v>
      </c>
      <c r="K30" s="55">
        <f>'Stats Global'!G31</f>
        <v>0</v>
      </c>
      <c r="L30" s="56"/>
      <c r="M30" s="55">
        <f>'Stats Global'!M31</f>
        <v>0</v>
      </c>
      <c r="N30" s="55">
        <f>'Stats Global'!H31</f>
        <v>0</v>
      </c>
    </row>
    <row r="31" spans="1:14" ht="14.55" customHeight="1" x14ac:dyDescent="0.45">
      <c r="A31" s="110">
        <f>'Stats Global'!B32</f>
        <v>0</v>
      </c>
      <c r="B31" s="110">
        <f>'Stats Global'!F32</f>
        <v>0</v>
      </c>
      <c r="C31" s="110">
        <f>'Stats Global'!G32+'Stats Global'!G32</f>
        <v>0</v>
      </c>
      <c r="D31" s="110">
        <f>'Stats Global'!O32</f>
        <v>0</v>
      </c>
      <c r="E31" s="119"/>
      <c r="J31" s="55">
        <f>'Stats Global'!J32</f>
        <v>0</v>
      </c>
      <c r="K31" s="55">
        <f>'Stats Global'!G32</f>
        <v>0</v>
      </c>
      <c r="L31" s="56"/>
      <c r="M31" s="55">
        <f>'Stats Global'!M32</f>
        <v>0</v>
      </c>
      <c r="N31" s="55">
        <f>'Stats Global'!H32</f>
        <v>0</v>
      </c>
    </row>
    <row r="32" spans="1:14" ht="14.55" customHeight="1" x14ac:dyDescent="0.45">
      <c r="A32" s="110">
        <f>'Stats Global'!B33</f>
        <v>0</v>
      </c>
      <c r="B32" s="110">
        <f>'Stats Global'!F33</f>
        <v>0</v>
      </c>
      <c r="C32" s="110">
        <f>'Stats Global'!G33+'Stats Global'!G33</f>
        <v>0</v>
      </c>
      <c r="D32" s="110">
        <f>'Stats Global'!O33</f>
        <v>0</v>
      </c>
      <c r="E32" s="119"/>
      <c r="J32" s="55">
        <f>'Stats Global'!J33</f>
        <v>0</v>
      </c>
      <c r="K32" s="55">
        <f>'Stats Global'!G33</f>
        <v>0</v>
      </c>
      <c r="L32" s="56"/>
      <c r="M32" s="55">
        <f>'Stats Global'!M33</f>
        <v>0</v>
      </c>
      <c r="N32" s="55">
        <f>'Stats Global'!H33</f>
        <v>0</v>
      </c>
    </row>
    <row r="33" spans="1:14" ht="14.55" customHeight="1" x14ac:dyDescent="0.45">
      <c r="A33" s="110">
        <f>'Stats Global'!B34</f>
        <v>0</v>
      </c>
      <c r="B33" s="110">
        <f>'Stats Global'!F34</f>
        <v>0</v>
      </c>
      <c r="C33" s="110">
        <f>'Stats Global'!G34+'Stats Global'!G34</f>
        <v>0</v>
      </c>
      <c r="D33" s="110">
        <f>'Stats Global'!O34</f>
        <v>0</v>
      </c>
      <c r="E33" s="119"/>
      <c r="J33" s="55">
        <f>'Stats Global'!J34</f>
        <v>0</v>
      </c>
      <c r="K33" s="55">
        <f>'Stats Global'!G34</f>
        <v>0</v>
      </c>
      <c r="L33" s="56"/>
      <c r="M33" s="55">
        <f>'Stats Global'!M34</f>
        <v>0</v>
      </c>
      <c r="N33" s="55">
        <f>'Stats Global'!H34</f>
        <v>0</v>
      </c>
    </row>
    <row r="34" spans="1:14" ht="14.25" customHeight="1" x14ac:dyDescent="0.45">
      <c r="A34" s="110">
        <f>'Stats Global'!B35</f>
        <v>0</v>
      </c>
      <c r="B34" s="110">
        <f>'Stats Global'!F35</f>
        <v>0</v>
      </c>
      <c r="C34" s="110">
        <f>'Stats Global'!G35+'Stats Global'!G35</f>
        <v>0</v>
      </c>
      <c r="D34" s="110">
        <f>'Stats Global'!O35</f>
        <v>0</v>
      </c>
      <c r="E34" s="119"/>
      <c r="J34" s="55">
        <f>'Stats Global'!J35</f>
        <v>0</v>
      </c>
      <c r="K34" s="55">
        <f>'Stats Global'!G35</f>
        <v>0</v>
      </c>
      <c r="L34" s="56"/>
      <c r="M34" s="55">
        <f>'Stats Global'!M35</f>
        <v>0</v>
      </c>
      <c r="N34" s="55">
        <f>'Stats Global'!H35</f>
        <v>0</v>
      </c>
    </row>
    <row r="35" spans="1:14" ht="14.25" customHeight="1" x14ac:dyDescent="0.45">
      <c r="A35" s="110">
        <f>'Stats Global'!B36</f>
        <v>0</v>
      </c>
      <c r="B35" s="110">
        <f>'Stats Global'!F36</f>
        <v>0</v>
      </c>
      <c r="C35" s="110">
        <f>'Stats Global'!G36+'Stats Global'!G36</f>
        <v>0</v>
      </c>
      <c r="D35" s="110">
        <f>'Stats Global'!O36</f>
        <v>0</v>
      </c>
      <c r="E35" s="119"/>
      <c r="J35" s="55">
        <f>'Stats Global'!J36</f>
        <v>0</v>
      </c>
      <c r="K35" s="55">
        <f>'Stats Global'!G36</f>
        <v>0</v>
      </c>
      <c r="L35" s="56"/>
      <c r="M35" s="55">
        <f>'Stats Global'!M36</f>
        <v>0</v>
      </c>
      <c r="N35" s="55">
        <f>'Stats Global'!H36</f>
        <v>0</v>
      </c>
    </row>
    <row r="36" spans="1:14" ht="14.25" customHeight="1" x14ac:dyDescent="0.45">
      <c r="A36" s="110">
        <f>'Stats Global'!B37</f>
        <v>0</v>
      </c>
      <c r="B36" s="110">
        <f>'Stats Global'!F37</f>
        <v>0</v>
      </c>
      <c r="C36" s="110">
        <f>'Stats Global'!G37+'Stats Global'!G37</f>
        <v>0</v>
      </c>
      <c r="D36" s="110">
        <f>'Stats Global'!O37</f>
        <v>0</v>
      </c>
      <c r="E36" s="119"/>
      <c r="J36" s="55">
        <f>'Stats Global'!J37</f>
        <v>0</v>
      </c>
      <c r="K36" s="55">
        <f>'Stats Global'!G37</f>
        <v>0</v>
      </c>
      <c r="L36" s="56"/>
      <c r="M36" s="55">
        <f>'Stats Global'!M37</f>
        <v>0</v>
      </c>
      <c r="N36" s="55">
        <f>'Stats Global'!H37</f>
        <v>0</v>
      </c>
    </row>
    <row r="37" spans="1:14" ht="14.25" customHeight="1" x14ac:dyDescent="0.45">
      <c r="A37" s="110">
        <f>'Stats Global'!B38</f>
        <v>0</v>
      </c>
      <c r="B37" s="110">
        <f>'Stats Global'!F38</f>
        <v>0</v>
      </c>
      <c r="C37" s="110">
        <f>'Stats Global'!G38+'Stats Global'!G38</f>
        <v>0</v>
      </c>
      <c r="D37" s="110">
        <f>'Stats Global'!O38</f>
        <v>0</v>
      </c>
      <c r="E37" s="119"/>
      <c r="J37" s="55">
        <f>'Stats Global'!J38</f>
        <v>0</v>
      </c>
      <c r="K37" s="55">
        <f>'Stats Global'!G38</f>
        <v>0</v>
      </c>
      <c r="L37" s="56"/>
      <c r="M37" s="55">
        <f>'Stats Global'!M38</f>
        <v>0</v>
      </c>
      <c r="N37" s="55">
        <f>'Stats Global'!H38</f>
        <v>0</v>
      </c>
    </row>
    <row r="38" spans="1:14" ht="14.25" customHeight="1" x14ac:dyDescent="0.45">
      <c r="A38" s="110">
        <f>'Stats Global'!B39</f>
        <v>0</v>
      </c>
      <c r="B38" s="110">
        <f>'Stats Global'!F39</f>
        <v>0</v>
      </c>
      <c r="C38" s="110">
        <f>'Stats Global'!G39+'Stats Global'!G39</f>
        <v>0</v>
      </c>
      <c r="D38" s="110">
        <f>'Stats Global'!O39</f>
        <v>0</v>
      </c>
      <c r="E38" s="119"/>
      <c r="J38" s="55">
        <f>'Stats Global'!J39</f>
        <v>0</v>
      </c>
      <c r="K38" s="55">
        <f>'Stats Global'!G39</f>
        <v>0</v>
      </c>
      <c r="L38" s="56"/>
      <c r="M38" s="55">
        <f>'Stats Global'!M39</f>
        <v>0</v>
      </c>
      <c r="N38" s="55">
        <f>'Stats Global'!H39</f>
        <v>0</v>
      </c>
    </row>
    <row r="39" spans="1:14" ht="14.25" customHeight="1" x14ac:dyDescent="0.45">
      <c r="A39" s="110">
        <f>'Stats Global'!B40</f>
        <v>0</v>
      </c>
      <c r="B39" s="110">
        <f>'Stats Global'!F40</f>
        <v>0</v>
      </c>
      <c r="C39" s="110">
        <f>'Stats Global'!G40+'Stats Global'!G40</f>
        <v>0</v>
      </c>
      <c r="D39" s="110">
        <f>'Stats Global'!O40</f>
        <v>0</v>
      </c>
      <c r="E39" s="119"/>
      <c r="J39" s="55">
        <f>'Stats Global'!J40</f>
        <v>0</v>
      </c>
      <c r="K39" s="55">
        <f>'Stats Global'!G40</f>
        <v>0</v>
      </c>
      <c r="L39" s="56"/>
      <c r="M39" s="55">
        <f>'Stats Global'!M40</f>
        <v>0</v>
      </c>
      <c r="N39" s="55">
        <f>'Stats Global'!H40</f>
        <v>0</v>
      </c>
    </row>
    <row r="40" spans="1:14" ht="14.25" customHeight="1" x14ac:dyDescent="0.45">
      <c r="A40" s="110">
        <f>'Stats Global'!B41</f>
        <v>0</v>
      </c>
      <c r="B40" s="110">
        <f>'Stats Global'!F41</f>
        <v>0</v>
      </c>
      <c r="C40" s="110">
        <f>'Stats Global'!G41+'Stats Global'!G41</f>
        <v>0</v>
      </c>
      <c r="D40" s="110">
        <f>'Stats Global'!O41</f>
        <v>0</v>
      </c>
      <c r="E40" s="119"/>
      <c r="J40" s="55">
        <f>'Stats Global'!J41</f>
        <v>0</v>
      </c>
      <c r="K40" s="55">
        <f>'Stats Global'!G41</f>
        <v>0</v>
      </c>
      <c r="L40" s="56"/>
      <c r="M40" s="55">
        <f>'Stats Global'!M41</f>
        <v>0</v>
      </c>
      <c r="N40" s="55">
        <f>'Stats Global'!H41</f>
        <v>0</v>
      </c>
    </row>
    <row r="41" spans="1:14" ht="14.25" customHeight="1" x14ac:dyDescent="0.45">
      <c r="C41" s="76" t="e">
        <f>SUM(B4:B40)/SUM(B4:C40)</f>
        <v>#DIV/0!</v>
      </c>
      <c r="E41" s="119"/>
      <c r="H41" s="54"/>
      <c r="I41" s="52" t="s">
        <v>81</v>
      </c>
      <c r="J41" s="113">
        <f>SUM(J4:J40)</f>
        <v>0</v>
      </c>
      <c r="K41" s="113">
        <f>SUM(K4:K40)</f>
        <v>0</v>
      </c>
      <c r="L41" s="54"/>
      <c r="M41" s="113">
        <f>SUM(M4:M40)</f>
        <v>0</v>
      </c>
      <c r="N41" s="113">
        <f>SUM(N4:N40)</f>
        <v>0</v>
      </c>
    </row>
    <row r="42" spans="1:14" ht="14.25" customHeight="1" x14ac:dyDescent="0.45">
      <c r="J42" s="58">
        <f>IFERROR(J41/(K41+J41),0)</f>
        <v>0</v>
      </c>
      <c r="M42" s="58">
        <f>IFERROR(M41/(N41+M41),0)</f>
        <v>0</v>
      </c>
    </row>
    <row r="43" spans="1:14" ht="14.25" customHeight="1" x14ac:dyDescent="0.45">
      <c r="G43" s="59" t="str">
        <f>F3&amp;","&amp;G3&amp;","&amp;H3&amp;"],"</f>
        <v>0,0,0],</v>
      </c>
      <c r="I43" s="36" t="s">
        <v>108</v>
      </c>
      <c r="K43" s="36" t="s">
        <v>112</v>
      </c>
      <c r="M43" s="60" t="e">
        <f>ROUND((SUM('Stats Global'!AA8,'Stats Global'!AA9,'Stats Global'!AA16,'Stats Global'!AA21,'Stats Global'!AA22))/'Stats Global'!AA6,1)</f>
        <v>#DIV/0!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0,"N/A",0,"N/A",0,"N/A",0,"N/A"],</v>
      </c>
      <c r="I44" s="36" t="s">
        <v>109</v>
      </c>
      <c r="K44" s="61">
        <f>MAX(Table1114[Points])</f>
        <v>0</v>
      </c>
      <c r="L44" s="36" t="str">
        <f>IF(K44&lt;&gt;0,IF(K44=Q4,P4,IF(K44=Q5,P5,IF(Q6=K44,P6,IF(Q7=K44,P7,P8)))),"N/A")</f>
        <v>N/A</v>
      </c>
      <c r="M44" s="60" t="e">
        <f>ROUND(SUM('Stats Global'!AC8,'Stats Global'!AC9,'Stats Global'!AC16,'Stats Global'!AC21,'Stats Global'!AC22)/'Stats Global'!AA6,1)</f>
        <v>#DIV/0!</v>
      </c>
    </row>
    <row r="45" spans="1:14" ht="14.25" customHeight="1" x14ac:dyDescent="0.45">
      <c r="G45" s="36" t="e">
        <f>M43&amp;","&amp;M44&amp;","&amp;M45&amp;","&amp;M46&amp;","&amp;M47&amp;","&amp;M48&amp;"],"</f>
        <v>#DIV/0!</v>
      </c>
      <c r="I45" s="36" t="s">
        <v>110</v>
      </c>
      <c r="K45" s="61">
        <f>MAX(Table1114[Finishes])</f>
        <v>0</v>
      </c>
      <c r="L45" s="66" t="str">
        <f>IF(K45&lt;&gt;0,IF(K45=S4,P4,IF(K45=S5,P5,IF(S6=K45,P6,IF(S7=K45,P7,P8)))),"N/A")</f>
        <v>N/A</v>
      </c>
      <c r="M45" s="60" t="e">
        <f>ROUND(SUM('Stats Global'!AE8,'Stats Global'!AE9,'Stats Global'!AE16,'Stats Global'!AE21,'Stats Global'!AE22)/'Stats Global'!AA6,1)</f>
        <v>#DIV/0!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0,0,0,0,0,0],</v>
      </c>
      <c r="I46" s="36" t="s">
        <v>111</v>
      </c>
      <c r="K46" s="61">
        <f>MAX(Table1114[Midranges])</f>
        <v>0</v>
      </c>
      <c r="L46" s="66" t="str">
        <f>IF(K46&lt;&gt;0,IF(K46=U4,P4,IF(K46=U5,P5,IF(U6=K46,P6,IF(U7=K46,P7,P8)))),"N/A")</f>
        <v>N/A</v>
      </c>
      <c r="M46" s="60" t="e">
        <f>ROUND(SUM('Stats Global'!AG8,'Stats Global'!AG9,'Stats Global'!AG16,'Stats Global'!AG21,'Stats Global'!AG22)/'Stats Global'!AA6,1)</f>
        <v>#DIV/0!</v>
      </c>
    </row>
    <row r="47" spans="1:14" ht="14.25" customHeight="1" x14ac:dyDescent="0.45">
      <c r="K47" s="61">
        <f>MAX(Table1114[Threes])</f>
        <v>0</v>
      </c>
      <c r="L47" s="36" t="str">
        <f>IF(K47&lt;&gt;0,IF(K47=W4,P4,IF(K47=W5,P5,IF(W6=K47,P6,IF(W7=K47,P7,P8)))),"N/A")</f>
        <v>N/A</v>
      </c>
      <c r="M47" s="36" t="e">
        <f>ROUND(F3/'Stats Global'!AA6,1)</f>
        <v>#DIV/0!</v>
      </c>
    </row>
    <row r="48" spans="1:14" ht="14.25" customHeight="1" x14ac:dyDescent="0.45">
      <c r="M48" s="36" t="e">
        <f>ROUND(G3/'Stats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6" workbookViewId="0">
      <selection activeCell="A4" sqref="A4:D40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182</v>
      </c>
      <c r="F2" s="52" t="s">
        <v>77</v>
      </c>
      <c r="G2" s="52" t="s">
        <v>78</v>
      </c>
      <c r="H2" s="36" t="s">
        <v>79</v>
      </c>
      <c r="J2" s="52" t="s">
        <v>166</v>
      </c>
      <c r="M2" s="66" t="s">
        <v>146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12">
        <f>SUM(B4:B40)</f>
        <v>0</v>
      </c>
      <c r="G3" s="112">
        <f>SUM(C4:C40)</f>
        <v>0</v>
      </c>
      <c r="H3" s="112">
        <f>SUM(D4:D40)</f>
        <v>0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94</v>
      </c>
      <c r="T3" s="68" t="s">
        <v>3</v>
      </c>
      <c r="U3" s="69" t="s">
        <v>95</v>
      </c>
      <c r="V3" s="69" t="s">
        <v>97</v>
      </c>
    </row>
    <row r="4" spans="1:22" ht="14.25" customHeight="1" x14ac:dyDescent="0.45">
      <c r="A4" s="110">
        <f>'Stats Global'!B5</f>
        <v>0</v>
      </c>
      <c r="B4" s="111">
        <f>'Stats Global'!L5</f>
        <v>0</v>
      </c>
      <c r="C4" s="111">
        <f>'Stats Global'!M5+'Stats Global'!N5</f>
        <v>0</v>
      </c>
      <c r="D4" s="111">
        <f>'Stats Global'!Q5</f>
        <v>0</v>
      </c>
      <c r="J4" s="108">
        <f>'Stats Global'!L5</f>
        <v>0</v>
      </c>
      <c r="K4" s="108">
        <f>'Stats Global'!N5</f>
        <v>0</v>
      </c>
      <c r="L4" s="56"/>
      <c r="M4" s="54" t="str">
        <f>'Stats Global'!Z15</f>
        <v>Clarrie Jones</v>
      </c>
      <c r="N4" s="54">
        <f>'Stats Global'!AA15</f>
        <v>0</v>
      </c>
      <c r="O4" s="54">
        <f>'Stats Global'!AB15</f>
        <v>0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0</v>
      </c>
      <c r="U4" s="54">
        <f>'Stats Global'!AH15</f>
        <v>0</v>
      </c>
      <c r="V4" s="63">
        <f>'Stats Global'!AJ15</f>
        <v>0</v>
      </c>
    </row>
    <row r="5" spans="1:22" ht="14.25" customHeight="1" x14ac:dyDescent="0.45">
      <c r="A5" s="110">
        <f>'Stats Global'!B6</f>
        <v>0</v>
      </c>
      <c r="B5" s="111">
        <f>'Stats Global'!L6</f>
        <v>0</v>
      </c>
      <c r="C5" s="111">
        <f>'Stats Global'!M6+'Stats Global'!N6</f>
        <v>0</v>
      </c>
      <c r="D5" s="111">
        <f>'Stats Global'!Q6</f>
        <v>0</v>
      </c>
      <c r="H5" s="54"/>
      <c r="J5" s="77">
        <f>'Stats Global'!N6</f>
        <v>0</v>
      </c>
      <c r="K5" s="77">
        <f>'Stats Global'!K6</f>
        <v>0</v>
      </c>
      <c r="L5" s="56"/>
      <c r="M5" s="54" t="str">
        <f>'Stats Global'!Z8</f>
        <v>Jasper Collier</v>
      </c>
      <c r="N5" s="54">
        <f>'Stats Global'!AA8</f>
        <v>0</v>
      </c>
      <c r="O5" s="54">
        <f>'Stats Global'!AB8</f>
        <v>0</v>
      </c>
      <c r="P5" s="54">
        <f>'Stats Global'!AC8</f>
        <v>0</v>
      </c>
      <c r="Q5" s="54">
        <f>'Stats Global'!AD8</f>
        <v>0</v>
      </c>
      <c r="R5" s="54">
        <f>'Stats Global'!AE8</f>
        <v>0</v>
      </c>
      <c r="S5" s="54">
        <f>'Stats Global'!AF8</f>
        <v>0</v>
      </c>
      <c r="T5" s="54">
        <f>'Stats Global'!AG8</f>
        <v>0</v>
      </c>
      <c r="U5" s="54">
        <f>'Stats Global'!AH8</f>
        <v>0</v>
      </c>
      <c r="V5" s="63">
        <f>'Stats Global'!AJ8</f>
        <v>0</v>
      </c>
    </row>
    <row r="6" spans="1:22" ht="14.25" customHeight="1" x14ac:dyDescent="0.45">
      <c r="A6" s="110">
        <f>'Stats Global'!B7</f>
        <v>0</v>
      </c>
      <c r="B6" s="111">
        <f>'Stats Global'!L7</f>
        <v>0</v>
      </c>
      <c r="C6" s="111">
        <f>'Stats Global'!M7+'Stats Global'!N7</f>
        <v>0</v>
      </c>
      <c r="D6" s="111">
        <f>'Stats Global'!Q7</f>
        <v>0</v>
      </c>
      <c r="G6" s="52"/>
      <c r="H6" s="54"/>
      <c r="J6" s="77">
        <f>'Stats Global'!N7</f>
        <v>0</v>
      </c>
      <c r="K6" s="77">
        <f>'Stats Global'!K7</f>
        <v>0</v>
      </c>
      <c r="L6" s="56"/>
      <c r="M6" s="54" t="str">
        <f>'Stats Global'!Z17</f>
        <v>Samuel McConaghy</v>
      </c>
      <c r="N6" s="54">
        <f>'Stats Global'!AA17</f>
        <v>0</v>
      </c>
      <c r="O6" s="54">
        <f>'Stats Global'!AB17</f>
        <v>0</v>
      </c>
      <c r="P6" s="54">
        <f>'Stats Global'!AC17</f>
        <v>0</v>
      </c>
      <c r="Q6" s="54">
        <f>'Stats Global'!AD17</f>
        <v>0</v>
      </c>
      <c r="R6" s="54">
        <f>'Stats Global'!AE17</f>
        <v>0</v>
      </c>
      <c r="S6" s="54">
        <f>'Stats Global'!AF17</f>
        <v>0</v>
      </c>
      <c r="T6" s="54">
        <f>'Stats Global'!AG17</f>
        <v>0</v>
      </c>
      <c r="U6" s="54">
        <f>'Stats Global'!AH17</f>
        <v>0</v>
      </c>
      <c r="V6" s="63">
        <f>'Stats Global'!AJ17</f>
        <v>0</v>
      </c>
    </row>
    <row r="7" spans="1:22" ht="14.25" customHeight="1" x14ac:dyDescent="0.45">
      <c r="A7" s="110">
        <f>'Stats Global'!B8</f>
        <v>0</v>
      </c>
      <c r="B7" s="111">
        <f>'Stats Global'!L8</f>
        <v>0</v>
      </c>
      <c r="C7" s="111">
        <f>'Stats Global'!M8+'Stats Global'!N8</f>
        <v>0</v>
      </c>
      <c r="D7" s="111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Global'!Z16</f>
        <v>William Kim</v>
      </c>
      <c r="N7" s="54">
        <f>'Stats Global'!AA16</f>
        <v>0</v>
      </c>
      <c r="O7" s="54">
        <f>'Stats Global'!AB16</f>
        <v>0</v>
      </c>
      <c r="P7" s="54">
        <f>'Stats Global'!AC16</f>
        <v>0</v>
      </c>
      <c r="Q7" s="54">
        <f>'Stats Global'!AD16</f>
        <v>0</v>
      </c>
      <c r="R7" s="54">
        <f>'Stats Global'!AE16</f>
        <v>0</v>
      </c>
      <c r="S7" s="54">
        <f>'Stats Global'!AF16</f>
        <v>0</v>
      </c>
      <c r="T7" s="54">
        <f>'Stats Global'!AG16</f>
        <v>0</v>
      </c>
      <c r="U7" s="54">
        <f>'Stats Global'!AH16</f>
        <v>0</v>
      </c>
      <c r="V7" s="63">
        <f>'Stats Global'!AJ16</f>
        <v>0</v>
      </c>
    </row>
    <row r="8" spans="1:22" ht="14.25" customHeight="1" x14ac:dyDescent="0.45">
      <c r="A8" s="110">
        <f>'Stats Global'!B9</f>
        <v>0</v>
      </c>
      <c r="B8" s="111">
        <f>'Stats Global'!L9</f>
        <v>0</v>
      </c>
      <c r="C8" s="111">
        <f>'Stats Global'!M9+'Stats Global'!N9</f>
        <v>0</v>
      </c>
      <c r="D8" s="111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0</v>
      </c>
      <c r="O8" s="54">
        <f>'Stats Global'!AB21</f>
        <v>0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0</v>
      </c>
      <c r="U8" s="54">
        <f>'Stats Global'!AH21</f>
        <v>0</v>
      </c>
      <c r="V8" s="63">
        <f>'Stats Global'!AJ21</f>
        <v>0</v>
      </c>
    </row>
    <row r="9" spans="1:22" ht="14.25" customHeight="1" x14ac:dyDescent="0.45">
      <c r="A9" s="110">
        <f>'Stats Global'!B10</f>
        <v>0</v>
      </c>
      <c r="B9" s="111">
        <f>'Stats Global'!L10</f>
        <v>0</v>
      </c>
      <c r="C9" s="111">
        <f>'Stats Global'!M10+'Stats Global'!N10</f>
        <v>0</v>
      </c>
      <c r="D9" s="111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10">
        <f>'Stats Global'!B11</f>
        <v>0</v>
      </c>
      <c r="B10" s="111">
        <f>'Stats Global'!L11</f>
        <v>0</v>
      </c>
      <c r="C10" s="111">
        <f>'Stats Global'!M11+'Stats Global'!N11</f>
        <v>0</v>
      </c>
      <c r="D10" s="111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10">
        <f>'Stats Global'!B12</f>
        <v>0</v>
      </c>
      <c r="B11" s="111">
        <f>'Stats Global'!L12</f>
        <v>0</v>
      </c>
      <c r="C11" s="111">
        <f>'Stats Global'!M12+'Stats Global'!N12</f>
        <v>0</v>
      </c>
      <c r="D11" s="111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10">
        <f>'Stats Global'!B13</f>
        <v>0</v>
      </c>
      <c r="B12" s="111">
        <f>'Stats Global'!L13</f>
        <v>0</v>
      </c>
      <c r="C12" s="111">
        <f>'Stats Global'!M13+'Stats Global'!N13</f>
        <v>0</v>
      </c>
      <c r="D12" s="111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10">
        <f>'Stats Global'!B14</f>
        <v>0</v>
      </c>
      <c r="B13" s="111">
        <f>'Stats Global'!L14</f>
        <v>0</v>
      </c>
      <c r="C13" s="111">
        <f>'Stats Global'!M14+'Stats Global'!N14</f>
        <v>0</v>
      </c>
      <c r="D13" s="111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10">
        <f>'Stats Global'!B15</f>
        <v>0</v>
      </c>
      <c r="B14" s="111">
        <f>'Stats Global'!L15</f>
        <v>0</v>
      </c>
      <c r="C14" s="111">
        <f>'Stats Global'!M15+'Stats Global'!N15</f>
        <v>0</v>
      </c>
      <c r="D14" s="111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10">
        <f>'Stats Global'!B16</f>
        <v>0</v>
      </c>
      <c r="B15" s="111">
        <f>'Stats Global'!L16</f>
        <v>0</v>
      </c>
      <c r="C15" s="111">
        <f>'Stats Global'!M16+'Stats Global'!N16</f>
        <v>0</v>
      </c>
      <c r="D15" s="111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10">
        <f>'Stats Global'!B17</f>
        <v>0</v>
      </c>
      <c r="B16" s="111">
        <f>'Stats Global'!L17</f>
        <v>0</v>
      </c>
      <c r="C16" s="111">
        <f>'Stats Global'!M17+'Stats Global'!N17</f>
        <v>0</v>
      </c>
      <c r="D16" s="111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10">
        <f>'Stats Global'!B18</f>
        <v>0</v>
      </c>
      <c r="B17" s="111">
        <f>'Stats Global'!L18</f>
        <v>0</v>
      </c>
      <c r="C17" s="111">
        <f>'Stats Global'!M18+'Stats Global'!N18</f>
        <v>0</v>
      </c>
      <c r="D17" s="111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10">
        <f>'Stats Global'!B19</f>
        <v>0</v>
      </c>
      <c r="B18" s="111">
        <f>'Stats Global'!L19</f>
        <v>0</v>
      </c>
      <c r="C18" s="111">
        <f>'Stats Global'!M19+'Stats Global'!N19</f>
        <v>0</v>
      </c>
      <c r="D18" s="111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10">
        <f>'Stats Global'!B20</f>
        <v>0</v>
      </c>
      <c r="B19" s="111">
        <f>'Stats Global'!L20</f>
        <v>0</v>
      </c>
      <c r="C19" s="111">
        <f>'Stats Global'!M20+'Stats Global'!N20</f>
        <v>0</v>
      </c>
      <c r="D19" s="111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10">
        <f>'Stats Global'!B21</f>
        <v>0</v>
      </c>
      <c r="B20" s="111">
        <f>'Stats Global'!L21</f>
        <v>0</v>
      </c>
      <c r="C20" s="111">
        <f>'Stats Global'!M21+'Stats Global'!N21</f>
        <v>0</v>
      </c>
      <c r="D20" s="111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10">
        <f>'Stats Global'!B22</f>
        <v>0</v>
      </c>
      <c r="B21" s="111">
        <f>'Stats Global'!L22</f>
        <v>0</v>
      </c>
      <c r="C21" s="111">
        <f>'Stats Global'!M22+'Stats Global'!N22</f>
        <v>0</v>
      </c>
      <c r="D21" s="111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10">
        <f>'Stats Global'!B23</f>
        <v>0</v>
      </c>
      <c r="B22" s="111">
        <f>'Stats Global'!L23</f>
        <v>0</v>
      </c>
      <c r="C22" s="111">
        <f>'Stats Global'!M23+'Stats Global'!N23</f>
        <v>0</v>
      </c>
      <c r="D22" s="111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10">
        <f>'Stats Global'!B24</f>
        <v>0</v>
      </c>
      <c r="B23" s="111">
        <f>'Stats Global'!L24</f>
        <v>0</v>
      </c>
      <c r="C23" s="111">
        <f>'Stats Global'!M24+'Stats Global'!N24</f>
        <v>0</v>
      </c>
      <c r="D23" s="111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10">
        <f>'Stats Global'!B25</f>
        <v>0</v>
      </c>
      <c r="B24" s="111">
        <f>'Stats Global'!L25</f>
        <v>0</v>
      </c>
      <c r="C24" s="111">
        <f>'Stats Global'!M25+'Stats Global'!N25</f>
        <v>0</v>
      </c>
      <c r="D24" s="111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10">
        <f>'Stats Global'!B26</f>
        <v>0</v>
      </c>
      <c r="B25" s="111">
        <f>'Stats Global'!L26</f>
        <v>0</v>
      </c>
      <c r="C25" s="111">
        <f>'Stats Global'!M26+'Stats Global'!N26</f>
        <v>0</v>
      </c>
      <c r="D25" s="111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10">
        <f>'Stats Global'!B27</f>
        <v>0</v>
      </c>
      <c r="B26" s="111">
        <f>'Stats Global'!L27</f>
        <v>0</v>
      </c>
      <c r="C26" s="111">
        <f>'Stats Global'!M27+'Stats Global'!N27</f>
        <v>0</v>
      </c>
      <c r="D26" s="111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10">
        <f>'Stats Global'!B28</f>
        <v>0</v>
      </c>
      <c r="B27" s="111">
        <f>'Stats Global'!L28</f>
        <v>0</v>
      </c>
      <c r="C27" s="111">
        <f>'Stats Global'!M28+'Stats Global'!N28</f>
        <v>0</v>
      </c>
      <c r="D27" s="111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10">
        <f>'Stats Global'!B29</f>
        <v>0</v>
      </c>
      <c r="B28" s="111">
        <f>'Stats Global'!L29</f>
        <v>0</v>
      </c>
      <c r="C28" s="111">
        <f>'Stats Global'!M29+'Stats Global'!N29</f>
        <v>0</v>
      </c>
      <c r="D28" s="111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10">
        <f>'Stats Global'!B30</f>
        <v>0</v>
      </c>
      <c r="B29" s="111">
        <f>'Stats Global'!L30</f>
        <v>0</v>
      </c>
      <c r="C29" s="111">
        <f>'Stats Global'!M30+'Stats Global'!N30</f>
        <v>0</v>
      </c>
      <c r="D29" s="111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10">
        <f>'Stats Global'!B31</f>
        <v>0</v>
      </c>
      <c r="B30" s="111">
        <f>'Stats Global'!L31</f>
        <v>0</v>
      </c>
      <c r="C30" s="111">
        <f>'Stats Global'!M31+'Stats Global'!N31</f>
        <v>0</v>
      </c>
      <c r="D30" s="111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10">
        <f>'Stats Global'!B32</f>
        <v>0</v>
      </c>
      <c r="B31" s="111">
        <f>'Stats Global'!L32</f>
        <v>0</v>
      </c>
      <c r="C31" s="111">
        <f>'Stats Global'!M32+'Stats Global'!N32</f>
        <v>0</v>
      </c>
      <c r="D31" s="111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10">
        <f>'Stats Global'!B33</f>
        <v>0</v>
      </c>
      <c r="B32" s="111">
        <f>'Stats Global'!L33</f>
        <v>0</v>
      </c>
      <c r="C32" s="111">
        <f>'Stats Global'!M33+'Stats Global'!N33</f>
        <v>0</v>
      </c>
      <c r="D32" s="111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10">
        <f>'Stats Global'!B34</f>
        <v>0</v>
      </c>
      <c r="B33" s="111">
        <f>'Stats Global'!L34</f>
        <v>0</v>
      </c>
      <c r="C33" s="111">
        <f>'Stats Global'!M34+'Stats Global'!N34</f>
        <v>0</v>
      </c>
      <c r="D33" s="111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10">
        <f>'Stats Global'!B35</f>
        <v>0</v>
      </c>
      <c r="B34" s="111">
        <f>'Stats Global'!L35</f>
        <v>0</v>
      </c>
      <c r="C34" s="111">
        <f>'Stats Global'!M35+'Stats Global'!N35</f>
        <v>0</v>
      </c>
      <c r="D34" s="111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10">
        <f>'Stats Global'!B36</f>
        <v>0</v>
      </c>
      <c r="B35" s="111">
        <f>'Stats Global'!L36</f>
        <v>0</v>
      </c>
      <c r="C35" s="111">
        <f>'Stats Global'!M36+'Stats Global'!N36</f>
        <v>0</v>
      </c>
      <c r="D35" s="111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10">
        <f>'Stats Global'!B37</f>
        <v>0</v>
      </c>
      <c r="B36" s="111">
        <f>'Stats Global'!L37</f>
        <v>0</v>
      </c>
      <c r="C36" s="111">
        <f>'Stats Global'!M37+'Stats Global'!N37</f>
        <v>0</v>
      </c>
      <c r="D36" s="111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10">
        <f>'Stats Global'!B38</f>
        <v>0</v>
      </c>
      <c r="B37" s="111">
        <f>'Stats Global'!L38</f>
        <v>0</v>
      </c>
      <c r="C37" s="111">
        <f>'Stats Global'!M38+'Stats Global'!N38</f>
        <v>0</v>
      </c>
      <c r="D37" s="111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10">
        <f>'Stats Global'!B39</f>
        <v>0</v>
      </c>
      <c r="B38" s="111">
        <f>'Stats Global'!L39</f>
        <v>0</v>
      </c>
      <c r="C38" s="111">
        <f>'Stats Global'!M39+'Stats Global'!N39</f>
        <v>0</v>
      </c>
      <c r="D38" s="111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10">
        <f>'Stats Global'!B40</f>
        <v>0</v>
      </c>
      <c r="B39" s="111">
        <f>'Stats Global'!L40</f>
        <v>0</v>
      </c>
      <c r="C39" s="111">
        <f>'Stats Global'!M40+'Stats Global'!N40</f>
        <v>0</v>
      </c>
      <c r="D39" s="111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10">
        <f>'Stats Global'!B41</f>
        <v>0</v>
      </c>
      <c r="B40" s="111">
        <f>'Stats Global'!L41</f>
        <v>0</v>
      </c>
      <c r="C40" s="111">
        <f>'Stats Global'!M41+'Stats Global'!N41</f>
        <v>0</v>
      </c>
      <c r="D40" s="111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 t="e">
        <f>SUM(B4:B40)/SUM(B4:C40)</f>
        <v>#DIV/0!</v>
      </c>
      <c r="H41" s="54"/>
      <c r="I41" s="36" t="s">
        <v>81</v>
      </c>
      <c r="J41" s="114">
        <f>SUM(J4:J40)</f>
        <v>0</v>
      </c>
      <c r="K41" s="114">
        <f>SUM(K4:K40)</f>
        <v>0</v>
      </c>
      <c r="L41" s="54"/>
      <c r="M41" s="54"/>
    </row>
    <row r="42" spans="1:14" ht="14.25" customHeight="1" x14ac:dyDescent="0.45">
      <c r="J42" s="58">
        <f>IFERROR(J41/(K41+J41),0)</f>
        <v>0</v>
      </c>
    </row>
    <row r="43" spans="1:14" ht="14.25" customHeight="1" x14ac:dyDescent="0.45">
      <c r="H43" s="59" t="str">
        <f>F3&amp;","&amp;G3&amp;","&amp;H3&amp;"],"</f>
        <v>0,0,0],</v>
      </c>
      <c r="I43" s="52"/>
      <c r="J43" s="36" t="s">
        <v>108</v>
      </c>
      <c r="L43" s="36" t="s">
        <v>112</v>
      </c>
      <c r="N43" s="60" t="e">
        <f>ROUND(SUM('Stats Global'!AA11,'Stats Global'!AA12,'Stats Global'!AA20,'Stats Global'!AA15,'Stats Global'!AA19,'Stats Global'!AA18)/'Stats Global'!AA6,1)</f>
        <v>#DIV/0!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0,"N/A",0,"N/A",0,"N/A",0,"N/A"],</v>
      </c>
      <c r="J44" s="36" t="s">
        <v>109</v>
      </c>
      <c r="L44" s="61">
        <f>MAX(Table1113[Points])</f>
        <v>0</v>
      </c>
      <c r="M44" s="36" t="str">
        <f>IF(L44&lt;&gt;0,IF(L44=N4,M4,IF(L44=N5,M5,IF(N6=L44,M6,IF(N7=L44,M7,IF(N8=L44,M8,IF(N9=L44,M9,M10)))))),"N/A")</f>
        <v>N/A</v>
      </c>
      <c r="N44" s="60" t="e">
        <f>ROUND(SUM('Stats Global'!AC11,'Stats Global'!AC12,'Stats Global'!AC20,'Stats Global'!AC15,'Stats Global'!AC19,'Stats Global'!AC18)/'Stats Global'!AA6,1)</f>
        <v>#DIV/0!</v>
      </c>
    </row>
    <row r="45" spans="1:14" ht="14.25" customHeight="1" x14ac:dyDescent="0.45">
      <c r="H45" s="36" t="e">
        <f>N43&amp;","&amp;N44&amp;","&amp;N45&amp;","&amp;N46&amp;","&amp;N47&amp;","&amp;N48&amp;"],"</f>
        <v>#DIV/0!</v>
      </c>
      <c r="J45" s="36" t="s">
        <v>110</v>
      </c>
      <c r="L45" s="61">
        <f>MAX(Table1113[Finishes])</f>
        <v>0</v>
      </c>
      <c r="M45" s="36" t="str">
        <f>IF(L45&lt;&gt;0,IF(L45=P4,M4,IF(L45=P5,M5,IF(P6=L45,M6,IF(P7=L45,M7,IF(P8=L45,M8,IF(P9=L45,M9,M10)))))),"N/A")</f>
        <v>N/A</v>
      </c>
      <c r="N45" s="60" t="e">
        <f>ROUND(SUM('Stats Global'!AE11,'Stats Global'!AE12,'Stats Global'!AE20,'Stats Global'!AE15,'Stats Global'!AE19,'Stats Global'!AE18)/'Stats Global'!AA6,1)</f>
        <v>#DIV/0!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0,0,100,0,0,0],</v>
      </c>
      <c r="J46" s="36" t="s">
        <v>111</v>
      </c>
      <c r="L46" s="61">
        <f>MAX(Table1113[Midranges])</f>
        <v>0</v>
      </c>
      <c r="M46" s="36" t="str">
        <f>IF(L46&lt;&gt;0,IF(L46=R4,M4,IF(L46=R5,M5,IF(R6=L46,M6,IF(R7=L46,M7,IF(R8=L46,M8,IF(R9=L46,M9,M10)))))),"N/A")</f>
        <v>N/A</v>
      </c>
      <c r="N46" s="60" t="e">
        <f>ROUND(SUM('Stats Global'!AG11,'Stats Global'!AG12,'Stats Global'!AG20,'Stats Global'!AG15,'Stats Global'!AG19,'Stats Global'!AG18)/'Stats Global'!AA6,1)</f>
        <v>#DIV/0!</v>
      </c>
    </row>
    <row r="47" spans="1:14" ht="14.25" customHeight="1" x14ac:dyDescent="0.45">
      <c r="L47" s="61">
        <f>MAX(Table1113[Threes])</f>
        <v>0</v>
      </c>
      <c r="M47" s="66" t="str">
        <f>IF(L47&lt;&gt;0,IF(L47=T4,M4,IF(L47=T5,M5,IF(T6=L47,M6,IF(T7=L47,M7,IF(T8=L47,M8,IF(T9=L47,M9,M10)))))),"N/A")</f>
        <v>N/A</v>
      </c>
      <c r="N47" s="36" t="e">
        <f>ROUND(F3/'Stats Global'!AA6,1)</f>
        <v>#DIV/0!</v>
      </c>
    </row>
    <row r="48" spans="1:14" ht="14.25" customHeight="1" x14ac:dyDescent="0.45">
      <c r="N48" s="36" t="e">
        <f>ROUND(G3/'Stats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H35" sqref="H35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183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2">
        <f>SUM(B4:B40)</f>
        <v>0</v>
      </c>
      <c r="F3" s="112">
        <f>SUM(C4:C40)</f>
        <v>0</v>
      </c>
      <c r="G3" s="112">
        <f>SUM(D4:D40)</f>
        <v>0</v>
      </c>
      <c r="H3" s="52"/>
      <c r="I3" s="66" t="s">
        <v>146</v>
      </c>
      <c r="V3" s="52"/>
      <c r="W3" s="52"/>
      <c r="X3" s="52"/>
    </row>
    <row r="4" spans="1:24" ht="14.25" customHeight="1" x14ac:dyDescent="0.45">
      <c r="A4" s="110">
        <f>'Stats Global'!B5</f>
        <v>0</v>
      </c>
      <c r="B4" s="111">
        <f>'Stats Global'!I5</f>
        <v>0</v>
      </c>
      <c r="C4" s="111">
        <f>'Stats Global'!J5+'Stats Global'!K5</f>
        <v>0</v>
      </c>
      <c r="D4" s="111">
        <f>'Stats Global'!P5</f>
        <v>0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94</v>
      </c>
      <c r="P4" s="68" t="s">
        <v>3</v>
      </c>
      <c r="Q4" s="69" t="s">
        <v>95</v>
      </c>
      <c r="R4" s="69" t="s">
        <v>97</v>
      </c>
      <c r="V4" s="54"/>
      <c r="W4" s="54"/>
      <c r="X4" s="54"/>
    </row>
    <row r="5" spans="1:24" ht="14.25" customHeight="1" x14ac:dyDescent="0.45">
      <c r="A5" s="110">
        <f>'Stats Global'!B6</f>
        <v>0</v>
      </c>
      <c r="B5" s="111">
        <f>'Stats Global'!I6</f>
        <v>0</v>
      </c>
      <c r="C5" s="111">
        <f>'Stats Global'!J6+'Stats Global'!K6</f>
        <v>0</v>
      </c>
      <c r="D5" s="111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10">
        <f>'Stats Global'!B7</f>
        <v>0</v>
      </c>
      <c r="B6" s="111">
        <f>'Stats Global'!I7</f>
        <v>0</v>
      </c>
      <c r="C6" s="111">
        <f>'Stats Global'!J7+'Stats Global'!K7</f>
        <v>0</v>
      </c>
      <c r="D6" s="111">
        <f>'Stats Global'!P7</f>
        <v>0</v>
      </c>
      <c r="E6" s="52"/>
      <c r="F6" s="62"/>
      <c r="H6" s="54"/>
      <c r="I6" s="54" t="str">
        <f>'Stats Global'!Z11</f>
        <v>Rudy Hoschke</v>
      </c>
      <c r="J6" s="54">
        <f>'Stats Global'!AA11</f>
        <v>0</v>
      </c>
      <c r="K6" s="54">
        <f>'Stats Global'!AB11</f>
        <v>0</v>
      </c>
      <c r="L6" s="54">
        <f>'Stats Global'!AC11</f>
        <v>0</v>
      </c>
      <c r="M6" s="54">
        <f>'Stats Global'!AD11</f>
        <v>0</v>
      </c>
      <c r="N6" s="54">
        <f>'Stats Global'!AE11</f>
        <v>0</v>
      </c>
      <c r="O6" s="54">
        <f>'Stats Global'!AF11</f>
        <v>0</v>
      </c>
      <c r="P6" s="54">
        <f>'Stats Global'!AG11</f>
        <v>0</v>
      </c>
      <c r="Q6" s="54">
        <f>'Stats Global'!AH11</f>
        <v>0</v>
      </c>
      <c r="R6" s="63">
        <f>'Stats Global'!AJ11</f>
        <v>0</v>
      </c>
      <c r="V6" s="54"/>
      <c r="W6" s="54"/>
      <c r="X6" s="54"/>
    </row>
    <row r="7" spans="1:24" ht="14.25" customHeight="1" x14ac:dyDescent="0.45">
      <c r="A7" s="110">
        <f>'Stats Global'!B8</f>
        <v>0</v>
      </c>
      <c r="B7" s="111">
        <f>'Stats Global'!I8</f>
        <v>0</v>
      </c>
      <c r="C7" s="111">
        <f>'Stats Global'!J8+'Stats Global'!K8</f>
        <v>0</v>
      </c>
      <c r="D7" s="111">
        <f>'Stats Global'!P8</f>
        <v>0</v>
      </c>
      <c r="E7" s="52"/>
      <c r="F7" s="62"/>
      <c r="H7" s="54"/>
      <c r="I7" s="54" t="str">
        <f>'Stats Global'!Z10</f>
        <v>Alexander Galt</v>
      </c>
      <c r="J7" s="54">
        <f>'Stats Global'!AA10</f>
        <v>0</v>
      </c>
      <c r="K7" s="54">
        <f>'Stats Global'!AB10</f>
        <v>0</v>
      </c>
      <c r="L7" s="54">
        <f>'Stats Global'!AC10</f>
        <v>0</v>
      </c>
      <c r="M7" s="54">
        <f>'Stats Global'!AD10</f>
        <v>0</v>
      </c>
      <c r="N7" s="54">
        <f>'Stats Global'!AE10</f>
        <v>0</v>
      </c>
      <c r="O7" s="54">
        <f>'Stats Global'!AF10</f>
        <v>0</v>
      </c>
      <c r="P7" s="54">
        <f>'Stats Global'!AG10</f>
        <v>0</v>
      </c>
      <c r="Q7" s="54">
        <f>'Stats Global'!AH10</f>
        <v>0</v>
      </c>
      <c r="R7" s="63">
        <f>'Stats Global'!AJ10</f>
        <v>0</v>
      </c>
      <c r="V7" s="54"/>
      <c r="W7" s="54"/>
      <c r="X7" s="54"/>
    </row>
    <row r="8" spans="1:24" ht="14.25" customHeight="1" x14ac:dyDescent="0.45">
      <c r="A8" s="110">
        <f>'Stats Global'!B9</f>
        <v>0</v>
      </c>
      <c r="B8" s="111">
        <f>'Stats Global'!I9</f>
        <v>0</v>
      </c>
      <c r="C8" s="111">
        <f>'Stats Global'!J9+'Stats Global'!K9</f>
        <v>0</v>
      </c>
      <c r="D8" s="111">
        <f>'Stats Global'!P9</f>
        <v>0</v>
      </c>
      <c r="E8" s="52"/>
      <c r="F8" s="62"/>
      <c r="H8" s="54"/>
      <c r="I8" s="54" t="str">
        <f>'Stats Global'!Z13</f>
        <v>Lukas Johnston</v>
      </c>
      <c r="J8" s="54">
        <f>'Stats Global'!AA13</f>
        <v>0</v>
      </c>
      <c r="K8" s="54">
        <f>'Stats Global'!AB13</f>
        <v>0</v>
      </c>
      <c r="L8" s="54">
        <f>'Stats Global'!AC13</f>
        <v>0</v>
      </c>
      <c r="M8" s="54">
        <f>'Stats Global'!AD13</f>
        <v>0</v>
      </c>
      <c r="N8" s="54">
        <f>'Stats Global'!AE13</f>
        <v>0</v>
      </c>
      <c r="O8" s="54">
        <f>'Stats Global'!AF13</f>
        <v>0</v>
      </c>
      <c r="P8" s="54">
        <f>'Stats Global'!AG13</f>
        <v>0</v>
      </c>
      <c r="Q8" s="54">
        <f>'Stats Global'!AH13</f>
        <v>0</v>
      </c>
      <c r="R8" s="63">
        <f>'Stats Global'!AJ13</f>
        <v>0</v>
      </c>
      <c r="V8" s="54"/>
      <c r="W8" s="54"/>
      <c r="X8" s="54"/>
    </row>
    <row r="9" spans="1:24" ht="14.25" customHeight="1" x14ac:dyDescent="0.45">
      <c r="A9" s="110">
        <f>'Stats Global'!B10</f>
        <v>0</v>
      </c>
      <c r="B9" s="111">
        <f>'Stats Global'!I10</f>
        <v>0</v>
      </c>
      <c r="C9" s="111">
        <f>'Stats Global'!J10+'Stats Global'!K10</f>
        <v>0</v>
      </c>
      <c r="D9" s="111">
        <f>'Stats Global'!P10</f>
        <v>0</v>
      </c>
      <c r="E9" s="52"/>
      <c r="F9" s="62"/>
      <c r="H9" s="54"/>
      <c r="I9" s="54" t="str">
        <f>'Stats Global'!Z23</f>
        <v>Mitch Yue</v>
      </c>
      <c r="J9" s="54">
        <f>'Stats Global'!AA23</f>
        <v>0</v>
      </c>
      <c r="K9" s="54">
        <f>'Stats Global'!AB23</f>
        <v>0</v>
      </c>
      <c r="L9" s="54">
        <f>'Stats Global'!AC23</f>
        <v>0</v>
      </c>
      <c r="M9" s="54">
        <f>'Stats Global'!AD23</f>
        <v>0</v>
      </c>
      <c r="N9" s="54">
        <f>'Stats Global'!AE23</f>
        <v>0</v>
      </c>
      <c r="O9" s="54">
        <f>'Stats Global'!AF23</f>
        <v>0</v>
      </c>
      <c r="P9" s="54">
        <f>'Stats Global'!AG23</f>
        <v>0</v>
      </c>
      <c r="Q9" s="54">
        <f>'Stats Global'!AH23</f>
        <v>0</v>
      </c>
      <c r="R9" s="63">
        <f>'Stats Global'!AJ23</f>
        <v>0</v>
      </c>
      <c r="V9" s="54"/>
      <c r="W9" s="54"/>
      <c r="X9" s="54"/>
    </row>
    <row r="10" spans="1:24" ht="14.25" customHeight="1" x14ac:dyDescent="0.45">
      <c r="A10" s="110">
        <f>'Stats Global'!B11</f>
        <v>0</v>
      </c>
      <c r="B10" s="111">
        <f>'Stats Global'!I11</f>
        <v>0</v>
      </c>
      <c r="C10" s="111">
        <f>'Stats Global'!J11+'Stats Global'!K11</f>
        <v>0</v>
      </c>
      <c r="D10" s="111">
        <f>'Stats Global'!P11</f>
        <v>0</v>
      </c>
      <c r="E10" s="52"/>
      <c r="F10" s="62"/>
      <c r="I10" s="90"/>
      <c r="J10" s="73"/>
      <c r="K10" s="73"/>
      <c r="L10" s="73"/>
      <c r="M10" s="73"/>
      <c r="N10" s="73"/>
      <c r="O10" s="73"/>
      <c r="P10" s="73"/>
      <c r="Q10" s="73"/>
      <c r="R10" s="73"/>
      <c r="V10" s="54"/>
      <c r="W10" s="54"/>
      <c r="X10" s="54"/>
    </row>
    <row r="11" spans="1:24" ht="14.25" customHeight="1" x14ac:dyDescent="0.45">
      <c r="A11" s="110">
        <f>'Stats Global'!B12</f>
        <v>0</v>
      </c>
      <c r="B11" s="111">
        <f>'Stats Global'!I12</f>
        <v>0</v>
      </c>
      <c r="C11" s="111">
        <f>'Stats Global'!J12+'Stats Global'!K12</f>
        <v>0</v>
      </c>
      <c r="D11" s="111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10">
        <f>'Stats Global'!B13</f>
        <v>0</v>
      </c>
      <c r="B12" s="111">
        <f>'Stats Global'!I13</f>
        <v>0</v>
      </c>
      <c r="C12" s="111">
        <f>'Stats Global'!J13+'Stats Global'!K13</f>
        <v>0</v>
      </c>
      <c r="D12" s="111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10">
        <f>'Stats Global'!B14</f>
        <v>0</v>
      </c>
      <c r="B13" s="111">
        <f>'Stats Global'!I14</f>
        <v>0</v>
      </c>
      <c r="C13" s="111">
        <f>'Stats Global'!J14+'Stats Global'!K14</f>
        <v>0</v>
      </c>
      <c r="D13" s="111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10">
        <f>'Stats Global'!B15</f>
        <v>0</v>
      </c>
      <c r="B14" s="111">
        <f>'Stats Global'!I15</f>
        <v>0</v>
      </c>
      <c r="C14" s="111">
        <f>'Stats Global'!J15+'Stats Global'!K15</f>
        <v>0</v>
      </c>
      <c r="D14" s="111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10">
        <f>'Stats Global'!B16</f>
        <v>0</v>
      </c>
      <c r="B15" s="111">
        <f>'Stats Global'!I16</f>
        <v>0</v>
      </c>
      <c r="C15" s="111">
        <f>'Stats Global'!J16+'Stats Global'!K16</f>
        <v>0</v>
      </c>
      <c r="D15" s="111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10">
        <f>'Stats Global'!B17</f>
        <v>0</v>
      </c>
      <c r="B16" s="111">
        <f>'Stats Global'!I17</f>
        <v>0</v>
      </c>
      <c r="C16" s="111">
        <f>'Stats Global'!J17+'Stats Global'!K17</f>
        <v>0</v>
      </c>
      <c r="D16" s="111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10">
        <f>'Stats Global'!B18</f>
        <v>0</v>
      </c>
      <c r="B17" s="111">
        <f>'Stats Global'!I18</f>
        <v>0</v>
      </c>
      <c r="C17" s="111">
        <f>'Stats Global'!J18+'Stats Global'!K18</f>
        <v>0</v>
      </c>
      <c r="D17" s="111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10">
        <f>'Stats Global'!B19</f>
        <v>0</v>
      </c>
      <c r="B18" s="111">
        <f>'Stats Global'!I19</f>
        <v>0</v>
      </c>
      <c r="C18" s="111">
        <f>'Stats Global'!J19+'Stats Global'!K19</f>
        <v>0</v>
      </c>
      <c r="D18" s="111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10">
        <f>'Stats Global'!B20</f>
        <v>0</v>
      </c>
      <c r="B19" s="111">
        <f>'Stats Global'!I20</f>
        <v>0</v>
      </c>
      <c r="C19" s="111">
        <f>'Stats Global'!J20+'Stats Global'!K20</f>
        <v>0</v>
      </c>
      <c r="D19" s="111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10">
        <f>'Stats Global'!B21</f>
        <v>0</v>
      </c>
      <c r="B20" s="111">
        <f>'Stats Global'!I21</f>
        <v>0</v>
      </c>
      <c r="C20" s="111">
        <f>'Stats Global'!J21+'Stats Global'!K21</f>
        <v>0</v>
      </c>
      <c r="D20" s="111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10">
        <f>'Stats Global'!B22</f>
        <v>0</v>
      </c>
      <c r="B21" s="111">
        <f>'Stats Global'!I22</f>
        <v>0</v>
      </c>
      <c r="C21" s="111">
        <f>'Stats Global'!J22+'Stats Global'!K22</f>
        <v>0</v>
      </c>
      <c r="D21" s="111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10">
        <f>'Stats Global'!B23</f>
        <v>0</v>
      </c>
      <c r="B22" s="111">
        <f>'Stats Global'!I23</f>
        <v>0</v>
      </c>
      <c r="C22" s="111">
        <f>'Stats Global'!J23+'Stats Global'!K23</f>
        <v>0</v>
      </c>
      <c r="D22" s="111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10">
        <f>'Stats Global'!B24</f>
        <v>0</v>
      </c>
      <c r="B23" s="111">
        <f>'Stats Global'!I24</f>
        <v>0</v>
      </c>
      <c r="C23" s="111">
        <f>'Stats Global'!J24+'Stats Global'!K24</f>
        <v>0</v>
      </c>
      <c r="D23" s="111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10">
        <f>'Stats Global'!B25</f>
        <v>0</v>
      </c>
      <c r="B24" s="111">
        <f>'Stats Global'!I25</f>
        <v>0</v>
      </c>
      <c r="C24" s="111">
        <f>'Stats Global'!J25+'Stats Global'!K25</f>
        <v>0</v>
      </c>
      <c r="D24" s="111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10">
        <f>'Stats Global'!B26</f>
        <v>0</v>
      </c>
      <c r="B25" s="111">
        <f>'Stats Global'!I26</f>
        <v>0</v>
      </c>
      <c r="C25" s="111">
        <f>'Stats Global'!J26+'Stats Global'!K26</f>
        <v>0</v>
      </c>
      <c r="D25" s="111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10">
        <f>'Stats Global'!B27</f>
        <v>0</v>
      </c>
      <c r="B26" s="111">
        <f>'Stats Global'!I27</f>
        <v>0</v>
      </c>
      <c r="C26" s="111">
        <f>'Stats Global'!J27+'Stats Global'!K27</f>
        <v>0</v>
      </c>
      <c r="D26" s="111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10">
        <f>'Stats Global'!B28</f>
        <v>0</v>
      </c>
      <c r="B27" s="111">
        <f>'Stats Global'!I28</f>
        <v>0</v>
      </c>
      <c r="C27" s="111">
        <f>'Stats Global'!J28+'Stats Global'!K28</f>
        <v>0</v>
      </c>
      <c r="D27" s="111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10">
        <f>'Stats Global'!B29</f>
        <v>0</v>
      </c>
      <c r="B28" s="111">
        <f>'Stats Global'!I29</f>
        <v>0</v>
      </c>
      <c r="C28" s="111">
        <f>'Stats Global'!J29+'Stats Global'!K29</f>
        <v>0</v>
      </c>
      <c r="D28" s="111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10">
        <f>'Stats Global'!B30</f>
        <v>0</v>
      </c>
      <c r="B29" s="111">
        <f>'Stats Global'!I30</f>
        <v>0</v>
      </c>
      <c r="C29" s="111">
        <f>'Stats Global'!J30+'Stats Global'!K30</f>
        <v>0</v>
      </c>
      <c r="D29" s="111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10">
        <f>'Stats Global'!B31</f>
        <v>0</v>
      </c>
      <c r="B30" s="111">
        <f>'Stats Global'!I31</f>
        <v>0</v>
      </c>
      <c r="C30" s="111">
        <f>'Stats Global'!J31+'Stats Global'!K31</f>
        <v>0</v>
      </c>
      <c r="D30" s="111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10">
        <f>'Stats Global'!B32</f>
        <v>0</v>
      </c>
      <c r="B31" s="111">
        <f>'Stats Global'!I32</f>
        <v>0</v>
      </c>
      <c r="C31" s="111">
        <f>'Stats Global'!J32+'Stats Global'!K32</f>
        <v>0</v>
      </c>
      <c r="D31" s="111">
        <f>'Stats Global'!P32</f>
        <v>0</v>
      </c>
      <c r="G31" s="52"/>
      <c r="N31" s="58"/>
    </row>
    <row r="32" spans="1:24" ht="14.25" customHeight="1" x14ac:dyDescent="0.45">
      <c r="A32" s="110">
        <f>'Stats Global'!B33</f>
        <v>0</v>
      </c>
      <c r="B32" s="111">
        <f>'Stats Global'!I33</f>
        <v>0</v>
      </c>
      <c r="C32" s="111">
        <f>'Stats Global'!J33+'Stats Global'!K33</f>
        <v>0</v>
      </c>
      <c r="D32" s="111">
        <f>'Stats Global'!P33</f>
        <v>0</v>
      </c>
      <c r="G32" s="52"/>
      <c r="H32" s="59" t="str">
        <f>E3&amp;","&amp;F3&amp;","&amp;G3&amp;"],"</f>
        <v>0,0,0],</v>
      </c>
      <c r="I32" s="52"/>
      <c r="J32" s="36" t="s">
        <v>108</v>
      </c>
      <c r="L32" s="36" t="s">
        <v>112</v>
      </c>
      <c r="N32" s="60" t="e">
        <f>ROUND(SUM('Stats Global'!AA10,'Stats Global'!AA14,'Stats Global'!AA17,'Stats Global'!AA13,'Stats Global'!AA24,'Stats Global'!AA23)/'Stats Global'!AA6,1)</f>
        <v>#DIV/0!</v>
      </c>
    </row>
    <row r="33" spans="1:14" ht="14.25" customHeight="1" x14ac:dyDescent="0.45">
      <c r="A33" s="110">
        <f>'Stats Global'!B34</f>
        <v>0</v>
      </c>
      <c r="B33" s="111">
        <f>'Stats Global'!I34</f>
        <v>0</v>
      </c>
      <c r="C33" s="111">
        <f>'Stats Global'!J34+'Stats Global'!K34</f>
        <v>0</v>
      </c>
      <c r="D33" s="111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0,"N/A",0,"N/A",0,"N/A",0,"N/A"],</v>
      </c>
      <c r="J33" s="36" t="s">
        <v>109</v>
      </c>
      <c r="L33" s="61">
        <f>MAX(Table11[Points])</f>
        <v>0</v>
      </c>
      <c r="M33" s="36" t="str">
        <f>IF(L33&lt;&gt;0,IF(L33=J5,I5,IF(L33=J6,I6,IF(J7=L33,I7,IF(J8=L33,I8,I9)))),"N/A")</f>
        <v>N/A</v>
      </c>
      <c r="N33" s="60" t="e">
        <f>ROUND(SUM('Stats Global'!AC10,'Stats Global'!AC14,'Stats Global'!AC17,'Stats Global'!AC13,'Stats Global'!AC24,'Stats Global'!AC23)/'Stats Global'!AA6,1)</f>
        <v>#DIV/0!</v>
      </c>
    </row>
    <row r="34" spans="1:14" ht="14.25" customHeight="1" x14ac:dyDescent="0.45">
      <c r="A34" s="110">
        <f>'Stats Global'!B35</f>
        <v>0</v>
      </c>
      <c r="B34" s="111">
        <f>'Stats Global'!I35</f>
        <v>0</v>
      </c>
      <c r="C34" s="111">
        <f>'Stats Global'!J35+'Stats Global'!K35</f>
        <v>0</v>
      </c>
      <c r="D34" s="111">
        <f>'Stats Global'!P35</f>
        <v>0</v>
      </c>
      <c r="H34" s="36" t="e">
        <f>N32&amp;","&amp;N33&amp;","&amp;N34&amp;","&amp;N35&amp;","&amp;N36&amp;","&amp;N37&amp;"],"</f>
        <v>#DIV/0!</v>
      </c>
      <c r="J34" s="36" t="s">
        <v>110</v>
      </c>
      <c r="L34" s="61">
        <f>MAX(Table11[Finishes])</f>
        <v>0</v>
      </c>
      <c r="M34" s="36" t="str">
        <f>IF(L34&lt;&gt;0,IF(L34=L5,I5,IF(L34=L6,I6,IF(L7=L34,I7,IF(L8=L34,I8,I9)))),"N/A")</f>
        <v>N/A</v>
      </c>
      <c r="N34" s="60" t="e">
        <f>ROUND(SUM('Stats Global'!AE10,'Stats Global'!AE14,'Stats Global'!AE17,'Stats Global'!AE13,'Stats Global'!AE24,'Stats Global'!AE23)/'Stats Global'!AA6,1)</f>
        <v>#DIV/0!</v>
      </c>
    </row>
    <row r="35" spans="1:14" ht="14.25" customHeight="1" x14ac:dyDescent="0.45">
      <c r="A35" s="110">
        <f>'Stats Global'!B36</f>
        <v>0</v>
      </c>
      <c r="B35" s="111">
        <f>'Stats Global'!I36</f>
        <v>0</v>
      </c>
      <c r="C35" s="111">
        <f>'Stats Global'!J36+'Stats Global'!K36</f>
        <v>0</v>
      </c>
      <c r="D35" s="111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0,0,100,0,0,100],</v>
      </c>
      <c r="J35" s="36" t="s">
        <v>111</v>
      </c>
      <c r="L35" s="61">
        <f>MAX(Table11[Midranges])</f>
        <v>0</v>
      </c>
      <c r="M35" s="36" t="str">
        <f>IF(L35&lt;&gt;0,IF(L35=N5,I5,IF(L35=N6,I6,IF(N7=L35,I7,IF(N8=L35,I8,I9)))),"N/A")</f>
        <v>N/A</v>
      </c>
      <c r="N35" s="60" t="e">
        <f>ROUND(SUM('Stats Global'!AG10,'Stats Global'!AG14,'Stats Global'!AG17,'Stats Global'!AG13,'Stats Global'!AG24,'Stats Global'!AG23)/'Stats Global'!AA6,1)</f>
        <v>#DIV/0!</v>
      </c>
    </row>
    <row r="36" spans="1:14" ht="14.25" customHeight="1" x14ac:dyDescent="0.45">
      <c r="A36" s="110">
        <f>'Stats Global'!B37</f>
        <v>0</v>
      </c>
      <c r="B36" s="111">
        <f>'Stats Global'!I37</f>
        <v>0</v>
      </c>
      <c r="C36" s="111">
        <f>'Stats Global'!J37+'Stats Global'!K37</f>
        <v>0</v>
      </c>
      <c r="D36" s="111">
        <f>'Stats Global'!P37</f>
        <v>0</v>
      </c>
      <c r="L36" s="61">
        <f>MAX(Table11[Threes])</f>
        <v>0</v>
      </c>
      <c r="M36" s="36" t="str">
        <f>IF(L36&lt;&gt;0,IF(L36=P5,I5,IF(L36=P6,I6,IF(P7=L36,I7,IF(P8=L36,I8,I9)))),"N/A")</f>
        <v>N/A</v>
      </c>
      <c r="N36" s="36" t="e">
        <f>ROUND(E3/'Stats Global'!AA6,1)</f>
        <v>#DIV/0!</v>
      </c>
    </row>
    <row r="37" spans="1:14" ht="14.25" customHeight="1" x14ac:dyDescent="0.45">
      <c r="A37" s="110">
        <f>'Stats Global'!B38</f>
        <v>0</v>
      </c>
      <c r="B37" s="111">
        <f>'Stats Global'!I38</f>
        <v>0</v>
      </c>
      <c r="C37" s="111">
        <f>'Stats Global'!J38+'Stats Global'!K38</f>
        <v>0</v>
      </c>
      <c r="D37" s="111">
        <f>'Stats Global'!P38</f>
        <v>0</v>
      </c>
      <c r="N37" s="36" t="e">
        <f>ROUND(F3/'Stats Global'!AA6,1)</f>
        <v>#DIV/0!</v>
      </c>
    </row>
    <row r="38" spans="1:14" ht="14.25" customHeight="1" x14ac:dyDescent="0.45">
      <c r="A38" s="110">
        <f>'Stats Global'!B39</f>
        <v>0</v>
      </c>
      <c r="B38" s="111">
        <f>'Stats Global'!I39</f>
        <v>0</v>
      </c>
      <c r="C38" s="111">
        <f>'Stats Global'!J39+'Stats Global'!K39</f>
        <v>0</v>
      </c>
      <c r="D38" s="111">
        <f>'Stats Global'!P39</f>
        <v>0</v>
      </c>
    </row>
    <row r="39" spans="1:14" ht="14.25" customHeight="1" x14ac:dyDescent="0.45">
      <c r="A39" s="110">
        <f>'Stats Global'!B40</f>
        <v>0</v>
      </c>
      <c r="B39" s="111">
        <f>'Stats Global'!I40</f>
        <v>0</v>
      </c>
      <c r="C39" s="111">
        <f>'Stats Global'!J40+'Stats Global'!K40</f>
        <v>0</v>
      </c>
      <c r="D39" s="111">
        <f>'Stats Global'!P40</f>
        <v>0</v>
      </c>
    </row>
    <row r="40" spans="1:14" ht="14.25" customHeight="1" x14ac:dyDescent="0.45">
      <c r="A40" s="110">
        <f>'Stats Global'!B41</f>
        <v>0</v>
      </c>
      <c r="B40" s="111">
        <f>'Stats Global'!I41</f>
        <v>0</v>
      </c>
      <c r="C40" s="111">
        <f>'Stats Global'!J41+'Stats Global'!K41</f>
        <v>0</v>
      </c>
      <c r="D40" s="111">
        <f>'Stats Global'!P41</f>
        <v>0</v>
      </c>
      <c r="E40" s="119"/>
      <c r="F40" s="119"/>
    </row>
    <row r="41" spans="1:14" ht="14.25" customHeight="1" x14ac:dyDescent="0.45">
      <c r="C41" s="76" t="e">
        <f>SUM(B4:B40)/SUM(B4:C40)</f>
        <v>#DIV/0!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zoomScale="69" workbookViewId="0">
      <selection activeCell="T42" sqref="T4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L2" s="2" t="s">
        <v>83</v>
      </c>
      <c r="M2" s="2" t="s">
        <v>75</v>
      </c>
      <c r="N2" s="2" t="s">
        <v>76</v>
      </c>
      <c r="O2" s="2" t="s">
        <v>72</v>
      </c>
      <c r="P2" s="2" t="s">
        <v>0</v>
      </c>
      <c r="R2" s="2" t="s">
        <v>73</v>
      </c>
      <c r="S2" s="1" t="s">
        <v>0</v>
      </c>
      <c r="T2" s="1" t="s">
        <v>1</v>
      </c>
      <c r="U2" s="1" t="s">
        <v>84</v>
      </c>
      <c r="V2" s="1" t="s">
        <v>85</v>
      </c>
      <c r="W2" t="s">
        <v>98</v>
      </c>
      <c r="AC2" s="1"/>
      <c r="AD2" s="1"/>
      <c r="AE2" s="1"/>
    </row>
    <row r="3" spans="2:31" ht="14.25" customHeight="1" x14ac:dyDescent="0.45">
      <c r="B3" s="10" t="s">
        <v>82</v>
      </c>
      <c r="C3" s="131" t="s">
        <v>211</v>
      </c>
      <c r="D3" s="11" t="s">
        <v>86</v>
      </c>
      <c r="E3" s="11" t="s">
        <v>87</v>
      </c>
      <c r="F3" s="11" t="s">
        <v>88</v>
      </c>
      <c r="G3" s="11" t="s">
        <v>89</v>
      </c>
      <c r="H3" s="131" t="s">
        <v>212</v>
      </c>
      <c r="I3" s="131" t="s">
        <v>213</v>
      </c>
      <c r="J3" s="131" t="s">
        <v>214</v>
      </c>
      <c r="L3" s="1" t="s">
        <v>167</v>
      </c>
      <c r="M3" s="1">
        <f>COUNTIF(D3:D40, "Choc-Tops")</f>
        <v>0</v>
      </c>
      <c r="N3" s="1">
        <f>COUNTIF(E3:E40, "Choc-Tops")</f>
        <v>0</v>
      </c>
      <c r="O3" s="8" t="e">
        <f>M3/(M3+N3)</f>
        <v>#DIV/0!</v>
      </c>
      <c r="P3" s="1">
        <f>IF(N3&lt;&gt;0,IF(AND(O3&gt;O4,O3&gt;O5),3,IF(OR(O3&gt;O4,O3&gt;O5),2,1)),0)</f>
        <v>0</v>
      </c>
      <c r="R3" s="1" t="s">
        <v>25</v>
      </c>
      <c r="S3" s="6">
        <f>COUNTIF($F$3:$F$40, R3)+V3</f>
        <v>0</v>
      </c>
      <c r="T3" s="7">
        <f>COUNTIFS($F$3:$F$40, $R3,$G$3:$G$40,"Finish")</f>
        <v>0</v>
      </c>
      <c r="U3" s="7">
        <f>COUNTIFS($F$3:$F$40, $R3,$G$3:$G$40,"Midrange")</f>
        <v>0</v>
      </c>
      <c r="V3" s="7">
        <f>COUNTIFS($F$3:$F$40, $R3,$G$3:$G$40,"Three Pointer")</f>
        <v>0</v>
      </c>
      <c r="W3" s="19" t="b">
        <v>0</v>
      </c>
      <c r="Y3" s="107" t="s">
        <v>167</v>
      </c>
      <c r="Z3" s="107" t="s">
        <v>168</v>
      </c>
      <c r="AA3" s="107" t="s">
        <v>35</v>
      </c>
      <c r="AB3" s="1"/>
    </row>
    <row r="4" spans="2:31" ht="14.25" customHeight="1" x14ac:dyDescent="0.45">
      <c r="B4" s="133" t="s">
        <v>217</v>
      </c>
      <c r="L4" s="1" t="s">
        <v>168</v>
      </c>
      <c r="M4" s="1">
        <f>COUNTIF(D3:D40, "Traffic Controllers")</f>
        <v>0</v>
      </c>
      <c r="N4" s="1">
        <f>COUNTIF(E3:E40, "Traffic Controllers")</f>
        <v>0</v>
      </c>
      <c r="O4" s="8" t="e">
        <f t="shared" ref="O4:O5" si="0">M4/(M4+N4)</f>
        <v>#DIV/0!</v>
      </c>
      <c r="P4" s="1">
        <f>IF(N4&lt;&gt;0,IF(AND(O4&gt;O3,O4&gt;O5),3,IF(OR(O4&gt;O3,O4&gt;O5),2,1)),0)</f>
        <v>0</v>
      </c>
      <c r="R4" s="1" t="s">
        <v>26</v>
      </c>
      <c r="S4" s="6">
        <f>COUNTIF($F$3:$F$40, R4)+V4</f>
        <v>0</v>
      </c>
      <c r="T4" s="7">
        <f>COUNTIFS($F$3:$F$40, $R4,$G$3:$G$40,"Finish")</f>
        <v>0</v>
      </c>
      <c r="U4" s="7">
        <f>COUNTIFS($F$3:$F$40, $R4,$G$3:$G$40,"Midrange")</f>
        <v>0</v>
      </c>
      <c r="V4" s="7">
        <f>COUNTIFS($F$3:$F$40, $R4,$G$3:$G$40,"Three Pointer")</f>
        <v>0</v>
      </c>
      <c r="W4" s="19" t="b">
        <v>0</v>
      </c>
      <c r="Y4" s="34" t="str">
        <f t="shared" ref="Y4:Y39" si="1">IF(AND(D4="Choc-Tops",E4="Gentle, Men"),"CT/GM", IF(AND(D4="Choc-Tops",E4="Traffic Controllers"),"CT/TC", ""))</f>
        <v/>
      </c>
      <c r="Z4" s="34" t="str">
        <f t="shared" ref="Z4:Z39" si="2">IF(AND(D4="Gentle, Men",E4="Choc-Tops"),"GM/CT", IF(AND(D4="Gentle, Men",E4="Traffic Controllers"),"GM/TC", ""))</f>
        <v/>
      </c>
      <c r="AA4" s="34" t="str">
        <f>IF(AND(D4="Traffic Controllers",E4="Choc-Tops"),"TC/CT", IF(AND($D4="Traffic Controllers",$E4="Gentle, Men"),"TC/GM", ""))</f>
        <v/>
      </c>
      <c r="AB4" s="1"/>
    </row>
    <row r="5" spans="2:31" ht="14.25" customHeight="1" x14ac:dyDescent="0.45">
      <c r="L5" s="1" t="s">
        <v>35</v>
      </c>
      <c r="M5" s="1">
        <f>COUNTIF(D3:D40, "Gentle, Men")</f>
        <v>0</v>
      </c>
      <c r="N5" s="1">
        <f>COUNTIF(E3:E40, "Gentle, Men")</f>
        <v>0</v>
      </c>
      <c r="O5" s="8" t="e">
        <f t="shared" si="0"/>
        <v>#DIV/0!</v>
      </c>
      <c r="P5" s="1">
        <f>IF(N5&lt;&gt;0,IF(AND(O5&gt;O4, O5&gt;O3), 3, IF(OR(O5&gt;O4, O5&gt;O3), 2, 1)),0)</f>
        <v>0</v>
      </c>
      <c r="R5" s="1" t="s">
        <v>27</v>
      </c>
      <c r="S5" s="6">
        <f>COUNTIF($F$3:$F$40, R5)+V5</f>
        <v>0</v>
      </c>
      <c r="T5" s="7">
        <f>COUNTIFS($F$3:$F$40, $R5,$G$3:$G$40,"Finish")</f>
        <v>0</v>
      </c>
      <c r="U5" s="7">
        <f>COUNTIFS($F$3:$F$40, $R5,$G$3:$G$40,"Midrange")</f>
        <v>0</v>
      </c>
      <c r="V5" s="7">
        <f>COUNTIFS($F$3:$F$40, $R5,$G$3:$G$40,"Three Pointer")</f>
        <v>0</v>
      </c>
      <c r="W5" s="19" t="b">
        <v>0</v>
      </c>
      <c r="Y5" s="34" t="str">
        <f t="shared" si="1"/>
        <v/>
      </c>
      <c r="Z5" s="34" t="str">
        <f t="shared" si="2"/>
        <v/>
      </c>
      <c r="AA5" s="34" t="str">
        <f>IF(AND(D5="Traffic Controllers",E5="Choc-Tops"),"TC/CT", IF(AND($D5="Traffic Controllers",$E5="Gentle, Men"),"TC/GM", ""))</f>
        <v/>
      </c>
      <c r="AB5" s="1"/>
    </row>
    <row r="6" spans="2:31" ht="14.25" customHeight="1" x14ac:dyDescent="0.45">
      <c r="R6" s="1" t="s">
        <v>30</v>
      </c>
      <c r="S6" s="6">
        <f>COUNTIF($F$3:$F$40, R6)+V6</f>
        <v>0</v>
      </c>
      <c r="T6" s="7">
        <f>COUNTIFS($F$3:$F$40, $R6,$G$3:$G$40,"Finish")</f>
        <v>0</v>
      </c>
      <c r="U6" s="7">
        <f>COUNTIFS($F$3:$F$40, $R6,$G$3:$G$40,"Midrange")</f>
        <v>0</v>
      </c>
      <c r="V6" s="7">
        <f>COUNTIFS($F$3:$F$40, $R6,$G$3:$G$40,"Three Pointer")</f>
        <v>0</v>
      </c>
      <c r="W6" s="19" t="b">
        <v>0</v>
      </c>
      <c r="Y6" s="34" t="str">
        <f t="shared" si="1"/>
        <v/>
      </c>
      <c r="Z6" s="34" t="str">
        <f t="shared" si="2"/>
        <v/>
      </c>
      <c r="AA6" s="34" t="str">
        <f>IF(AND(D6="Traffic Controllers",E6="Choc-Tops"),"TC/CT", IF(AND($D6="Traffic Controllers",$E6="Gentle, Men"),"TC/GM", ""))</f>
        <v/>
      </c>
      <c r="AB6" s="1"/>
    </row>
    <row r="7" spans="2:31" ht="14.25" customHeight="1" x14ac:dyDescent="0.45">
      <c r="R7" s="1" t="s">
        <v>32</v>
      </c>
      <c r="S7" s="6">
        <f>COUNTIF($F$3:$F$40, R7)+V7</f>
        <v>0</v>
      </c>
      <c r="T7" s="7">
        <f>COUNTIFS($F$3:$F$40, $R7,$G$3:$G$40,"Finish")</f>
        <v>0</v>
      </c>
      <c r="U7" s="7">
        <f>COUNTIFS($F$3:$F$40, $R7,$G$3:$G$40,"Midrange")</f>
        <v>0</v>
      </c>
      <c r="V7" s="7">
        <f>COUNTIFS($F$3:$F$40, $R7,$G$3:$G$40,"Three Pointer")</f>
        <v>0</v>
      </c>
      <c r="W7" s="19" t="b">
        <v>0</v>
      </c>
      <c r="Y7" s="34" t="str">
        <f t="shared" si="1"/>
        <v/>
      </c>
      <c r="Z7" s="34" t="str">
        <f t="shared" si="2"/>
        <v/>
      </c>
      <c r="AA7" s="34" t="str">
        <f>IF(AND(D7="Traffic Controllers",E7="Choc-Tops"),"TC/CT", IF(AND($D7="Traffic Controllers",$E7="Gentle, Men"),"TC/GM", ""))</f>
        <v/>
      </c>
      <c r="AB7" s="1"/>
    </row>
    <row r="8" spans="2:31" ht="14.25" customHeight="1" x14ac:dyDescent="0.45">
      <c r="R8" s="1" t="s">
        <v>37</v>
      </c>
      <c r="S8" s="6">
        <f>COUNTIF($F$3:$F$40, R8)+V8</f>
        <v>0</v>
      </c>
      <c r="T8" s="7">
        <f>COUNTIFS($F$3:$F$40, $R8,$G$3:$G$40,"Finish")</f>
        <v>0</v>
      </c>
      <c r="U8" s="7">
        <f>COUNTIFS($F$3:$F$40, $R8,$G$3:$G$40,"Midrange")</f>
        <v>0</v>
      </c>
      <c r="V8" s="7">
        <f>COUNTIFS($F$3:$F$40, $R8,$G$3:$G$40,"Three Pointer")</f>
        <v>0</v>
      </c>
      <c r="W8" s="19" t="b">
        <v>0</v>
      </c>
      <c r="Y8" s="34" t="str">
        <f t="shared" si="1"/>
        <v/>
      </c>
      <c r="Z8" s="34" t="str">
        <f t="shared" si="2"/>
        <v/>
      </c>
      <c r="AA8" s="34" t="str">
        <f>IF(AND(D8="Traffic Controllers",E8="Choc-Tops"),"TC/CT", IF(AND($D8="Traffic Controllers",$E8="Gentle, Men"),"TC/GM", ""))</f>
        <v/>
      </c>
      <c r="AB8" s="1"/>
    </row>
    <row r="9" spans="2:31" ht="14.25" customHeight="1" x14ac:dyDescent="0.45">
      <c r="R9" t="s">
        <v>92</v>
      </c>
      <c r="S9" s="6">
        <f>COUNTIF($F$3:$F$40, R9)+V9</f>
        <v>0</v>
      </c>
      <c r="T9" s="7">
        <f>COUNTIFS($F$3:$F$40, $R9,$G$3:$G$40,"Finish")</f>
        <v>0</v>
      </c>
      <c r="U9" s="7">
        <f>COUNTIFS($F$3:$F$40, $R9,$G$3:$G$40,"Midrange")</f>
        <v>0</v>
      </c>
      <c r="V9" s="7">
        <f>COUNTIFS($F$3:$F$40, $R9,$G$3:$G$40,"Three Pointer")</f>
        <v>0</v>
      </c>
      <c r="W9" s="19" t="b">
        <v>0</v>
      </c>
      <c r="Y9" s="34" t="str">
        <f t="shared" si="1"/>
        <v/>
      </c>
      <c r="Z9" s="34" t="str">
        <f t="shared" si="2"/>
        <v/>
      </c>
      <c r="AA9" s="34" t="str">
        <f>IF(AND(D9="Traffic Controllers",E9="Choc-Tops"),"TC/CT", IF(AND($D9="Traffic Controllers",$E9="Gentle, Men"),"TC/GM", ""))</f>
        <v/>
      </c>
    </row>
    <row r="10" spans="2:31" ht="14.25" customHeight="1" x14ac:dyDescent="0.45">
      <c r="R10" s="1" t="s">
        <v>39</v>
      </c>
      <c r="S10" s="6">
        <f>COUNTIF($F$3:$F$40, R10)+V10</f>
        <v>0</v>
      </c>
      <c r="T10" s="7">
        <f>COUNTIFS($F$3:$F$40, $R10,$G$3:$G$40,"Finish")</f>
        <v>0</v>
      </c>
      <c r="U10" s="7">
        <f>COUNTIFS($F$3:$F$40, $R10,$G$3:$G$40,"Midrange")</f>
        <v>0</v>
      </c>
      <c r="V10" s="7">
        <f>COUNTIFS($F$3:$F$40, $R10,$G$3:$G$40,"Three Pointer")</f>
        <v>0</v>
      </c>
      <c r="W10" s="19" t="b">
        <v>0</v>
      </c>
      <c r="Y10" s="34" t="str">
        <f t="shared" si="1"/>
        <v/>
      </c>
      <c r="Z10" s="34" t="str">
        <f t="shared" si="2"/>
        <v/>
      </c>
      <c r="AA10" s="34" t="str">
        <f>IF(AND(D10="Traffic Controllers",E10="Choc-Tops"),"TC/CT", IF(AND($D10="Traffic Controllers",$E10="Gentle, Men"),"TC/GM", ""))</f>
        <v/>
      </c>
      <c r="AB10" s="1"/>
    </row>
    <row r="11" spans="2:31" ht="14.25" customHeight="1" x14ac:dyDescent="0.45">
      <c r="R11" s="1" t="s">
        <v>41</v>
      </c>
      <c r="S11" s="6">
        <f>COUNTIF($F$3:$F$40, R11)+V11</f>
        <v>0</v>
      </c>
      <c r="T11" s="7">
        <f>COUNTIFS($F$3:$F$40, $R11,$G$3:$G$40,"Finish")</f>
        <v>0</v>
      </c>
      <c r="U11" s="7">
        <f>COUNTIFS($F$3:$F$40, $R11,$G$3:$G$40,"Midrange")</f>
        <v>0</v>
      </c>
      <c r="V11" s="7">
        <f>COUNTIFS($F$3:$F$40, $R11,$G$3:$G$40,"Three Pointer")</f>
        <v>0</v>
      </c>
      <c r="W11" s="19" t="b">
        <v>0</v>
      </c>
      <c r="Y11" s="34" t="str">
        <f t="shared" si="1"/>
        <v/>
      </c>
      <c r="Z11" s="34" t="str">
        <f t="shared" si="2"/>
        <v/>
      </c>
      <c r="AA11" s="34" t="str">
        <f>IF(AND(D11="Traffic Controllers",E11="Choc-Tops"),"TC/CT", IF(AND($D11="Traffic Controllers",$E11="Gentle, Men"),"TC/GM", ""))</f>
        <v/>
      </c>
      <c r="AB11" s="1"/>
    </row>
    <row r="12" spans="2:31" ht="14.25" customHeight="1" x14ac:dyDescent="0.45">
      <c r="R12" s="1" t="s">
        <v>44</v>
      </c>
      <c r="S12" s="6">
        <f>COUNTIF($F$3:$F$40, R12)+V12</f>
        <v>0</v>
      </c>
      <c r="T12" s="7">
        <f>COUNTIFS($F$3:$F$40, $R12,$G$3:$G$40,"Finish")</f>
        <v>0</v>
      </c>
      <c r="U12" s="7">
        <f>COUNTIFS($F$3:$F$40, $R12,$G$3:$G$40,"Midrange")</f>
        <v>0</v>
      </c>
      <c r="V12" s="7">
        <f>COUNTIFS($F$3:$F$40, $R12,$G$3:$G$40,"Three Pointer")</f>
        <v>0</v>
      </c>
      <c r="W12" s="19" t="b">
        <v>0</v>
      </c>
      <c r="Y12" s="34" t="str">
        <f t="shared" si="1"/>
        <v/>
      </c>
      <c r="Z12" s="34" t="str">
        <f t="shared" si="2"/>
        <v/>
      </c>
      <c r="AA12" s="34" t="str">
        <f>IF(AND(D12="Traffic Controllers",E12="Choc-Tops"),"TC/CT", IF(AND($D12="Traffic Controllers",$E12="Gentle, Men"),"TC/GM", ""))</f>
        <v/>
      </c>
      <c r="AB12" s="1"/>
    </row>
    <row r="13" spans="2:31" ht="14.25" customHeight="1" x14ac:dyDescent="0.45">
      <c r="R13" s="1" t="s">
        <v>46</v>
      </c>
      <c r="S13" s="6">
        <f>COUNTIF($F$3:$F$40, R13)+V13</f>
        <v>0</v>
      </c>
      <c r="T13" s="7">
        <f>COUNTIFS($F$3:$F$40, $R13,$G$3:$G$40,"Finish")</f>
        <v>0</v>
      </c>
      <c r="U13" s="7">
        <f>COUNTIFS($F$3:$F$40, $R13,$G$3:$G$40,"Midrange")</f>
        <v>0</v>
      </c>
      <c r="V13" s="7">
        <f>COUNTIFS($F$3:$F$40, $R13,$G$3:$G$40,"Three Pointer")</f>
        <v>0</v>
      </c>
      <c r="W13" s="19" t="b">
        <v>0</v>
      </c>
      <c r="Y13" s="34" t="str">
        <f t="shared" si="1"/>
        <v/>
      </c>
      <c r="Z13" s="34" t="str">
        <f t="shared" si="2"/>
        <v/>
      </c>
      <c r="AA13" s="34" t="str">
        <f>IF(AND(D13="Traffic Controllers",E13="Choc-Tops"),"TC/CT", IF(AND($D13="Traffic Controllers",$E13="Gentle, Men"),"TC/GM", ""))</f>
        <v/>
      </c>
      <c r="AB13" s="1"/>
    </row>
    <row r="14" spans="2:31" ht="14.25" customHeight="1" x14ac:dyDescent="0.45">
      <c r="R14" s="1" t="s">
        <v>49</v>
      </c>
      <c r="S14" s="6">
        <f>COUNTIF($F$3:$F$40, R14)+V14</f>
        <v>0</v>
      </c>
      <c r="T14" s="7">
        <f>COUNTIFS($F$3:$F$40, $R14,$G$3:$G$40,"Finish")</f>
        <v>0</v>
      </c>
      <c r="U14" s="7">
        <f>COUNTIFS($F$3:$F$40, $R14,$G$3:$G$40,"Midrange")</f>
        <v>0</v>
      </c>
      <c r="V14" s="7">
        <f>COUNTIFS($F$3:$F$40, $R14,$G$3:$G$40,"Three Pointer")</f>
        <v>0</v>
      </c>
      <c r="W14" s="19" t="b">
        <v>0</v>
      </c>
      <c r="Y14" s="34" t="str">
        <f t="shared" si="1"/>
        <v/>
      </c>
      <c r="Z14" s="34" t="str">
        <f t="shared" si="2"/>
        <v/>
      </c>
      <c r="AA14" s="34" t="str">
        <f>IF(AND(D14="Traffic Controllers",E14="Choc-Tops"),"TC/CT", IF(AND($D14="Traffic Controllers",$E14="Gentle, Men"),"TC/GM", ""))</f>
        <v/>
      </c>
      <c r="AB14" s="1"/>
    </row>
    <row r="15" spans="2:31" ht="14.25" customHeight="1" x14ac:dyDescent="0.45">
      <c r="R15" s="1" t="s">
        <v>52</v>
      </c>
      <c r="S15" s="6">
        <f>COUNTIF($F$3:$F$40, R15)+V15</f>
        <v>0</v>
      </c>
      <c r="T15" s="7">
        <f>COUNTIFS($F$3:$F$40, $R15,$G$3:$G$40,"Finish")</f>
        <v>0</v>
      </c>
      <c r="U15" s="7">
        <f>COUNTIFS($F$3:$F$40, $R15,$G$3:$G$40,"Midrange")</f>
        <v>0</v>
      </c>
      <c r="V15" s="7">
        <f>COUNTIFS($F$3:$F$40, $R15,$G$3:$G$40,"Three Pointer")</f>
        <v>0</v>
      </c>
      <c r="W15" s="19" t="b">
        <v>0</v>
      </c>
      <c r="Y15" s="34" t="str">
        <f t="shared" si="1"/>
        <v/>
      </c>
      <c r="Z15" s="34" t="str">
        <f t="shared" si="2"/>
        <v/>
      </c>
      <c r="AA15" s="34" t="str">
        <f>IF(AND(D15="Traffic Controllers",E15="Choc-Tops"),"TC/CT", IF(AND($D15="Traffic Controllers",$E15="Gentle, Men"),"TC/GM", ""))</f>
        <v/>
      </c>
      <c r="AB15" s="1"/>
    </row>
    <row r="16" spans="2:31" ht="14.25" customHeight="1" x14ac:dyDescent="0.45">
      <c r="R16" s="1" t="s">
        <v>55</v>
      </c>
      <c r="S16" s="6">
        <f>COUNTIF($F$3:$F$40, R16)+V16</f>
        <v>0</v>
      </c>
      <c r="T16" s="7">
        <f>COUNTIFS($F$3:$F$40, $R16,$G$3:$G$40,"Finish")</f>
        <v>0</v>
      </c>
      <c r="U16" s="7">
        <f>COUNTIFS($F$3:$F$40, $R16,$G$3:$G$40,"Midrange")</f>
        <v>0</v>
      </c>
      <c r="V16" s="7">
        <f>COUNTIFS($F$3:$F$40, $R16,$G$3:$G$40,"Three Pointer")</f>
        <v>0</v>
      </c>
      <c r="W16" s="19" t="b">
        <v>0</v>
      </c>
      <c r="Y16" s="34" t="str">
        <f t="shared" si="1"/>
        <v/>
      </c>
      <c r="Z16" s="34" t="str">
        <f t="shared" si="2"/>
        <v/>
      </c>
      <c r="AA16" s="34" t="str">
        <f>IF(AND(D16="Traffic Controllers",E16="Choc-Tops"),"TC/CT", IF(AND($D16="Traffic Controllers",$E16="Gentle, Men"),"TC/GM", ""))</f>
        <v/>
      </c>
      <c r="AB16" s="1"/>
    </row>
    <row r="17" spans="18:32" ht="14.25" customHeight="1" x14ac:dyDescent="0.45">
      <c r="R17" s="1" t="s">
        <v>196</v>
      </c>
      <c r="S17" s="6">
        <f>COUNTIF($F$3:$F$40, R17)+V17</f>
        <v>0</v>
      </c>
      <c r="T17" s="7">
        <f>COUNTIFS($F$3:$F$40, $R17,$G$3:$G$40,"Finish")</f>
        <v>0</v>
      </c>
      <c r="U17" s="7">
        <f>COUNTIFS($F$3:$F$40, $R17,$G$3:$G$40,"Midrange")</f>
        <v>0</v>
      </c>
      <c r="V17" s="7">
        <f>COUNTIFS($F$3:$F$40, $R17,$G$3:$G$40,"Three Pointer")</f>
        <v>0</v>
      </c>
      <c r="W17" s="19" t="b">
        <v>0</v>
      </c>
      <c r="Y17" s="34" t="str">
        <f t="shared" si="1"/>
        <v/>
      </c>
      <c r="Z17" s="34" t="str">
        <f t="shared" si="2"/>
        <v/>
      </c>
      <c r="AA17" s="34" t="str">
        <f>IF(AND(D17="Traffic Controllers",E17="Choc-Tops"),"TC/CT", IF(AND($D17="Traffic Controllers",$E17="Gentle, Men"),"TC/GM", ""))</f>
        <v/>
      </c>
      <c r="AB17" s="1"/>
    </row>
    <row r="18" spans="18:32" ht="14.25" customHeight="1" x14ac:dyDescent="0.45">
      <c r="R18" s="128" t="s">
        <v>210</v>
      </c>
      <c r="S18" s="6">
        <f>COUNTIF($F$3:$F$40, R18)+V18</f>
        <v>0</v>
      </c>
      <c r="T18" s="7">
        <f>COUNTIFS($F$3:$F$40, $R18,$G$3:$G$40,"Finish")</f>
        <v>0</v>
      </c>
      <c r="U18" s="7">
        <f>COUNTIFS($F$3:$F$40, $R18,$G$3:$G$40,"Midrange")</f>
        <v>0</v>
      </c>
      <c r="V18" s="7">
        <f>COUNTIFS($F$3:$F$40, $R18,$G$3:$G$40,"Three Pointer")</f>
        <v>0</v>
      </c>
      <c r="W18" s="19" t="b">
        <v>0</v>
      </c>
      <c r="Y18" s="34" t="str">
        <f t="shared" si="1"/>
        <v/>
      </c>
      <c r="Z18" s="34" t="str">
        <f t="shared" si="2"/>
        <v/>
      </c>
      <c r="AA18" s="34" t="str">
        <f>IF(AND(D18="Traffic Controllers",E18="Choc-Tops"),"TC/CT", IF(AND($D18="Traffic Controllers",$E18="Gentle, Men"),"TC/GM", ""))</f>
        <v/>
      </c>
      <c r="AB18" s="1"/>
    </row>
    <row r="19" spans="18:32" ht="14.25" customHeight="1" x14ac:dyDescent="0.45">
      <c r="R19" s="1"/>
      <c r="S19" s="6"/>
      <c r="T19" s="7"/>
      <c r="U19" s="7"/>
      <c r="V19" s="7"/>
      <c r="W19" s="19"/>
      <c r="Y19" s="34" t="str">
        <f t="shared" si="1"/>
        <v/>
      </c>
      <c r="Z19" s="34" t="str">
        <f t="shared" si="2"/>
        <v/>
      </c>
      <c r="AA19" s="34" t="str">
        <f>IF(AND(D19="Traffic Controllers",E19="Choc-Tops"),"TC/CT", IF(AND($D19="Traffic Controllers",$E19="Gentle, Men"),"TC/GM", ""))</f>
        <v/>
      </c>
    </row>
    <row r="20" spans="18:32" ht="14.25" customHeight="1" x14ac:dyDescent="0.45">
      <c r="Y20" s="34" t="str">
        <f t="shared" si="1"/>
        <v/>
      </c>
      <c r="Z20" s="34" t="str">
        <f t="shared" si="2"/>
        <v/>
      </c>
      <c r="AA20" s="34" t="str">
        <f>IF(AND(D20="Traffic Controllers",E20="Choc-Tops"),"TC/CT", IF(AND($D20="Traffic Controllers",$E20="Gentle, Men"),"TC/GM", ""))</f>
        <v/>
      </c>
    </row>
    <row r="21" spans="18:32" ht="14.25" customHeight="1" x14ac:dyDescent="0.45">
      <c r="Y21" s="34" t="str">
        <f t="shared" si="1"/>
        <v/>
      </c>
      <c r="Z21" s="34" t="str">
        <f t="shared" si="2"/>
        <v/>
      </c>
      <c r="AA21" s="34" t="str">
        <f>IF(AND(D21="Traffic Controllers",E21="Choc-Tops"),"TC/CT", IF(AND($D21="Traffic Controllers",$E21="Gentle, Men"),"TC/GM", ""))</f>
        <v/>
      </c>
    </row>
    <row r="22" spans="18:32" ht="14.25" customHeight="1" x14ac:dyDescent="0.45">
      <c r="Y22" s="34" t="str">
        <f t="shared" si="1"/>
        <v/>
      </c>
      <c r="Z22" s="34" t="str">
        <f t="shared" si="2"/>
        <v/>
      </c>
      <c r="AA22" s="34" t="str">
        <f>IF(AND(D22="Traffic Controllers",E22="Choc-Tops"),"TC/CT", IF(AND($D22="Traffic Controllers",$E22="Gentle, Men"),"TC/GM", ""))</f>
        <v/>
      </c>
    </row>
    <row r="23" spans="18:32" ht="14.25" customHeight="1" x14ac:dyDescent="0.45">
      <c r="R23" s="1"/>
      <c r="S23" t="str">
        <f>S3&amp;","</f>
        <v>0,</v>
      </c>
      <c r="T23" t="str">
        <f t="shared" ref="T23:U23" si="3">T3&amp;","</f>
        <v>0,</v>
      </c>
      <c r="U23" t="str">
        <f t="shared" si="3"/>
        <v>0,</v>
      </c>
      <c r="V23" t="str">
        <f>V3&amp;","</f>
        <v>0,</v>
      </c>
      <c r="W23" s="132" t="str">
        <f>IF(W3,1,0)&amp;","</f>
        <v>0,</v>
      </c>
      <c r="Y23" s="34" t="str">
        <f t="shared" si="1"/>
        <v/>
      </c>
      <c r="Z23" s="34" t="str">
        <f t="shared" si="2"/>
        <v/>
      </c>
      <c r="AA23" s="34" t="str">
        <f>IF(AND(D23="Traffic Controllers",E23="Choc-Tops"),"TC/CT", IF(AND($D23="Traffic Controllers",$E23="Gentle, Men"),"TC/GM", ""))</f>
        <v/>
      </c>
      <c r="AB23" s="97"/>
      <c r="AC23" s="98"/>
      <c r="AD23" s="98"/>
      <c r="AE23" s="98"/>
      <c r="AF23" s="98"/>
    </row>
    <row r="24" spans="18:32" ht="14.25" customHeight="1" x14ac:dyDescent="0.45">
      <c r="S24" t="str">
        <f t="shared" ref="S24:V24" si="4">S4&amp;","</f>
        <v>0,</v>
      </c>
      <c r="T24" t="str">
        <f t="shared" si="4"/>
        <v>0,</v>
      </c>
      <c r="U24" t="str">
        <f t="shared" si="4"/>
        <v>0,</v>
      </c>
      <c r="V24" t="str">
        <f t="shared" si="4"/>
        <v>0,</v>
      </c>
      <c r="W24" s="132" t="str">
        <f t="shared" ref="W24:W37" si="5">IF(W4,1,0)&amp;","</f>
        <v>0,</v>
      </c>
      <c r="Y24" s="34" t="str">
        <f t="shared" si="1"/>
        <v/>
      </c>
      <c r="Z24" s="34" t="str">
        <f t="shared" si="2"/>
        <v/>
      </c>
      <c r="AA24" s="34" t="str">
        <f>IF(AND(D24="Traffic Controllers",E24="Choc-Tops"),"TC/CT", IF(AND($D24="Traffic Controllers",$E24="Gentle, Men"),"TC/GM", ""))</f>
        <v/>
      </c>
    </row>
    <row r="25" spans="18:32" ht="14.25" customHeight="1" x14ac:dyDescent="0.45">
      <c r="R25" s="2"/>
      <c r="S25" t="str">
        <f t="shared" ref="S25:V25" si="6">S5&amp;","</f>
        <v>0,</v>
      </c>
      <c r="T25" t="str">
        <f t="shared" si="6"/>
        <v>0,</v>
      </c>
      <c r="U25" t="str">
        <f t="shared" si="6"/>
        <v>0,</v>
      </c>
      <c r="V25" t="str">
        <f t="shared" si="6"/>
        <v>0,</v>
      </c>
      <c r="W25" s="132" t="str">
        <f t="shared" si="5"/>
        <v>0,</v>
      </c>
      <c r="Y25" s="34" t="str">
        <f t="shared" si="1"/>
        <v/>
      </c>
      <c r="Z25" s="34" t="str">
        <f t="shared" si="2"/>
        <v/>
      </c>
      <c r="AA25" s="34" t="str">
        <f>IF(AND(D25="Traffic Controllers",E25="Choc-Tops"),"TC/CT", IF(AND($D25="Traffic Controllers",$E25="Gentle, Men"),"TC/GM", ""))</f>
        <v/>
      </c>
    </row>
    <row r="26" spans="18:32" ht="14.25" customHeight="1" x14ac:dyDescent="0.45">
      <c r="R26" s="9"/>
      <c r="S26" t="str">
        <f t="shared" ref="S26:V26" si="7">S6&amp;","</f>
        <v>0,</v>
      </c>
      <c r="T26" t="str">
        <f t="shared" si="7"/>
        <v>0,</v>
      </c>
      <c r="U26" t="str">
        <f t="shared" si="7"/>
        <v>0,</v>
      </c>
      <c r="V26" t="str">
        <f t="shared" si="7"/>
        <v>0,</v>
      </c>
      <c r="W26" s="132" t="str">
        <f t="shared" si="5"/>
        <v>0,</v>
      </c>
      <c r="Y26" s="34" t="str">
        <f t="shared" si="1"/>
        <v/>
      </c>
      <c r="Z26" s="34" t="str">
        <f t="shared" si="2"/>
        <v/>
      </c>
      <c r="AA26" s="34" t="str">
        <f>IF(AND(D26="Traffic Controllers",E26="Choc-Tops"),"TC/CT", IF(AND($D26="Traffic Controllers",$E26="Gentle, Men"),"TC/GM", ""))</f>
        <v/>
      </c>
    </row>
    <row r="27" spans="18:32" ht="14.25" customHeight="1" x14ac:dyDescent="0.45">
      <c r="S27" t="str">
        <f t="shared" ref="S27:V27" si="8">S7&amp;","</f>
        <v>0,</v>
      </c>
      <c r="T27" t="str">
        <f t="shared" si="8"/>
        <v>0,</v>
      </c>
      <c r="U27" t="str">
        <f t="shared" si="8"/>
        <v>0,</v>
      </c>
      <c r="V27" t="str">
        <f t="shared" si="8"/>
        <v>0,</v>
      </c>
      <c r="W27" s="132" t="str">
        <f t="shared" si="5"/>
        <v>0,</v>
      </c>
      <c r="Y27" s="34" t="str">
        <f t="shared" si="1"/>
        <v/>
      </c>
      <c r="Z27" s="34" t="str">
        <f t="shared" si="2"/>
        <v/>
      </c>
      <c r="AA27" s="34" t="str">
        <f>IF(AND(D27="Traffic Controllers",E27="Choc-Tops"),"TC/CT", IF(AND($D27="Traffic Controllers",$E27="Gentle, Men"),"TC/GM", ""))</f>
        <v/>
      </c>
    </row>
    <row r="28" spans="18:32" ht="14.25" customHeight="1" x14ac:dyDescent="0.45">
      <c r="S28" t="str">
        <f t="shared" ref="S28:V28" si="9">S8&amp;","</f>
        <v>0,</v>
      </c>
      <c r="T28" t="str">
        <f t="shared" si="9"/>
        <v>0,</v>
      </c>
      <c r="U28" t="str">
        <f t="shared" si="9"/>
        <v>0,</v>
      </c>
      <c r="V28" t="str">
        <f t="shared" si="9"/>
        <v>0,</v>
      </c>
      <c r="W28" s="132" t="str">
        <f t="shared" si="5"/>
        <v>0,</v>
      </c>
      <c r="Y28" s="34" t="str">
        <f t="shared" si="1"/>
        <v/>
      </c>
      <c r="Z28" s="34" t="str">
        <f t="shared" si="2"/>
        <v/>
      </c>
      <c r="AA28" s="34" t="str">
        <f>IF(AND(D28="Traffic Controllers",E28="Choc-Tops"),"TC/CT", IF(AND($D28="Traffic Controllers",$E28="Gentle, Men"),"TC/GM", ""))</f>
        <v/>
      </c>
    </row>
    <row r="29" spans="18:32" ht="14.25" customHeight="1" x14ac:dyDescent="0.45">
      <c r="S29" t="str">
        <f t="shared" ref="S29:V29" si="10">S9&amp;","</f>
        <v>0,</v>
      </c>
      <c r="T29" t="str">
        <f t="shared" si="10"/>
        <v>0,</v>
      </c>
      <c r="U29" t="str">
        <f t="shared" si="10"/>
        <v>0,</v>
      </c>
      <c r="V29" t="str">
        <f t="shared" si="10"/>
        <v>0,</v>
      </c>
      <c r="W29" s="132" t="str">
        <f t="shared" si="5"/>
        <v>0,</v>
      </c>
      <c r="Y29" s="34" t="str">
        <f t="shared" si="1"/>
        <v/>
      </c>
      <c r="Z29" s="34" t="str">
        <f t="shared" si="2"/>
        <v/>
      </c>
      <c r="AA29" s="34" t="str">
        <f>IF(AND(D29="Traffic Controllers",E29="Choc-Tops"),"TC/CT", IF(AND($D29="Traffic Controllers",$E29="Gentle, Men"),"TC/GM", ""))</f>
        <v/>
      </c>
    </row>
    <row r="30" spans="18:32" ht="14.25" customHeight="1" x14ac:dyDescent="0.45">
      <c r="S30" t="str">
        <f t="shared" ref="S30:V30" si="11">S10&amp;","</f>
        <v>0,</v>
      </c>
      <c r="T30" t="str">
        <f t="shared" si="11"/>
        <v>0,</v>
      </c>
      <c r="U30" t="str">
        <f t="shared" si="11"/>
        <v>0,</v>
      </c>
      <c r="V30" t="str">
        <f t="shared" si="11"/>
        <v>0,</v>
      </c>
      <c r="W30" s="132" t="str">
        <f t="shared" si="5"/>
        <v>0,</v>
      </c>
      <c r="Y30" s="34" t="str">
        <f t="shared" si="1"/>
        <v/>
      </c>
      <c r="Z30" s="34" t="str">
        <f t="shared" si="2"/>
        <v/>
      </c>
      <c r="AA30" s="34" t="str">
        <f>IF(AND(D30="Traffic Controllers",E30="Choc-Tops"),"TC/CT", IF(AND($D30="Traffic Controllers",$E30="Gentle, Men"),"TC/GM", ""))</f>
        <v/>
      </c>
    </row>
    <row r="31" spans="18:32" ht="14.25" customHeight="1" x14ac:dyDescent="0.45">
      <c r="S31" t="str">
        <f t="shared" ref="S31:V31" si="12">S11&amp;","</f>
        <v>0,</v>
      </c>
      <c r="T31" t="str">
        <f t="shared" si="12"/>
        <v>0,</v>
      </c>
      <c r="U31" t="str">
        <f t="shared" si="12"/>
        <v>0,</v>
      </c>
      <c r="V31" t="str">
        <f t="shared" si="12"/>
        <v>0,</v>
      </c>
      <c r="W31" s="132" t="str">
        <f t="shared" si="5"/>
        <v>0,</v>
      </c>
      <c r="Y31" s="34" t="str">
        <f t="shared" si="1"/>
        <v/>
      </c>
      <c r="Z31" s="34" t="str">
        <f t="shared" si="2"/>
        <v/>
      </c>
      <c r="AA31" s="34" t="str">
        <f>IF(AND(D31="Traffic Controllers",E31="Choc-Tops"),"TC/CT", IF(AND($D31="Traffic Controllers",$E31="Gentle, Men"),"TC/GM", ""))</f>
        <v/>
      </c>
    </row>
    <row r="32" spans="18:32" ht="14.25" customHeight="1" x14ac:dyDescent="0.45">
      <c r="S32" t="str">
        <f t="shared" ref="S32:V32" si="13">S12&amp;","</f>
        <v>0,</v>
      </c>
      <c r="T32" t="str">
        <f t="shared" si="13"/>
        <v>0,</v>
      </c>
      <c r="U32" t="str">
        <f t="shared" si="13"/>
        <v>0,</v>
      </c>
      <c r="V32" t="str">
        <f t="shared" si="13"/>
        <v>0,</v>
      </c>
      <c r="W32" s="132" t="str">
        <f t="shared" si="5"/>
        <v>0,</v>
      </c>
      <c r="Y32" s="34" t="str">
        <f t="shared" si="1"/>
        <v/>
      </c>
      <c r="Z32" s="34" t="str">
        <f t="shared" si="2"/>
        <v/>
      </c>
      <c r="AA32" s="34" t="str">
        <f>IF(AND(D32="Traffic Controllers",E32="Choc-Tops"),"TC/CT", IF(AND($D32="Traffic Controllers",$E32="Gentle, Men"),"TC/GM", ""))</f>
        <v/>
      </c>
    </row>
    <row r="33" spans="3:27" ht="14.25" customHeight="1" x14ac:dyDescent="0.45">
      <c r="S33" t="str">
        <f t="shared" ref="S33:V33" si="14">S13&amp;","</f>
        <v>0,</v>
      </c>
      <c r="T33" t="str">
        <f t="shared" si="14"/>
        <v>0,</v>
      </c>
      <c r="U33" t="str">
        <f t="shared" si="14"/>
        <v>0,</v>
      </c>
      <c r="V33" t="str">
        <f t="shared" si="14"/>
        <v>0,</v>
      </c>
      <c r="W33" s="132" t="str">
        <f t="shared" si="5"/>
        <v>0,</v>
      </c>
      <c r="Y33" s="34" t="str">
        <f t="shared" si="1"/>
        <v/>
      </c>
      <c r="Z33" s="34" t="str">
        <f t="shared" si="2"/>
        <v/>
      </c>
      <c r="AA33" s="34" t="str">
        <f>IF(AND(D33="Traffic Controllers",E33="Choc-Tops"),"TC/CT", IF(AND($D33="Traffic Controllers",$E33="Gentle, Men"),"TC/GM", ""))</f>
        <v/>
      </c>
    </row>
    <row r="34" spans="3:27" ht="14.25" customHeight="1" x14ac:dyDescent="0.45">
      <c r="S34" t="str">
        <f t="shared" ref="S34:V34" si="15">S14&amp;","</f>
        <v>0,</v>
      </c>
      <c r="T34" t="str">
        <f t="shared" si="15"/>
        <v>0,</v>
      </c>
      <c r="U34" t="str">
        <f t="shared" si="15"/>
        <v>0,</v>
      </c>
      <c r="V34" t="str">
        <f t="shared" si="15"/>
        <v>0,</v>
      </c>
      <c r="W34" s="132" t="str">
        <f t="shared" si="5"/>
        <v>0,</v>
      </c>
      <c r="Y34" s="34" t="str">
        <f t="shared" si="1"/>
        <v/>
      </c>
      <c r="Z34" s="34" t="str">
        <f t="shared" si="2"/>
        <v/>
      </c>
      <c r="AA34" s="34" t="str">
        <f>IF(AND(D34="Traffic Controllers",E34="Choc-Tops"),"TC/CT", IF(AND($D34="Traffic Controllers",$E34="Gentle, Men"),"TC/GM", ""))</f>
        <v/>
      </c>
    </row>
    <row r="35" spans="3:27" ht="14.25" customHeight="1" x14ac:dyDescent="0.45">
      <c r="S35" t="str">
        <f t="shared" ref="S35:V35" si="16">S15&amp;","</f>
        <v>0,</v>
      </c>
      <c r="T35" t="str">
        <f t="shared" si="16"/>
        <v>0,</v>
      </c>
      <c r="U35" t="str">
        <f t="shared" si="16"/>
        <v>0,</v>
      </c>
      <c r="V35" t="str">
        <f t="shared" si="16"/>
        <v>0,</v>
      </c>
      <c r="W35" s="132" t="str">
        <f t="shared" si="5"/>
        <v>0,</v>
      </c>
      <c r="Y35" s="34" t="str">
        <f t="shared" si="1"/>
        <v/>
      </c>
      <c r="Z35" s="34" t="str">
        <f t="shared" si="2"/>
        <v/>
      </c>
      <c r="AA35" s="34" t="str">
        <f>IF(AND(D35="Traffic Controllers",E35="Choc-Tops"),"TC/CT", IF(AND($D35="Traffic Controllers",$E35="Gentle, Men"),"TC/GM", ""))</f>
        <v/>
      </c>
    </row>
    <row r="36" spans="3:27" ht="14.25" customHeight="1" x14ac:dyDescent="0.45">
      <c r="S36" t="str">
        <f t="shared" ref="S36:V36" si="17">S16&amp;","</f>
        <v>0,</v>
      </c>
      <c r="T36" t="str">
        <f t="shared" si="17"/>
        <v>0,</v>
      </c>
      <c r="U36" t="str">
        <f t="shared" si="17"/>
        <v>0,</v>
      </c>
      <c r="V36" t="str">
        <f t="shared" si="17"/>
        <v>0,</v>
      </c>
      <c r="W36" s="132" t="str">
        <f t="shared" si="5"/>
        <v>0,</v>
      </c>
      <c r="Y36" s="34" t="str">
        <f t="shared" si="1"/>
        <v/>
      </c>
      <c r="Z36" s="34" t="str">
        <f t="shared" si="2"/>
        <v/>
      </c>
      <c r="AA36" s="34" t="str">
        <f>IF(AND(D36="Traffic Controllers",E36="Choc-Tops"),"TC/CT", IF(AND($D36="Traffic Controllers",$E36="Gentle, Men"),"TC/GM", ""))</f>
        <v/>
      </c>
    </row>
    <row r="37" spans="3:27" ht="14.25" customHeight="1" x14ac:dyDescent="0.45">
      <c r="S37" t="str">
        <f t="shared" ref="S37:V37" si="18">S17&amp;","</f>
        <v>0,</v>
      </c>
      <c r="T37" t="str">
        <f t="shared" si="18"/>
        <v>0,</v>
      </c>
      <c r="U37" t="str">
        <f t="shared" si="18"/>
        <v>0,</v>
      </c>
      <c r="V37" t="str">
        <f t="shared" si="18"/>
        <v>0,</v>
      </c>
      <c r="W37" s="132" t="str">
        <f t="shared" si="5"/>
        <v>0,</v>
      </c>
      <c r="Y37" s="34" t="str">
        <f t="shared" si="1"/>
        <v/>
      </c>
      <c r="Z37" s="34" t="str">
        <f t="shared" si="2"/>
        <v/>
      </c>
      <c r="AA37" s="34" t="str">
        <f>IF(AND(D37="Traffic Controllers",E37="Choc-Tops"),"TC/CT", IF(AND($D37="Traffic Controllers",$E37="Gentle, Men"),"TC/GM", ""))</f>
        <v/>
      </c>
    </row>
    <row r="38" spans="3:27" ht="14.25" customHeight="1" x14ac:dyDescent="0.45">
      <c r="S38" s="13">
        <f>S18</f>
        <v>0</v>
      </c>
      <c r="T38" s="13">
        <f t="shared" ref="T38:V38" si="19">T18</f>
        <v>0</v>
      </c>
      <c r="U38" s="13">
        <f t="shared" si="19"/>
        <v>0</v>
      </c>
      <c r="V38" s="13">
        <f t="shared" si="19"/>
        <v>0</v>
      </c>
      <c r="W38" s="132">
        <f t="shared" ref="W24:W38" si="20">IF(W18,1,0)</f>
        <v>0</v>
      </c>
      <c r="Y38" s="34" t="str">
        <f t="shared" si="1"/>
        <v/>
      </c>
      <c r="Z38" s="34" t="str">
        <f t="shared" si="2"/>
        <v/>
      </c>
      <c r="AA38" s="34" t="str">
        <f>IF(AND(D38="Traffic Controllers",E38="Choc-Tops"),"TC/CT", IF(AND($D38="Traffic Controllers",$E38="Gentle, Men"),"TC/GM", ""))</f>
        <v/>
      </c>
    </row>
    <row r="39" spans="3:27" ht="14.25" customHeight="1" x14ac:dyDescent="0.45">
      <c r="Y39" s="34" t="str">
        <f t="shared" si="1"/>
        <v/>
      </c>
      <c r="Z39" s="34" t="str">
        <f t="shared" si="2"/>
        <v/>
      </c>
      <c r="AA39" s="34" t="str">
        <f>IF(AND(D39="Traffic Controllers",E39="Choc-Tops"),"TC/CT", IF(AND($D39="Traffic Controllers",$E39="Gentle, Men"),"TC/GM", ""))</f>
        <v/>
      </c>
    </row>
    <row r="40" spans="3:27" ht="14.25" customHeight="1" x14ac:dyDescent="0.45">
      <c r="C40" s="50"/>
      <c r="T40" s="6"/>
      <c r="U40" s="6"/>
      <c r="V40" s="6"/>
    </row>
    <row r="41" spans="3:27" ht="14.25" customHeight="1" x14ac:dyDescent="0.9">
      <c r="S41" s="64"/>
      <c r="T41" s="64"/>
      <c r="U41" s="126"/>
      <c r="V41" s="126"/>
      <c r="W41" s="126"/>
    </row>
    <row r="42" spans="3:27" ht="14.25" customHeight="1" x14ac:dyDescent="0.9">
      <c r="S42" s="64"/>
      <c r="T42" s="64"/>
      <c r="U42" s="126"/>
      <c r="V42" s="126"/>
      <c r="W42" s="126"/>
    </row>
    <row r="43" spans="3:27" ht="14.25" customHeight="1" x14ac:dyDescent="0.45">
      <c r="C43" t="s">
        <v>138</v>
      </c>
      <c r="T43" s="132" t="s">
        <v>215</v>
      </c>
      <c r="U43" s="10"/>
    </row>
    <row r="44" spans="3:27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184</v>
      </c>
      <c r="H44" s="65" t="s">
        <v>186</v>
      </c>
      <c r="I44" s="65" t="s">
        <v>190</v>
      </c>
      <c r="J44" t="s">
        <v>187</v>
      </c>
      <c r="K44" t="s">
        <v>188</v>
      </c>
      <c r="L44" s="65" t="s">
        <v>191</v>
      </c>
      <c r="M44" t="s">
        <v>192</v>
      </c>
      <c r="N44" s="65" t="s">
        <v>193</v>
      </c>
      <c r="O44" s="65" t="s">
        <v>194</v>
      </c>
      <c r="P44" t="s">
        <v>185</v>
      </c>
      <c r="Q44" t="s">
        <v>189</v>
      </c>
      <c r="R44" t="s">
        <v>195</v>
      </c>
      <c r="T44" t="str">
        <f>CHAR(34)&amp;"Date"&amp;CHAR(34)&amp;":["&amp;CHAR(34)&amp;B4&amp;CHAR(34)&amp;"],"</f>
        <v>"Date":["12 August"],</v>
      </c>
      <c r="U44" s="10"/>
    </row>
    <row r="45" spans="3:27" ht="14.25" customHeight="1" x14ac:dyDescent="0.45">
      <c r="C45" s="50" t="str">
        <f>B4</f>
        <v>12 August</v>
      </c>
      <c r="D45">
        <f>MAX(M3:M5)</f>
        <v>0</v>
      </c>
      <c r="E45">
        <f>COUNT(C4:C42)-D45-F45</f>
        <v>0</v>
      </c>
      <c r="F45">
        <f>MIN(M3:M5)</f>
        <v>0</v>
      </c>
      <c r="G45">
        <f>M3</f>
        <v>0</v>
      </c>
      <c r="H45">
        <f>COUNTIF(Z4:Z39, "GM/CT")</f>
        <v>0</v>
      </c>
      <c r="I45">
        <f>COUNTIF(AA4:AA39, "TC/CT")</f>
        <v>0</v>
      </c>
      <c r="J45">
        <f>M5</f>
        <v>0</v>
      </c>
      <c r="K45">
        <f>COUNTIF(Y4:Y39, "CT/GM")</f>
        <v>0</v>
      </c>
      <c r="L45">
        <f>COUNTIF(AA4:AA39, "TC/GM")</f>
        <v>0</v>
      </c>
      <c r="M45">
        <f>M4</f>
        <v>0</v>
      </c>
      <c r="N45">
        <f>COUNTIF(Y4:Y39, "CT/TC")</f>
        <v>0</v>
      </c>
      <c r="O45">
        <f>COUNTIF(Z4:Z39, "GM/TC")</f>
        <v>0</v>
      </c>
      <c r="P45">
        <f>P3</f>
        <v>0</v>
      </c>
      <c r="Q45">
        <f>P5</f>
        <v>0</v>
      </c>
      <c r="R45">
        <f>P4</f>
        <v>0</v>
      </c>
      <c r="T45" s="132" t="str">
        <f>CHAR(34)&amp;"Missed"&amp;CHAR(34)&amp;":["&amp;W23&amp;W24&amp;W25&amp;W26&amp;W27&amp;W28&amp;W29&amp;W30&amp;W31&amp;W32&amp;W33&amp;W34&amp;W35&amp;W36&amp;W37&amp;W38&amp;"],"</f>
        <v>"Missed":[0,0,0,0,0,0,0,0,0,0,0,0,0,0,0,0],</v>
      </c>
      <c r="U45" s="10"/>
    </row>
    <row r="46" spans="3:27" ht="14.25" customHeight="1" x14ac:dyDescent="0.45">
      <c r="T46" s="132" t="s">
        <v>216</v>
      </c>
      <c r="U46" s="10"/>
    </row>
    <row r="47" spans="3:27" ht="14.25" customHeight="1" x14ac:dyDescent="0.45">
      <c r="U47" s="10"/>
    </row>
    <row r="48" spans="3:27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2024-01-23T00:24:01Z</dcterms:modified>
</cp:coreProperties>
</file>