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2471AEF-93F4-4E3E-AAB3-D52D5B1DF3AD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510" sheetId="10" r:id="rId7"/>
    <sheet name="2410" sheetId="9" r:id="rId8"/>
    <sheet name="2310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6" l="1"/>
  <c r="M8" i="6"/>
  <c r="N8" i="6"/>
  <c r="O8" i="6"/>
  <c r="P8" i="6"/>
  <c r="Q8" i="6"/>
  <c r="R8" i="6"/>
  <c r="S8" i="6"/>
  <c r="T8" i="6"/>
  <c r="L8" i="6"/>
  <c r="U7" i="6"/>
  <c r="M7" i="6"/>
  <c r="N7" i="6"/>
  <c r="O7" i="6"/>
  <c r="P7" i="6"/>
  <c r="Q7" i="6"/>
  <c r="R7" i="6"/>
  <c r="S7" i="6"/>
  <c r="T7" i="6"/>
  <c r="L7" i="6"/>
  <c r="X8" i="5"/>
  <c r="P8" i="5"/>
  <c r="Q8" i="5"/>
  <c r="R8" i="5"/>
  <c r="S8" i="5"/>
  <c r="T8" i="5"/>
  <c r="U8" i="5"/>
  <c r="V8" i="5"/>
  <c r="W8" i="5"/>
  <c r="O8" i="5"/>
  <c r="X7" i="5"/>
  <c r="P7" i="5"/>
  <c r="Q7" i="5"/>
  <c r="R7" i="5"/>
  <c r="S7" i="5"/>
  <c r="T7" i="5"/>
  <c r="U7" i="5"/>
  <c r="V7" i="5"/>
  <c r="W7" i="5"/>
  <c r="O7" i="5"/>
  <c r="X5" i="5"/>
  <c r="P5" i="5"/>
  <c r="Q5" i="5"/>
  <c r="R5" i="5"/>
  <c r="S5" i="5"/>
  <c r="T5" i="5"/>
  <c r="U5" i="5"/>
  <c r="V5" i="5"/>
  <c r="W5" i="5"/>
  <c r="O5" i="5"/>
  <c r="AA8" i="4"/>
  <c r="S8" i="4"/>
  <c r="T8" i="4"/>
  <c r="U8" i="4"/>
  <c r="V8" i="4"/>
  <c r="W8" i="4"/>
  <c r="X8" i="4"/>
  <c r="Y8" i="4"/>
  <c r="Z8" i="4"/>
  <c r="R8" i="4"/>
  <c r="AA6" i="4"/>
  <c r="S6" i="4"/>
  <c r="T6" i="4"/>
  <c r="U6" i="4"/>
  <c r="V6" i="4"/>
  <c r="W6" i="4"/>
  <c r="X6" i="4"/>
  <c r="Y6" i="4"/>
  <c r="Z6" i="4"/>
  <c r="R6" i="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L30" i="3"/>
  <c r="AM30" i="3"/>
  <c r="AN30" i="3"/>
  <c r="AO30" i="3"/>
  <c r="AL31" i="3"/>
  <c r="AM31" i="3"/>
  <c r="AN31" i="3"/>
  <c r="AO31" i="3"/>
  <c r="AL32" i="3"/>
  <c r="AM32" i="3"/>
  <c r="AN32" i="3"/>
  <c r="AO32" i="3"/>
  <c r="AL33" i="3"/>
  <c r="AM33" i="3"/>
  <c r="AN33" i="3"/>
  <c r="AO33" i="3"/>
  <c r="AL34" i="3"/>
  <c r="AM34" i="3"/>
  <c r="AN34" i="3"/>
  <c r="AO34" i="3"/>
  <c r="AL35" i="3"/>
  <c r="AM35" i="3"/>
  <c r="AN35" i="3"/>
  <c r="AO35" i="3"/>
  <c r="AL36" i="3"/>
  <c r="AM36" i="3"/>
  <c r="AN36" i="3"/>
  <c r="AO36" i="3"/>
  <c r="AL37" i="3"/>
  <c r="AM37" i="3"/>
  <c r="AN37" i="3"/>
  <c r="AO37" i="3"/>
  <c r="AL38" i="3"/>
  <c r="AM38" i="3"/>
  <c r="AN38" i="3"/>
  <c r="AO38" i="3"/>
  <c r="AL39" i="3"/>
  <c r="AM39" i="3"/>
  <c r="AN39" i="3"/>
  <c r="AO39" i="3"/>
  <c r="AL40" i="3"/>
  <c r="AM40" i="3"/>
  <c r="AN40" i="3"/>
  <c r="AO40" i="3"/>
  <c r="AL41" i="3"/>
  <c r="AM41" i="3"/>
  <c r="AN41" i="3"/>
  <c r="AO41" i="3"/>
  <c r="AL42" i="3"/>
  <c r="AM42" i="3"/>
  <c r="AN42" i="3"/>
  <c r="AO42" i="3"/>
  <c r="AL43" i="3"/>
  <c r="AM43" i="3"/>
  <c r="AN43" i="3"/>
  <c r="AO43" i="3"/>
  <c r="AL44" i="3"/>
  <c r="AM44" i="3"/>
  <c r="AN44" i="3"/>
  <c r="AO44" i="3"/>
  <c r="AM29" i="3"/>
  <c r="AN29" i="3"/>
  <c r="AO29" i="3"/>
  <c r="AL29" i="3"/>
  <c r="A6" i="6"/>
  <c r="B6" i="6"/>
  <c r="C6" i="6"/>
  <c r="D6" i="6"/>
  <c r="A6" i="5"/>
  <c r="B6" i="5"/>
  <c r="C6" i="5"/>
  <c r="D6" i="5"/>
  <c r="A6" i="4"/>
  <c r="B6" i="4"/>
  <c r="C6" i="4"/>
  <c r="D6" i="4"/>
  <c r="V6" i="3"/>
  <c r="U6" i="3"/>
  <c r="T6" i="3"/>
  <c r="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7" i="3"/>
  <c r="K45" i="10"/>
  <c r="J45" i="10"/>
  <c r="H45" i="10"/>
  <c r="B45" i="10"/>
  <c r="T44" i="10"/>
  <c r="Z39" i="10"/>
  <c r="Y39" i="10"/>
  <c r="X39" i="10"/>
  <c r="Z38" i="10"/>
  <c r="Y38" i="10"/>
  <c r="X38" i="10"/>
  <c r="Z37" i="10"/>
  <c r="Y37" i="10"/>
  <c r="X37" i="10"/>
  <c r="Z36" i="10"/>
  <c r="Y36" i="10"/>
  <c r="X36" i="10"/>
  <c r="Z35" i="10"/>
  <c r="Y35" i="10"/>
  <c r="X35" i="10"/>
  <c r="Z34" i="10"/>
  <c r="Y34" i="10"/>
  <c r="X34" i="10"/>
  <c r="U34" i="10"/>
  <c r="T34" i="10"/>
  <c r="S34" i="10"/>
  <c r="R34" i="10"/>
  <c r="Z33" i="10"/>
  <c r="Y33" i="10"/>
  <c r="X33" i="10"/>
  <c r="Z32" i="10"/>
  <c r="Y32" i="10"/>
  <c r="X32" i="10"/>
  <c r="Z31" i="10"/>
  <c r="Y31" i="10"/>
  <c r="X31" i="10"/>
  <c r="Z30" i="10"/>
  <c r="Y30" i="10"/>
  <c r="X30" i="10"/>
  <c r="Z29" i="10"/>
  <c r="Y29" i="10"/>
  <c r="X29" i="10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T38" i="10" s="1"/>
  <c r="S18" i="10"/>
  <c r="S38" i="10" s="1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R16" i="10" s="1"/>
  <c r="R36" i="10" s="1"/>
  <c r="T16" i="10"/>
  <c r="T36" i="10" s="1"/>
  <c r="S16" i="10"/>
  <c r="S36" i="10" s="1"/>
  <c r="Z15" i="10"/>
  <c r="Y15" i="10"/>
  <c r="X15" i="10"/>
  <c r="U15" i="10"/>
  <c r="R15" i="10" s="1"/>
  <c r="R35" i="10" s="1"/>
  <c r="T15" i="10"/>
  <c r="T35" i="10" s="1"/>
  <c r="S15" i="10"/>
  <c r="S35" i="10" s="1"/>
  <c r="Z14" i="10"/>
  <c r="Y14" i="10"/>
  <c r="X14" i="10"/>
  <c r="U14" i="10"/>
  <c r="R14" i="10" s="1"/>
  <c r="T14" i="10"/>
  <c r="S14" i="10"/>
  <c r="Z13" i="10"/>
  <c r="Y13" i="10"/>
  <c r="X13" i="10"/>
  <c r="U13" i="10"/>
  <c r="R13" i="10" s="1"/>
  <c r="R33" i="10" s="1"/>
  <c r="T13" i="10"/>
  <c r="T33" i="10" s="1"/>
  <c r="S13" i="10"/>
  <c r="S33" i="10" s="1"/>
  <c r="Z12" i="10"/>
  <c r="Y12" i="10"/>
  <c r="X12" i="10"/>
  <c r="U12" i="10"/>
  <c r="R12" i="10" s="1"/>
  <c r="R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R7" i="10" s="1"/>
  <c r="R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R6" i="10"/>
  <c r="R26" i="10" s="1"/>
  <c r="Z5" i="10"/>
  <c r="Y5" i="10"/>
  <c r="X5" i="10"/>
  <c r="U5" i="10"/>
  <c r="R5" i="10" s="1"/>
  <c r="R25" i="10" s="1"/>
  <c r="T5" i="10"/>
  <c r="T25" i="10" s="1"/>
  <c r="S5" i="10"/>
  <c r="S25" i="10" s="1"/>
  <c r="M5" i="10"/>
  <c r="L5" i="10"/>
  <c r="I45" i="10" s="1"/>
  <c r="Z4" i="10"/>
  <c r="Y4" i="10"/>
  <c r="X4" i="10"/>
  <c r="M45" i="10" s="1"/>
  <c r="U4" i="10"/>
  <c r="U24" i="10" s="1"/>
  <c r="T4" i="10"/>
  <c r="T24" i="10" s="1"/>
  <c r="S4" i="10"/>
  <c r="S24" i="10" s="1"/>
  <c r="N4" i="10"/>
  <c r="M4" i="10"/>
  <c r="L4" i="10"/>
  <c r="L45" i="10" s="1"/>
  <c r="U3" i="10"/>
  <c r="U23" i="10" s="1"/>
  <c r="T3" i="10"/>
  <c r="T23" i="10" s="1"/>
  <c r="S3" i="10"/>
  <c r="S23" i="10" s="1"/>
  <c r="M3" i="10"/>
  <c r="L3" i="10"/>
  <c r="F45" i="10" s="1"/>
  <c r="B6" i="3"/>
  <c r="A5" i="6" s="1"/>
  <c r="B45" i="9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U34" i="9"/>
  <c r="T34" i="9"/>
  <c r="S34" i="9"/>
  <c r="R34" i="9"/>
  <c r="Z33" i="9"/>
  <c r="Y33" i="9"/>
  <c r="X33" i="9"/>
  <c r="Z32" i="9"/>
  <c r="Y32" i="9"/>
  <c r="X32" i="9"/>
  <c r="Z31" i="9"/>
  <c r="Y31" i="9"/>
  <c r="X31" i="9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R16" i="9" s="1"/>
  <c r="R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T14" i="9"/>
  <c r="S14" i="9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R11" i="9" s="1"/>
  <c r="R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R10" i="9"/>
  <c r="R30" i="9" s="1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R8" i="9" s="1"/>
  <c r="R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M5" i="9"/>
  <c r="L5" i="9"/>
  <c r="I45" i="9" s="1"/>
  <c r="I6" i="3" s="1"/>
  <c r="B5" i="6" s="1"/>
  <c r="Z4" i="9"/>
  <c r="Y4" i="9"/>
  <c r="X4" i="9"/>
  <c r="U4" i="9"/>
  <c r="R4" i="9" s="1"/>
  <c r="R24" i="9" s="1"/>
  <c r="T4" i="9"/>
  <c r="T24" i="9" s="1"/>
  <c r="S4" i="9"/>
  <c r="S24" i="9" s="1"/>
  <c r="M4" i="9"/>
  <c r="L4" i="9"/>
  <c r="L45" i="9" s="1"/>
  <c r="L6" i="3" s="1"/>
  <c r="B5" i="5" s="1"/>
  <c r="U3" i="9"/>
  <c r="R3" i="9" s="1"/>
  <c r="R23" i="9" s="1"/>
  <c r="T3" i="9"/>
  <c r="T23" i="9" s="1"/>
  <c r="S3" i="9"/>
  <c r="S23" i="9" s="1"/>
  <c r="M3" i="9"/>
  <c r="L3" i="9"/>
  <c r="Z9" i="3"/>
  <c r="Z10" i="3"/>
  <c r="Z11" i="3"/>
  <c r="Z12" i="3"/>
  <c r="Z13" i="3"/>
  <c r="Z14" i="3"/>
  <c r="R7" i="4" s="1"/>
  <c r="Z15" i="3"/>
  <c r="Z16" i="3"/>
  <c r="Z17" i="3"/>
  <c r="Z18" i="3"/>
  <c r="Z19" i="3"/>
  <c r="Z20" i="3"/>
  <c r="Z21" i="3"/>
  <c r="Z22" i="3"/>
  <c r="R5" i="4" s="1"/>
  <c r="Z23" i="3"/>
  <c r="L9" i="6" s="1"/>
  <c r="Z8" i="3"/>
  <c r="D4" i="6"/>
  <c r="C4" i="6"/>
  <c r="B4" i="6"/>
  <c r="A4" i="6"/>
  <c r="D4" i="5"/>
  <c r="C4" i="5"/>
  <c r="B4" i="5"/>
  <c r="A4" i="5"/>
  <c r="M4" i="5"/>
  <c r="L4" i="5"/>
  <c r="P4" i="4"/>
  <c r="M4" i="4"/>
  <c r="O4" i="4"/>
  <c r="L4" i="4"/>
  <c r="D4" i="4"/>
  <c r="C4" i="4"/>
  <c r="B4" i="4"/>
  <c r="A4" i="4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Z17" i="8"/>
  <c r="Y17" i="8"/>
  <c r="X17" i="8"/>
  <c r="Z16" i="8"/>
  <c r="Y16" i="8"/>
  <c r="X16" i="8"/>
  <c r="Z15" i="8"/>
  <c r="Y15" i="8"/>
  <c r="X15" i="8"/>
  <c r="Z14" i="8"/>
  <c r="Y14" i="8"/>
  <c r="X14" i="8"/>
  <c r="Z13" i="8"/>
  <c r="Y13" i="8"/>
  <c r="X13" i="8"/>
  <c r="Z12" i="8"/>
  <c r="Y12" i="8"/>
  <c r="X12" i="8"/>
  <c r="Z11" i="8"/>
  <c r="Y11" i="8"/>
  <c r="X11" i="8"/>
  <c r="Z10" i="8"/>
  <c r="Y10" i="8"/>
  <c r="X10" i="8"/>
  <c r="Z9" i="8"/>
  <c r="Y9" i="8"/>
  <c r="X9" i="8"/>
  <c r="Z8" i="8"/>
  <c r="Y8" i="8"/>
  <c r="X8" i="8"/>
  <c r="Z7" i="8"/>
  <c r="Y7" i="8"/>
  <c r="X7" i="8"/>
  <c r="Z6" i="8"/>
  <c r="Y6" i="8"/>
  <c r="X6" i="8"/>
  <c r="Z5" i="8"/>
  <c r="Y5" i="8"/>
  <c r="X5" i="8"/>
  <c r="Z4" i="8"/>
  <c r="K45" i="8" s="1"/>
  <c r="Y4" i="8"/>
  <c r="N45" i="8" s="1"/>
  <c r="X4" i="8"/>
  <c r="M45" i="8" s="1"/>
  <c r="M5" i="3" s="1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G45" i="8"/>
  <c r="G5" i="3" s="1"/>
  <c r="C5" i="3"/>
  <c r="D5" i="3"/>
  <c r="E5" i="3"/>
  <c r="F5" i="3"/>
  <c r="I5" i="3"/>
  <c r="L5" i="3"/>
  <c r="O5" i="3"/>
  <c r="P5" i="3"/>
  <c r="Q5" i="3"/>
  <c r="B5" i="3"/>
  <c r="M5" i="8"/>
  <c r="L5" i="8"/>
  <c r="M4" i="8"/>
  <c r="L4" i="8"/>
  <c r="L45" i="8" s="1"/>
  <c r="M3" i="8"/>
  <c r="L3" i="8"/>
  <c r="M5" i="7"/>
  <c r="L5" i="7"/>
  <c r="L4" i="7"/>
  <c r="M4" i="7"/>
  <c r="M3" i="7"/>
  <c r="L3" i="7"/>
  <c r="B45" i="8"/>
  <c r="T44" i="8"/>
  <c r="U18" i="8"/>
  <c r="R18" i="8" s="1"/>
  <c r="R38" i="8" s="1"/>
  <c r="T18" i="8"/>
  <c r="T38" i="8" s="1"/>
  <c r="S18" i="8"/>
  <c r="S38" i="8" s="1"/>
  <c r="U17" i="8"/>
  <c r="R17" i="8" s="1"/>
  <c r="R37" i="8" s="1"/>
  <c r="T17" i="8"/>
  <c r="T37" i="8" s="1"/>
  <c r="S17" i="8"/>
  <c r="S37" i="8" s="1"/>
  <c r="U16" i="8"/>
  <c r="U36" i="8" s="1"/>
  <c r="T16" i="8"/>
  <c r="T36" i="8" s="1"/>
  <c r="S16" i="8"/>
  <c r="S36" i="8" s="1"/>
  <c r="R16" i="8"/>
  <c r="R36" i="8" s="1"/>
  <c r="U15" i="8"/>
  <c r="U35" i="8" s="1"/>
  <c r="T15" i="8"/>
  <c r="T35" i="8" s="1"/>
  <c r="S15" i="8"/>
  <c r="S35" i="8" s="1"/>
  <c r="U14" i="8"/>
  <c r="R14" i="8" s="1"/>
  <c r="R34" i="8" s="1"/>
  <c r="T14" i="8"/>
  <c r="T34" i="8" s="1"/>
  <c r="S14" i="8"/>
  <c r="S34" i="8" s="1"/>
  <c r="U13" i="8"/>
  <c r="R13" i="8" s="1"/>
  <c r="R33" i="8" s="1"/>
  <c r="T13" i="8"/>
  <c r="T33" i="8" s="1"/>
  <c r="S13" i="8"/>
  <c r="S33" i="8" s="1"/>
  <c r="U12" i="8"/>
  <c r="U32" i="8" s="1"/>
  <c r="T12" i="8"/>
  <c r="T32" i="8" s="1"/>
  <c r="S12" i="8"/>
  <c r="S32" i="8" s="1"/>
  <c r="U11" i="8"/>
  <c r="R11" i="8" s="1"/>
  <c r="R31" i="8" s="1"/>
  <c r="T11" i="8"/>
  <c r="T31" i="8" s="1"/>
  <c r="S11" i="8"/>
  <c r="S31" i="8" s="1"/>
  <c r="U10" i="8"/>
  <c r="R10" i="8" s="1"/>
  <c r="R30" i="8" s="1"/>
  <c r="T10" i="8"/>
  <c r="T30" i="8" s="1"/>
  <c r="S10" i="8"/>
  <c r="S30" i="8" s="1"/>
  <c r="U9" i="8"/>
  <c r="R9" i="8" s="1"/>
  <c r="R29" i="8" s="1"/>
  <c r="T9" i="8"/>
  <c r="T29" i="8" s="1"/>
  <c r="S9" i="8"/>
  <c r="S29" i="8" s="1"/>
  <c r="U8" i="8"/>
  <c r="U28" i="8" s="1"/>
  <c r="T8" i="8"/>
  <c r="T28" i="8" s="1"/>
  <c r="S8" i="8"/>
  <c r="S28" i="8" s="1"/>
  <c r="R8" i="8"/>
  <c r="R28" i="8" s="1"/>
  <c r="U7" i="8"/>
  <c r="U27" i="8" s="1"/>
  <c r="T7" i="8"/>
  <c r="T27" i="8" s="1"/>
  <c r="S7" i="8"/>
  <c r="S27" i="8" s="1"/>
  <c r="R7" i="8"/>
  <c r="R27" i="8" s="1"/>
  <c r="U6" i="8"/>
  <c r="R6" i="8" s="1"/>
  <c r="R26" i="8" s="1"/>
  <c r="T6" i="8"/>
  <c r="T26" i="8" s="1"/>
  <c r="S6" i="8"/>
  <c r="S26" i="8" s="1"/>
  <c r="U5" i="8"/>
  <c r="U25" i="8" s="1"/>
  <c r="T5" i="8"/>
  <c r="T25" i="8" s="1"/>
  <c r="S5" i="8"/>
  <c r="S25" i="8" s="1"/>
  <c r="U4" i="8"/>
  <c r="U24" i="8" s="1"/>
  <c r="T4" i="8"/>
  <c r="T24" i="8" s="1"/>
  <c r="S4" i="8"/>
  <c r="S24" i="8" s="1"/>
  <c r="U3" i="8"/>
  <c r="U23" i="8" s="1"/>
  <c r="T3" i="8"/>
  <c r="T23" i="8" s="1"/>
  <c r="S3" i="8"/>
  <c r="S23" i="8" s="1"/>
  <c r="L6" i="6"/>
  <c r="L5" i="6"/>
  <c r="O6" i="5"/>
  <c r="O4" i="5"/>
  <c r="AA4" i="4"/>
  <c r="R4" i="4"/>
  <c r="U65" i="2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AR40" i="3" l="1"/>
  <c r="O4" i="10"/>
  <c r="Q45" i="10" s="1"/>
  <c r="O5" i="10"/>
  <c r="P45" i="10" s="1"/>
  <c r="R11" i="10"/>
  <c r="R31" i="10" s="1"/>
  <c r="O3" i="10"/>
  <c r="O45" i="10" s="1"/>
  <c r="N45" i="10"/>
  <c r="G45" i="10"/>
  <c r="T46" i="10"/>
  <c r="T47" i="10"/>
  <c r="R4" i="10"/>
  <c r="R24" i="10" s="1"/>
  <c r="R8" i="10"/>
  <c r="R28" i="10" s="1"/>
  <c r="U33" i="10"/>
  <c r="T48" i="10" s="1"/>
  <c r="U38" i="10"/>
  <c r="U29" i="10"/>
  <c r="U25" i="10"/>
  <c r="N5" i="10"/>
  <c r="U30" i="10"/>
  <c r="C45" i="10"/>
  <c r="U35" i="10"/>
  <c r="E45" i="10"/>
  <c r="N3" i="10"/>
  <c r="U36" i="10"/>
  <c r="R3" i="10"/>
  <c r="R23" i="10" s="1"/>
  <c r="U27" i="10"/>
  <c r="U32" i="10"/>
  <c r="U37" i="10"/>
  <c r="N3" i="9"/>
  <c r="M45" i="9"/>
  <c r="M6" i="3" s="1"/>
  <c r="R15" i="9"/>
  <c r="R35" i="9" s="1"/>
  <c r="A5" i="4"/>
  <c r="A5" i="5"/>
  <c r="H3" i="5"/>
  <c r="H3" i="6"/>
  <c r="R6" i="9"/>
  <c r="R26" i="9" s="1"/>
  <c r="N5" i="9"/>
  <c r="AP29" i="3"/>
  <c r="AS37" i="3"/>
  <c r="AS35" i="3"/>
  <c r="AS33" i="3"/>
  <c r="AS29" i="3"/>
  <c r="AR39" i="3"/>
  <c r="AR37" i="3"/>
  <c r="AR35" i="3"/>
  <c r="AR33" i="3"/>
  <c r="AR31" i="3"/>
  <c r="G45" i="9"/>
  <c r="G6" i="3" s="1"/>
  <c r="C5" i="4" s="1"/>
  <c r="I3" i="4" s="1"/>
  <c r="R14" i="9"/>
  <c r="AR29" i="3"/>
  <c r="AQ43" i="3"/>
  <c r="AQ41" i="3"/>
  <c r="AQ39" i="3"/>
  <c r="AQ37" i="3"/>
  <c r="AQ35" i="3"/>
  <c r="AQ33" i="3"/>
  <c r="AQ31" i="3"/>
  <c r="T47" i="9"/>
  <c r="E45" i="9"/>
  <c r="E6" i="3" s="1"/>
  <c r="K45" i="9"/>
  <c r="K6" i="3" s="1"/>
  <c r="AP43" i="3"/>
  <c r="AP39" i="3"/>
  <c r="AP37" i="3"/>
  <c r="AP35" i="3"/>
  <c r="AP31" i="3"/>
  <c r="N4" i="9"/>
  <c r="O4" i="9" s="1"/>
  <c r="Q45" i="9" s="1"/>
  <c r="Q6" i="3" s="1"/>
  <c r="D5" i="5" s="1"/>
  <c r="J3" i="5" s="1"/>
  <c r="AS44" i="3"/>
  <c r="AS42" i="3"/>
  <c r="AS38" i="3"/>
  <c r="AS36" i="3"/>
  <c r="AS34" i="3"/>
  <c r="AS32" i="3"/>
  <c r="AS30" i="3"/>
  <c r="AP40" i="3"/>
  <c r="R7" i="9"/>
  <c r="AR44" i="3"/>
  <c r="AR42" i="3"/>
  <c r="AR38" i="3"/>
  <c r="AR36" i="3"/>
  <c r="AR32" i="3"/>
  <c r="AR30" i="3"/>
  <c r="AS39" i="3"/>
  <c r="AS31" i="3"/>
  <c r="AQ44" i="3"/>
  <c r="AQ42" i="3"/>
  <c r="AQ38" i="3"/>
  <c r="AQ32" i="3"/>
  <c r="AQ30" i="3"/>
  <c r="AP44" i="3"/>
  <c r="AP42" i="3"/>
  <c r="AP38" i="3"/>
  <c r="AP36" i="3"/>
  <c r="AP30" i="3"/>
  <c r="AQ29" i="3"/>
  <c r="AQ40" i="3"/>
  <c r="AS40" i="3"/>
  <c r="AS41" i="3"/>
  <c r="AP34" i="3"/>
  <c r="AR34" i="3"/>
  <c r="AR41" i="3"/>
  <c r="AQ36" i="3"/>
  <c r="AQ34" i="3"/>
  <c r="AS43" i="3"/>
  <c r="T46" i="9"/>
  <c r="F45" i="9"/>
  <c r="F6" i="3" s="1"/>
  <c r="B5" i="4" s="1"/>
  <c r="N45" i="9"/>
  <c r="N6" i="3" s="1"/>
  <c r="C5" i="5" s="1"/>
  <c r="U25" i="9"/>
  <c r="U33" i="9"/>
  <c r="U24" i="9"/>
  <c r="U32" i="9"/>
  <c r="H45" i="9"/>
  <c r="H6" i="3" s="1"/>
  <c r="U23" i="9"/>
  <c r="U31" i="9"/>
  <c r="U38" i="9"/>
  <c r="J45" i="9"/>
  <c r="J6" i="3" s="1"/>
  <c r="C45" i="9"/>
  <c r="U28" i="9"/>
  <c r="U36" i="9"/>
  <c r="AR43" i="3"/>
  <c r="J45" i="7"/>
  <c r="J45" i="8"/>
  <c r="J5" i="3" s="1"/>
  <c r="H45" i="8"/>
  <c r="H5" i="3" s="1"/>
  <c r="N5" i="8"/>
  <c r="I45" i="8"/>
  <c r="K5" i="3"/>
  <c r="R12" i="8"/>
  <c r="R32" i="8" s="1"/>
  <c r="E45" i="8"/>
  <c r="R4" i="8"/>
  <c r="R24" i="8" s="1"/>
  <c r="R5" i="8"/>
  <c r="R25" i="8" s="1"/>
  <c r="R15" i="8"/>
  <c r="R35" i="8" s="1"/>
  <c r="R3" i="8"/>
  <c r="R23" i="8" s="1"/>
  <c r="T45" i="8" s="1"/>
  <c r="T47" i="8"/>
  <c r="T46" i="8"/>
  <c r="U26" i="8"/>
  <c r="U34" i="8"/>
  <c r="F45" i="8"/>
  <c r="N5" i="3"/>
  <c r="U33" i="8"/>
  <c r="U31" i="8"/>
  <c r="U30" i="8"/>
  <c r="U38" i="8"/>
  <c r="U29" i="8"/>
  <c r="U37" i="8"/>
  <c r="C45" i="8"/>
  <c r="D45" i="8" s="1"/>
  <c r="N3" i="8"/>
  <c r="N4" i="8"/>
  <c r="AJ9" i="3"/>
  <c r="U5" i="6" s="1"/>
  <c r="AJ8" i="3"/>
  <c r="AA4" i="3"/>
  <c r="X42" i="3"/>
  <c r="T45" i="10" l="1"/>
  <c r="D45" i="10"/>
  <c r="C5" i="6"/>
  <c r="I3" i="6" s="1"/>
  <c r="AP41" i="3"/>
  <c r="I3" i="5"/>
  <c r="C41" i="5"/>
  <c r="C41" i="6"/>
  <c r="AP32" i="3"/>
  <c r="C41" i="4"/>
  <c r="H3" i="4"/>
  <c r="O5" i="9"/>
  <c r="P45" i="9" s="1"/>
  <c r="P6" i="3" s="1"/>
  <c r="D5" i="6" s="1"/>
  <c r="J3" i="6" s="1"/>
  <c r="D45" i="9"/>
  <c r="D6" i="3" s="1"/>
  <c r="C6" i="3"/>
  <c r="R27" i="9"/>
  <c r="T45" i="9" s="1"/>
  <c r="AP33" i="3"/>
  <c r="O3" i="9"/>
  <c r="O45" i="9" s="1"/>
  <c r="O6" i="3" s="1"/>
  <c r="D5" i="4" s="1"/>
  <c r="J3" i="4" s="1"/>
  <c r="T48" i="9"/>
  <c r="L3" i="2"/>
  <c r="L50" i="2" s="1"/>
  <c r="O5" i="8"/>
  <c r="P45" i="8" s="1"/>
  <c r="O4" i="8"/>
  <c r="Q45" i="8" s="1"/>
  <c r="O3" i="8"/>
  <c r="O45" i="8" s="1"/>
  <c r="T48" i="8"/>
  <c r="AP9" i="3"/>
  <c r="L4" i="2"/>
  <c r="L51" i="2" s="1"/>
  <c r="AP8" i="3"/>
  <c r="AJ10" i="3" l="1"/>
  <c r="AJ11" i="3"/>
  <c r="AJ12" i="3"/>
  <c r="AJ13" i="3"/>
  <c r="AJ14" i="3"/>
  <c r="AA7" i="4" s="1"/>
  <c r="AJ15" i="3"/>
  <c r="AJ17" i="3"/>
  <c r="AJ19" i="3"/>
  <c r="L14" i="2" s="1"/>
  <c r="L61" i="2" s="1"/>
  <c r="AJ20" i="3"/>
  <c r="AJ21" i="3"/>
  <c r="AJ22" i="3"/>
  <c r="AA5" i="4" s="1"/>
  <c r="AJ23" i="3"/>
  <c r="AJ16" i="3"/>
  <c r="AJ18" i="3"/>
  <c r="L13" i="2" s="1"/>
  <c r="L60" i="2" s="1"/>
  <c r="L10" i="2" l="1"/>
  <c r="L57" i="2" s="1"/>
  <c r="X4" i="5"/>
  <c r="L9" i="2"/>
  <c r="L56" i="2" s="1"/>
  <c r="L8" i="2"/>
  <c r="L55" i="2" s="1"/>
  <c r="L7" i="2"/>
  <c r="L54" i="2" s="1"/>
  <c r="L18" i="2"/>
  <c r="L65" i="2" s="1"/>
  <c r="U9" i="6"/>
  <c r="L12" i="2"/>
  <c r="L59" i="2" s="1"/>
  <c r="X6" i="5"/>
  <c r="L6" i="2"/>
  <c r="L53" i="2" s="1"/>
  <c r="U6" i="6"/>
  <c r="L15" i="2"/>
  <c r="L62" i="2" s="1"/>
  <c r="L5" i="2"/>
  <c r="L52" i="2" s="1"/>
  <c r="AA16" i="3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R6" i="5" s="1"/>
  <c r="AC9" i="3"/>
  <c r="O5" i="6" s="1"/>
  <c r="AG19" i="3"/>
  <c r="AG11" i="3"/>
  <c r="S6" i="6" s="1"/>
  <c r="AE23" i="3"/>
  <c r="Q9" i="6" s="1"/>
  <c r="AE22" i="3"/>
  <c r="W5" i="4" s="1"/>
  <c r="AE14" i="3"/>
  <c r="W7" i="4" s="1"/>
  <c r="B45" i="7"/>
  <c r="T44" i="7"/>
  <c r="U18" i="7"/>
  <c r="T18" i="7"/>
  <c r="T38" i="7" s="1"/>
  <c r="S18" i="7"/>
  <c r="S38" i="7" s="1"/>
  <c r="U17" i="7"/>
  <c r="U37" i="7" s="1"/>
  <c r="T17" i="7"/>
  <c r="T37" i="7" s="1"/>
  <c r="S17" i="7"/>
  <c r="S37" i="7" s="1"/>
  <c r="R17" i="7"/>
  <c r="R37" i="7" s="1"/>
  <c r="U16" i="7"/>
  <c r="U36" i="7" s="1"/>
  <c r="T16" i="7"/>
  <c r="T36" i="7" s="1"/>
  <c r="S16" i="7"/>
  <c r="S36" i="7" s="1"/>
  <c r="U15" i="7"/>
  <c r="U35" i="7" s="1"/>
  <c r="T15" i="7"/>
  <c r="T35" i="7" s="1"/>
  <c r="S15" i="7"/>
  <c r="S35" i="7" s="1"/>
  <c r="U14" i="7"/>
  <c r="U34" i="7" s="1"/>
  <c r="T14" i="7"/>
  <c r="T34" i="7" s="1"/>
  <c r="S14" i="7"/>
  <c r="S34" i="7" s="1"/>
  <c r="U13" i="7"/>
  <c r="U33" i="7" s="1"/>
  <c r="T13" i="7"/>
  <c r="T33" i="7" s="1"/>
  <c r="S13" i="7"/>
  <c r="S33" i="7" s="1"/>
  <c r="U12" i="7"/>
  <c r="U32" i="7" s="1"/>
  <c r="T12" i="7"/>
  <c r="T32" i="7" s="1"/>
  <c r="S12" i="7"/>
  <c r="S32" i="7" s="1"/>
  <c r="U11" i="7"/>
  <c r="U31" i="7" s="1"/>
  <c r="T11" i="7"/>
  <c r="T31" i="7" s="1"/>
  <c r="S11" i="7"/>
  <c r="S31" i="7" s="1"/>
  <c r="U10" i="7"/>
  <c r="R10" i="7" s="1"/>
  <c r="R30" i="7" s="1"/>
  <c r="T10" i="7"/>
  <c r="T30" i="7" s="1"/>
  <c r="S10" i="7"/>
  <c r="S30" i="7" s="1"/>
  <c r="U9" i="7"/>
  <c r="U29" i="7" s="1"/>
  <c r="T9" i="7"/>
  <c r="T29" i="7" s="1"/>
  <c r="S9" i="7"/>
  <c r="S29" i="7" s="1"/>
  <c r="U8" i="7"/>
  <c r="U28" i="7" s="1"/>
  <c r="T8" i="7"/>
  <c r="T28" i="7" s="1"/>
  <c r="S8" i="7"/>
  <c r="S28" i="7" s="1"/>
  <c r="R8" i="7"/>
  <c r="R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AE17" i="3"/>
  <c r="T6" i="5" s="1"/>
  <c r="AE20" i="3"/>
  <c r="AC21" i="3"/>
  <c r="AC11" i="3"/>
  <c r="O6" i="6" s="1"/>
  <c r="AC20" i="3"/>
  <c r="AC23" i="3"/>
  <c r="O9" i="6" s="1"/>
  <c r="AG23" i="3"/>
  <c r="S9" i="6" s="1"/>
  <c r="AG13" i="3"/>
  <c r="AE11" i="3"/>
  <c r="Q6" i="6" s="1"/>
  <c r="AE18" i="3"/>
  <c r="W4" i="4" s="1"/>
  <c r="AG22" i="3"/>
  <c r="Y5" i="4" s="1"/>
  <c r="AG8" i="3"/>
  <c r="AG10" i="3"/>
  <c r="AE16" i="3"/>
  <c r="AC14" i="3"/>
  <c r="U7" i="4" s="1"/>
  <c r="AG14" i="3"/>
  <c r="Y7" i="4" s="1"/>
  <c r="AG20" i="3"/>
  <c r="AE8" i="3"/>
  <c r="AC10" i="3"/>
  <c r="AE13" i="3"/>
  <c r="AC19" i="3"/>
  <c r="AG16" i="3"/>
  <c r="AG17" i="3"/>
  <c r="V6" i="5" s="1"/>
  <c r="AG9" i="3"/>
  <c r="S5" i="6" s="1"/>
  <c r="AG12" i="3"/>
  <c r="AE10" i="3"/>
  <c r="AC16" i="3"/>
  <c r="AG21" i="3"/>
  <c r="AE19" i="3"/>
  <c r="AE9" i="3"/>
  <c r="Q5" i="6" s="1"/>
  <c r="AE12" i="3"/>
  <c r="AE15" i="3"/>
  <c r="T4" i="5" s="1"/>
  <c r="AC13" i="3"/>
  <c r="AG18" i="3"/>
  <c r="Y4" i="4" s="1"/>
  <c r="AC22" i="3"/>
  <c r="U5" i="4" s="1"/>
  <c r="AC12" i="3"/>
  <c r="AC15" i="3"/>
  <c r="R4" i="5" s="1"/>
  <c r="AC18" i="3"/>
  <c r="U4" i="4" s="1"/>
  <c r="AG15" i="3"/>
  <c r="V4" i="5" s="1"/>
  <c r="AE21" i="3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R3" i="7"/>
  <c r="R23" i="7" s="1"/>
  <c r="R15" i="7"/>
  <c r="R35" i="7" s="1"/>
  <c r="R9" i="7"/>
  <c r="R29" i="7" s="1"/>
  <c r="R14" i="7"/>
  <c r="R34" i="7" s="1"/>
  <c r="N5" i="7"/>
  <c r="U30" i="7"/>
  <c r="T48" i="7" s="1"/>
  <c r="F45" i="7"/>
  <c r="R7" i="7"/>
  <c r="R27" i="7" s="1"/>
  <c r="R12" i="7"/>
  <c r="R32" i="7" s="1"/>
  <c r="R11" i="7"/>
  <c r="R31" i="7" s="1"/>
  <c r="N3" i="7"/>
  <c r="N4" i="7"/>
  <c r="Q45" i="7" s="1"/>
  <c r="C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AA19" i="3"/>
  <c r="AA14" i="3"/>
  <c r="S7" i="4" s="1"/>
  <c r="AA22" i="3"/>
  <c r="S5" i="4" s="1"/>
  <c r="AA23" i="3"/>
  <c r="M9" i="6" s="1"/>
  <c r="AA12" i="3"/>
  <c r="AA13" i="3"/>
  <c r="AA11" i="3"/>
  <c r="M6" i="6" s="1"/>
  <c r="AA17" i="3"/>
  <c r="P6" i="5" s="1"/>
  <c r="K14" i="2"/>
  <c r="K61" i="2" s="1"/>
  <c r="G14" i="2"/>
  <c r="G61" i="2" s="1"/>
  <c r="O45" i="7"/>
  <c r="P45" i="7"/>
  <c r="AD13" i="3"/>
  <c r="P5" i="4"/>
  <c r="P41" i="4" s="1"/>
  <c r="M5" i="5"/>
  <c r="M41" i="5" s="1"/>
  <c r="M5" i="4"/>
  <c r="M41" i="4" s="1"/>
  <c r="L5" i="5"/>
  <c r="L41" i="5" s="1"/>
  <c r="AH19" i="3"/>
  <c r="AD19" i="3"/>
  <c r="AF19" i="3"/>
  <c r="AF13" i="3"/>
  <c r="AF10" i="3"/>
  <c r="AF14" i="3"/>
  <c r="X7" i="4" s="1"/>
  <c r="AF12" i="3"/>
  <c r="AF17" i="3"/>
  <c r="U6" i="5" s="1"/>
  <c r="AD8" i="3"/>
  <c r="G17" i="2"/>
  <c r="G18" i="2"/>
  <c r="G65" i="2" s="1"/>
  <c r="I17" i="2"/>
  <c r="I16" i="2"/>
  <c r="G16" i="2"/>
  <c r="AD11" i="3"/>
  <c r="P6" i="6" s="1"/>
  <c r="I15" i="2"/>
  <c r="K16" i="2"/>
  <c r="G15" i="2"/>
  <c r="AH13" i="3"/>
  <c r="AS18" i="3" l="1"/>
  <c r="S4" i="4"/>
  <c r="AS15" i="3"/>
  <c r="P4" i="5"/>
  <c r="AS14" i="3"/>
  <c r="AS21" i="3"/>
  <c r="AS9" i="3"/>
  <c r="M5" i="6"/>
  <c r="AS8" i="3"/>
  <c r="P43" i="5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AQ12" i="3"/>
  <c r="E18" i="2"/>
  <c r="E65" i="2" s="1"/>
  <c r="AQ23" i="3"/>
  <c r="E15" i="2"/>
  <c r="AQ20" i="3"/>
  <c r="AB17" i="3"/>
  <c r="Q6" i="5" s="1"/>
  <c r="AQ17" i="3"/>
  <c r="E17" i="2"/>
  <c r="AQ22" i="3"/>
  <c r="S42" i="3"/>
  <c r="AB11" i="3"/>
  <c r="N6" i="6" s="1"/>
  <c r="P47" i="5"/>
  <c r="O44" i="4"/>
  <c r="E14" i="2"/>
  <c r="E61" i="2" s="1"/>
  <c r="J14" i="2"/>
  <c r="J61" i="2" s="1"/>
  <c r="H14" i="2"/>
  <c r="H61" i="2" s="1"/>
  <c r="F14" i="2"/>
  <c r="F61" i="2" s="1"/>
  <c r="L5" i="4"/>
  <c r="L41" i="4" s="1"/>
  <c r="P48" i="5"/>
  <c r="O5" i="4"/>
  <c r="O41" i="4" s="1"/>
  <c r="Q37" i="6"/>
  <c r="O48" i="4"/>
  <c r="AB16" i="3"/>
  <c r="AD20" i="3"/>
  <c r="AF20" i="3"/>
  <c r="O35" i="6"/>
  <c r="P35" i="6" s="1"/>
  <c r="AB20" i="3"/>
  <c r="AF15" i="3"/>
  <c r="U4" i="5" s="1"/>
  <c r="AH18" i="3"/>
  <c r="Z4" i="4" s="1"/>
  <c r="AD9" i="3"/>
  <c r="P5" i="6" s="1"/>
  <c r="AD17" i="3"/>
  <c r="S6" i="5" s="1"/>
  <c r="AD21" i="3"/>
  <c r="AH10" i="3"/>
  <c r="AF21" i="3"/>
  <c r="AD14" i="3"/>
  <c r="V7" i="4" s="1"/>
  <c r="AF9" i="3"/>
  <c r="R5" i="6" s="1"/>
  <c r="AD10" i="3"/>
  <c r="AH12" i="3"/>
  <c r="AD16" i="3"/>
  <c r="AH21" i="3"/>
  <c r="AF22" i="3"/>
  <c r="AD22" i="3"/>
  <c r="AF18" i="3"/>
  <c r="X4" i="4" s="1"/>
  <c r="AH16" i="3"/>
  <c r="AF16" i="3"/>
  <c r="AD23" i="3"/>
  <c r="P9" i="6" s="1"/>
  <c r="AH8" i="3"/>
  <c r="AB15" i="3"/>
  <c r="Q4" i="5" s="1"/>
  <c r="AB8" i="3"/>
  <c r="AB22" i="3"/>
  <c r="AB9" i="3"/>
  <c r="N5" i="6" s="1"/>
  <c r="AB23" i="3"/>
  <c r="N9" i="6" s="1"/>
  <c r="I18" i="2"/>
  <c r="I65" i="2" s="1"/>
  <c r="O45" i="4"/>
  <c r="K15" i="2"/>
  <c r="K18" i="2"/>
  <c r="K65" i="2" s="1"/>
  <c r="K17" i="2"/>
  <c r="E16" i="2"/>
  <c r="O46" i="4"/>
  <c r="AU22" i="3" l="1"/>
  <c r="T5" i="4"/>
  <c r="F17" i="2"/>
  <c r="V5" i="4"/>
  <c r="H16" i="2"/>
  <c r="F16" i="2"/>
  <c r="AU16" i="3"/>
  <c r="J16" i="2"/>
  <c r="H17" i="2"/>
  <c r="X5" i="4"/>
  <c r="AU17" i="3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R6" i="6" s="1"/>
  <c r="AB10" i="3"/>
  <c r="AH11" i="3"/>
  <c r="T6" i="6" s="1"/>
  <c r="O43" i="4"/>
  <c r="F15" i="2"/>
  <c r="D15" i="2"/>
  <c r="H15" i="2"/>
  <c r="AB13" i="3"/>
  <c r="AH20" i="3"/>
  <c r="AH23" i="3"/>
  <c r="T9" i="6" s="1"/>
  <c r="M45" i="4"/>
  <c r="N45" i="4" s="1"/>
  <c r="AH9" i="3"/>
  <c r="T5" i="6" s="1"/>
  <c r="AH22" i="3"/>
  <c r="AD12" i="3"/>
  <c r="O34" i="6"/>
  <c r="P34" i="6" s="1"/>
  <c r="AH14" i="3"/>
  <c r="Z7" i="4" s="1"/>
  <c r="AD15" i="3"/>
  <c r="S4" i="5" s="1"/>
  <c r="AH17" i="3"/>
  <c r="W6" i="5" s="1"/>
  <c r="AD18" i="3"/>
  <c r="V4" i="4" s="1"/>
  <c r="AH15" i="3"/>
  <c r="W4" i="5" s="1"/>
  <c r="AF23" i="3"/>
  <c r="R9" i="6" s="1"/>
  <c r="M46" i="4"/>
  <c r="N46" i="4" s="1"/>
  <c r="AF8" i="3"/>
  <c r="AB14" i="3"/>
  <c r="T7" i="4" s="1"/>
  <c r="M44" i="4"/>
  <c r="N44" i="4" s="1"/>
  <c r="AB21" i="3"/>
  <c r="AB18" i="3"/>
  <c r="T4" i="4" s="1"/>
  <c r="AU21" i="3" l="1"/>
  <c r="J17" i="2"/>
  <c r="Z5" i="4"/>
  <c r="AU14" i="3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65" i="2" s="1"/>
  <c r="B46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<sst xmlns="http://schemas.openxmlformats.org/spreadsheetml/2006/main" count="1036" uniqueCount="229">
  <si>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</si>
  <si>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</si>
  <si>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</si>
  <si>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</si>
  <si>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</si>
  <si>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</si>
  <si>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</si>
  <si>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</si>
  <si>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</si>
  <si>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</si>
  <si>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</si>
  <si>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</si>
  <si>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</si>
  <si>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</si>
  <si>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</si>
  <si>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</si>
  <si>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</si>
  <si>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</si>
  <si>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</si>
  <si>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</si>
  <si>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</si>
  <si>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</si>
  <si>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</si>
  <si>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</si>
  <si>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</si>
  <si>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</si>
  <si>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</si>
  <si>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</si>
  <si>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</si>
  <si>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</si>
  <si>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</si>
  <si>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</si>
  <si>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</si>
  <si>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</si>
  <si>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</si>
  <si>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</si>
  <si>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</si>
  <si>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</si>
  <si>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</si>
  <si>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</si>
  <si>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</si>
  <si>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</si>
  <si>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</si>
  <si>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</si>
  <si>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</si>
  <si>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</si>
  <si>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</si>
  <si>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</si>
  <si>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</si>
  <si>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</si>
  <si>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</si>
  <si>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</si>
  <si>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</si>
  <si>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</si>
  <si>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</si>
  <si>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</si>
  <si>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</si>
  <si>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</si>
  <si>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</si>
  <si>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</si>
  <si>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</si>
  <si>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</si>
  <si>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</si>
  <si>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</si>
  <si>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</si>
  <si>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</si>
  <si>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</si>
  <si>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</si>
  <si>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</si>
  <si>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</si>
  <si>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</si>
  <si>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</si>
  <si>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</si>
  <si>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</si>
  <si>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</si>
  <si>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</si>
  <si>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</si>
  <si>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</si>
  <si>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</si>
  <si>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</si>
  <si>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</si>
  <si>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</si>
  <si>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</si>
  <si>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</si>
  <si>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</si>
  <si>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</si>
  <si>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</si>
  <si>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</si>
  <si>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</si>
  <si>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</si>
  <si>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</si>
  <si>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</si>
  <si>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</si>
  <si>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</si>
  <si>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</si>
  <si>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</si>
  <si>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</si>
  <si>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</si>
  <si>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</si>
  <si>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</si>
  <si>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</si>
  <si>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</si>
  <si>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</si>
  <si>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</si>
  <si>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</si>
  <si>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</si>
  <si>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</si>
  <si>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</si>
  <si>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</si>
  <si>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</si>
  <si>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</si>
  <si>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</si>
  <si>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</si>
  <si>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</si>
  <si>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</si>
  <si>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</si>
  <si>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</si>
  <si>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</si>
  <si>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</si>
  <si>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</si>
  <si>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</si>
  <si>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</si>
  <si>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</si>
  <si>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</si>
  <si>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</si>
  <si>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</si>
  <si>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</si>
  <si>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</si>
  <si>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</si>
  <si>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</si>
  <si>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</si>
  <si>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</si>
  <si>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</si>
  <si>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</si>
  <si>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</si>
  <si>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</si>
  <si>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</si>
  <si>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</si>
  <si>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</si>
  <si>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</si>
  <si>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</si>
  <si>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</si>
  <si>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</si>
  <si>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</si>
  <si>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</si>
  <si>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</si>
  <si>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</si>
  <si>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</si>
  <si>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</si>
  <si>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</si>
  <si>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</si>
  <si>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</si>
  <si>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</si>
  <si>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</si>
  <si>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</si>
  <si>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</si>
  <si>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</si>
  <si>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</si>
  <si>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</si>
  <si>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</si>
  <si>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</si>
  <si>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</si>
  <si>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</si>
  <si>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</si>
  <si>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</si>
  <si>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</si>
  <si>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</si>
  <si>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</si>
  <si>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</si>
  <si>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</si>
  <si>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</si>
  <si>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</si>
  <si>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</si>
  <si>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</si>
  <si>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</si>
  <si>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</si>
  <si>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</si>
  <si>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</si>
  <si>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</si>
  <si>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</si>
  <si>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</si>
  <si>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</si>
  <si>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</si>
  <si>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</si>
  <si>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</si>
  <si>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</si>
  <si>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</si>
  <si>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</si>
  <si>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</si>
  <si>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</si>
  <si>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</si>
  <si>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</si>
  <si>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</si>
  <si>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</si>
  <si>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</si>
  <si>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</si>
  <si>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</si>
  <si>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</si>
  <si>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</si>
  <si>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Drafted by Choc-Tops</t>
  </si>
  <si>
    <t>Drafted by Traffic Controllers</t>
  </si>
  <si>
    <t>Drafted by Gentle, Men</t>
  </si>
  <si>
    <t>23-October</t>
  </si>
  <si>
    <t>Finish</t>
  </si>
  <si>
    <t>Three Pointer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</si>
  <si>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</si>
  <si>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</si>
  <si>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</si>
  <si>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</si>
  <si>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</si>
  <si>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</si>
  <si>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</si>
  <si>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</si>
  <si>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</si>
  <si>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</si>
  <si>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</si>
  <si>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</si>
  <si>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24-October</t>
  </si>
  <si>
    <t>Will Weekes</t>
  </si>
  <si>
    <t>Drafted by Traffic Controllers. Traded to Gentle, Men.</t>
  </si>
  <si>
    <t>Drafted by Gentle, Men. Traded to Choc-Tops.</t>
  </si>
  <si>
    <t>Drafted by Choc-Tops. Traded to Traffic Controllers. Traded to Choc-Tops</t>
  </si>
  <si>
    <t>Drafted by Traffic Controllers. Traded to Choc-Tops. Traded to Traffic Controllers.</t>
  </si>
  <si>
    <t>Drafted by Traffic Controllers. Traded to Choc-Tops.</t>
  </si>
  <si>
    <t>25-October</t>
  </si>
  <si>
    <t>Drafted by Gentle, Men. Traded to Choc-Tops. Traded to Traffic Controllers. Traded to Gentle, Men. Traded to Traffic Controllers</t>
  </si>
  <si>
    <t>Drafted by Choc-Tops. Traded to Traffic Controllers. Traded to Gentle-Men</t>
  </si>
  <si>
    <t>Drafted by Gentle, Men. Traded to Traffic Controllers</t>
  </si>
  <si>
    <t>Drafted by Choc-Tops. Traded to Gentle, Men. Traded to Traffic Controllers. Traded to Gentle, 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</si>
</sst>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2" fillId="0" borderId="1"/>
    <xf numFmtId="9" fontId="23" fillId="0" borderId="0" applyFont="0" applyFill="0" applyBorder="0" applyAlignment="0" applyProtection="0"/>
  </cellStyleXfs>
  <cellXfs count="136">
    <xf numFmtId="0" fontId="0" fillId="0" borderId="0" xfId="0"/>
    <xf numFmtId="0" fontId="23" fillId="0" borderId="0" xfId="0" applyFont="1"/>
    <xf numFmtId="0" fontId="25" fillId="0" borderId="0" xfId="0" applyFont="1"/>
    <xf numFmtId="2" fontId="24" fillId="0" borderId="0" xfId="0" applyNumberFormat="1" applyFont="1"/>
    <xf numFmtId="164" fontId="26" fillId="0" borderId="0" xfId="0" applyNumberFormat="1" applyFont="1"/>
    <xf numFmtId="2" fontId="23" fillId="0" borderId="0" xfId="0" applyNumberFormat="1" applyFont="1"/>
    <xf numFmtId="1" fontId="23" fillId="0" borderId="0" xfId="0" applyNumberFormat="1" applyFont="1"/>
    <xf numFmtId="1" fontId="24" fillId="0" borderId="0" xfId="0" applyNumberFormat="1" applyFont="1"/>
    <xf numFmtId="10" fontId="24" fillId="0" borderId="0" xfId="0" applyNumberFormat="1" applyFont="1"/>
    <xf numFmtId="16" fontId="23" fillId="0" borderId="0" xfId="0" applyNumberFormat="1" applyFont="1"/>
    <xf numFmtId="0" fontId="28" fillId="0" borderId="0" xfId="0" applyFont="1"/>
    <xf numFmtId="0" fontId="30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8" fillId="0" borderId="3" xfId="0" applyFont="1" applyBorder="1"/>
    <xf numFmtId="0" fontId="28" fillId="0" borderId="4" xfId="0" applyFont="1" applyBorder="1"/>
    <xf numFmtId="0" fontId="29" fillId="0" borderId="4" xfId="0" applyFont="1" applyBorder="1"/>
    <xf numFmtId="0" fontId="25" fillId="0" borderId="5" xfId="0" applyFont="1" applyBorder="1"/>
    <xf numFmtId="0" fontId="34" fillId="0" borderId="0" xfId="0" applyFont="1"/>
    <xf numFmtId="9" fontId="0" fillId="0" borderId="0" xfId="2" applyFont="1" applyAlignment="1"/>
    <xf numFmtId="0" fontId="29" fillId="0" borderId="0" xfId="0" applyFont="1"/>
    <xf numFmtId="1" fontId="0" fillId="0" borderId="0" xfId="0" quotePrefix="1" applyNumberFormat="1"/>
    <xf numFmtId="165" fontId="0" fillId="0" borderId="0" xfId="0" applyNumberFormat="1"/>
    <xf numFmtId="0" fontId="29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8" fillId="0" borderId="0" xfId="0" applyFont="1" applyAlignment="1">
      <alignment horizontal="center"/>
    </xf>
    <xf numFmtId="0" fontId="22" fillId="0" borderId="0" xfId="0" applyFont="1"/>
    <xf numFmtId="165" fontId="34" fillId="0" borderId="0" xfId="0" applyNumberFormat="1" applyFont="1"/>
    <xf numFmtId="10" fontId="0" fillId="0" borderId="0" xfId="0" applyNumberFormat="1"/>
    <xf numFmtId="0" fontId="20" fillId="0" borderId="0" xfId="0" applyFont="1"/>
    <xf numFmtId="16" fontId="21" fillId="0" borderId="0" xfId="0" applyNumberFormat="1" applyFont="1"/>
    <xf numFmtId="0" fontId="33" fillId="0" borderId="1" xfId="0" applyFont="1" applyBorder="1" applyAlignment="1">
      <alignment horizontal="center"/>
    </xf>
    <xf numFmtId="49" fontId="24" fillId="0" borderId="0" xfId="0" applyNumberFormat="1" applyFont="1"/>
    <xf numFmtId="0" fontId="23" fillId="3" borderId="0" xfId="0" applyFont="1" applyFill="1"/>
    <xf numFmtId="0" fontId="2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5" fillId="0" borderId="1" xfId="0" applyFont="1" applyBorder="1" applyAlignment="1">
      <alignment vertical="center"/>
    </xf>
    <xf numFmtId="0" fontId="29" fillId="0" borderId="1" xfId="0" applyFont="1" applyBorder="1"/>
    <xf numFmtId="10" fontId="0" fillId="0" borderId="1" xfId="2" applyNumberFormat="1" applyFont="1" applyFill="1" applyBorder="1" applyAlignment="1"/>
    <xf numFmtId="0" fontId="23" fillId="0" borderId="2" xfId="0" applyFont="1" applyBorder="1"/>
    <xf numFmtId="1" fontId="0" fillId="0" borderId="2" xfId="0" quotePrefix="1" applyNumberFormat="1" applyBorder="1"/>
    <xf numFmtId="2" fontId="24" fillId="0" borderId="2" xfId="0" applyNumberFormat="1" applyFont="1" applyBorder="1"/>
    <xf numFmtId="1" fontId="23" fillId="0" borderId="2" xfId="0" applyNumberFormat="1" applyFont="1" applyBorder="1"/>
    <xf numFmtId="1" fontId="24" fillId="0" borderId="6" xfId="0" applyNumberFormat="1" applyFont="1" applyBorder="1"/>
    <xf numFmtId="0" fontId="18" fillId="0" borderId="0" xfId="0" applyFont="1"/>
    <xf numFmtId="0" fontId="24" fillId="0" borderId="0" xfId="0" applyFont="1" applyAlignment="1">
      <alignment horizontal="center"/>
    </xf>
    <xf numFmtId="49" fontId="0" fillId="0" borderId="0" xfId="0" applyNumberFormat="1"/>
    <xf numFmtId="16" fontId="24" fillId="3" borderId="0" xfId="0" applyNumberFormat="1" applyFont="1" applyFill="1" applyAlignment="1">
      <alignment vertical="center"/>
    </xf>
    <xf numFmtId="0" fontId="25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9" fontId="24" fillId="0" borderId="1" xfId="2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9" fontId="24" fillId="0" borderId="0" xfId="0" applyNumberFormat="1" applyFont="1" applyAlignment="1">
      <alignment vertical="center"/>
    </xf>
    <xf numFmtId="0" fontId="23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4" fillId="0" borderId="0" xfId="0" applyNumberFormat="1" applyFont="1" applyAlignment="1">
      <alignment vertical="center"/>
    </xf>
    <xf numFmtId="1" fontId="24" fillId="0" borderId="1" xfId="0" applyNumberFormat="1" applyFont="1" applyBorder="1" applyAlignment="1">
      <alignment vertical="center"/>
    </xf>
    <xf numFmtId="0" fontId="33" fillId="0" borderId="1" xfId="0" applyFont="1" applyBorder="1"/>
    <xf numFmtId="0" fontId="17" fillId="0" borderId="0" xfId="0" applyFont="1"/>
    <xf numFmtId="0" fontId="17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Border="1"/>
    <xf numFmtId="0" fontId="37" fillId="0" borderId="1" xfId="0" applyFont="1" applyBorder="1"/>
    <xf numFmtId="0" fontId="34" fillId="0" borderId="1" xfId="0" applyFont="1" applyBorder="1" applyAlignment="1">
      <alignment vertical="center"/>
    </xf>
    <xf numFmtId="0" fontId="28" fillId="3" borderId="2" xfId="0" applyFont="1" applyFill="1" applyBorder="1"/>
    <xf numFmtId="0" fontId="0" fillId="0" borderId="2" xfId="0" applyBorder="1"/>
    <xf numFmtId="1" fontId="24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2" fillId="0" borderId="0" xfId="0" applyNumberFormat="1" applyFont="1"/>
    <xf numFmtId="10" fontId="0" fillId="0" borderId="0" xfId="2" applyNumberFormat="1" applyFont="1" applyAlignment="1">
      <alignment vertical="center"/>
    </xf>
    <xf numFmtId="0" fontId="24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8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9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8" fillId="0" borderId="0" xfId="0" applyFont="1" applyAlignment="1">
      <alignment horizontal="left"/>
    </xf>
    <xf numFmtId="0" fontId="15" fillId="0" borderId="1" xfId="0" applyFont="1" applyBorder="1"/>
    <xf numFmtId="2" fontId="0" fillId="0" borderId="1" xfId="2" applyNumberFormat="1" applyFont="1" applyFill="1" applyBorder="1" applyAlignment="1"/>
    <xf numFmtId="0" fontId="14" fillId="0" borderId="0" xfId="0" applyFont="1"/>
    <xf numFmtId="0" fontId="24" fillId="0" borderId="0" xfId="0" applyFont="1" applyAlignment="1">
      <alignment vertical="center"/>
    </xf>
    <xf numFmtId="165" fontId="0" fillId="0" borderId="0" xfId="0" quotePrefix="1" applyNumberFormat="1"/>
    <xf numFmtId="0" fontId="13" fillId="0" borderId="0" xfId="0" applyFont="1"/>
    <xf numFmtId="0" fontId="34" fillId="0" borderId="1" xfId="0" applyFont="1" applyBorder="1"/>
    <xf numFmtId="166" fontId="24" fillId="0" borderId="1" xfId="0" applyNumberFormat="1" applyFont="1" applyBorder="1"/>
    <xf numFmtId="0" fontId="12" fillId="0" borderId="0" xfId="0" applyFont="1"/>
    <xf numFmtId="0" fontId="11" fillId="3" borderId="0" xfId="0" applyFont="1" applyFill="1" applyAlignment="1">
      <alignment vertical="center"/>
    </xf>
    <xf numFmtId="49" fontId="24" fillId="3" borderId="2" xfId="0" applyNumberFormat="1" applyFont="1" applyFill="1" applyBorder="1"/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0" borderId="9" xfId="0" applyFont="1" applyBorder="1"/>
    <xf numFmtId="0" fontId="8" fillId="0" borderId="8" xfId="0" applyFont="1" applyBorder="1"/>
    <xf numFmtId="0" fontId="7" fillId="3" borderId="0" xfId="0" applyFont="1" applyFill="1" applyAlignment="1">
      <alignment vertical="center"/>
    </xf>
    <xf numFmtId="0" fontId="38" fillId="0" borderId="2" xfId="0" applyFont="1" applyBorder="1"/>
    <xf numFmtId="1" fontId="38" fillId="0" borderId="2" xfId="0" quotePrefix="1" applyNumberFormat="1" applyFont="1" applyBorder="1"/>
    <xf numFmtId="2" fontId="39" fillId="0" borderId="2" xfId="0" applyNumberFormat="1" applyFont="1" applyBorder="1"/>
    <xf numFmtId="1" fontId="38" fillId="0" borderId="2" xfId="0" applyNumberFormat="1" applyFont="1" applyBorder="1"/>
    <xf numFmtId="1" fontId="39" fillId="0" borderId="6" xfId="0" applyNumberFormat="1" applyFont="1" applyBorder="1"/>
    <xf numFmtId="0" fontId="38" fillId="0" borderId="7" xfId="0" applyFont="1" applyBorder="1"/>
    <xf numFmtId="2" fontId="39" fillId="0" borderId="7" xfId="0" applyNumberFormat="1" applyFont="1" applyBorder="1"/>
    <xf numFmtId="0" fontId="34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0" borderId="0" xfId="0" applyFont="1"/>
    <xf numFmtId="0" fontId="29" fillId="3" borderId="0" xfId="0" applyFont="1" applyFill="1"/>
    <xf numFmtId="0" fontId="4" fillId="0" borderId="0" xfId="0" applyFont="1"/>
    <xf numFmtId="49" fontId="0" fillId="3" borderId="2" xfId="0" quotePrefix="1" applyNumberFormat="1" applyFill="1" applyBorder="1"/>
    <xf numFmtId="49" fontId="24" fillId="5" borderId="1" xfId="0" applyNumberFormat="1" applyFont="1" applyFill="1" applyBorder="1" applyAlignment="1">
      <alignment vertical="center"/>
    </xf>
    <xf numFmtId="1" fontId="0" fillId="3" borderId="2" xfId="0" quotePrefix="1" applyNumberFormat="1" applyFill="1" applyBorder="1"/>
    <xf numFmtId="1" fontId="24" fillId="5" borderId="1" xfId="0" applyNumberFormat="1" applyFont="1" applyFill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4" fillId="3" borderId="0" xfId="0" applyNumberFormat="1" applyFont="1" applyFill="1" applyAlignment="1">
      <alignment vertical="center"/>
    </xf>
    <xf numFmtId="1" fontId="24" fillId="3" borderId="0" xfId="0" applyNumberFormat="1" applyFont="1" applyFill="1" applyAlignment="1">
      <alignment vertical="center"/>
    </xf>
    <xf numFmtId="1" fontId="23" fillId="0" borderId="0" xfId="0" applyNumberFormat="1" applyFont="1" applyAlignment="1">
      <alignment vertical="center"/>
    </xf>
    <xf numFmtId="49" fontId="24" fillId="4" borderId="1" xfId="0" applyNumberFormat="1" applyFont="1" applyFill="1" applyBorder="1" applyAlignment="1">
      <alignment vertical="center"/>
    </xf>
    <xf numFmtId="1" fontId="24" fillId="4" borderId="1" xfId="0" applyNumberFormat="1" applyFont="1" applyFill="1" applyBorder="1" applyAlignment="1">
      <alignment vertical="center"/>
    </xf>
    <xf numFmtId="0" fontId="3" fillId="0" borderId="0" xfId="0" applyFont="1"/>
    <xf numFmtId="0" fontId="2" fillId="0" borderId="0" xfId="0" applyFont="1"/>
    <xf numFmtId="0" fontId="32" fillId="0" borderId="1" xfId="1"/>
    <xf numFmtId="1" fontId="16" fillId="0" borderId="0" xfId="0" applyNumberFormat="1" applyFont="1"/>
    <xf numFmtId="0" fontId="33" fillId="0" borderId="1" xfId="0" applyFont="1" applyBorder="1" applyAlignment="1">
      <alignment horizontal="center"/>
    </xf>
    <xf numFmtId="0" fontId="1" fillId="0" borderId="0" xfId="0" applyFont="1"/>
  </cellXfs>
  <cellStyles count="3">
    <cellStyle name="Normal" xfId="0" builtinId="0"/>
    <cellStyle name="Normal 2" xfId="1" xr:uid="{E4ED72E7-E964-4884-BAF1-D3A03BDB6523}"/>
    <cellStyle name="Percent" xfId="2" builtinId="5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0.59649122807017552</c:v>
                </c:pt>
                <c:pt idx="1">
                  <c:v>0.35087719298245618</c:v>
                </c:pt>
                <c:pt idx="2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>
      <calculatedColumnFormula>SfW!B3</calculatedColumnFormula>
    </tableColumn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/>
    <tableColumn id="3" xr3:uid="{C2C49EF0-4D8C-4F8C-8D19-CDD1481D9568}" name="Finishes" dataDxfId="127"/>
    <tableColumn id="4" xr3:uid="{7E789F8C-B8F3-4D6E-AB6C-C9454835B062}" name="Midranges" dataDxfId="126"/>
    <tableColumn id="5" xr3:uid="{18C990F2-A6D0-4F57-B96A-D00066DCC8D8}" name="Threes" dataDxfId="125"/>
    <tableColumn id="6" xr3:uid="{40526534-76CA-42BA-A8B6-AB092D9CE18F}" name="Avg P" dataDxfId="124"/>
    <tableColumn id="7" xr3:uid="{693AF117-21F6-4887-B78D-D59235BABA44}" name="Avg F" dataDxfId="123"/>
    <tableColumn id="8" xr3:uid="{02AC8FBF-EBB3-4AFC-BAC5-B773E33B7279}" name="Avg M" dataDxfId="122"/>
    <tableColumn id="9" xr3:uid="{CCF75EB4-34C4-4D47-9D51-E8D85C07E38B}" name="Avg T" dataDxfId="121"/>
    <tableColumn id="10" xr3:uid="{1A786A5C-D0C2-4ABC-904C-983180542D5F}" name="Missed Games" dataDxf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19" dataDxfId="118">
  <autoFilter ref="AK28:AT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'2310'!R3+'2410'!R3+'2510'!R3</calculatedColumnFormula>
    </tableColumn>
    <tableColumn id="3" xr3:uid="{2D436F37-54B6-4820-9145-F48B4EF9B294}" name="Finishes" dataDxfId="115">
      <calculatedColumnFormula>'2310'!S3+'2410'!S3+'2510'!S3</calculatedColumnFormula>
    </tableColumn>
    <tableColumn id="4" xr3:uid="{1D9B6A22-B682-47F3-B738-7C138F317A41}" name="Midranges" dataDxfId="114">
      <calculatedColumnFormula>'2310'!T3+'2410'!T3+'2510'!T3</calculatedColumnFormula>
    </tableColumn>
    <tableColumn id="5" xr3:uid="{9966C9A0-3872-44E9-BB39-05DE197EAA68}" name="Threes" dataDxfId="113">
      <calculatedColumnFormula>'2310'!U3+'2410'!U3+'2510'!U3</calculatedColumnFormula>
    </tableColumn>
    <tableColumn id="6" xr3:uid="{CC4AB646-735F-425F-8528-C5EFE7FE11DC}" name="Avg P" dataDxfId="112">
      <calculatedColumnFormula>Table211[[#This Row],[Points]]/($AL$27-Table211[[#This Row],[Missed Games]])</calculatedColumnFormula>
    </tableColumn>
    <tableColumn id="7" xr3:uid="{F8D0247E-C6F7-467A-9F38-46084D44F8AB}" name="Avg F" dataDxfId="111">
      <calculatedColumnFormula>Table211[[#This Row],[Finishes]]/($AL$27-Table211[[#This Row],[Missed Games]])</calculatedColumnFormula>
    </tableColumn>
    <tableColumn id="8" xr3:uid="{7CCF1C77-9DB0-4EB2-B7D0-FD0BDBEBFA0E}" name="Avg M" dataDxfId="110">
      <calculatedColumnFormula>Table211[[#This Row],[Midranges]]/($AL$27-Table211[[#This Row],[Missed Games]])</calculatedColumnFormula>
    </tableColumn>
    <tableColumn id="9" xr3:uid="{582A1A4E-5383-4383-A480-735408867046}" name="Avg T" dataDxfId="109">
      <calculatedColumnFormula>Table211[[#This Row],[Threes]]/($AL$27-Table211[[#This Row],[Missed Games]])</calculatedColumnFormula>
    </tableColumn>
    <tableColumn id="10" xr3:uid="{E547AEB5-F9BA-4C5F-8DCE-34B6A8FF303A}" name="Missed Games" dataDxfId="108">
      <calculatedColumnFormula>COUNTIF('2310'!V3, TRUE)+COUNTIF('2410'!V3, TRUE)+COUNTIF('2510'!V3, 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47" dataDxfId="46">
  <autoFilter ref="AK88:AT10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Template!AC51</calculatedColumnFormula>
    </tableColumn>
    <tableColumn id="3" xr3:uid="{460771D3-3BD8-4DA3-AF1B-1A0F98EF1499}" name="Finishes" dataDxfId="43">
      <calculatedColumnFormula>Template!AD51</calculatedColumnFormula>
    </tableColumn>
    <tableColumn id="4" xr3:uid="{3C08B2D7-823D-49C3-A627-A5848E664B2F}" name="Midranges" dataDxfId="42">
      <calculatedColumnFormula>Template!AE51</calculatedColumnFormula>
    </tableColumn>
    <tableColumn id="5" xr3:uid="{E88F45FB-4C46-4674-86D5-74808E7E5368}" name="Threes" dataDxfId="41">
      <calculatedColumnFormula>Template!AF51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tabSelected="1" zoomScale="55" zoomScaleNormal="55" workbookViewId="0">
      <selection activeCell="B44" sqref="B44:B45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165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1" t="s">
        <v>25</v>
      </c>
      <c r="C3" s="135" t="s">
        <v>189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U3" t="s">
        <v>226</v>
      </c>
      <c r="V3" s="1" t="str">
        <f>IF(C3="Gentle, Men", $Y$3, IF(C3="Choc-Tops", $Y$4, IF(C3="Traffic Controllers", $Y$5, $Y$6)))</f>
        <v>../Images/GM_Final.png</v>
      </c>
      <c r="W3" s="1" t="str">
        <f t="shared" ref="W3:W18" si="0">Y$8&amp;Y10&amp;".png"</f>
        <v>../Images/Players/Jasper.png</v>
      </c>
      <c r="Y3" s="1" t="s">
        <v>192</v>
      </c>
    </row>
    <row r="4" spans="2:25" ht="14.25" customHeight="1" x14ac:dyDescent="0.45">
      <c r="B4" s="1" t="s">
        <v>26</v>
      </c>
      <c r="C4" s="117" t="s">
        <v>189</v>
      </c>
      <c r="D4" s="5">
        <f>'Stats Global'!AB9</f>
        <v>2.3333333333333335</v>
      </c>
      <c r="E4" s="1">
        <f>'Stats Global'!AA9</f>
        <v>7</v>
      </c>
      <c r="F4" s="5">
        <f>'Stats Global'!AD9</f>
        <v>0.66666666666666663</v>
      </c>
      <c r="G4" s="1">
        <f>'Stats Global'!AC9</f>
        <v>2</v>
      </c>
      <c r="H4" s="5">
        <f>'Stats Global'!AF9</f>
        <v>1.6666666666666667</v>
      </c>
      <c r="I4" s="1">
        <f>'Stats Global'!AE9</f>
        <v>5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186</v>
      </c>
      <c r="V4" s="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193</v>
      </c>
    </row>
    <row r="5" spans="2:25" ht="14.25" customHeight="1" x14ac:dyDescent="0.45">
      <c r="B5" s="1" t="s">
        <v>27</v>
      </c>
      <c r="C5" s="130" t="s">
        <v>189</v>
      </c>
      <c r="D5" s="5">
        <f>'Stats Global'!AB10</f>
        <v>4</v>
      </c>
      <c r="E5" s="1">
        <f>'Stats Global'!AA10</f>
        <v>4</v>
      </c>
      <c r="F5" s="5">
        <f>'Stats Global'!AD10</f>
        <v>4</v>
      </c>
      <c r="G5" s="1">
        <f>'Stats Global'!AC10</f>
        <v>4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2</v>
      </c>
      <c r="M5" s="1" t="s">
        <v>28</v>
      </c>
      <c r="N5" s="1" t="s">
        <v>29</v>
      </c>
      <c r="O5" t="s">
        <v>133</v>
      </c>
      <c r="P5" t="s">
        <v>134</v>
      </c>
      <c r="U5" t="s">
        <v>219</v>
      </c>
      <c r="V5" s="1" t="str">
        <f t="shared" si="1"/>
        <v>../Images/GM_Final.png</v>
      </c>
      <c r="W5" s="1" t="str">
        <f t="shared" si="0"/>
        <v>../Images/Players/Alex.png</v>
      </c>
      <c r="Y5" s="1" t="s">
        <v>194</v>
      </c>
    </row>
    <row r="6" spans="2:25" ht="14.25" customHeight="1" x14ac:dyDescent="0.45">
      <c r="B6" s="1" t="s">
        <v>30</v>
      </c>
      <c r="C6" s="119" t="s">
        <v>189</v>
      </c>
      <c r="D6" s="5">
        <f>'Stats Global'!AB11</f>
        <v>4.666666666666667</v>
      </c>
      <c r="E6" s="1">
        <f>'Stats Global'!AA11</f>
        <v>14</v>
      </c>
      <c r="F6" s="5">
        <f>'Stats Global'!AD11</f>
        <v>3.6666666666666665</v>
      </c>
      <c r="G6" s="1">
        <f>'Stats Global'!AC11</f>
        <v>11</v>
      </c>
      <c r="H6" s="5">
        <f>'Stats Global'!AF11</f>
        <v>0.33333333333333331</v>
      </c>
      <c r="I6" s="1">
        <f>'Stats Global'!AE11</f>
        <v>1</v>
      </c>
      <c r="J6" s="5">
        <f>'Stats Global'!AH11</f>
        <v>0.33333333333333331</v>
      </c>
      <c r="K6" s="1">
        <f>'Stats Global'!AG11</f>
        <v>1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133</v>
      </c>
      <c r="Q6" t="s">
        <v>134</v>
      </c>
      <c r="R6" t="s">
        <v>137</v>
      </c>
      <c r="S6" t="s">
        <v>35</v>
      </c>
      <c r="U6" t="s">
        <v>201</v>
      </c>
      <c r="V6" s="1" t="str">
        <f t="shared" si="1"/>
        <v>../Images/GM_Final.png</v>
      </c>
      <c r="W6" s="1" t="str">
        <f t="shared" si="0"/>
        <v>../Images/Players/Rudy.png</v>
      </c>
      <c r="Y6" s="1" t="s">
        <v>143</v>
      </c>
    </row>
    <row r="7" spans="2:25" ht="14.25" customHeight="1" x14ac:dyDescent="0.45">
      <c r="B7" s="1" t="s">
        <v>32</v>
      </c>
      <c r="C7" s="130" t="s">
        <v>191</v>
      </c>
      <c r="D7" s="5">
        <f>'Stats Global'!AB12</f>
        <v>1.3333333333333333</v>
      </c>
      <c r="E7" s="1">
        <f>'Stats Global'!AA12</f>
        <v>4</v>
      </c>
      <c r="F7" s="5">
        <f>'Stats Global'!AD12</f>
        <v>0.33333333333333331</v>
      </c>
      <c r="G7" s="1">
        <f>'Stats Global'!AC12</f>
        <v>1</v>
      </c>
      <c r="H7" s="5">
        <f>'Stats Global'!AF12</f>
        <v>0.33333333333333331</v>
      </c>
      <c r="I7" s="1">
        <f>'Stats Global'!AE12</f>
        <v>1</v>
      </c>
      <c r="J7" s="5">
        <f>'Stats Global'!AH12</f>
        <v>0.33333333333333331</v>
      </c>
      <c r="K7" s="1">
        <f>'Stats Global'!AG12</f>
        <v>1</v>
      </c>
      <c r="L7" s="13">
        <f>'Stats Global'!AJ12</f>
        <v>0</v>
      </c>
      <c r="M7" s="1" t="s">
        <v>33</v>
      </c>
      <c r="N7" s="1" t="s">
        <v>34</v>
      </c>
      <c r="O7" t="s">
        <v>133</v>
      </c>
      <c r="P7" t="s">
        <v>135</v>
      </c>
      <c r="U7" t="s">
        <v>220</v>
      </c>
      <c r="V7" s="1" t="str">
        <f t="shared" si="1"/>
        <v>../Images/CT_Final.png</v>
      </c>
      <c r="W7" s="1" t="str">
        <f t="shared" si="0"/>
        <v>../Images/Players/Michael.png</v>
      </c>
    </row>
    <row r="8" spans="2:25" ht="14.25" customHeight="1" x14ac:dyDescent="0.45">
      <c r="B8" s="1" t="s">
        <v>37</v>
      </c>
      <c r="C8" s="135" t="s">
        <v>190</v>
      </c>
      <c r="D8" s="5">
        <f>'Stats Global'!AB13</f>
        <v>0.33333333333333331</v>
      </c>
      <c r="E8" s="1">
        <f>'Stats Global'!AA13</f>
        <v>1</v>
      </c>
      <c r="F8" s="5">
        <f>'Stats Global'!AD13</f>
        <v>0</v>
      </c>
      <c r="G8" s="1">
        <f>'Stats Global'!AC13</f>
        <v>0</v>
      </c>
      <c r="H8" s="5">
        <f>'Stats Global'!AF13</f>
        <v>0.33333333333333331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136</v>
      </c>
      <c r="U8" t="s">
        <v>225</v>
      </c>
      <c r="V8" s="1" t="str">
        <f t="shared" si="1"/>
        <v>../Images/TC_Final.png</v>
      </c>
      <c r="W8" s="1" t="str">
        <f t="shared" si="0"/>
        <v>../Images/Players/Lukas.png</v>
      </c>
      <c r="Y8" s="1" t="s">
        <v>36</v>
      </c>
    </row>
    <row r="9" spans="2:25" ht="14.25" customHeight="1" x14ac:dyDescent="0.45">
      <c r="B9" t="s">
        <v>98</v>
      </c>
      <c r="C9" s="131" t="s">
        <v>191</v>
      </c>
      <c r="D9" s="5">
        <f>'Stats Global'!AB14</f>
        <v>1</v>
      </c>
      <c r="E9" s="1">
        <f>'Stats Global'!AA14</f>
        <v>3</v>
      </c>
      <c r="F9" s="5">
        <f>'Stats Global'!AD14</f>
        <v>0.66666666666666663</v>
      </c>
      <c r="G9" s="1">
        <f>'Stats Global'!AC14</f>
        <v>2</v>
      </c>
      <c r="H9" s="5">
        <f>'Stats Global'!AF14</f>
        <v>0.33333333333333331</v>
      </c>
      <c r="I9" s="1">
        <f>'Stats Global'!AE14</f>
        <v>1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162</v>
      </c>
      <c r="N9" t="s">
        <v>138</v>
      </c>
      <c r="U9" t="s">
        <v>223</v>
      </c>
      <c r="V9" s="1" t="str">
        <f t="shared" si="1"/>
        <v>../Images/CT_Final.png</v>
      </c>
      <c r="W9" s="1" t="str">
        <f t="shared" si="0"/>
        <v>../Images/Players/SamJ.png</v>
      </c>
    </row>
    <row r="10" spans="2:25" ht="14.25" customHeight="1" x14ac:dyDescent="0.45">
      <c r="B10" s="1" t="s">
        <v>39</v>
      </c>
      <c r="C10" s="117" t="s">
        <v>190</v>
      </c>
      <c r="D10" s="5">
        <f>'Stats Global'!AB15</f>
        <v>1.6666666666666667</v>
      </c>
      <c r="E10" s="1">
        <f>'Stats Global'!AA15</f>
        <v>5</v>
      </c>
      <c r="F10" s="5">
        <f>'Stats Global'!AD15</f>
        <v>0.66666666666666663</v>
      </c>
      <c r="G10" s="1">
        <f>'Stats Global'!AC15</f>
        <v>2</v>
      </c>
      <c r="H10" s="5">
        <f>'Stats Global'!AF15</f>
        <v>0.33333333333333331</v>
      </c>
      <c r="I10" s="1">
        <f>'Stats Global'!AE15</f>
        <v>1</v>
      </c>
      <c r="J10" s="5">
        <f>'Stats Global'!AH15</f>
        <v>0.33333333333333331</v>
      </c>
      <c r="K10" s="1">
        <f>'Stats Global'!AG15</f>
        <v>1</v>
      </c>
      <c r="L10" s="13">
        <f>'Stats Global'!AJ15</f>
        <v>0</v>
      </c>
      <c r="M10" t="s">
        <v>141</v>
      </c>
      <c r="N10" s="1" t="s">
        <v>29</v>
      </c>
      <c r="O10" s="1" t="s">
        <v>140</v>
      </c>
      <c r="P10" t="s">
        <v>132</v>
      </c>
      <c r="Q10" t="s">
        <v>136</v>
      </c>
      <c r="R10" t="s">
        <v>135</v>
      </c>
      <c r="S10" t="s">
        <v>138</v>
      </c>
      <c r="U10" t="s">
        <v>188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</row>
    <row r="11" spans="2:25" ht="14.25" customHeight="1" x14ac:dyDescent="0.45">
      <c r="B11" s="1" t="s">
        <v>41</v>
      </c>
      <c r="C11" s="130" t="s">
        <v>190</v>
      </c>
      <c r="D11" s="5">
        <f>'Stats Global'!AB16</f>
        <v>1.6666666666666667</v>
      </c>
      <c r="E11" s="1">
        <f>'Stats Global'!AA16</f>
        <v>5</v>
      </c>
      <c r="F11" s="5">
        <f>'Stats Global'!AD16</f>
        <v>0.66666666666666663</v>
      </c>
      <c r="G11" s="1">
        <f>'Stats Global'!AC16</f>
        <v>2</v>
      </c>
      <c r="H11" s="5">
        <f>'Stats Global'!AF16</f>
        <v>0.33333333333333331</v>
      </c>
      <c r="I11" s="1">
        <f>'Stats Global'!AE16</f>
        <v>1</v>
      </c>
      <c r="J11" s="5">
        <f>'Stats Global'!AH16</f>
        <v>0.33333333333333331</v>
      </c>
      <c r="K11" s="1">
        <f>'Stats Global'!AG16</f>
        <v>1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136</v>
      </c>
      <c r="Q11" t="s">
        <v>134</v>
      </c>
      <c r="R11" t="s">
        <v>138</v>
      </c>
      <c r="S11" t="s">
        <v>139</v>
      </c>
      <c r="U11" t="s">
        <v>222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</row>
    <row r="12" spans="2:25" ht="14.25" customHeight="1" x14ac:dyDescent="0.45">
      <c r="B12" s="1" t="s">
        <v>44</v>
      </c>
      <c r="C12" s="119" t="s">
        <v>190</v>
      </c>
      <c r="D12" s="5">
        <f>'Stats Global'!AB17</f>
        <v>2</v>
      </c>
      <c r="E12" s="1">
        <f>'Stats Global'!AA17</f>
        <v>6</v>
      </c>
      <c r="F12" s="5">
        <f>'Stats Global'!AD17</f>
        <v>0</v>
      </c>
      <c r="G12" s="1">
        <f>'Stats Global'!AC17</f>
        <v>0</v>
      </c>
      <c r="H12" s="5">
        <f>'Stats Global'!AF17</f>
        <v>2</v>
      </c>
      <c r="I12" s="1">
        <f>'Stats Global'!AE17</f>
        <v>6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133</v>
      </c>
      <c r="Q12" t="s">
        <v>134</v>
      </c>
      <c r="U12" t="s">
        <v>200</v>
      </c>
      <c r="V12" s="1" t="str">
        <f t="shared" si="1"/>
        <v>../Images/TC_Final.png</v>
      </c>
      <c r="W12" s="1" t="str">
        <f t="shared" si="0"/>
        <v>../Images/Players/SamM.png</v>
      </c>
      <c r="Y12" s="1" t="s">
        <v>45</v>
      </c>
    </row>
    <row r="13" spans="2:25" ht="14.25" customHeight="1" x14ac:dyDescent="0.45">
      <c r="B13" s="1" t="s">
        <v>46</v>
      </c>
      <c r="C13" s="117" t="s">
        <v>191</v>
      </c>
      <c r="D13" s="5">
        <f>'Stats Global'!AB18</f>
        <v>0.66666666666666663</v>
      </c>
      <c r="E13" s="1">
        <f>'Stats Global'!AA18</f>
        <v>2</v>
      </c>
      <c r="F13" s="5">
        <f>'Stats Global'!AD18</f>
        <v>0</v>
      </c>
      <c r="G13" s="1">
        <f>'Stats Global'!AC18</f>
        <v>0</v>
      </c>
      <c r="H13" s="5">
        <f>'Stats Global'!AF18</f>
        <v>0.66666666666666663</v>
      </c>
      <c r="I13" s="1">
        <f>'Stats Global'!AE18</f>
        <v>2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187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</row>
    <row r="14" spans="2:25" ht="14.25" customHeight="1" x14ac:dyDescent="0.45">
      <c r="B14" s="1" t="s">
        <v>158</v>
      </c>
      <c r="C14" s="94"/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Global'!AJ19</f>
        <v>3</v>
      </c>
      <c r="M14" t="s">
        <v>161</v>
      </c>
      <c r="N14" s="1"/>
      <c r="U14" t="s">
        <v>198</v>
      </c>
      <c r="V14" s="1" t="str">
        <f t="shared" si="1"/>
        <v>../Images/Logo.png</v>
      </c>
      <c r="W14" s="1" t="str">
        <f t="shared" si="0"/>
        <v>../Images/Players/Will.png</v>
      </c>
      <c r="Y14" s="1" t="s">
        <v>51</v>
      </c>
    </row>
    <row r="15" spans="2:25" ht="14.25" customHeight="1" x14ac:dyDescent="0.45">
      <c r="B15" s="1" t="s">
        <v>49</v>
      </c>
      <c r="C15" s="130" t="s">
        <v>191</v>
      </c>
      <c r="D15" s="5">
        <f>'Stats Global'!AB20</f>
        <v>0.33333333333333331</v>
      </c>
      <c r="E15" s="1">
        <f>'Stats Global'!AA20</f>
        <v>1</v>
      </c>
      <c r="F15" s="5">
        <f>'Stats Global'!AD20</f>
        <v>0.33333333333333331</v>
      </c>
      <c r="G15" s="1">
        <f>'Stats Global'!AC20</f>
        <v>1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" t="s">
        <v>50</v>
      </c>
      <c r="N15" s="1" t="s">
        <v>29</v>
      </c>
      <c r="O15" t="s">
        <v>130</v>
      </c>
      <c r="P15" t="s">
        <v>131</v>
      </c>
      <c r="Q15" t="s">
        <v>136</v>
      </c>
      <c r="R15" t="s">
        <v>135</v>
      </c>
      <c r="U15" t="s">
        <v>221</v>
      </c>
      <c r="V15" s="1" t="str">
        <f t="shared" si="1"/>
        <v>../Images/CT_Final.png</v>
      </c>
      <c r="W15" s="1" t="str">
        <f t="shared" si="0"/>
        <v>../Images/Players/Nick.png</v>
      </c>
      <c r="Y15" s="1" t="s">
        <v>54</v>
      </c>
    </row>
    <row r="16" spans="2:25" ht="14.25" customHeight="1" x14ac:dyDescent="0.45">
      <c r="B16" s="1" t="s">
        <v>52</v>
      </c>
      <c r="C16" s="135" t="s">
        <v>189</v>
      </c>
      <c r="D16" s="5">
        <f>'Stats Global'!AB21</f>
        <v>2</v>
      </c>
      <c r="E16" s="1">
        <f>'Stats Global'!AA21</f>
        <v>6</v>
      </c>
      <c r="F16" s="5">
        <f>'Stats Global'!AD21</f>
        <v>1.6666666666666667</v>
      </c>
      <c r="G16" s="1">
        <f>'Stats Global'!AC21</f>
        <v>5</v>
      </c>
      <c r="H16" s="5">
        <f>'Stats Global'!AF21</f>
        <v>0.33333333333333331</v>
      </c>
      <c r="I16" s="1">
        <f>'Stats Global'!AE21</f>
        <v>1</v>
      </c>
      <c r="J16" s="5">
        <f>'Stats Global'!AH21</f>
        <v>0</v>
      </c>
      <c r="K16" s="1">
        <f>'Stats Global'!AG21</f>
        <v>0</v>
      </c>
      <c r="L16" s="13">
        <f>'Stats Global'!AJ21</f>
        <v>0</v>
      </c>
      <c r="M16" s="1" t="s">
        <v>53</v>
      </c>
      <c r="N16" t="s">
        <v>127</v>
      </c>
      <c r="O16" t="s">
        <v>128</v>
      </c>
      <c r="P16" t="s">
        <v>136</v>
      </c>
      <c r="Q16" t="s">
        <v>135</v>
      </c>
      <c r="R16" t="s">
        <v>138</v>
      </c>
      <c r="U16" t="s">
        <v>228</v>
      </c>
      <c r="V16" s="1" t="str">
        <f t="shared" si="1"/>
        <v>../Images/GM_Final.png</v>
      </c>
      <c r="W16" s="1" t="str">
        <f t="shared" si="0"/>
        <v>../Images/Players/Chris.png</v>
      </c>
      <c r="Y16" t="s">
        <v>82</v>
      </c>
    </row>
    <row r="17" spans="2:25" ht="14.25" customHeight="1" x14ac:dyDescent="0.45">
      <c r="B17" s="1" t="s">
        <v>55</v>
      </c>
      <c r="C17" s="119" t="s">
        <v>191</v>
      </c>
      <c r="D17" s="5">
        <f>'Stats Global'!AB22</f>
        <v>0.66666666666666663</v>
      </c>
      <c r="E17" s="1">
        <f>'Stats Global'!AA22</f>
        <v>2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0.33333333333333331</v>
      </c>
      <c r="K17" s="1">
        <f>'Stats Global'!AG22</f>
        <v>1</v>
      </c>
      <c r="L17" s="13">
        <f>'Stats Global'!AJ22</f>
        <v>0</v>
      </c>
      <c r="M17" s="1" t="s">
        <v>142</v>
      </c>
      <c r="N17" s="1" t="s">
        <v>35</v>
      </c>
      <c r="O17" s="1" t="s">
        <v>31</v>
      </c>
      <c r="P17" s="1" t="s">
        <v>28</v>
      </c>
      <c r="Q17" s="1" t="s">
        <v>56</v>
      </c>
      <c r="R17" t="s">
        <v>133</v>
      </c>
      <c r="S17" t="s">
        <v>134</v>
      </c>
      <c r="T17" t="s">
        <v>138</v>
      </c>
      <c r="U17" t="s">
        <v>199</v>
      </c>
      <c r="V17" s="1" t="str">
        <f t="shared" si="1"/>
        <v>../Images/CT_Final.png</v>
      </c>
      <c r="W17" s="1" t="str">
        <f t="shared" si="0"/>
        <v>../Images/Players/Angus.png</v>
      </c>
      <c r="Y17" s="1" t="s">
        <v>57</v>
      </c>
    </row>
    <row r="18" spans="2:25" ht="14.25" customHeight="1" x14ac:dyDescent="0.45">
      <c r="B18" s="1" t="s">
        <v>218</v>
      </c>
      <c r="C18" s="135" t="s">
        <v>190</v>
      </c>
      <c r="D18" s="5">
        <f>'Stats Global'!AB23</f>
        <v>0.66666666666666663</v>
      </c>
      <c r="E18" s="1">
        <f>'Stats Global'!AA23</f>
        <v>2</v>
      </c>
      <c r="F18" s="5">
        <f>'Stats Global'!AD23</f>
        <v>0.66666666666666663</v>
      </c>
      <c r="G18" s="1">
        <f>'Stats Global'!AC23</f>
        <v>2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Global'!AJ23</f>
        <v>0</v>
      </c>
      <c r="M18" s="1" t="s">
        <v>58</v>
      </c>
      <c r="N18" s="1" t="s">
        <v>29</v>
      </c>
      <c r="O18" t="s">
        <v>129</v>
      </c>
      <c r="U18" t="s">
        <v>227</v>
      </c>
      <c r="V18" s="1" t="str">
        <f t="shared" si="1"/>
        <v>../Images/TC_Final.png</v>
      </c>
      <c r="W18" s="1" t="str">
        <f t="shared" si="0"/>
        <v>../Images/Players/Will.png</v>
      </c>
      <c r="Y18" s="1" t="s">
        <v>59</v>
      </c>
    </row>
    <row r="19" spans="2:25" ht="14.25" customHeight="1" x14ac:dyDescent="0.45">
      <c r="B19" s="1"/>
      <c r="C19" s="94"/>
      <c r="D19" s="5"/>
      <c r="E19" s="1"/>
      <c r="F19" s="5"/>
      <c r="G19" s="1"/>
      <c r="H19" s="5"/>
      <c r="I19" s="1"/>
      <c r="J19" s="5"/>
      <c r="K19" s="1"/>
      <c r="L19" s="13"/>
      <c r="U19" s="94"/>
      <c r="V19" s="1"/>
      <c r="W19" s="1"/>
      <c r="Y19" s="1" t="s">
        <v>60</v>
      </c>
    </row>
    <row r="20" spans="2:25" ht="14.25" customHeight="1" x14ac:dyDescent="0.45">
      <c r="B20" s="1"/>
      <c r="D20" s="12"/>
      <c r="F20" s="12"/>
      <c r="H20" s="12"/>
      <c r="J20" s="12"/>
      <c r="Y20" s="1" t="s">
        <v>61</v>
      </c>
    </row>
    <row r="21" spans="2:25" ht="14.25" customHeight="1" x14ac:dyDescent="0.45">
      <c r="Y21" t="s">
        <v>160</v>
      </c>
    </row>
    <row r="22" spans="2:25" ht="14.25" customHeight="1" x14ac:dyDescent="0.9">
      <c r="B22" s="134" t="s">
        <v>102</v>
      </c>
      <c r="C22" s="134"/>
      <c r="D22" s="69"/>
      <c r="Y22" s="1" t="s">
        <v>62</v>
      </c>
    </row>
    <row r="23" spans="2:25" ht="14.25" customHeight="1" x14ac:dyDescent="0.9">
      <c r="B23" s="134"/>
      <c r="C23" s="134"/>
      <c r="D23" s="69"/>
      <c r="Y23" s="1" t="s">
        <v>63</v>
      </c>
    </row>
    <row r="24" spans="2:25" ht="14.25" customHeight="1" x14ac:dyDescent="0.9">
      <c r="C24" s="33"/>
      <c r="D24" s="33"/>
      <c r="Y24" s="1" t="s">
        <v>65</v>
      </c>
    </row>
    <row r="25" spans="2:25" ht="14.25" customHeight="1" x14ac:dyDescent="0.9">
      <c r="B25" s="12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 Weekes"],</v>
      </c>
      <c r="F25" s="33"/>
      <c r="G25" s="12"/>
      <c r="H25" s="12"/>
      <c r="I25" s="12"/>
      <c r="J25" s="12"/>
      <c r="K25" s="12"/>
      <c r="Y25" s="1" t="s">
        <v>160</v>
      </c>
    </row>
    <row r="26" spans="2:25" ht="14.25" customHeight="1" x14ac:dyDescent="0.9">
      <c r="B26" s="12" t="str">
        <f>C49&amp;":["&amp;C50&amp;C51&amp;C52&amp;C53&amp;C54&amp;C55&amp;C56&amp;C57&amp;C58&amp;C59&amp;C60&amp;C61&amp;C62&amp;C63&amp;C64&amp;C65&amp;"],"</f>
        <v>"Team":["Gentle, Men","Gentle, Men","Gentle, Men","Gentle, Men","Choc-Tops","Traffic Controllers","Choc-Tops","Traffic Controllers","Traffic Controllers","Traffic Controllers","Choc-Tops","","Choc-Tops","Gentle, Men","Choc-Tops","Traffic Controllers"],</v>
      </c>
      <c r="F26" s="33"/>
      <c r="Y26" s="1"/>
    </row>
    <row r="27" spans="2:25" ht="14.25" customHeight="1" x14ac:dyDescent="0.45">
      <c r="B27" s="12" t="str">
        <f>D49&amp;":["&amp;D50&amp;D51&amp;D52&amp;D53&amp;D54&amp;D55&amp;D56&amp;D57&amp;D58&amp;D59&amp;D60&amp;D61&amp;D62&amp;D63&amp;D64&amp;D65&amp;"],"</f>
        <v>"PPG":[0,2.33,4,4.67,1.33,0.33,1,1.67,1.67,2,0.67,0,0.33,2,0.67,0.67],</v>
      </c>
    </row>
    <row r="28" spans="2:25" ht="14.25" customHeight="1" x14ac:dyDescent="0.45">
      <c r="B28" t="str">
        <f>E49&amp;":["&amp;E50&amp;E51&amp;E52&amp;E53&amp;E54&amp;E55&amp;E56&amp;E57&amp;E58&amp;E59&amp;E60&amp;E61&amp;E62&amp;E63&amp;E64&amp;E65&amp;"],"</f>
        <v>"TP":[0,7,4,14,4,1,3,5,5,6,2,0,1,6,2,2],</v>
      </c>
    </row>
    <row r="29" spans="2:25" ht="14.25" customHeight="1" x14ac:dyDescent="0.45">
      <c r="B29" t="str">
        <f>F49&amp;":["&amp;F50&amp;F51&amp;F52&amp;F53&amp;F54&amp;F55&amp;F56&amp;F57&amp;F58&amp;F59&amp;F60&amp;F61&amp;F62&amp;F63&amp;F64&amp;F65&amp;"],"</f>
        <v>"FPG":[0,0.67,4,3.67,0.33,0,0.67,0.67,0.67,0,0,0,0.33,1.67,0,0.67],</v>
      </c>
    </row>
    <row r="30" spans="2:25" ht="14.25" customHeight="1" x14ac:dyDescent="0.45">
      <c r="B30" t="str">
        <f>G49&amp;":["&amp;G50&amp;G51&amp;G52&amp;G53&amp;G54&amp;G55&amp;G56&amp;G57&amp;G58&amp;G59&amp;G60&amp;G61&amp;G62&amp;G63&amp;G64&amp;G65&amp;"],"</f>
        <v>"TF":[0,2,4,11,1,0,2,2,2,0,0,0,1,5,0,2],</v>
      </c>
    </row>
    <row r="31" spans="2:25" ht="14.25" customHeight="1" x14ac:dyDescent="0.45">
      <c r="B31" t="str">
        <f>H49&amp;":["&amp;H50&amp;H51&amp;H52&amp;H53&amp;H54&amp;H55&amp;H56&amp;H57&amp;H58&amp;H59&amp;H60&amp;H61&amp;H62&amp;H63&amp;H64&amp;H65&amp;"],"</f>
        <v>"MPG":[0,1.67,0,0.33,0.33,0.33,0.33,0.33,0.33,2,0.67,0,0,0.33,0,0],</v>
      </c>
    </row>
    <row r="32" spans="2:25" ht="14.25" customHeight="1" x14ac:dyDescent="0.45">
      <c r="B32" t="str">
        <f>I49&amp;":["&amp;I50&amp;I51&amp;I52&amp;I53&amp;I54&amp;I55&amp;I56&amp;I57&amp;I58&amp;I59&amp;I60&amp;I61&amp;I62&amp;I63&amp;I64&amp;I65&amp;"],"</f>
        <v>"TM":[0,5,0,1,1,1,1,1,1,6,2,0,0,1,0,0],</v>
      </c>
    </row>
    <row r="33" spans="2:2" ht="14.25" customHeight="1" x14ac:dyDescent="0.45">
      <c r="B33" t="str">
        <f>J49&amp;":["&amp;J50&amp;J51&amp;J52&amp;J53&amp;J54&amp;J55&amp;J56&amp;J57&amp;J58&amp;J59&amp;J60&amp;J61&amp;J62&amp;J63&amp;J64&amp;J65&amp;"],"</f>
        <v>"TPG":[0,0,0,0.33,0.33,0,0,0.33,0.33,0,0,0,0,0,0.33,0],</v>
      </c>
    </row>
    <row r="34" spans="2:2" ht="14.25" customHeight="1" x14ac:dyDescent="0.45">
      <c r="B34" t="str">
        <f>K49&amp;":["&amp;K50&amp;K51&amp;K52&amp;K53&amp;K54&amp;K55&amp;K56&amp;K57&amp;K58&amp;K59&amp;K60&amp;K61&amp;K62&amp;K63&amp;K64&amp;K65&amp;"],"</f>
        <v>"TT":[0,0,0,1,1,0,0,1,1,0,0,0,0,0,1,0],</v>
      </c>
    </row>
    <row r="35" spans="2:2" ht="14.25" customHeight="1" x14ac:dyDescent="0.45">
      <c r="B35" t="str">
        <f>L49&amp;":["&amp;L50&amp;L51&amp;L52&amp;L53&amp;L54&amp;L55&amp;L56&amp;L57&amp;L58&amp;L59&amp;L60&amp;L61&amp;L62&amp;L63&amp;L64&amp;L65&amp;"],"</f>
        <v>"Missed":[0,0,2,0,0,0,0,0,0,0,0,3,0,0,0,0],</v>
      </c>
    </row>
    <row r="36" spans="2:2" ht="14.25" customHeight="1" x14ac:dyDescent="0.45">
      <c r="B3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</row>
    <row r="37" spans="2:2" ht="14.25" customHeight="1" x14ac:dyDescent="0.45">
      <c r="B37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</row>
    <row r="38" spans="2:2" ht="14.25" customHeight="1" x14ac:dyDescent="0.45">
      <c r="B38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</row>
    <row r="39" spans="2:2" ht="14.25" customHeight="1" x14ac:dyDescent="0.45">
      <c r="B39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</row>
    <row r="40" spans="2:2" ht="14.25" customHeight="1" x14ac:dyDescent="0.45">
      <c r="B4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</row>
    <row r="41" spans="2:2" ht="14.25" customHeight="1" x14ac:dyDescent="0.45">
      <c r="B41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</row>
    <row r="42" spans="2:2" ht="14.25" customHeight="1" x14ac:dyDescent="0.45">
      <c r="B42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</row>
    <row r="43" spans="2:2" ht="14.25" customHeight="1" x14ac:dyDescent="0.45">
      <c r="B43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</row>
    <row r="44" spans="2:2" ht="14.25" customHeight="1" x14ac:dyDescent="0.45">
      <c r="B44" t="str">
        <f>U49&amp;":["&amp;U50&amp;U51&amp;U52&amp;U53&amp;U54&amp;U55&amp;U56&amp;U57&amp;U58&amp;U59&amp;U60&amp;U61&amp;U62&amp;U63&amp;U64&amp;U65&amp;"],"</f>
        <v>"History":["Drafted by Choc-Tops. Traded to Traffic Controllers. Traded to Gentle-Men","GM of Gentle, Men","Drafted by Traffic Controllers. Traded to Gentle, Men.","Drafted by Gentle, Men","Drafted by Gentle, Men. Traded to Choc-Tops.","Drafted by Gentle, Men. Traded to Choc-Tops. Traded to Traffic Controllers. Traded to Gentle, Men. Traded to Traffic Controllers","Drafted by Traffic Controllers. Traded to Choc-Tops.","GM of Traffic Controllers","Drafted by Traffic Controllers. Traded to Choc-Tops. Traded to Traffic Controllers.","Drafted by Traffic Controllers","GM of Choc-Tops","Unsigned","Drafted by Choc-Tops. Traded to Traffic Controllers. Traded to Choc-Tops","Drafted by Choc-Tops. Traded to Gentle, Men. Traded to Traffic Controllers. Traded to Gentle, Men.","Drafted by Choc-Tops","Drafted by Gentle, Men. Traded to Traffic Controllers"],</v>
      </c>
    </row>
    <row r="45" spans="2:2" ht="14.25" customHeight="1" x14ac:dyDescent="0.45">
      <c r="B45" t="str">
        <f>V49&amp;":["&amp;V50&amp;V51&amp;V52&amp;V53&amp;V54&amp;V55&amp;V56&amp;V57&amp;V58&amp;V59&amp;V60&amp;V61&amp;V62&amp;V63&amp;V64&amp;V65&amp;"],"</f>
        <v>"TeamImage":["../Images/GM_Final.png","../Images/GM_Final.png","../Images/GM_Final.png","../Images/GM_Final.png","../Images/CT_Final.png","../Images/TC_Final.png","../Images/CT_Final.png","../Images/TC_Final.png","../Images/TC_Final.png","../Images/TC_Final.png","../Images/CT_Final.png","../Images/Logo.png","../Images/CT_Final.png","../Images/GM_Final.png","../Images/CT_Final.png","../Images/TC_Final.png"],</v>
      </c>
    </row>
    <row r="46" spans="2:2" ht="14.25" customHeight="1" x14ac:dyDescent="0.45">
      <c r="B4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.png"],</v>
      </c>
    </row>
    <row r="47" spans="2:2" ht="14.25" customHeight="1" x14ac:dyDescent="0.45"/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2">CHAR(34)&amp;M2&amp;CHAR(34)</f>
        <v>"AccoladesOne"</v>
      </c>
      <c r="N49" s="12" t="str">
        <f t="shared" si="2"/>
        <v>"AccoladesTwo"</v>
      </c>
      <c r="O49" s="12" t="str">
        <f t="shared" si="2"/>
        <v>"AccoladesThree"</v>
      </c>
      <c r="P49" s="12" t="str">
        <f t="shared" si="2"/>
        <v>"AccoladesFour"</v>
      </c>
      <c r="Q49" s="12" t="str">
        <f t="shared" si="2"/>
        <v>"AccoladesFive"</v>
      </c>
      <c r="R49" s="12" t="str">
        <f t="shared" si="2"/>
        <v>"AccoladesSix"</v>
      </c>
      <c r="S49" s="12" t="str">
        <f t="shared" si="2"/>
        <v>"AccoladesSeven"</v>
      </c>
      <c r="T49" s="12" t="str">
        <f t="shared" si="2"/>
        <v>"AccoladesEight"</v>
      </c>
      <c r="U49" s="12" t="str">
        <f t="shared" si="2"/>
        <v>"History"</v>
      </c>
      <c r="V49" s="12" t="str">
        <f t="shared" si="2"/>
        <v>"TeamImage"</v>
      </c>
      <c r="W49" s="12" t="str">
        <f t="shared" si="2"/>
        <v>"PlayerImage"</v>
      </c>
    </row>
    <row r="50" spans="2:23" ht="14.25" customHeight="1" x14ac:dyDescent="0.45">
      <c r="B50" s="12" t="str">
        <f t="shared" ref="B50:C64" si="3">CHAR(34)&amp;B3&amp;CHAR(34)&amp;","</f>
        <v>"Jasper Collier",</v>
      </c>
      <c r="C50" s="12" t="str">
        <f t="shared" si="3"/>
        <v>"Gentle, Men",</v>
      </c>
      <c r="D50" s="12" t="str">
        <f t="shared" ref="D50:D64" si="4">ROUND(D3,2)&amp;","</f>
        <v>0,</v>
      </c>
      <c r="E50" s="12" t="str">
        <f t="shared" ref="E50:E64" si="5">E3&amp;","</f>
        <v>0,</v>
      </c>
      <c r="F50" s="12" t="str">
        <f t="shared" ref="F50:F64" si="6">ROUND(F3,2)&amp;","</f>
        <v>0,</v>
      </c>
      <c r="G50" s="12" t="str">
        <f t="shared" ref="G50:G64" si="7">G3&amp;","</f>
        <v>0,</v>
      </c>
      <c r="H50" s="12" t="str">
        <f t="shared" ref="H50:H64" si="8">ROUND(H3,2)&amp;","</f>
        <v>0,</v>
      </c>
      <c r="I50" s="12" t="str">
        <f t="shared" ref="I50:I64" si="9">I3&amp;","</f>
        <v>0,</v>
      </c>
      <c r="J50" s="12" t="str">
        <f t="shared" ref="J50:J64" si="10">ROUND(J3,2)&amp;","</f>
        <v>0,</v>
      </c>
      <c r="K50" s="12" t="str">
        <f t="shared" ref="K50:L64" si="11">K3&amp;","</f>
        <v>0,</v>
      </c>
      <c r="L50" s="12" t="str">
        <f t="shared" si="11"/>
        <v>0,</v>
      </c>
      <c r="M50" s="12" t="str">
        <f t="shared" ref="M50:W50" si="12">CHAR(34)&amp;M3&amp;CHAR(34)&amp;","</f>
        <v>"",</v>
      </c>
      <c r="N50" s="12" t="str">
        <f t="shared" si="12"/>
        <v>"",</v>
      </c>
      <c r="O50" s="12" t="str">
        <f t="shared" si="12"/>
        <v>"",</v>
      </c>
      <c r="P50" s="12" t="str">
        <f t="shared" si="12"/>
        <v>"",</v>
      </c>
      <c r="Q50" s="12" t="str">
        <f t="shared" si="12"/>
        <v>"",</v>
      </c>
      <c r="R50" s="12" t="str">
        <f t="shared" si="12"/>
        <v>"",</v>
      </c>
      <c r="S50" s="12" t="str">
        <f t="shared" si="12"/>
        <v>"",</v>
      </c>
      <c r="T50" s="12" t="str">
        <f t="shared" si="12"/>
        <v>"",</v>
      </c>
      <c r="U50" s="12" t="str">
        <f t="shared" si="12"/>
        <v>"Drafted by Choc-Tops. Traded to Traffic Controllers. Traded to Gentle-Men",</v>
      </c>
      <c r="V50" s="12" t="str">
        <f t="shared" si="12"/>
        <v>"../Images/GM_Final.png",</v>
      </c>
      <c r="W50" s="12" t="str">
        <f t="shared" si="12"/>
        <v>"../Images/Players/Jasper.png",</v>
      </c>
    </row>
    <row r="51" spans="2:23" ht="14.25" customHeight="1" x14ac:dyDescent="0.45">
      <c r="B51" s="12" t="str">
        <f t="shared" si="3"/>
        <v>"Conor Farrington",</v>
      </c>
      <c r="C51" s="12" t="str">
        <f t="shared" si="3"/>
        <v>"Gentle, Men",</v>
      </c>
      <c r="D51" s="12" t="str">
        <f t="shared" si="4"/>
        <v>2.33,</v>
      </c>
      <c r="E51" s="12" t="str">
        <f t="shared" si="5"/>
        <v>7,</v>
      </c>
      <c r="F51" s="12" t="str">
        <f t="shared" si="6"/>
        <v>0.67,</v>
      </c>
      <c r="G51" s="12" t="str">
        <f t="shared" si="7"/>
        <v>2,</v>
      </c>
      <c r="H51" s="12" t="str">
        <f t="shared" si="8"/>
        <v>1.67,</v>
      </c>
      <c r="I51" s="12" t="str">
        <f t="shared" si="9"/>
        <v>5,</v>
      </c>
      <c r="J51" s="12" t="str">
        <f t="shared" si="10"/>
        <v>0,</v>
      </c>
      <c r="K51" s="12" t="str">
        <f t="shared" si="11"/>
        <v>0,</v>
      </c>
      <c r="L51" s="12" t="str">
        <f t="shared" si="11"/>
        <v>0,</v>
      </c>
      <c r="M51" s="12" t="str">
        <f t="shared" ref="M51:W51" si="13">CHAR(34)&amp;M4&amp;CHAR(34)&amp;","</f>
        <v>"",</v>
      </c>
      <c r="N51" s="12" t="str">
        <f t="shared" si="13"/>
        <v>"",</v>
      </c>
      <c r="O51" s="12" t="str">
        <f t="shared" si="13"/>
        <v>"",</v>
      </c>
      <c r="P51" s="12" t="str">
        <f t="shared" si="13"/>
        <v>"",</v>
      </c>
      <c r="Q51" s="12" t="str">
        <f t="shared" si="13"/>
        <v>"",</v>
      </c>
      <c r="R51" s="12" t="str">
        <f t="shared" si="13"/>
        <v>"",</v>
      </c>
      <c r="S51" s="12" t="str">
        <f t="shared" si="13"/>
        <v>"",</v>
      </c>
      <c r="T51" s="12" t="str">
        <f t="shared" si="13"/>
        <v>"",</v>
      </c>
      <c r="U51" s="12" t="str">
        <f t="shared" si="13"/>
        <v>"GM of Gentle, Men",</v>
      </c>
      <c r="V51" s="12" t="str">
        <f t="shared" si="13"/>
        <v>"../Images/GM_Final.png",</v>
      </c>
      <c r="W51" s="12" t="str">
        <f t="shared" si="13"/>
        <v>"../Images/Players/Conor.png",</v>
      </c>
    </row>
    <row r="52" spans="2:23" ht="14.25" customHeight="1" x14ac:dyDescent="0.45">
      <c r="B52" s="12" t="str">
        <f t="shared" si="3"/>
        <v>"Alexander Galt",</v>
      </c>
      <c r="C52" s="12" t="str">
        <f t="shared" si="3"/>
        <v>"Gentle, Men",</v>
      </c>
      <c r="D52" s="12" t="str">
        <f t="shared" si="4"/>
        <v>4,</v>
      </c>
      <c r="E52" s="12" t="str">
        <f t="shared" si="5"/>
        <v>4,</v>
      </c>
      <c r="F52" s="12" t="str">
        <f t="shared" si="6"/>
        <v>4,</v>
      </c>
      <c r="G52" s="12" t="str">
        <f t="shared" si="7"/>
        <v>4,</v>
      </c>
      <c r="H52" s="12" t="str">
        <f t="shared" si="8"/>
        <v>0,</v>
      </c>
      <c r="I52" s="12" t="str">
        <f t="shared" si="9"/>
        <v>0,</v>
      </c>
      <c r="J52" s="12" t="str">
        <f t="shared" si="10"/>
        <v>0,</v>
      </c>
      <c r="K52" s="12" t="str">
        <f t="shared" si="11"/>
        <v>0,</v>
      </c>
      <c r="L52" s="12" t="str">
        <f t="shared" si="11"/>
        <v>2,</v>
      </c>
      <c r="M52" s="12" t="str">
        <f t="shared" ref="M52:W52" si="14">CHAR(34)&amp;M5&amp;CHAR(34)&amp;","</f>
        <v>"All-Defence Team T1",</v>
      </c>
      <c r="N52" s="12" t="str">
        <f t="shared" si="14"/>
        <v>"Champion T1",</v>
      </c>
      <c r="O52" s="12" t="str">
        <f t="shared" si="14"/>
        <v>"All-Offence Team T2",</v>
      </c>
      <c r="P52" s="12" t="str">
        <f t="shared" si="14"/>
        <v>"All-Defence Team T2",</v>
      </c>
      <c r="Q52" s="12" t="str">
        <f t="shared" si="14"/>
        <v>"",</v>
      </c>
      <c r="R52" s="12" t="str">
        <f t="shared" si="14"/>
        <v>"",</v>
      </c>
      <c r="S52" s="12" t="str">
        <f t="shared" si="14"/>
        <v>"",</v>
      </c>
      <c r="T52" s="12" t="str">
        <f t="shared" si="14"/>
        <v>"",</v>
      </c>
      <c r="U52" s="12" t="str">
        <f t="shared" si="14"/>
        <v>"Drafted by Traffic Controllers. Traded to Gentle, Men.",</v>
      </c>
      <c r="V52" s="12" t="str">
        <f t="shared" si="14"/>
        <v>"../Images/GM_Final.png",</v>
      </c>
      <c r="W52" s="12" t="str">
        <f t="shared" si="14"/>
        <v>"../Images/Players/Alex.png",</v>
      </c>
    </row>
    <row r="53" spans="2:23" ht="14.25" customHeight="1" x14ac:dyDescent="0.45">
      <c r="B53" s="12" t="str">
        <f t="shared" si="3"/>
        <v>"Rudy Hoschke",</v>
      </c>
      <c r="C53" s="12" t="str">
        <f t="shared" si="3"/>
        <v>"Gentle, Men",</v>
      </c>
      <c r="D53" s="12" t="str">
        <f t="shared" si="4"/>
        <v>4.67,</v>
      </c>
      <c r="E53" s="12" t="str">
        <f t="shared" si="5"/>
        <v>14,</v>
      </c>
      <c r="F53" s="12" t="str">
        <f t="shared" si="6"/>
        <v>3.67,</v>
      </c>
      <c r="G53" s="12" t="str">
        <f t="shared" si="7"/>
        <v>11,</v>
      </c>
      <c r="H53" s="12" t="str">
        <f t="shared" si="8"/>
        <v>0.33,</v>
      </c>
      <c r="I53" s="12" t="str">
        <f t="shared" si="9"/>
        <v>1,</v>
      </c>
      <c r="J53" s="12" t="str">
        <f t="shared" si="10"/>
        <v>0.33,</v>
      </c>
      <c r="K53" s="12" t="str">
        <f t="shared" si="11"/>
        <v>1,</v>
      </c>
      <c r="L53" s="12" t="str">
        <f t="shared" si="11"/>
        <v>0,</v>
      </c>
      <c r="M53" s="12" t="str">
        <f t="shared" ref="M53:W53" si="15">CHAR(34)&amp;M6&amp;CHAR(34)&amp;","</f>
        <v>"All-Offence Team T1",</v>
      </c>
      <c r="N53" s="12" t="str">
        <f t="shared" si="15"/>
        <v>"All-Defence Team T1",</v>
      </c>
      <c r="O53" s="12" t="str">
        <f t="shared" si="15"/>
        <v>"Champion T1",</v>
      </c>
      <c r="P53" s="12" t="str">
        <f t="shared" si="15"/>
        <v>"All-Offence Team T2",</v>
      </c>
      <c r="Q53" s="12" t="str">
        <f t="shared" si="15"/>
        <v>"All-Defence Team T2",</v>
      </c>
      <c r="R53" s="12" t="str">
        <f t="shared" si="15"/>
        <v>"Scoring Champ T2",</v>
      </c>
      <c r="S53" s="12" t="str">
        <f t="shared" si="15"/>
        <v>"GM",</v>
      </c>
      <c r="T53" s="12" t="str">
        <f t="shared" si="15"/>
        <v>"",</v>
      </c>
      <c r="U53" s="12" t="str">
        <f t="shared" si="15"/>
        <v>"Drafted by Gentle, Men",</v>
      </c>
      <c r="V53" s="12" t="str">
        <f t="shared" si="15"/>
        <v>"../Images/GM_Final.png",</v>
      </c>
      <c r="W53" s="12" t="str">
        <f t="shared" si="15"/>
        <v>"../Images/Players/Rudy.png",</v>
      </c>
    </row>
    <row r="54" spans="2:23" ht="14.25" customHeight="1" x14ac:dyDescent="0.45">
      <c r="B54" s="12" t="str">
        <f t="shared" si="3"/>
        <v>"Michael Iffland",</v>
      </c>
      <c r="C54" s="12" t="str">
        <f t="shared" si="3"/>
        <v>"Choc-Tops",</v>
      </c>
      <c r="D54" s="12" t="str">
        <f t="shared" si="4"/>
        <v>1.33,</v>
      </c>
      <c r="E54" s="12" t="str">
        <f t="shared" si="5"/>
        <v>4,</v>
      </c>
      <c r="F54" s="12" t="str">
        <f t="shared" si="6"/>
        <v>0.33,</v>
      </c>
      <c r="G54" s="12" t="str">
        <f t="shared" si="7"/>
        <v>1,</v>
      </c>
      <c r="H54" s="12" t="str">
        <f t="shared" si="8"/>
        <v>0.33,</v>
      </c>
      <c r="I54" s="12" t="str">
        <f t="shared" si="9"/>
        <v>1,</v>
      </c>
      <c r="J54" s="12" t="str">
        <f t="shared" si="10"/>
        <v>0.33,</v>
      </c>
      <c r="K54" s="12" t="str">
        <f t="shared" si="11"/>
        <v>1,</v>
      </c>
      <c r="L54" s="12" t="str">
        <f t="shared" si="11"/>
        <v>0,</v>
      </c>
      <c r="M54" s="12" t="str">
        <f t="shared" ref="M54:W54" si="16">CHAR(34)&amp;M7&amp;CHAR(34)&amp;","</f>
        <v>"Playmaker T1",</v>
      </c>
      <c r="N54" s="12" t="str">
        <f t="shared" si="16"/>
        <v>"Thirdman T1",</v>
      </c>
      <c r="O54" s="12" t="str">
        <f t="shared" si="16"/>
        <v>"All-Offence Team T2",</v>
      </c>
      <c r="P54" s="12" t="str">
        <f t="shared" si="16"/>
        <v>"All-2nd-Defence Team T2",</v>
      </c>
      <c r="Q54" s="12" t="str">
        <f t="shared" si="16"/>
        <v>"",</v>
      </c>
      <c r="R54" s="12" t="str">
        <f t="shared" si="16"/>
        <v>"",</v>
      </c>
      <c r="S54" s="12" t="str">
        <f t="shared" si="16"/>
        <v>"",</v>
      </c>
      <c r="T54" s="12" t="str">
        <f t="shared" si="16"/>
        <v>"",</v>
      </c>
      <c r="U54" s="12" t="str">
        <f t="shared" si="16"/>
        <v>"Drafted by Gentle, Men. Traded to Choc-Tops.",</v>
      </c>
      <c r="V54" s="12" t="str">
        <f t="shared" si="16"/>
        <v>"../Images/CT_Final.png",</v>
      </c>
      <c r="W54" s="12" t="str">
        <f t="shared" si="16"/>
        <v>"../Images/Players/Michael.png",</v>
      </c>
    </row>
    <row r="55" spans="2:23" ht="14.25" customHeight="1" x14ac:dyDescent="0.45">
      <c r="B55" s="12" t="str">
        <f t="shared" si="3"/>
        <v>"Lukas Johnston",</v>
      </c>
      <c r="C55" s="12" t="str">
        <f t="shared" si="3"/>
        <v>"Traffic Controllers",</v>
      </c>
      <c r="D55" s="12" t="str">
        <f t="shared" si="4"/>
        <v>0.33,</v>
      </c>
      <c r="E55" s="12" t="str">
        <f t="shared" si="5"/>
        <v>1,</v>
      </c>
      <c r="F55" s="12" t="str">
        <f t="shared" si="6"/>
        <v>0,</v>
      </c>
      <c r="G55" s="12" t="str">
        <f t="shared" si="7"/>
        <v>0,</v>
      </c>
      <c r="H55" s="12" t="str">
        <f t="shared" si="8"/>
        <v>0.33,</v>
      </c>
      <c r="I55" s="12" t="str">
        <f t="shared" si="9"/>
        <v>1,</v>
      </c>
      <c r="J55" s="12" t="str">
        <f t="shared" si="10"/>
        <v>0,</v>
      </c>
      <c r="K55" s="12" t="str">
        <f t="shared" si="11"/>
        <v>0,</v>
      </c>
      <c r="L55" s="12" t="str">
        <f t="shared" si="11"/>
        <v>0,</v>
      </c>
      <c r="M55" s="12" t="str">
        <f t="shared" ref="M55:W55" si="17">CHAR(34)&amp;M8&amp;CHAR(34)&amp;","</f>
        <v>"MVP Runner Up T1",</v>
      </c>
      <c r="N55" s="12" t="str">
        <f t="shared" si="17"/>
        <v>"All-Offence Team T1",</v>
      </c>
      <c r="O55" s="12" t="str">
        <f t="shared" si="17"/>
        <v>"All-2nd-Offence Team T2",</v>
      </c>
      <c r="P55" s="12" t="str">
        <f t="shared" si="17"/>
        <v>"",</v>
      </c>
      <c r="Q55" s="12" t="str">
        <f t="shared" si="17"/>
        <v>"",</v>
      </c>
      <c r="R55" s="12" t="str">
        <f t="shared" si="17"/>
        <v>"",</v>
      </c>
      <c r="S55" s="12" t="str">
        <f t="shared" si="17"/>
        <v>"",</v>
      </c>
      <c r="T55" s="12" t="str">
        <f t="shared" si="17"/>
        <v>"",</v>
      </c>
      <c r="U55" s="12" t="str">
        <f t="shared" si="17"/>
        <v>"Drafted by Gentle, Men. Traded to Choc-Tops. Traded to Traffic Controllers. Traded to Gentle, Men. Traded to Traffic Controllers",</v>
      </c>
      <c r="V55" s="12" t="str">
        <f t="shared" si="17"/>
        <v>"../Images/TC_Final.png",</v>
      </c>
      <c r="W55" s="12" t="str">
        <f t="shared" si="17"/>
        <v>"../Images/Players/Lukas.png",</v>
      </c>
    </row>
    <row r="56" spans="2:23" ht="14.25" customHeight="1" x14ac:dyDescent="0.45">
      <c r="B56" s="12" t="str">
        <f t="shared" si="3"/>
        <v>"Sam James",</v>
      </c>
      <c r="C56" s="12" t="str">
        <f t="shared" si="3"/>
        <v>"Choc-Tops",</v>
      </c>
      <c r="D56" s="12" t="str">
        <f t="shared" si="4"/>
        <v>1,</v>
      </c>
      <c r="E56" s="12" t="str">
        <f t="shared" si="5"/>
        <v>3,</v>
      </c>
      <c r="F56" s="12" t="str">
        <f t="shared" si="6"/>
        <v>0.67,</v>
      </c>
      <c r="G56" s="12" t="str">
        <f t="shared" si="7"/>
        <v>2,</v>
      </c>
      <c r="H56" s="12" t="str">
        <f t="shared" si="8"/>
        <v>0.33,</v>
      </c>
      <c r="I56" s="12" t="str">
        <f t="shared" si="9"/>
        <v>1,</v>
      </c>
      <c r="J56" s="12" t="str">
        <f t="shared" si="10"/>
        <v>0,</v>
      </c>
      <c r="K56" s="12" t="str">
        <f t="shared" si="11"/>
        <v>0,</v>
      </c>
      <c r="L56" s="12" t="str">
        <f t="shared" si="11"/>
        <v>0,</v>
      </c>
      <c r="M56" s="12" t="str">
        <f t="shared" ref="M56:W56" si="18">CHAR(34)&amp;M9&amp;CHAR(34)&amp;","</f>
        <v>"Miles Morales",</v>
      </c>
      <c r="N56" s="12" t="str">
        <f t="shared" si="18"/>
        <v>"Champion T2",</v>
      </c>
      <c r="O56" s="12" t="str">
        <f t="shared" si="18"/>
        <v>"",</v>
      </c>
      <c r="P56" s="12" t="str">
        <f t="shared" si="18"/>
        <v>"",</v>
      </c>
      <c r="Q56" s="12" t="str">
        <f t="shared" si="18"/>
        <v>"",</v>
      </c>
      <c r="R56" s="12" t="str">
        <f t="shared" si="18"/>
        <v>"",</v>
      </c>
      <c r="S56" s="12" t="str">
        <f t="shared" si="18"/>
        <v>"",</v>
      </c>
      <c r="T56" s="12" t="str">
        <f t="shared" si="18"/>
        <v>"",</v>
      </c>
      <c r="U56" s="12" t="str">
        <f t="shared" si="18"/>
        <v>"Drafted by Traffic Controllers. Traded to Choc-Tops.",</v>
      </c>
      <c r="V56" s="12" t="str">
        <f t="shared" si="18"/>
        <v>"../Images/CT_Final.png",</v>
      </c>
      <c r="W56" s="12" t="str">
        <f t="shared" si="18"/>
        <v>"../Images/Players/SamJ.png",</v>
      </c>
    </row>
    <row r="57" spans="2:23" ht="14.25" customHeight="1" x14ac:dyDescent="0.45">
      <c r="B57" s="12" t="str">
        <f t="shared" si="3"/>
        <v>"Clarrie Jones",</v>
      </c>
      <c r="C57" s="12" t="str">
        <f t="shared" si="3"/>
        <v>"Traffic Controllers",</v>
      </c>
      <c r="D57" s="12" t="str">
        <f t="shared" si="4"/>
        <v>1.67,</v>
      </c>
      <c r="E57" s="12" t="str">
        <f t="shared" si="5"/>
        <v>5,</v>
      </c>
      <c r="F57" s="12" t="str">
        <f t="shared" si="6"/>
        <v>0.67,</v>
      </c>
      <c r="G57" s="12" t="str">
        <f t="shared" si="7"/>
        <v>2,</v>
      </c>
      <c r="H57" s="12" t="str">
        <f t="shared" si="8"/>
        <v>0.33,</v>
      </c>
      <c r="I57" s="12" t="str">
        <f t="shared" si="9"/>
        <v>1,</v>
      </c>
      <c r="J57" s="12" t="str">
        <f t="shared" si="10"/>
        <v>0.33,</v>
      </c>
      <c r="K57" s="12" t="str">
        <f t="shared" si="11"/>
        <v>1,</v>
      </c>
      <c r="L57" s="12" t="str">
        <f t="shared" si="11"/>
        <v>0,</v>
      </c>
      <c r="M57" s="12" t="str">
        <f t="shared" ref="M57:W57" si="19">CHAR(34)&amp;M10&amp;CHAR(34)&amp;","</f>
        <v>"LTBO Manager",</v>
      </c>
      <c r="N57" s="12" t="str">
        <f t="shared" si="19"/>
        <v>"Champion T1",</v>
      </c>
      <c r="O57" s="12" t="str">
        <f t="shared" si="19"/>
        <v>"Finals MVP T1",</v>
      </c>
      <c r="P57" s="12" t="str">
        <f t="shared" si="19"/>
        <v>"Fifthman T2",</v>
      </c>
      <c r="Q57" s="12" t="str">
        <f t="shared" si="19"/>
        <v>"All-2nd-Offence Team T2",</v>
      </c>
      <c r="R57" s="12" t="str">
        <f t="shared" si="19"/>
        <v>"All-2nd-Defence Team T2",</v>
      </c>
      <c r="S57" s="12" t="str">
        <f t="shared" si="19"/>
        <v>"Champion T2",</v>
      </c>
      <c r="T57" s="12" t="str">
        <f t="shared" si="19"/>
        <v>"",</v>
      </c>
      <c r="U57" s="12" t="str">
        <f t="shared" si="19"/>
        <v>"GM of Traffic Controllers",</v>
      </c>
      <c r="V57" s="12" t="str">
        <f t="shared" si="19"/>
        <v>"../Images/TC_Final.png",</v>
      </c>
      <c r="W57" s="12" t="str">
        <f t="shared" si="19"/>
        <v>"../Images/Players/Clarrie.png",</v>
      </c>
    </row>
    <row r="58" spans="2:23" ht="14.25" customHeight="1" x14ac:dyDescent="0.45">
      <c r="B58" s="12" t="str">
        <f t="shared" si="3"/>
        <v>"William Kim",</v>
      </c>
      <c r="C58" s="12" t="str">
        <f t="shared" si="3"/>
        <v>"Traffic Controllers",</v>
      </c>
      <c r="D58" s="12" t="str">
        <f t="shared" si="4"/>
        <v>1.67,</v>
      </c>
      <c r="E58" s="12" t="str">
        <f t="shared" si="5"/>
        <v>5,</v>
      </c>
      <c r="F58" s="12" t="str">
        <f t="shared" si="6"/>
        <v>0.67,</v>
      </c>
      <c r="G58" s="12" t="str">
        <f t="shared" si="7"/>
        <v>2,</v>
      </c>
      <c r="H58" s="12" t="str">
        <f t="shared" si="8"/>
        <v>0.33,</v>
      </c>
      <c r="I58" s="12" t="str">
        <f t="shared" si="9"/>
        <v>1,</v>
      </c>
      <c r="J58" s="12" t="str">
        <f t="shared" si="10"/>
        <v>0.33,</v>
      </c>
      <c r="K58" s="12" t="str">
        <f t="shared" si="11"/>
        <v>1,</v>
      </c>
      <c r="L58" s="12" t="str">
        <f t="shared" si="11"/>
        <v>0,</v>
      </c>
      <c r="M58" s="12" t="str">
        <f t="shared" ref="M58:W58" si="20">CHAR(34)&amp;M11&amp;CHAR(34)&amp;","</f>
        <v>"MVP T1",</v>
      </c>
      <c r="N58" s="12" t="str">
        <f t="shared" si="20"/>
        <v>"All-Offence Team T1",</v>
      </c>
      <c r="O58" s="12" t="str">
        <f t="shared" si="20"/>
        <v>"All-Defence Team T1",</v>
      </c>
      <c r="P58" s="12" t="str">
        <f t="shared" si="20"/>
        <v>"All-2nd-Offence Team T2",</v>
      </c>
      <c r="Q58" s="12" t="str">
        <f t="shared" si="20"/>
        <v>"All-Defence Team T2",</v>
      </c>
      <c r="R58" s="12" t="str">
        <f t="shared" si="20"/>
        <v>"Champion T2",</v>
      </c>
      <c r="S58" s="12" t="str">
        <f t="shared" si="20"/>
        <v>"Finals MVP T2",</v>
      </c>
      <c r="T58" s="12" t="str">
        <f t="shared" si="20"/>
        <v>"",</v>
      </c>
      <c r="U58" s="12" t="str">
        <f t="shared" si="20"/>
        <v>"Drafted by Traffic Controllers. Traded to Choc-Tops. Traded to Traffic Controllers.",</v>
      </c>
      <c r="V58" s="12" t="str">
        <f t="shared" si="20"/>
        <v>"../Images/TC_Final.png",</v>
      </c>
      <c r="W58" s="12" t="str">
        <f t="shared" si="20"/>
        <v>"../Images/Players/Kimmy.png",</v>
      </c>
    </row>
    <row r="59" spans="2:23" ht="14.25" customHeight="1" x14ac:dyDescent="0.45">
      <c r="B59" s="12" t="str">
        <f t="shared" si="3"/>
        <v>"Samuel McConaghy",</v>
      </c>
      <c r="C59" s="12" t="str">
        <f t="shared" si="3"/>
        <v>"Traffic Controllers",</v>
      </c>
      <c r="D59" s="12" t="str">
        <f t="shared" si="4"/>
        <v>2,</v>
      </c>
      <c r="E59" s="12" t="str">
        <f t="shared" si="5"/>
        <v>6,</v>
      </c>
      <c r="F59" s="12" t="str">
        <f t="shared" si="6"/>
        <v>0,</v>
      </c>
      <c r="G59" s="12" t="str">
        <f t="shared" si="7"/>
        <v>0,</v>
      </c>
      <c r="H59" s="12" t="str">
        <f t="shared" si="8"/>
        <v>2,</v>
      </c>
      <c r="I59" s="12" t="str">
        <f t="shared" si="9"/>
        <v>6,</v>
      </c>
      <c r="J59" s="12" t="str">
        <f t="shared" si="10"/>
        <v>0,</v>
      </c>
      <c r="K59" s="12" t="str">
        <f t="shared" si="11"/>
        <v>0,</v>
      </c>
      <c r="L59" s="12" t="str">
        <f t="shared" si="11"/>
        <v>0,</v>
      </c>
      <c r="M59" s="12" t="str">
        <f t="shared" ref="M59:W59" si="21">CHAR(34)&amp;M12&amp;CHAR(34)&amp;","</f>
        <v>"GM",</v>
      </c>
      <c r="N59" s="12" t="str">
        <f t="shared" si="21"/>
        <v>"All-Offence Team T1",</v>
      </c>
      <c r="O59" s="12" t="str">
        <f t="shared" si="21"/>
        <v>"All-Defence Team T1",</v>
      </c>
      <c r="P59" s="12" t="str">
        <f t="shared" si="21"/>
        <v>"All-Offence Team T2",</v>
      </c>
      <c r="Q59" s="12" t="str">
        <f t="shared" si="21"/>
        <v>"All-Defence Team T2",</v>
      </c>
      <c r="R59" s="12" t="str">
        <f t="shared" si="21"/>
        <v>"",</v>
      </c>
      <c r="S59" s="12" t="str">
        <f t="shared" si="21"/>
        <v>"",</v>
      </c>
      <c r="T59" s="12" t="str">
        <f t="shared" si="21"/>
        <v>"",</v>
      </c>
      <c r="U59" s="12" t="str">
        <f t="shared" si="21"/>
        <v>"Drafted by Traffic Controllers",</v>
      </c>
      <c r="V59" s="12" t="str">
        <f t="shared" si="21"/>
        <v>"../Images/TC_Final.png",</v>
      </c>
      <c r="W59" s="12" t="str">
        <f t="shared" si="21"/>
        <v>"../Images/Players/SamM.png",</v>
      </c>
    </row>
    <row r="60" spans="2:23" ht="14.25" customHeight="1" x14ac:dyDescent="0.45">
      <c r="B60" s="12" t="str">
        <f t="shared" si="3"/>
        <v>"Ryan Pattemore",</v>
      </c>
      <c r="C60" s="12" t="str">
        <f t="shared" si="3"/>
        <v>"Choc-Tops",</v>
      </c>
      <c r="D60" s="12" t="str">
        <f t="shared" si="4"/>
        <v>0.67,</v>
      </c>
      <c r="E60" s="12" t="str">
        <f t="shared" si="5"/>
        <v>2,</v>
      </c>
      <c r="F60" s="12" t="str">
        <f t="shared" si="6"/>
        <v>0,</v>
      </c>
      <c r="G60" s="12" t="str">
        <f t="shared" si="7"/>
        <v>0,</v>
      </c>
      <c r="H60" s="12" t="str">
        <f t="shared" si="8"/>
        <v>0.67,</v>
      </c>
      <c r="I60" s="12" t="str">
        <f t="shared" si="9"/>
        <v>2,</v>
      </c>
      <c r="J60" s="12" t="str">
        <f t="shared" si="10"/>
        <v>0,</v>
      </c>
      <c r="K60" s="12" t="str">
        <f t="shared" si="11"/>
        <v>0,</v>
      </c>
      <c r="L60" s="12" t="str">
        <f t="shared" si="11"/>
        <v>0,</v>
      </c>
      <c r="M60" s="12" t="str">
        <f t="shared" ref="M60:W60" si="22">CHAR(34)&amp;M13&amp;CHAR(34)&amp;","</f>
        <v>"Perimeter T1",</v>
      </c>
      <c r="N60" s="12" t="str">
        <f t="shared" si="22"/>
        <v>"Champion T1",</v>
      </c>
      <c r="O60" s="12" t="str">
        <f t="shared" si="22"/>
        <v>"",</v>
      </c>
      <c r="P60" s="12" t="str">
        <f t="shared" si="22"/>
        <v>"",</v>
      </c>
      <c r="Q60" s="12" t="str">
        <f t="shared" si="22"/>
        <v>"",</v>
      </c>
      <c r="R60" s="12" t="str">
        <f t="shared" si="22"/>
        <v>"",</v>
      </c>
      <c r="S60" s="12" t="str">
        <f t="shared" si="22"/>
        <v>"",</v>
      </c>
      <c r="T60" s="12" t="str">
        <f t="shared" si="22"/>
        <v>"",</v>
      </c>
      <c r="U60" s="12" t="str">
        <f t="shared" si="22"/>
        <v>"GM of Choc-Tops",</v>
      </c>
      <c r="V60" s="12" t="str">
        <f t="shared" si="22"/>
        <v>"../Images/CT_Final.png",</v>
      </c>
      <c r="W60" s="12" t="str">
        <f t="shared" si="22"/>
        <v>"../Images/Players/Ryan.png",</v>
      </c>
    </row>
    <row r="61" spans="2:23" ht="14.25" customHeight="1" x14ac:dyDescent="0.45">
      <c r="B61" s="12" t="str">
        <f t="shared" si="3"/>
        <v>"William Scott",</v>
      </c>
      <c r="C61" s="12" t="str">
        <f t="shared" si="3"/>
        <v>"",</v>
      </c>
      <c r="D61" s="12" t="str">
        <f t="shared" si="4"/>
        <v>0,</v>
      </c>
      <c r="E61" s="12" t="str">
        <f t="shared" si="5"/>
        <v>0,</v>
      </c>
      <c r="F61" s="12" t="str">
        <f t="shared" si="6"/>
        <v>0,</v>
      </c>
      <c r="G61" s="12" t="str">
        <f t="shared" si="7"/>
        <v>0,</v>
      </c>
      <c r="H61" s="12" t="str">
        <f t="shared" si="8"/>
        <v>0,</v>
      </c>
      <c r="I61" s="12" t="str">
        <f t="shared" si="9"/>
        <v>0,</v>
      </c>
      <c r="J61" s="12" t="str">
        <f t="shared" si="10"/>
        <v>0,</v>
      </c>
      <c r="K61" s="12" t="str">
        <f t="shared" si="11"/>
        <v>0,</v>
      </c>
      <c r="L61" s="12" t="str">
        <f t="shared" si="11"/>
        <v>3,</v>
      </c>
      <c r="M61" s="12" t="str">
        <f t="shared" ref="M61:W61" si="23">CHAR(34)&amp;M14&amp;CHAR(34)&amp;","</f>
        <v>"LTBO Photographer",</v>
      </c>
      <c r="N61" s="12" t="str">
        <f t="shared" si="23"/>
        <v>"",</v>
      </c>
      <c r="O61" s="12" t="str">
        <f t="shared" si="23"/>
        <v>"",</v>
      </c>
      <c r="P61" s="12" t="str">
        <f t="shared" si="23"/>
        <v>"",</v>
      </c>
      <c r="Q61" s="12" t="str">
        <f t="shared" si="23"/>
        <v>"",</v>
      </c>
      <c r="R61" s="12" t="str">
        <f t="shared" si="23"/>
        <v>"",</v>
      </c>
      <c r="S61" s="12" t="str">
        <f t="shared" si="23"/>
        <v>"",</v>
      </c>
      <c r="T61" s="12" t="str">
        <f t="shared" si="23"/>
        <v>"",</v>
      </c>
      <c r="U61" s="12" t="str">
        <f t="shared" si="23"/>
        <v>"Unsigned",</v>
      </c>
      <c r="V61" s="12" t="str">
        <f t="shared" si="23"/>
        <v>"../Images/Logo.png",</v>
      </c>
      <c r="W61" s="12" t="str">
        <f t="shared" si="23"/>
        <v>"../Images/Players/Will.png",</v>
      </c>
    </row>
    <row r="62" spans="2:23" ht="14.25" customHeight="1" x14ac:dyDescent="0.45">
      <c r="B62" s="12" t="str">
        <f t="shared" si="3"/>
        <v>"Nicholas Szogi",</v>
      </c>
      <c r="C62" s="12" t="str">
        <f t="shared" si="3"/>
        <v>"Choc-Tops",</v>
      </c>
      <c r="D62" s="12" t="str">
        <f t="shared" si="4"/>
        <v>0.33,</v>
      </c>
      <c r="E62" s="12" t="str">
        <f t="shared" si="5"/>
        <v>1,</v>
      </c>
      <c r="F62" s="12" t="str">
        <f t="shared" si="6"/>
        <v>0.33,</v>
      </c>
      <c r="G62" s="12" t="str">
        <f t="shared" si="7"/>
        <v>1,</v>
      </c>
      <c r="H62" s="12" t="str">
        <f t="shared" si="8"/>
        <v>0,</v>
      </c>
      <c r="I62" s="12" t="str">
        <f t="shared" si="9"/>
        <v>0,</v>
      </c>
      <c r="J62" s="12" t="str">
        <f t="shared" si="10"/>
        <v>0,</v>
      </c>
      <c r="K62" s="12" t="str">
        <f t="shared" si="11"/>
        <v>0,</v>
      </c>
      <c r="L62" s="12" t="str">
        <f t="shared" si="11"/>
        <v>0,</v>
      </c>
      <c r="M62" s="12" t="str">
        <f t="shared" ref="M62:W62" si="24">CHAR(34)&amp;M15&amp;CHAR(34)&amp;","</f>
        <v>"The Biggest Bird",</v>
      </c>
      <c r="N62" s="12" t="str">
        <f t="shared" si="24"/>
        <v>"Champion T1",</v>
      </c>
      <c r="O62" s="12" t="str">
        <f t="shared" si="24"/>
        <v>"MVP Runner Up T2",</v>
      </c>
      <c r="P62" s="12" t="str">
        <f t="shared" si="24"/>
        <v>"X-Factor T2",</v>
      </c>
      <c r="Q62" s="12" t="str">
        <f t="shared" si="24"/>
        <v>"All-2nd-Offence Team T2",</v>
      </c>
      <c r="R62" s="12" t="str">
        <f t="shared" si="24"/>
        <v>"All-2nd-Defence Team T2",</v>
      </c>
      <c r="S62" s="12" t="str">
        <f t="shared" si="24"/>
        <v>"",</v>
      </c>
      <c r="T62" s="12" t="str">
        <f t="shared" si="24"/>
        <v>"",</v>
      </c>
      <c r="U62" s="12" t="str">
        <f t="shared" si="24"/>
        <v>"Drafted by Choc-Tops. Traded to Traffic Controllers. Traded to Choc-Tops",</v>
      </c>
      <c r="V62" s="12" t="str">
        <f t="shared" si="24"/>
        <v>"../Images/CT_Final.png",</v>
      </c>
      <c r="W62" s="12" t="str">
        <f t="shared" si="24"/>
        <v>"../Images/Players/Nick.png",</v>
      </c>
    </row>
    <row r="63" spans="2:23" ht="14.25" customHeight="1" x14ac:dyDescent="0.45">
      <c r="B63" s="12" t="str">
        <f t="shared" si="3"/>
        <v>"Christopher Tomkinson",</v>
      </c>
      <c r="C63" s="12" t="str">
        <f t="shared" si="3"/>
        <v>"Gentle, Men",</v>
      </c>
      <c r="D63" s="12" t="str">
        <f t="shared" si="4"/>
        <v>2,</v>
      </c>
      <c r="E63" s="12" t="str">
        <f t="shared" si="5"/>
        <v>6,</v>
      </c>
      <c r="F63" s="12" t="str">
        <f t="shared" si="6"/>
        <v>1.67,</v>
      </c>
      <c r="G63" s="12" t="str">
        <f t="shared" si="7"/>
        <v>5,</v>
      </c>
      <c r="H63" s="12" t="str">
        <f t="shared" si="8"/>
        <v>0.33,</v>
      </c>
      <c r="I63" s="12" t="str">
        <f t="shared" si="9"/>
        <v>1,</v>
      </c>
      <c r="J63" s="12" t="str">
        <f t="shared" si="10"/>
        <v>0,</v>
      </c>
      <c r="K63" s="12" t="str">
        <f t="shared" si="11"/>
        <v>0,</v>
      </c>
      <c r="L63" s="12" t="str">
        <f t="shared" si="11"/>
        <v>0,</v>
      </c>
      <c r="M63" s="12" t="str">
        <f t="shared" ref="M63:W63" si="25">CHAR(34)&amp;M16&amp;CHAR(34)&amp;","</f>
        <v>"MIP T1",</v>
      </c>
      <c r="N63" s="12" t="str">
        <f t="shared" si="25"/>
        <v>"MIP T2",</v>
      </c>
      <c r="O63" s="12" t="str">
        <f t="shared" si="25"/>
        <v>"MVP T2",</v>
      </c>
      <c r="P63" s="12" t="str">
        <f t="shared" si="25"/>
        <v>"All-2nd-Offence Team T2",</v>
      </c>
      <c r="Q63" s="12" t="str">
        <f t="shared" si="25"/>
        <v>"All-2nd-Defence Team T2",</v>
      </c>
      <c r="R63" s="12" t="str">
        <f t="shared" si="25"/>
        <v>"Champion T2",</v>
      </c>
      <c r="S63" s="12" t="str">
        <f t="shared" si="25"/>
        <v>"",</v>
      </c>
      <c r="T63" s="12" t="str">
        <f t="shared" si="25"/>
        <v>"",</v>
      </c>
      <c r="U63" s="12" t="str">
        <f t="shared" si="25"/>
        <v>"Drafted by Choc-Tops. Traded to Gentle, Men. Traded to Traffic Controllers. Traded to Gentle, Men.",</v>
      </c>
      <c r="V63" s="12" t="str">
        <f t="shared" si="25"/>
        <v>"../Images/GM_Final.png",</v>
      </c>
      <c r="W63" s="12" t="str">
        <f t="shared" si="25"/>
        <v>"../Images/Players/Chris.png",</v>
      </c>
    </row>
    <row r="64" spans="2:23" ht="14.25" customHeight="1" x14ac:dyDescent="0.45">
      <c r="B64" s="12" t="str">
        <f t="shared" si="3"/>
        <v>"Angus Walker",</v>
      </c>
      <c r="C64" s="12" t="str">
        <f t="shared" si="3"/>
        <v>"Choc-Tops",</v>
      </c>
      <c r="D64" s="12" t="str">
        <f t="shared" si="4"/>
        <v>0.67,</v>
      </c>
      <c r="E64" s="12" t="str">
        <f t="shared" si="5"/>
        <v>2,</v>
      </c>
      <c r="F64" s="12" t="str">
        <f t="shared" si="6"/>
        <v>0,</v>
      </c>
      <c r="G64" s="12" t="str">
        <f t="shared" si="7"/>
        <v>0,</v>
      </c>
      <c r="H64" s="12" t="str">
        <f t="shared" si="8"/>
        <v>0,</v>
      </c>
      <c r="I64" s="12" t="str">
        <f t="shared" si="9"/>
        <v>0,</v>
      </c>
      <c r="J64" s="12" t="str">
        <f t="shared" si="10"/>
        <v>0.33,</v>
      </c>
      <c r="K64" s="12" t="str">
        <f t="shared" si="11"/>
        <v>1,</v>
      </c>
      <c r="L64" s="12" t="str">
        <f t="shared" si="11"/>
        <v>0,</v>
      </c>
      <c r="M64" s="12" t="str">
        <f t="shared" ref="M64:W64" si="26">CHAR(34)&amp;M17&amp;CHAR(34)&amp;","</f>
        <v>"LTBO CEO",</v>
      </c>
      <c r="N64" s="12" t="str">
        <f t="shared" si="26"/>
        <v>"GM",</v>
      </c>
      <c r="O64" s="12" t="str">
        <f t="shared" si="26"/>
        <v>"All-Offence Team T1",</v>
      </c>
      <c r="P64" s="12" t="str">
        <f t="shared" si="26"/>
        <v>"All-Defence Team T1",</v>
      </c>
      <c r="Q64" s="12" t="str">
        <f t="shared" si="26"/>
        <v>"Scoring Champ T1",</v>
      </c>
      <c r="R64" s="12" t="str">
        <f t="shared" si="26"/>
        <v>"All-Offence Team T2",</v>
      </c>
      <c r="S64" s="12" t="str">
        <f t="shared" si="26"/>
        <v>"All-Defence Team T2",</v>
      </c>
      <c r="T64" s="12" t="str">
        <f t="shared" si="26"/>
        <v>"Champion T2",</v>
      </c>
      <c r="U64" s="12" t="str">
        <f t="shared" si="26"/>
        <v>"Drafted by Choc-Tops",</v>
      </c>
      <c r="V64" s="12" t="str">
        <f t="shared" si="26"/>
        <v>"../Images/CT_Final.png",</v>
      </c>
      <c r="W64" s="12" t="str">
        <f t="shared" si="26"/>
        <v>"../Images/Players/Angus.png",</v>
      </c>
    </row>
    <row r="65" spans="2:23" ht="14.25" customHeight="1" x14ac:dyDescent="0.45">
      <c r="B65" s="12" t="str">
        <f>CHAR(34)&amp;B18&amp;CHAR(34)</f>
        <v>"Will Weekes"</v>
      </c>
      <c r="C65" s="12" t="str">
        <f>CHAR(34)&amp;C18&amp;CHAR(34)</f>
        <v>"Traffic Controllers"</v>
      </c>
      <c r="D65" s="12">
        <f>ROUND(D18,2)</f>
        <v>0.67</v>
      </c>
      <c r="E65" s="12">
        <f>E18</f>
        <v>2</v>
      </c>
      <c r="F65" s="12">
        <f>ROUND(F18,2)</f>
        <v>0.67</v>
      </c>
      <c r="G65" s="12">
        <f>G18</f>
        <v>2</v>
      </c>
      <c r="H65" s="12">
        <f>ROUND(H18,2)</f>
        <v>0</v>
      </c>
      <c r="I65" s="12">
        <f>I18</f>
        <v>0</v>
      </c>
      <c r="J65" s="12">
        <f>ROUND(J18,2)</f>
        <v>0</v>
      </c>
      <c r="K65" s="12">
        <f>K18</f>
        <v>0</v>
      </c>
      <c r="L65" s="12">
        <f>L18</f>
        <v>0</v>
      </c>
      <c r="M65" s="12" t="str">
        <f t="shared" ref="M65:W65" si="27">CHAR(34)&amp;M18&amp;CHAR(34)</f>
        <v>"Teammate T1"</v>
      </c>
      <c r="N65" s="12" t="str">
        <f t="shared" si="27"/>
        <v>"Champion T1"</v>
      </c>
      <c r="O65" s="12" t="str">
        <f t="shared" si="27"/>
        <v>"Teammate T2"</v>
      </c>
      <c r="P65" s="12" t="str">
        <f t="shared" si="27"/>
        <v>""</v>
      </c>
      <c r="Q65" s="12" t="str">
        <f t="shared" si="27"/>
        <v>""</v>
      </c>
      <c r="R65" s="12" t="str">
        <f t="shared" si="27"/>
        <v>""</v>
      </c>
      <c r="S65" s="12" t="str">
        <f t="shared" si="27"/>
        <v>""</v>
      </c>
      <c r="T65" s="12" t="str">
        <f t="shared" si="27"/>
        <v>""</v>
      </c>
      <c r="U65" s="12" t="str">
        <f t="shared" si="27"/>
        <v>"Drafted by Gentle, Men. Traded to Traffic Controllers"</v>
      </c>
      <c r="V65" s="12" t="str">
        <f t="shared" si="27"/>
        <v>"../Images/TC_Final.png"</v>
      </c>
      <c r="W65" s="12" t="str">
        <f t="shared" si="27"/>
        <v>"../Images/Players/Will.png"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F2" zoomScale="66" zoomScaleNormal="70" workbookViewId="0">
      <selection activeCell="Z17" sqref="Z17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67</v>
      </c>
    </row>
    <row r="3" spans="1:55" ht="14.25" customHeight="1" x14ac:dyDescent="0.45"/>
    <row r="4" spans="1:55" ht="14.25" customHeight="1" x14ac:dyDescent="0.45">
      <c r="B4" s="76" t="s">
        <v>64</v>
      </c>
      <c r="C4" s="76" t="s">
        <v>68</v>
      </c>
      <c r="D4" s="76" t="s">
        <v>69</v>
      </c>
      <c r="E4" s="76" t="s">
        <v>70</v>
      </c>
      <c r="F4" s="76" t="s">
        <v>205</v>
      </c>
      <c r="G4" s="76" t="s">
        <v>207</v>
      </c>
      <c r="H4" s="76" t="s">
        <v>211</v>
      </c>
      <c r="I4" s="76" t="s">
        <v>208</v>
      </c>
      <c r="J4" s="76" t="s">
        <v>209</v>
      </c>
      <c r="K4" s="76" t="s">
        <v>212</v>
      </c>
      <c r="L4" s="76" t="s">
        <v>213</v>
      </c>
      <c r="M4" s="76" t="s">
        <v>214</v>
      </c>
      <c r="N4" s="76" t="s">
        <v>215</v>
      </c>
      <c r="O4" s="76" t="s">
        <v>206</v>
      </c>
      <c r="P4" s="76" t="s">
        <v>210</v>
      </c>
      <c r="Q4" s="76" t="s">
        <v>216</v>
      </c>
      <c r="S4" s="2" t="s">
        <v>71</v>
      </c>
      <c r="Z4" t="s">
        <v>124</v>
      </c>
      <c r="AA4" s="85">
        <f>AA6/(20-AA5)</f>
        <v>0.17647058823529413</v>
      </c>
    </row>
    <row r="5" spans="1:55" ht="14.25" customHeight="1" x14ac:dyDescent="0.45">
      <c r="B5" s="120" t="str">
        <f>'2310'!B45</f>
        <v>23-October</v>
      </c>
      <c r="C5" s="122">
        <f>'2310'!C45</f>
        <v>9</v>
      </c>
      <c r="D5" s="122">
        <f>'2310'!D45</f>
        <v>4</v>
      </c>
      <c r="E5" s="122">
        <f>'2310'!E45</f>
        <v>0</v>
      </c>
      <c r="F5" s="122">
        <f>'2310'!F45</f>
        <v>4</v>
      </c>
      <c r="G5" s="122">
        <f>'2310'!G45</f>
        <v>4</v>
      </c>
      <c r="H5" s="122">
        <f>'2310'!H45</f>
        <v>0</v>
      </c>
      <c r="I5" s="122">
        <f>'2310'!I45</f>
        <v>9</v>
      </c>
      <c r="J5" s="122">
        <f>'2310'!J45</f>
        <v>2</v>
      </c>
      <c r="K5" s="122">
        <f>'2310'!K45</f>
        <v>0</v>
      </c>
      <c r="L5" s="122">
        <f>'2310'!L45</f>
        <v>0</v>
      </c>
      <c r="M5" s="122">
        <f>'2310'!M45</f>
        <v>2</v>
      </c>
      <c r="N5" s="122">
        <f>'2310'!N45</f>
        <v>5</v>
      </c>
      <c r="O5" s="122">
        <f>'2310'!O45</f>
        <v>2</v>
      </c>
      <c r="P5" s="122">
        <f>'2310'!P45</f>
        <v>3</v>
      </c>
      <c r="Q5" s="122">
        <f>'2310'!Q45</f>
        <v>1</v>
      </c>
      <c r="S5" s="1" t="s">
        <v>72</v>
      </c>
      <c r="T5" s="1" t="s">
        <v>68</v>
      </c>
      <c r="U5" s="1" t="s">
        <v>69</v>
      </c>
      <c r="V5" s="1" t="s">
        <v>70</v>
      </c>
      <c r="Z5" t="s">
        <v>165</v>
      </c>
      <c r="AA5">
        <v>3</v>
      </c>
      <c r="AR5" s="41"/>
      <c r="AS5" s="41"/>
      <c r="AT5" s="41"/>
    </row>
    <row r="6" spans="1:55" ht="14.25" customHeight="1" x14ac:dyDescent="0.45">
      <c r="B6" s="79" t="str">
        <f>'2410'!B45</f>
        <v>24-October</v>
      </c>
      <c r="C6" s="79">
        <f>'2410'!C45</f>
        <v>17</v>
      </c>
      <c r="D6" s="79">
        <f>'2410'!D45</f>
        <v>9</v>
      </c>
      <c r="E6" s="79">
        <f>'2410'!E45</f>
        <v>1</v>
      </c>
      <c r="F6" s="79">
        <f>'2410'!F45</f>
        <v>1</v>
      </c>
      <c r="G6" s="79">
        <f>'2410'!G45</f>
        <v>8</v>
      </c>
      <c r="H6" s="79">
        <f>'2410'!H45</f>
        <v>5</v>
      </c>
      <c r="I6" s="79">
        <f>'2410'!I45</f>
        <v>17</v>
      </c>
      <c r="J6" s="79">
        <f>'2410'!J45</f>
        <v>1</v>
      </c>
      <c r="K6" s="79">
        <f>'2410'!K45</f>
        <v>4</v>
      </c>
      <c r="L6" s="79">
        <f>'2410'!L45</f>
        <v>9</v>
      </c>
      <c r="M6" s="79">
        <f>'2410'!M45</f>
        <v>0</v>
      </c>
      <c r="N6" s="79">
        <f>'2410'!N45</f>
        <v>9</v>
      </c>
      <c r="O6" s="79">
        <f>'2410'!O45</f>
        <v>1</v>
      </c>
      <c r="P6" s="79">
        <f>'2410'!P45</f>
        <v>3</v>
      </c>
      <c r="Q6" s="79">
        <f>'2410'!Q45</f>
        <v>2</v>
      </c>
      <c r="S6" s="3">
        <f>SUM(C5:E40)/COUNT(C5:C40)</f>
        <v>19</v>
      </c>
      <c r="T6" s="133">
        <f>AVERAGE(C5:C40)</f>
        <v>11.333333333333334</v>
      </c>
      <c r="U6" s="133">
        <f>AVERAGE(D5:D40)</f>
        <v>6.666666666666667</v>
      </c>
      <c r="V6" s="133">
        <f>AVERAGE(E5:E40)</f>
        <v>1</v>
      </c>
      <c r="Z6" s="49" t="s">
        <v>146</v>
      </c>
      <c r="AA6" s="6">
        <f>AA47+AA67+AL27+AL47+AL67+AA87+AL87</f>
        <v>3</v>
      </c>
      <c r="AK6" s="10"/>
      <c r="AL6" s="10"/>
      <c r="AM6" s="10" t="s">
        <v>164</v>
      </c>
      <c r="AO6" s="29"/>
      <c r="AR6" s="41"/>
      <c r="AS6" s="41"/>
      <c r="AT6" s="41"/>
      <c r="AX6" s="13"/>
    </row>
    <row r="7" spans="1:55" ht="14.25" customHeight="1" x14ac:dyDescent="0.45">
      <c r="B7" s="79" t="str">
        <f>'2510'!B45</f>
        <v>25-October</v>
      </c>
      <c r="C7" s="79">
        <f>'2510'!C45</f>
        <v>8</v>
      </c>
      <c r="D7" s="79">
        <f>'2510'!D45</f>
        <v>7</v>
      </c>
      <c r="E7" s="79">
        <f>'2510'!E45</f>
        <v>2</v>
      </c>
      <c r="F7" s="79">
        <f>'2510'!F45</f>
        <v>2</v>
      </c>
      <c r="G7" s="79">
        <f>'2510'!G45</f>
        <v>4</v>
      </c>
      <c r="H7" s="79">
        <f>'2510'!H45</f>
        <v>4</v>
      </c>
      <c r="I7" s="79">
        <f>'2510'!I45</f>
        <v>7</v>
      </c>
      <c r="J7" s="79">
        <f>'2510'!J45</f>
        <v>1</v>
      </c>
      <c r="K7" s="79">
        <f>'2510'!K45</f>
        <v>4</v>
      </c>
      <c r="L7" s="79">
        <f>'2510'!L45</f>
        <v>8</v>
      </c>
      <c r="M7" s="79">
        <f>'2510'!M45</f>
        <v>1</v>
      </c>
      <c r="N7" s="79">
        <f>'2510'!N45</f>
        <v>3</v>
      </c>
      <c r="O7" s="79">
        <f>'2510'!O45</f>
        <v>1</v>
      </c>
      <c r="P7" s="79">
        <f>'2510'!P45</f>
        <v>2</v>
      </c>
      <c r="Q7" s="79">
        <f>'2510'!Q45</f>
        <v>3</v>
      </c>
      <c r="S7" s="2" t="s">
        <v>74</v>
      </c>
      <c r="T7" s="4">
        <f>T6/$S$6</f>
        <v>0.59649122807017552</v>
      </c>
      <c r="U7" s="4">
        <f>U6/$S$6</f>
        <v>0.35087719298245618</v>
      </c>
      <c r="V7" s="4">
        <f>V6/$S$6</f>
        <v>5.2631578947368418E-2</v>
      </c>
      <c r="Z7" s="15" t="s">
        <v>75</v>
      </c>
      <c r="AA7" s="16" t="s">
        <v>0</v>
      </c>
      <c r="AB7" s="16" t="s">
        <v>76</v>
      </c>
      <c r="AC7" s="16" t="s">
        <v>1</v>
      </c>
      <c r="AD7" s="17" t="s">
        <v>71</v>
      </c>
      <c r="AE7" s="17" t="s">
        <v>2</v>
      </c>
      <c r="AF7" s="17" t="s">
        <v>100</v>
      </c>
      <c r="AG7" s="16" t="s">
        <v>3</v>
      </c>
      <c r="AH7" s="17" t="s">
        <v>101</v>
      </c>
      <c r="AI7" s="18" t="s">
        <v>5</v>
      </c>
      <c r="AJ7" s="24" t="s">
        <v>103</v>
      </c>
      <c r="AK7" s="42"/>
      <c r="AL7" s="42"/>
      <c r="AM7" s="42" t="s">
        <v>71</v>
      </c>
      <c r="AN7" s="10" t="s">
        <v>163</v>
      </c>
      <c r="AO7" s="10"/>
      <c r="AP7" s="20" t="s">
        <v>169</v>
      </c>
      <c r="AQ7" s="91"/>
      <c r="AR7" s="92" t="s">
        <v>170</v>
      </c>
      <c r="AS7" s="40" t="s">
        <v>171</v>
      </c>
      <c r="AT7" s="98" t="s">
        <v>175</v>
      </c>
      <c r="AU7" s="100" t="s">
        <v>176</v>
      </c>
      <c r="AW7" s="1"/>
      <c r="AX7" s="97"/>
      <c r="AY7" s="97"/>
      <c r="AZ7" s="97"/>
      <c r="BA7" s="97"/>
      <c r="BB7" s="97"/>
      <c r="BC7" s="97"/>
    </row>
    <row r="8" spans="1:55" ht="14.25" customHeight="1" x14ac:dyDescent="0.45">
      <c r="A8" s="51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Z8" s="108" t="str">
        <f>SfW!B3</f>
        <v>Jasper Collier</v>
      </c>
      <c r="AA8" s="109">
        <f t="shared" ref="AA8:AA23" si="0">SUM(AL29,AA49,AL49,AA69,AL69,AA89,AL89)</f>
        <v>0</v>
      </c>
      <c r="AB8" s="110">
        <f>IF($AA$6-Table1[[#This Row],[Missed Games]]=0, 0,Table1[[#This Row],[Points]]/($AA$6-Table1[[#This Row],[Missed Games]]))</f>
        <v>0</v>
      </c>
      <c r="AC8" s="111">
        <f t="shared" ref="AC8:AC23" si="1">SUM(AM29,AB49,AM49,AB69,AM69,AB89,AM89)</f>
        <v>0</v>
      </c>
      <c r="AD8" s="108">
        <f>IF($AA$6-Table1[[#This Row],[Missed Games]]=0, 0,Table1[[#This Row],[Finishes]]/($AA$6-Table1[[#This Row],[Missed Games]]))</f>
        <v>0</v>
      </c>
      <c r="AE8" s="111">
        <f t="shared" ref="AE8:AE23" si="2">SUM(AN29,AC49,AN49,AC69,AN69,AC89,AN89)</f>
        <v>0</v>
      </c>
      <c r="AF8" s="108">
        <f>IF($AA$6-Table1[[#This Row],[Missed Games]]=0, 0,Table1[[#This Row],[Midranges]]/($AA$6-Table1[[#This Row],[Missed Games]]))</f>
        <v>0</v>
      </c>
      <c r="AG8" s="111">
        <f t="shared" ref="AG8:AG23" si="3">SUM(AO29,AD49,AO49,AD69,AO69,AD89,AO89)</f>
        <v>0</v>
      </c>
      <c r="AH8" s="108">
        <f>IF($AA$6-Table1[[#This Row],[Missed Games]]=0, 0,Table1[[#This Row],[Threes]]/($AA$6-Table1[[#This Row],[Missed Games]]))</f>
        <v>0</v>
      </c>
      <c r="AI8" s="108" t="str">
        <f>SfW!C3</f>
        <v>Gentle, Men</v>
      </c>
      <c r="AJ8" s="112">
        <f t="shared" ref="AJ8:AJ23" si="4">SUM(AT29,AI49,AT49,AI69,AT69,AI89,AT89)</f>
        <v>0</v>
      </c>
      <c r="AK8" s="43"/>
      <c r="AL8" s="84" t="s">
        <v>0</v>
      </c>
      <c r="AM8" s="83">
        <f>AVERAGE(Table1[Average])</f>
        <v>1.4583333333333335</v>
      </c>
      <c r="AN8" s="83">
        <f>MEDIAN(Table1[Average])</f>
        <v>1.1666666666666665</v>
      </c>
      <c r="AO8" s="23"/>
      <c r="AP8" s="13">
        <f>_xlfn.CEILING.MATH('[1]Stats Global'!R8*(20-$AA$5-$AJ8))</f>
        <v>7</v>
      </c>
      <c r="AQ8" s="20">
        <f>Table1[[#This Row],[Points]]/AP8</f>
        <v>0</v>
      </c>
      <c r="AR8" s="87">
        <f>AP8-Table1[[#This Row],[Points]]</f>
        <v>7</v>
      </c>
      <c r="AS8" s="93">
        <f>Table1[[#This Row],[Points]]/(20-AA$5-Table1[[#This Row],[Missed Games]])</f>
        <v>0</v>
      </c>
      <c r="AT8" s="99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1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Z9" s="108" t="str">
        <f>SfW!B4</f>
        <v>Conor Farrington</v>
      </c>
      <c r="AA9" s="109">
        <f t="shared" si="0"/>
        <v>7</v>
      </c>
      <c r="AB9" s="110">
        <f>IF($AA$6-Table1[[#This Row],[Missed Games]]=0, 0,Table1[[#This Row],[Points]]/($AA$6-Table1[[#This Row],[Missed Games]]))</f>
        <v>2.3333333333333335</v>
      </c>
      <c r="AC9" s="111">
        <f t="shared" si="1"/>
        <v>2</v>
      </c>
      <c r="AD9" s="108">
        <f>IF($AA$6-Table1[[#This Row],[Missed Games]]=0, 0,Table1[[#This Row],[Finishes]]/($AA$6-Table1[[#This Row],[Missed Games]]))</f>
        <v>0.66666666666666663</v>
      </c>
      <c r="AE9" s="111">
        <f t="shared" si="2"/>
        <v>5</v>
      </c>
      <c r="AF9" s="108">
        <f>IF($AA$6-Table1[[#This Row],[Missed Games]]=0, 0,Table1[[#This Row],[Midranges]]/($AA$6-Table1[[#This Row],[Missed Games]]))</f>
        <v>1.6666666666666667</v>
      </c>
      <c r="AG9" s="111">
        <f t="shared" si="3"/>
        <v>0</v>
      </c>
      <c r="AH9" s="108">
        <f>IF($AA$6-Table1[[#This Row],[Missed Games]]=0, 0,Table1[[#This Row],[Threes]]/($AA$6-Table1[[#This Row],[Missed Games]]))</f>
        <v>0</v>
      </c>
      <c r="AI9" s="108" t="str">
        <f>SfW!C4</f>
        <v>Gentle, Men</v>
      </c>
      <c r="AJ9" s="112">
        <f t="shared" si="4"/>
        <v>0</v>
      </c>
      <c r="AK9" s="43"/>
      <c r="AL9" s="84" t="s">
        <v>1</v>
      </c>
      <c r="AM9" s="83">
        <f>AVERAGE(Table1[Finishes])</f>
        <v>2</v>
      </c>
      <c r="AN9" s="83">
        <f>MEDIAN(Table1[Finishes])</f>
        <v>1.5</v>
      </c>
      <c r="AO9" s="88"/>
      <c r="AP9" s="13">
        <f>_xlfn.CEILING.MATH('[1]Stats Global'!R9*(20-$AA$5-$AJ9))</f>
        <v>11</v>
      </c>
      <c r="AQ9" s="20">
        <f>Table1[[#This Row],[Points]]/AP9</f>
        <v>0.63636363636363635</v>
      </c>
      <c r="AR9" s="87">
        <f>AP9-Table1[[#This Row],[Points]]</f>
        <v>4</v>
      </c>
      <c r="AS9" s="93">
        <f>Table1[[#This Row],[Points]]/(20-AA$5-Table1[[#This Row],[Missed Games]])</f>
        <v>0.41176470588235292</v>
      </c>
      <c r="AT9" s="99">
        <f>Table1[[#This Row],[Average]]-'[1]Stats Global'!R9</f>
        <v>1.7333333333333334</v>
      </c>
      <c r="AU9" s="20">
        <f>(Table1[[#This Row],[Average]]-'[1]Stats Global'!R9)/'[1]Stats Global'!R9</f>
        <v>2.8888888888888893</v>
      </c>
      <c r="AW9" s="1"/>
    </row>
    <row r="10" spans="1:55" ht="14.25" customHeight="1" x14ac:dyDescent="0.45">
      <c r="A10" s="51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Z10" s="108" t="str">
        <f>SfW!B5</f>
        <v>Alexander Galt</v>
      </c>
      <c r="AA10" s="45">
        <f t="shared" si="0"/>
        <v>4</v>
      </c>
      <c r="AB10" s="46">
        <f>IF($AA$6-Table1[[#This Row],[Missed Games]]=0, 0,Table1[[#This Row],[Points]]/($AA$6-Table1[[#This Row],[Missed Games]]))</f>
        <v>4</v>
      </c>
      <c r="AC10" s="47">
        <f t="shared" si="1"/>
        <v>4</v>
      </c>
      <c r="AD10" s="44">
        <f>IF($AA$6-Table1[[#This Row],[Missed Games]]=0, 0,Table1[[#This Row],[Finishes]]/($AA$6-Table1[[#This Row],[Missed Games]]))</f>
        <v>4</v>
      </c>
      <c r="AE10" s="47">
        <f t="shared" si="2"/>
        <v>0</v>
      </c>
      <c r="AF10" s="44">
        <f>IF($AA$6-Table1[[#This Row],[Missed Games]]=0, 0,Table1[[#This Row],[Midranges]]/($AA$6-Table1[[#This Row],[Missed Games]]))</f>
        <v>0</v>
      </c>
      <c r="AG10" s="47">
        <f t="shared" si="3"/>
        <v>0</v>
      </c>
      <c r="AH10" s="44">
        <f>IF($AA$6-Table1[[#This Row],[Missed Games]]=0, 0,Table1[[#This Row],[Threes]]/($AA$6-Table1[[#This Row],[Missed Games]]))</f>
        <v>0</v>
      </c>
      <c r="AI10" s="44" t="str">
        <f>SfW!C5</f>
        <v>Gentle, Men</v>
      </c>
      <c r="AJ10" s="48">
        <f t="shared" si="4"/>
        <v>2</v>
      </c>
      <c r="AK10" s="43"/>
      <c r="AL10" s="84" t="s">
        <v>163</v>
      </c>
      <c r="AM10" s="83">
        <f>AVERAGE(Table1[Midranges])</f>
        <v>1.25</v>
      </c>
      <c r="AN10" s="83">
        <f>MEDIAN(Table1[Midranges])</f>
        <v>1</v>
      </c>
      <c r="AO10" s="23"/>
      <c r="AP10" s="13">
        <f>_xlfn.CEILING.MATH('[1]Stats Global'!R10*(20-$AA$5-$AJ10))</f>
        <v>48</v>
      </c>
      <c r="AQ10" s="20">
        <f>Table1[[#This Row],[Points]]/AP10</f>
        <v>8.3333333333333329E-2</v>
      </c>
      <c r="AR10" s="87">
        <f>AP10-Table1[[#This Row],[Points]]</f>
        <v>44</v>
      </c>
      <c r="AS10" s="93">
        <f>Table1[[#This Row],[Points]]/(20-AA$5-Table1[[#This Row],[Missed Games]])</f>
        <v>0.26666666666666666</v>
      </c>
      <c r="AT10" s="99">
        <f>Table1[[#This Row],[Average]]-'[1]Stats Global'!R10</f>
        <v>0.85714285714285721</v>
      </c>
      <c r="AU10" s="20">
        <f>(Table1[[#This Row],[Average]]-'[1]Stats Global'!R10)/'[1]Stats Global'!R10</f>
        <v>0.27272727272727276</v>
      </c>
      <c r="AW10" s="1"/>
    </row>
    <row r="11" spans="1:55" ht="14.25" customHeight="1" x14ac:dyDescent="0.45">
      <c r="A11" s="51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Z11" s="108" t="str">
        <f>SfW!B6</f>
        <v>Rudy Hoschke</v>
      </c>
      <c r="AA11" s="45">
        <f t="shared" si="0"/>
        <v>14</v>
      </c>
      <c r="AB11" s="46">
        <f>IF($AA$6-Table1[[#This Row],[Missed Games]]=0, 0,Table1[[#This Row],[Points]]/($AA$6-Table1[[#This Row],[Missed Games]]))</f>
        <v>4.666666666666667</v>
      </c>
      <c r="AC11" s="47">
        <f t="shared" si="1"/>
        <v>11</v>
      </c>
      <c r="AD11" s="44">
        <f>IF($AA$6-Table1[[#This Row],[Missed Games]]=0, 0,Table1[[#This Row],[Finishes]]/($AA$6-Table1[[#This Row],[Missed Games]]))</f>
        <v>3.6666666666666665</v>
      </c>
      <c r="AE11" s="47">
        <f t="shared" si="2"/>
        <v>1</v>
      </c>
      <c r="AF11" s="44">
        <f>IF($AA$6-Table1[[#This Row],[Missed Games]]=0, 0,Table1[[#This Row],[Midranges]]/($AA$6-Table1[[#This Row],[Missed Games]]))</f>
        <v>0.33333333333333331</v>
      </c>
      <c r="AG11" s="47">
        <f t="shared" si="3"/>
        <v>1</v>
      </c>
      <c r="AH11" s="44">
        <f>IF($AA$6-Table1[[#This Row],[Missed Games]]=0, 0,Table1[[#This Row],[Threes]]/($AA$6-Table1[[#This Row],[Missed Games]]))</f>
        <v>0.33333333333333331</v>
      </c>
      <c r="AI11" s="44" t="str">
        <f>SfW!C6</f>
        <v>Gentle, Men</v>
      </c>
      <c r="AJ11" s="48">
        <f t="shared" si="4"/>
        <v>0</v>
      </c>
      <c r="AK11" s="43"/>
      <c r="AL11" s="84" t="s">
        <v>3</v>
      </c>
      <c r="AM11" s="83">
        <f>AVERAGE(Table1[Threes])</f>
        <v>0.3125</v>
      </c>
      <c r="AN11" s="83">
        <f>MEDIAN(Table1[Threes])</f>
        <v>0</v>
      </c>
      <c r="AO11" s="23"/>
      <c r="AP11" s="13">
        <f>_xlfn.CEILING.MATH('[1]Stats Global'!R11*(20-$AA$5-$AJ11))</f>
        <v>48</v>
      </c>
      <c r="AQ11" s="20">
        <f>Table1[[#This Row],[Points]]/AP11</f>
        <v>0.29166666666666669</v>
      </c>
      <c r="AR11" s="87">
        <f>AP11-Table1[[#This Row],[Points]]</f>
        <v>34</v>
      </c>
      <c r="AS11" s="93">
        <f>Table1[[#This Row],[Points]]/(20-AA$5-Table1[[#This Row],[Missed Games]])</f>
        <v>0.82352941176470584</v>
      </c>
      <c r="AT11" s="99">
        <f>Table1[[#This Row],[Average]]-'[1]Stats Global'!R11</f>
        <v>1.854166666666667</v>
      </c>
      <c r="AU11" s="20">
        <f>(Table1[[#This Row],[Average]]-'[1]Stats Global'!R11)/'[1]Stats Global'!R11</f>
        <v>0.65925925925925932</v>
      </c>
      <c r="AW11" s="1"/>
    </row>
    <row r="12" spans="1:55" ht="14.25" customHeight="1" x14ac:dyDescent="0.45">
      <c r="A12" s="5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Z12" s="108" t="str">
        <f>SfW!B7</f>
        <v>Michael Iffland</v>
      </c>
      <c r="AA12" s="45">
        <f t="shared" si="0"/>
        <v>4</v>
      </c>
      <c r="AB12" s="46">
        <f>IF($AA$6-Table1[[#This Row],[Missed Games]]=0, 0,Table1[[#This Row],[Points]]/($AA$6-Table1[[#This Row],[Missed Games]]))</f>
        <v>1.3333333333333333</v>
      </c>
      <c r="AC12" s="47">
        <f t="shared" si="1"/>
        <v>1</v>
      </c>
      <c r="AD12" s="44">
        <f>IF($AA$6-Table1[[#This Row],[Missed Games]]=0, 0,Table1[[#This Row],[Finishes]]/($AA$6-Table1[[#This Row],[Missed Games]]))</f>
        <v>0.33333333333333331</v>
      </c>
      <c r="AE12" s="47">
        <f t="shared" si="2"/>
        <v>1</v>
      </c>
      <c r="AF12" s="44">
        <f>IF($AA$6-Table1[[#This Row],[Missed Games]]=0, 0,Table1[[#This Row],[Midranges]]/($AA$6-Table1[[#This Row],[Missed Games]]))</f>
        <v>0.33333333333333331</v>
      </c>
      <c r="AG12" s="47">
        <f t="shared" si="3"/>
        <v>1</v>
      </c>
      <c r="AH12" s="44">
        <f>IF($AA$6-Table1[[#This Row],[Missed Games]]=0, 0,Table1[[#This Row],[Threes]]/($AA$6-Table1[[#This Row],[Missed Games]]))</f>
        <v>0.33333333333333331</v>
      </c>
      <c r="AI12" s="44" t="str">
        <f>SfW!C7</f>
        <v>Choc-Tops</v>
      </c>
      <c r="AJ12" s="48">
        <f t="shared" si="4"/>
        <v>0</v>
      </c>
      <c r="AK12" s="43"/>
      <c r="AL12" s="43"/>
      <c r="AM12" s="43"/>
      <c r="AO12" s="23"/>
      <c r="AP12" s="13">
        <f>_xlfn.CEILING.MATH('[1]Stats Global'!R12*(20-$AA$5-$AJ12))</f>
        <v>35</v>
      </c>
      <c r="AQ12" s="20">
        <f>Table1[[#This Row],[Points]]/AP12</f>
        <v>0.11428571428571428</v>
      </c>
      <c r="AR12" s="87">
        <f>AP12-Table1[[#This Row],[Points]]</f>
        <v>31</v>
      </c>
      <c r="AS12" s="93">
        <f>Table1[[#This Row],[Points]]/(20-AA$5-Table1[[#This Row],[Missed Games]])</f>
        <v>0.23529411764705882</v>
      </c>
      <c r="AT12" s="99">
        <f>Table1[[#This Row],[Average]]-'[1]Stats Global'!R12</f>
        <v>-0.72549019607843124</v>
      </c>
      <c r="AU12" s="20">
        <f>(Table1[[#This Row],[Average]]-'[1]Stats Global'!R12)/'[1]Stats Global'!R12</f>
        <v>-0.35238095238095235</v>
      </c>
      <c r="AW12" s="1"/>
    </row>
    <row r="13" spans="1:55" ht="14.25" customHeight="1" x14ac:dyDescent="0.45">
      <c r="A13" s="51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Z13" s="108" t="str">
        <f>SfW!B8</f>
        <v>Lukas Johnston</v>
      </c>
      <c r="AA13" s="109">
        <f t="shared" si="0"/>
        <v>1</v>
      </c>
      <c r="AB13" s="110">
        <f>IF($AA$6-Table1[[#This Row],[Missed Games]]=0, 0,Table1[[#This Row],[Points]]/($AA$6-Table1[[#This Row],[Missed Games]]))</f>
        <v>0.33333333333333331</v>
      </c>
      <c r="AC13" s="111">
        <f t="shared" si="1"/>
        <v>0</v>
      </c>
      <c r="AD13" s="108">
        <f>IF($AA$6-Table1[[#This Row],[Missed Games]]=0, 0,Table1[[#This Row],[Finishes]]/($AA$6-Table1[[#This Row],[Missed Games]]))</f>
        <v>0</v>
      </c>
      <c r="AE13" s="111">
        <f t="shared" si="2"/>
        <v>1</v>
      </c>
      <c r="AF13" s="108">
        <f>IF($AA$6-Table1[[#This Row],[Missed Games]]=0, 0,Table1[[#This Row],[Midranges]]/($AA$6-Table1[[#This Row],[Missed Games]]))</f>
        <v>0.33333333333333331</v>
      </c>
      <c r="AG13" s="111">
        <f t="shared" si="3"/>
        <v>0</v>
      </c>
      <c r="AH13" s="108">
        <f>IF($AA$6-Table1[[#This Row],[Missed Games]]=0, 0,Table1[[#This Row],[Threes]]/($AA$6-Table1[[#This Row],[Missed Games]]))</f>
        <v>0</v>
      </c>
      <c r="AI13" s="108" t="str">
        <f>SfW!C8</f>
        <v>Traffic Controllers</v>
      </c>
      <c r="AJ13" s="112">
        <f t="shared" si="4"/>
        <v>0</v>
      </c>
      <c r="AK13" s="43"/>
      <c r="AL13" s="43"/>
      <c r="AM13" s="43"/>
      <c r="AO13" s="23"/>
      <c r="AP13" s="13">
        <f>_xlfn.CEILING.MATH('[1]Stats Global'!R13*(20-$AA$5-$AJ13))</f>
        <v>20</v>
      </c>
      <c r="AQ13" s="20">
        <f>Table1[[#This Row],[Points]]/AP13</f>
        <v>0.05</v>
      </c>
      <c r="AR13" s="87">
        <f>AP13-Table1[[#This Row],[Points]]</f>
        <v>19</v>
      </c>
      <c r="AS13" s="93">
        <f>Table1[[#This Row],[Points]]/(20-AA$5-Table1[[#This Row],[Missed Games]])</f>
        <v>5.8823529411764705E-2</v>
      </c>
      <c r="AT13" s="99">
        <f>Table1[[#This Row],[Average]]-'[1]Stats Global'!R13</f>
        <v>-0.80952380952380953</v>
      </c>
      <c r="AU13" s="20">
        <f>(Table1[[#This Row],[Average]]-'[1]Stats Global'!R13)/'[1]Stats Global'!R13</f>
        <v>-0.70833333333333337</v>
      </c>
      <c r="AW13" s="1"/>
    </row>
    <row r="14" spans="1:55" ht="14.25" customHeight="1" x14ac:dyDescent="0.45">
      <c r="A14" s="51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Z14" s="108" t="str">
        <f>SfW!B9</f>
        <v>Sam James</v>
      </c>
      <c r="AA14" s="109">
        <f t="shared" si="0"/>
        <v>3</v>
      </c>
      <c r="AB14" s="110">
        <f>IF($AA$6-Table1[[#This Row],[Missed Games]]=0, 0,Table1[[#This Row],[Points]]/($AA$6-Table1[[#This Row],[Missed Games]]))</f>
        <v>1</v>
      </c>
      <c r="AC14" s="111">
        <f t="shared" si="1"/>
        <v>2</v>
      </c>
      <c r="AD14" s="108">
        <f>IF($AA$6-Table1[[#This Row],[Missed Games]]=0, 0,Table1[[#This Row],[Finishes]]/($AA$6-Table1[[#This Row],[Missed Games]]))</f>
        <v>0.66666666666666663</v>
      </c>
      <c r="AE14" s="111">
        <f t="shared" si="2"/>
        <v>1</v>
      </c>
      <c r="AF14" s="108">
        <f>IF($AA$6-Table1[[#This Row],[Missed Games]]=0, 0,Table1[[#This Row],[Midranges]]/($AA$6-Table1[[#This Row],[Missed Games]]))</f>
        <v>0.33333333333333331</v>
      </c>
      <c r="AG14" s="111">
        <f t="shared" si="3"/>
        <v>0</v>
      </c>
      <c r="AH14" s="108">
        <f>IF($AA$6-Table1[[#This Row],[Missed Games]]=0, 0,Table1[[#This Row],[Threes]]/($AA$6-Table1[[#This Row],[Missed Games]]))</f>
        <v>0</v>
      </c>
      <c r="AI14" s="108" t="str">
        <f>SfW!C9</f>
        <v>Choc-Tops</v>
      </c>
      <c r="AJ14" s="112">
        <f t="shared" si="4"/>
        <v>0</v>
      </c>
      <c r="AK14" s="43"/>
      <c r="AL14" s="43"/>
      <c r="AM14" s="43"/>
      <c r="AO14" s="23"/>
      <c r="AP14" s="13">
        <f>_xlfn.CEILING.MATH('[1]Stats Global'!R23*(20-$AA$5-$AJ14))</f>
        <v>6</v>
      </c>
      <c r="AQ14" s="20">
        <f>Table1[[#This Row],[Points]]/AP14</f>
        <v>0.5</v>
      </c>
      <c r="AR14" s="87">
        <f>AP14-Table1[[#This Row],[Points]]</f>
        <v>3</v>
      </c>
      <c r="AS14" s="93">
        <f>Table1[[#This Row],[Points]]/(20-AA$5-Table1[[#This Row],[Missed Games]])</f>
        <v>0.17647058823529413</v>
      </c>
      <c r="AT14" s="99">
        <f>Table1[[#This Row],[Average]]-'[1]Stats Global'!R23</f>
        <v>0.6875</v>
      </c>
      <c r="AU14" s="20">
        <f>(Table1[[#This Row],[Average]]-'[1]Stats Global'!R23)/'[1]Stats Global'!R23</f>
        <v>2.2000000000000002</v>
      </c>
    </row>
    <row r="15" spans="1:55" ht="14.25" customHeight="1" x14ac:dyDescent="0.45">
      <c r="A15" s="51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Z15" s="108" t="str">
        <f>SfW!B10</f>
        <v>Clarrie Jones</v>
      </c>
      <c r="AA15" s="109">
        <f t="shared" si="0"/>
        <v>5</v>
      </c>
      <c r="AB15" s="110">
        <f>IF($AA$6-Table1[[#This Row],[Missed Games]]=0, 0,Table1[[#This Row],[Points]]/($AA$6-Table1[[#This Row],[Missed Games]]))</f>
        <v>1.6666666666666667</v>
      </c>
      <c r="AC15" s="111">
        <f t="shared" si="1"/>
        <v>2</v>
      </c>
      <c r="AD15" s="108">
        <f>IF($AA$6-Table1[[#This Row],[Missed Games]]=0, 0,Table1[[#This Row],[Finishes]]/($AA$6-Table1[[#This Row],[Missed Games]]))</f>
        <v>0.66666666666666663</v>
      </c>
      <c r="AE15" s="111">
        <f t="shared" si="2"/>
        <v>1</v>
      </c>
      <c r="AF15" s="108">
        <f>IF($AA$6-Table1[[#This Row],[Missed Games]]=0, 0,Table1[[#This Row],[Midranges]]/($AA$6-Table1[[#This Row],[Missed Games]]))</f>
        <v>0.33333333333333331</v>
      </c>
      <c r="AG15" s="111">
        <f t="shared" si="3"/>
        <v>1</v>
      </c>
      <c r="AH15" s="108">
        <f>IF($AA$6-Table1[[#This Row],[Missed Games]]=0, 0,Table1[[#This Row],[Threes]]/($AA$6-Table1[[#This Row],[Missed Games]]))</f>
        <v>0.33333333333333331</v>
      </c>
      <c r="AI15" s="108" t="str">
        <f>SfW!C10</f>
        <v>Traffic Controllers</v>
      </c>
      <c r="AJ15" s="112">
        <f t="shared" si="4"/>
        <v>0</v>
      </c>
      <c r="AK15" s="43"/>
      <c r="AL15" s="43"/>
      <c r="AM15" s="43"/>
      <c r="AO15" s="23"/>
      <c r="AP15" s="13">
        <f>_xlfn.CEILING.MATH('[1]Stats Global'!R14*(20-$AA$5-$AJ15))</f>
        <v>27</v>
      </c>
      <c r="AQ15" s="20">
        <f>Table1[[#This Row],[Points]]/AP15</f>
        <v>0.18518518518518517</v>
      </c>
      <c r="AR15" s="87">
        <f>AP15-Table1[[#This Row],[Points]]</f>
        <v>22</v>
      </c>
      <c r="AS15" s="93">
        <f>Table1[[#This Row],[Points]]/(20-AA$5-Table1[[#This Row],[Missed Games]])</f>
        <v>0.29411764705882354</v>
      </c>
      <c r="AT15" s="99">
        <f>Table1[[#This Row],[Average]]-'[1]Stats Global'!R14</f>
        <v>7.8431372549019773E-2</v>
      </c>
      <c r="AU15" s="20">
        <f>(Table1[[#This Row],[Average]]-'[1]Stats Global'!R14)/'[1]Stats Global'!R14</f>
        <v>4.9382716049382824E-2</v>
      </c>
      <c r="AW15" s="1"/>
    </row>
    <row r="16" spans="1:55" ht="14.25" customHeight="1" x14ac:dyDescent="0.45">
      <c r="A16" s="51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Z16" s="108" t="str">
        <f>SfW!B11</f>
        <v>William Kim</v>
      </c>
      <c r="AA16" s="45">
        <f t="shared" si="0"/>
        <v>5</v>
      </c>
      <c r="AB16" s="46">
        <f>IF($AA$6-Table1[[#This Row],[Missed Games]]=0, 0,Table1[[#This Row],[Points]]/($AA$6-Table1[[#This Row],[Missed Games]]))</f>
        <v>1.6666666666666667</v>
      </c>
      <c r="AC16" s="47">
        <f t="shared" si="1"/>
        <v>2</v>
      </c>
      <c r="AD16" s="44">
        <f>IF($AA$6-Table1[[#This Row],[Missed Games]]=0, 0,Table1[[#This Row],[Finishes]]/($AA$6-Table1[[#This Row],[Missed Games]]))</f>
        <v>0.66666666666666663</v>
      </c>
      <c r="AE16" s="47">
        <f t="shared" si="2"/>
        <v>1</v>
      </c>
      <c r="AF16" s="44">
        <f>IF($AA$6-Table1[[#This Row],[Missed Games]]=0, 0,Table1[[#This Row],[Midranges]]/($AA$6-Table1[[#This Row],[Missed Games]]))</f>
        <v>0.33333333333333331</v>
      </c>
      <c r="AG16" s="47">
        <f t="shared" si="3"/>
        <v>1</v>
      </c>
      <c r="AH16" s="44">
        <f>IF($AA$6-Table1[[#This Row],[Missed Games]]=0, 0,Table1[[#This Row],[Threes]]/($AA$6-Table1[[#This Row],[Missed Games]]))</f>
        <v>0.33333333333333331</v>
      </c>
      <c r="AI16" s="44" t="str">
        <f>SfW!C11</f>
        <v>Traffic Controllers</v>
      </c>
      <c r="AJ16" s="48">
        <f t="shared" si="4"/>
        <v>0</v>
      </c>
      <c r="AK16" s="43"/>
      <c r="AL16" s="43"/>
      <c r="AM16" s="43"/>
      <c r="AO16" s="23"/>
      <c r="AP16" s="13">
        <f>_xlfn.CEILING.MATH('[1]Stats Global'!R15*(20-$AA$5-$AJ16))</f>
        <v>24</v>
      </c>
      <c r="AQ16" s="20">
        <f>Table1[[#This Row],[Points]]/AP16</f>
        <v>0.20833333333333334</v>
      </c>
      <c r="AR16" s="87">
        <f>AP16-Table1[[#This Row],[Points]]</f>
        <v>19</v>
      </c>
      <c r="AS16" s="93">
        <f>Table1[[#This Row],[Points]]/(20-AA$5-Table1[[#This Row],[Missed Games]])</f>
        <v>0.29411764705882354</v>
      </c>
      <c r="AT16" s="99">
        <f>Table1[[#This Row],[Average]]-'[1]Stats Global'!R15</f>
        <v>0.25490196078431371</v>
      </c>
      <c r="AU16" s="20">
        <f>(Table1[[#This Row],[Average]]-'[1]Stats Global'!R15)/'[1]Stats Global'!R15</f>
        <v>0.18055555555555552</v>
      </c>
      <c r="AW16" s="1"/>
    </row>
    <row r="17" spans="2:49" ht="14.25" customHeight="1" x14ac:dyDescent="0.4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Z17" s="108" t="str">
        <f>SfW!B12</f>
        <v>Samuel McConaghy</v>
      </c>
      <c r="AA17" s="45">
        <f t="shared" si="0"/>
        <v>6</v>
      </c>
      <c r="AB17" s="46">
        <f>IF($AA$6-Table1[[#This Row],[Missed Games]]=0, 0,Table1[[#This Row],[Points]]/($AA$6-Table1[[#This Row],[Missed Games]]))</f>
        <v>2</v>
      </c>
      <c r="AC17" s="47">
        <f t="shared" si="1"/>
        <v>0</v>
      </c>
      <c r="AD17" s="44">
        <f>IF($AA$6-Table1[[#This Row],[Missed Games]]=0, 0,Table1[[#This Row],[Finishes]]/($AA$6-Table1[[#This Row],[Missed Games]]))</f>
        <v>0</v>
      </c>
      <c r="AE17" s="47">
        <f t="shared" si="2"/>
        <v>6</v>
      </c>
      <c r="AF17" s="44">
        <f>IF($AA$6-Table1[[#This Row],[Missed Games]]=0, 0,Table1[[#This Row],[Midranges]]/($AA$6-Table1[[#This Row],[Missed Games]]))</f>
        <v>2</v>
      </c>
      <c r="AG17" s="47">
        <f t="shared" si="3"/>
        <v>0</v>
      </c>
      <c r="AH17" s="44">
        <f>IF($AA$6-Table1[[#This Row],[Missed Games]]=0, 0,Table1[[#This Row],[Threes]]/($AA$6-Table1[[#This Row],[Missed Games]]))</f>
        <v>0</v>
      </c>
      <c r="AI17" s="44" t="str">
        <f>SfW!C12</f>
        <v>Traffic Controllers</v>
      </c>
      <c r="AJ17" s="48">
        <f t="shared" si="4"/>
        <v>0</v>
      </c>
      <c r="AK17" s="43"/>
      <c r="AL17" s="43"/>
      <c r="AM17" s="43"/>
      <c r="AO17" s="23"/>
      <c r="AP17" s="13">
        <f>_xlfn.CEILING.MATH('[1]Stats Global'!R16*(20-$AA$5-$AJ17))</f>
        <v>44</v>
      </c>
      <c r="AQ17" s="20">
        <f>Table1[[#This Row],[Points]]/AP17</f>
        <v>0.13636363636363635</v>
      </c>
      <c r="AR17" s="87">
        <f>AP17-Table1[[#This Row],[Points]]</f>
        <v>38</v>
      </c>
      <c r="AS17" s="93">
        <f>Table1[[#This Row],[Points]]/(20-AA$5-Table1[[#This Row],[Missed Games]])</f>
        <v>0.35294117647058826</v>
      </c>
      <c r="AT17" s="99">
        <f>Table1[[#This Row],[Average]]-'[1]Stats Global'!R16</f>
        <v>-0.53333333333333321</v>
      </c>
      <c r="AU17" s="20">
        <f>(Table1[[#This Row],[Average]]-'[1]Stats Global'!R16)/'[1]Stats Global'!R16</f>
        <v>-0.21052631578947364</v>
      </c>
      <c r="AW17" s="1"/>
    </row>
    <row r="18" spans="2:49" ht="14.25" customHeight="1" x14ac:dyDescent="0.4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Z18" s="108" t="str">
        <f>SfW!B13</f>
        <v>Ryan Pattemore</v>
      </c>
      <c r="AA18" s="109">
        <f t="shared" si="0"/>
        <v>2</v>
      </c>
      <c r="AB18" s="110">
        <f>IF($AA$6-Table1[[#This Row],[Missed Games]]=0, 0,Table1[[#This Row],[Points]]/($AA$6-Table1[[#This Row],[Missed Games]]))</f>
        <v>0.66666666666666663</v>
      </c>
      <c r="AC18" s="111">
        <f t="shared" si="1"/>
        <v>0</v>
      </c>
      <c r="AD18" s="108">
        <f>IF($AA$6-Table1[[#This Row],[Missed Games]]=0, 0,Table1[[#This Row],[Finishes]]/($AA$6-Table1[[#This Row],[Missed Games]]))</f>
        <v>0</v>
      </c>
      <c r="AE18" s="111">
        <f t="shared" si="2"/>
        <v>2</v>
      </c>
      <c r="AF18" s="108">
        <f>IF($AA$6-Table1[[#This Row],[Missed Games]]=0, 0,Table1[[#This Row],[Midranges]]/($AA$6-Table1[[#This Row],[Missed Games]]))</f>
        <v>0.66666666666666663</v>
      </c>
      <c r="AG18" s="111">
        <f t="shared" si="3"/>
        <v>0</v>
      </c>
      <c r="AH18" s="108">
        <f>IF($AA$6-Table1[[#This Row],[Missed Games]]=0, 0,Table1[[#This Row],[Threes]]/($AA$6-Table1[[#This Row],[Missed Games]]))</f>
        <v>0</v>
      </c>
      <c r="AI18" s="108" t="str">
        <f>SfW!C13</f>
        <v>Choc-Tops</v>
      </c>
      <c r="AJ18" s="112">
        <f t="shared" si="4"/>
        <v>0</v>
      </c>
      <c r="AK18" s="43"/>
      <c r="AL18" s="43"/>
      <c r="AM18" s="43"/>
      <c r="AO18" s="23"/>
      <c r="AP18" s="13">
        <f>_xlfn.CEILING.MATH('[1]Stats Global'!R17*(20-$AA$5-$AJ18))</f>
        <v>15</v>
      </c>
      <c r="AQ18" s="20">
        <f>Table1[[#This Row],[Points]]/AP18</f>
        <v>0.13333333333333333</v>
      </c>
      <c r="AR18" s="87">
        <f>AP18-Table1[[#This Row],[Points]]</f>
        <v>13</v>
      </c>
      <c r="AS18" s="93">
        <f>Table1[[#This Row],[Points]]/(20-AA$5-Table1[[#This Row],[Missed Games]])</f>
        <v>0.11764705882352941</v>
      </c>
      <c r="AT18" s="99">
        <f>Table1[[#This Row],[Average]]-'[1]Stats Global'!R17</f>
        <v>-0.20833333333333337</v>
      </c>
      <c r="AU18" s="20">
        <f>(Table1[[#This Row],[Average]]-'[1]Stats Global'!R17)/'[1]Stats Global'!R17</f>
        <v>-0.23809523809523814</v>
      </c>
      <c r="AW18" s="1"/>
    </row>
    <row r="19" spans="2:49" ht="14.25" customHeight="1" x14ac:dyDescent="0.4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Z19" s="108" t="str">
        <f>SfW!B14</f>
        <v>William Scott</v>
      </c>
      <c r="AA19" s="109">
        <f t="shared" si="0"/>
        <v>0</v>
      </c>
      <c r="AB19" s="110">
        <f>IF($AA$6-Table1[[#This Row],[Missed Games]]=0, 0,Table1[[#This Row],[Points]]/($AA$6-Table1[[#This Row],[Missed Games]]))</f>
        <v>0</v>
      </c>
      <c r="AC19" s="111">
        <f t="shared" si="1"/>
        <v>0</v>
      </c>
      <c r="AD19" s="108">
        <f>IF($AA$6-Table1[[#This Row],[Missed Games]]=0, 0,Table1[[#This Row],[Finishes]]/($AA$6-Table1[[#This Row],[Missed Games]]))</f>
        <v>0</v>
      </c>
      <c r="AE19" s="111">
        <f t="shared" si="2"/>
        <v>0</v>
      </c>
      <c r="AF19" s="108">
        <f>IF($AA$6-Table1[[#This Row],[Missed Games]]=0, 0,Table1[[#This Row],[Midranges]]/($AA$6-Table1[[#This Row],[Missed Games]]))</f>
        <v>0</v>
      </c>
      <c r="AG19" s="111">
        <f t="shared" si="3"/>
        <v>0</v>
      </c>
      <c r="AH19" s="108">
        <f>IF($AA$6-Table1[[#This Row],[Missed Games]]=0, 0,Table1[[#This Row],[Threes]]/($AA$6-Table1[[#This Row],[Missed Games]]))</f>
        <v>0</v>
      </c>
      <c r="AI19" s="108" t="s">
        <v>189</v>
      </c>
      <c r="AJ19" s="112">
        <f t="shared" si="4"/>
        <v>3</v>
      </c>
      <c r="AK19" s="43"/>
      <c r="AL19" s="43"/>
      <c r="AM19" s="43"/>
      <c r="AO19" s="23"/>
      <c r="AP19" s="13">
        <v>0</v>
      </c>
      <c r="AQ19" s="20">
        <v>1</v>
      </c>
      <c r="AR19" s="87">
        <f>AP19-Table1[[#This Row],[Points]]</f>
        <v>0</v>
      </c>
      <c r="AS19" s="93">
        <f>Table1[[#This Row],[Points]]/(20-AA$5-Table1[[#This Row],[Missed Games]])</f>
        <v>0</v>
      </c>
      <c r="AT19" s="99">
        <v>0</v>
      </c>
      <c r="AU19" s="25">
        <v>0</v>
      </c>
      <c r="AW19" s="1"/>
    </row>
    <row r="20" spans="2:49" ht="14.25" customHeight="1" x14ac:dyDescent="0.4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Z20" s="108" t="str">
        <f>SfW!B15</f>
        <v>Nicholas Szogi</v>
      </c>
      <c r="AA20" s="109">
        <f t="shared" si="0"/>
        <v>1</v>
      </c>
      <c r="AB20" s="110">
        <f>IF($AA$6-Table1[[#This Row],[Missed Games]]=0, 0,Table1[[#This Row],[Points]]/($AA$6-Table1[[#This Row],[Missed Games]]))</f>
        <v>0.33333333333333331</v>
      </c>
      <c r="AC20" s="111">
        <f t="shared" si="1"/>
        <v>1</v>
      </c>
      <c r="AD20" s="108">
        <f>IF($AA$6-Table1[[#This Row],[Missed Games]]=0, 0,Table1[[#This Row],[Finishes]]/($AA$6-Table1[[#This Row],[Missed Games]]))</f>
        <v>0.33333333333333331</v>
      </c>
      <c r="AE20" s="111">
        <f t="shared" si="2"/>
        <v>0</v>
      </c>
      <c r="AF20" s="108">
        <f>IF($AA$6-Table1[[#This Row],[Missed Games]]=0, 0,Table1[[#This Row],[Midranges]]/($AA$6-Table1[[#This Row],[Missed Games]]))</f>
        <v>0</v>
      </c>
      <c r="AG20" s="111">
        <f t="shared" si="3"/>
        <v>0</v>
      </c>
      <c r="AH20" s="108">
        <f>IF($AA$6-Table1[[#This Row],[Missed Games]]=0, 0,Table1[[#This Row],[Threes]]/($AA$6-Table1[[#This Row],[Missed Games]]))</f>
        <v>0</v>
      </c>
      <c r="AI20" s="108" t="str">
        <f>SfW!C15</f>
        <v>Choc-Tops</v>
      </c>
      <c r="AJ20" s="112">
        <f t="shared" si="4"/>
        <v>0</v>
      </c>
      <c r="AK20" s="43"/>
      <c r="AL20" s="43"/>
      <c r="AM20" s="43"/>
      <c r="AO20" s="23"/>
      <c r="AP20" s="13">
        <f>_xlfn.CEILING.MATH('[1]Stats Global'!R18*(20-$AA$5-$AJ20))</f>
        <v>19</v>
      </c>
      <c r="AQ20" s="20">
        <f>Table1[[#This Row],[Points]]/AP20</f>
        <v>5.2631578947368418E-2</v>
      </c>
      <c r="AR20" s="87">
        <f>AP20-Table1[[#This Row],[Points]]</f>
        <v>18</v>
      </c>
      <c r="AS20" s="93">
        <f>Table1[[#This Row],[Points]]/(20-AA$5-Table1[[#This Row],[Missed Games]])</f>
        <v>5.8823529411764705E-2</v>
      </c>
      <c r="AT20" s="99">
        <f>Table1[[#This Row],[Average]]-'[1]Stats Global'!R18</f>
        <v>-0.73333333333333339</v>
      </c>
      <c r="AU20" s="20">
        <f>(Table1[[#This Row],[Average]]-'[1]Stats Global'!R18)/'[1]Stats Global'!R18</f>
        <v>-0.68750000000000011</v>
      </c>
      <c r="AW20" s="1"/>
    </row>
    <row r="21" spans="2:49" ht="14.25" customHeight="1" x14ac:dyDescent="0.4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Z21" s="108" t="str">
        <f>SfW!B16</f>
        <v>Christopher Tomkinson</v>
      </c>
      <c r="AA21" s="109">
        <f t="shared" si="0"/>
        <v>6</v>
      </c>
      <c r="AB21" s="110">
        <f>IF($AA$6-Table1[[#This Row],[Missed Games]]=0, 0,Table1[[#This Row],[Points]]/($AA$6-Table1[[#This Row],[Missed Games]]))</f>
        <v>2</v>
      </c>
      <c r="AC21" s="111">
        <f t="shared" si="1"/>
        <v>5</v>
      </c>
      <c r="AD21" s="108">
        <f>IF($AA$6-Table1[[#This Row],[Missed Games]]=0, 0,Table1[[#This Row],[Finishes]]/($AA$6-Table1[[#This Row],[Missed Games]]))</f>
        <v>1.6666666666666667</v>
      </c>
      <c r="AE21" s="111">
        <f t="shared" si="2"/>
        <v>1</v>
      </c>
      <c r="AF21" s="108">
        <f>IF($AA$6-Table1[[#This Row],[Missed Games]]=0, 0,Table1[[#This Row],[Midranges]]/($AA$6-Table1[[#This Row],[Missed Games]]))</f>
        <v>0.33333333333333331</v>
      </c>
      <c r="AG21" s="111">
        <f t="shared" si="3"/>
        <v>0</v>
      </c>
      <c r="AH21" s="108">
        <f>IF($AA$6-Table1[[#This Row],[Missed Games]]=0, 0,Table1[[#This Row],[Threes]]/($AA$6-Table1[[#This Row],[Missed Games]]))</f>
        <v>0</v>
      </c>
      <c r="AI21" s="108" t="str">
        <f>SfW!C16</f>
        <v>Gentle, Men</v>
      </c>
      <c r="AJ21" s="112">
        <f t="shared" si="4"/>
        <v>0</v>
      </c>
      <c r="AK21" s="43"/>
      <c r="AL21" s="43"/>
      <c r="AM21" s="43"/>
      <c r="AO21" s="23"/>
      <c r="AP21" s="13">
        <f>_xlfn.CEILING.MATH('[1]Stats Global'!R19*(20-$AA$5-$AJ21))</f>
        <v>18</v>
      </c>
      <c r="AQ21" s="20">
        <f>Table1[[#This Row],[Points]]/AP21</f>
        <v>0.33333333333333331</v>
      </c>
      <c r="AR21" s="87">
        <f>AP21-Table1[[#This Row],[Points]]</f>
        <v>12</v>
      </c>
      <c r="AS21" s="93">
        <f>Table1[[#This Row],[Points]]/(20-AA$5-Table1[[#This Row],[Missed Games]])</f>
        <v>0.35294117647058826</v>
      </c>
      <c r="AT21" s="99">
        <f>Table1[[#This Row],[Average]]-'[1]Stats Global'!R19</f>
        <v>0.94117647058823528</v>
      </c>
      <c r="AU21" s="20">
        <f>(Table1[[#This Row],[Average]]-'[1]Stats Global'!R19)/'[1]Stats Global'!R19</f>
        <v>0.88888888888888884</v>
      </c>
      <c r="AW21" s="1"/>
    </row>
    <row r="22" spans="2:49" ht="14.25" customHeight="1" x14ac:dyDescent="0.4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Z22" s="108" t="str">
        <f>SfW!B17</f>
        <v>Angus Walker</v>
      </c>
      <c r="AA22" s="45">
        <f t="shared" si="0"/>
        <v>2</v>
      </c>
      <c r="AB22" s="46">
        <f>IF($AA$6-Table1[[#This Row],[Missed Games]]=0, 0,Table1[[#This Row],[Points]]/($AA$6-Table1[[#This Row],[Missed Games]]))</f>
        <v>0.66666666666666663</v>
      </c>
      <c r="AC22" s="47">
        <f t="shared" si="1"/>
        <v>0</v>
      </c>
      <c r="AD22" s="77">
        <f>IF($AA$6-Table1[[#This Row],[Missed Games]]=0, 0,Table1[[#This Row],[Finishes]]/($AA$6-Table1[[#This Row],[Missed Games]]))</f>
        <v>0</v>
      </c>
      <c r="AE22" s="47">
        <f t="shared" si="2"/>
        <v>0</v>
      </c>
      <c r="AF22" s="77">
        <f>IF($AA$6-Table1[[#This Row],[Missed Games]]=0, 0,Table1[[#This Row],[Midranges]]/($AA$6-Table1[[#This Row],[Missed Games]]))</f>
        <v>0</v>
      </c>
      <c r="AG22" s="47">
        <f t="shared" si="3"/>
        <v>1</v>
      </c>
      <c r="AH22" s="77">
        <f>IF($AA$6-Table1[[#This Row],[Missed Games]]=0, 0,Table1[[#This Row],[Threes]]/($AA$6-Table1[[#This Row],[Missed Games]]))</f>
        <v>0.33333333333333331</v>
      </c>
      <c r="AI22" s="77" t="str">
        <f>SfW!C17</f>
        <v>Choc-Tops</v>
      </c>
      <c r="AJ22" s="48">
        <f t="shared" si="4"/>
        <v>0</v>
      </c>
      <c r="AK22" s="43"/>
      <c r="AL22" s="43"/>
      <c r="AM22" s="43"/>
      <c r="AO22" s="23"/>
      <c r="AP22" s="13">
        <f>_xlfn.CEILING.MATH('[1]Stats Global'!R20*(20-$AA$5-$AJ22))</f>
        <v>42</v>
      </c>
      <c r="AQ22" s="20">
        <f>Table1[[#This Row],[Points]]/AP22</f>
        <v>4.7619047619047616E-2</v>
      </c>
      <c r="AR22" s="87">
        <f>AP22-Table1[[#This Row],[Points]]</f>
        <v>40</v>
      </c>
      <c r="AS22" s="93">
        <f>Table1[[#This Row],[Points]]/(20-AA$5-Table1[[#This Row],[Missed Games]])</f>
        <v>0.11764705882352941</v>
      </c>
      <c r="AT22" s="99">
        <f>Table1[[#This Row],[Average]]-'[1]Stats Global'!R20</f>
        <v>-1.7619047619047619</v>
      </c>
      <c r="AU22" s="20">
        <f>(Table1[[#This Row],[Average]]-'[1]Stats Global'!R20)/'[1]Stats Global'!R20</f>
        <v>-0.72549019607843146</v>
      </c>
      <c r="AW22" s="1"/>
    </row>
    <row r="23" spans="2:49" ht="14.25" customHeight="1" x14ac:dyDescent="0.4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Z23" s="108" t="str">
        <f>SfW!B18</f>
        <v>Will Weekes</v>
      </c>
      <c r="AA23" s="109">
        <f t="shared" si="0"/>
        <v>2</v>
      </c>
      <c r="AB23" s="114">
        <f>IF($AA$6-Table1[[#This Row],[Missed Games]]=0, 0,Table1[[#This Row],[Points]]/($AA$6-Table1[[#This Row],[Missed Games]]))</f>
        <v>0.66666666666666663</v>
      </c>
      <c r="AC23" s="111">
        <f t="shared" si="1"/>
        <v>2</v>
      </c>
      <c r="AD23" s="113">
        <f>IF($AA$6-Table1[[#This Row],[Missed Games]]=0, 0,Table1[[#This Row],[Finishes]]/($AA$6-Table1[[#This Row],[Missed Games]]))</f>
        <v>0.66666666666666663</v>
      </c>
      <c r="AE23" s="111">
        <f t="shared" si="2"/>
        <v>0</v>
      </c>
      <c r="AF23" s="113">
        <f>IF($AA$6-Table1[[#This Row],[Missed Games]]=0, 0,Table1[[#This Row],[Midranges]]/($AA$6-Table1[[#This Row],[Missed Games]]))</f>
        <v>0</v>
      </c>
      <c r="AG23" s="111">
        <f t="shared" si="3"/>
        <v>0</v>
      </c>
      <c r="AH23" s="113">
        <f>IF($AA$6-Table1[[#This Row],[Missed Games]]=0, 0,Table1[[#This Row],[Threes]]/($AA$6-Table1[[#This Row],[Missed Games]]))</f>
        <v>0</v>
      </c>
      <c r="AI23" s="113" t="str">
        <f>SfW!C18</f>
        <v>Traffic Controllers</v>
      </c>
      <c r="AJ23" s="112">
        <f t="shared" si="4"/>
        <v>0</v>
      </c>
      <c r="AK23" s="43"/>
      <c r="AL23" s="43"/>
      <c r="AM23" s="43"/>
      <c r="AO23" s="23"/>
      <c r="AP23" s="13">
        <f>_xlfn.CEILING.MATH('[1]Stats Global'!R21*(20-$AA$5-$AJ23))</f>
        <v>2</v>
      </c>
      <c r="AQ23" s="20">
        <f>Table1[[#This Row],[Points]]/AP23</f>
        <v>1</v>
      </c>
      <c r="AR23" s="87">
        <f>AP23-Table1[[#This Row],[Points]]</f>
        <v>0</v>
      </c>
      <c r="AS23" s="93">
        <f>Table1[[#This Row],[Points]]/(20-AA$5-Table1[[#This Row],[Missed Games]])</f>
        <v>0.11764705882352941</v>
      </c>
      <c r="AT23" s="99">
        <f>Table1[[#This Row],[Average]]-'[1]Stats Global'!R21</f>
        <v>0.54901960784313719</v>
      </c>
      <c r="AU23" s="20">
        <f>(Table1[[#This Row],[Average]]-'[1]Stats Global'!R21)/'[1]Stats Global'!R21</f>
        <v>4.6666666666666661</v>
      </c>
      <c r="AW23" s="1"/>
    </row>
    <row r="24" spans="2:49" ht="14.25" customHeight="1" x14ac:dyDescent="0.4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Z24" s="108"/>
      <c r="AA24" s="109"/>
      <c r="AB24" s="110"/>
      <c r="AC24" s="111"/>
      <c r="AD24" s="108"/>
      <c r="AE24" s="111"/>
      <c r="AF24" s="108"/>
      <c r="AG24" s="111"/>
      <c r="AH24" s="108"/>
      <c r="AI24" s="108"/>
      <c r="AJ24" s="112"/>
      <c r="AL24" s="30"/>
      <c r="AN24" s="3"/>
      <c r="AP24" s="13"/>
      <c r="AQ24" s="20"/>
      <c r="AR24" s="87"/>
      <c r="AS24" s="93"/>
      <c r="AT24" s="99"/>
      <c r="AU24" s="20"/>
      <c r="AW24" s="1"/>
    </row>
    <row r="25" spans="2:49" ht="14.25" customHeight="1" x14ac:dyDescent="0.4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AB25" s="12"/>
      <c r="AP25" s="12"/>
      <c r="AQ25" s="20"/>
    </row>
    <row r="26" spans="2:49" ht="14.25" customHeight="1" x14ac:dyDescent="0.4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49" ht="14.25" customHeight="1" x14ac:dyDescent="0.4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Z27" s="1" t="s">
        <v>145</v>
      </c>
      <c r="AA27" s="1">
        <v>0</v>
      </c>
      <c r="AI27" s="2"/>
      <c r="AK27" s="1" t="s">
        <v>108</v>
      </c>
      <c r="AL27" s="1">
        <v>3</v>
      </c>
      <c r="AT27" s="2"/>
    </row>
    <row r="28" spans="2:49" ht="14.25" customHeight="1" x14ac:dyDescent="0.4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2"/>
      <c r="S28" s="2" t="s">
        <v>96</v>
      </c>
      <c r="T28" s="2"/>
      <c r="U28" s="2"/>
      <c r="V28" s="2"/>
      <c r="W28" s="2"/>
      <c r="X28" s="2"/>
      <c r="Y28" s="2"/>
      <c r="Z28" s="10" t="s">
        <v>75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107</v>
      </c>
      <c r="AF28" s="21" t="s">
        <v>105</v>
      </c>
      <c r="AG28" s="10" t="s">
        <v>106</v>
      </c>
      <c r="AH28" s="21" t="s">
        <v>144</v>
      </c>
      <c r="AI28" s="2" t="s">
        <v>103</v>
      </c>
      <c r="AK28" s="10" t="s">
        <v>75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107</v>
      </c>
      <c r="AQ28" s="21" t="s">
        <v>105</v>
      </c>
      <c r="AR28" s="10" t="s">
        <v>106</v>
      </c>
      <c r="AS28" s="21" t="s">
        <v>144</v>
      </c>
      <c r="AT28" s="2" t="s">
        <v>103</v>
      </c>
    </row>
    <row r="29" spans="2:49" ht="14.25" customHeight="1" x14ac:dyDescent="0.45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2"/>
      <c r="S29" t="s">
        <v>97</v>
      </c>
      <c r="X29" s="14"/>
      <c r="Y29" s="14"/>
      <c r="Z29" s="1" t="s">
        <v>40</v>
      </c>
      <c r="AA29" s="22"/>
      <c r="AB29" s="22"/>
      <c r="AC29" s="22"/>
      <c r="AD29" s="22"/>
      <c r="AE29" s="6"/>
      <c r="AF29" s="6"/>
      <c r="AG29" s="6"/>
      <c r="AH29" s="6"/>
      <c r="AK29" s="1" t="s">
        <v>40</v>
      </c>
      <c r="AL29" s="22">
        <f>'2310'!R3+'2410'!R3+'2510'!R3</f>
        <v>0</v>
      </c>
      <c r="AM29" s="22">
        <f>'2310'!S3+'2410'!S3+'2510'!S3</f>
        <v>0</v>
      </c>
      <c r="AN29" s="22">
        <f>'2310'!T3+'2410'!T3+'2510'!T3</f>
        <v>0</v>
      </c>
      <c r="AO29" s="22">
        <f>'2310'!U3+'2410'!U3+'2510'!U3</f>
        <v>0</v>
      </c>
      <c r="AP29" s="6">
        <f>Table211[[#This Row],[Points]]/($AL$27-Table211[[#This Row],[Missed Games]])</f>
        <v>0</v>
      </c>
      <c r="AQ29" s="6">
        <f>Table211[[#This Row],[Finishes]]/($AL$27-Table211[[#This Row],[Missed Games]])</f>
        <v>0</v>
      </c>
      <c r="AR29" s="6">
        <f>Table211[[#This Row],[Midranges]]/($AL$27-Table211[[#This Row],[Missed Games]])</f>
        <v>0</v>
      </c>
      <c r="AS29" s="6">
        <f>Table211[[#This Row],[Threes]]/($AL$27-Table211[[#This Row],[Missed Games]])</f>
        <v>0</v>
      </c>
      <c r="AT29" s="22">
        <f>COUNTIF('2310'!V3, TRUE)+COUNTIF('2410'!V3, TRUE)+COUNTIF('2510'!V3, TRUE)</f>
        <v>0</v>
      </c>
    </row>
    <row r="30" spans="2:49" ht="14.25" customHeight="1" x14ac:dyDescent="0.45"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2"/>
      <c r="S30" s="70" t="s">
        <v>150</v>
      </c>
      <c r="Z30" s="1" t="s">
        <v>43</v>
      </c>
      <c r="AA30" s="22"/>
      <c r="AB30" s="22"/>
      <c r="AC30" s="22"/>
      <c r="AD30" s="22"/>
      <c r="AE30" s="6"/>
      <c r="AF30" s="6"/>
      <c r="AG30" s="6"/>
      <c r="AH30" s="6"/>
      <c r="AK30" s="1" t="s">
        <v>43</v>
      </c>
      <c r="AL30" s="22">
        <f>'2310'!R4+'2410'!R4+'2510'!R4</f>
        <v>7</v>
      </c>
      <c r="AM30" s="22">
        <f>'2310'!S4+'2410'!S4+'2510'!S4</f>
        <v>2</v>
      </c>
      <c r="AN30" s="22">
        <f>'2310'!T4+'2410'!T4+'2510'!T4</f>
        <v>5</v>
      </c>
      <c r="AO30" s="22">
        <f>'2310'!U4+'2410'!U4+'2510'!U4</f>
        <v>0</v>
      </c>
      <c r="AP30" s="22">
        <f>Table211[[#This Row],[Points]]/($AL$27-Table211[[#This Row],[Missed Games]])</f>
        <v>2.3333333333333335</v>
      </c>
      <c r="AQ30" s="22">
        <f>Table211[[#This Row],[Finishes]]/($AL$27-Table211[[#This Row],[Missed Games]])</f>
        <v>0.66666666666666663</v>
      </c>
      <c r="AR30" s="22">
        <f>Table211[[#This Row],[Midranges]]/($AL$27-Table211[[#This Row],[Missed Games]])</f>
        <v>1.6666666666666667</v>
      </c>
      <c r="AS30" s="22">
        <f>Table211[[#This Row],[Threes]]/($AL$27-Table211[[#This Row],[Missed Games]])</f>
        <v>0</v>
      </c>
      <c r="AT30" s="22">
        <f>COUNTIF('2310'!V4, TRUE)+COUNTIF('2410'!V4, TRUE)+COUNTIF('2510'!V4, TRUE)</f>
        <v>0</v>
      </c>
    </row>
    <row r="31" spans="2:49" ht="14.25" customHeight="1" x14ac:dyDescent="0.4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2"/>
      <c r="S31" s="70" t="s">
        <v>151</v>
      </c>
      <c r="Z31" s="1" t="s">
        <v>45</v>
      </c>
      <c r="AA31" s="22"/>
      <c r="AB31" s="22"/>
      <c r="AC31" s="22"/>
      <c r="AD31" s="22"/>
      <c r="AE31" s="6"/>
      <c r="AF31" s="6"/>
      <c r="AG31" s="6"/>
      <c r="AH31" s="6"/>
      <c r="AK31" s="1" t="s">
        <v>45</v>
      </c>
      <c r="AL31" s="22">
        <f>'2310'!R5+'2410'!R5+'2510'!R5</f>
        <v>4</v>
      </c>
      <c r="AM31" s="22">
        <f>'2310'!S5+'2410'!S5+'2510'!S5</f>
        <v>4</v>
      </c>
      <c r="AN31" s="22">
        <f>'2310'!T5+'2410'!T5+'2510'!T5</f>
        <v>0</v>
      </c>
      <c r="AO31" s="22">
        <f>'2310'!U5+'2410'!U5+'2510'!U5</f>
        <v>0</v>
      </c>
      <c r="AP31" s="22">
        <f>Table211[[#This Row],[Points]]/($AL$27-Table211[[#This Row],[Missed Games]])</f>
        <v>4</v>
      </c>
      <c r="AQ31" s="22">
        <f>Table211[[#This Row],[Finishes]]/($AL$27-Table211[[#This Row],[Missed Games]])</f>
        <v>4</v>
      </c>
      <c r="AR31" s="22">
        <f>Table211[[#This Row],[Midranges]]/($AL$27-Table211[[#This Row],[Missed Games]])</f>
        <v>0</v>
      </c>
      <c r="AS31" s="22">
        <f>Table211[[#This Row],[Threes]]/($AL$27-Table211[[#This Row],[Missed Games]])</f>
        <v>0</v>
      </c>
      <c r="AT31" s="22">
        <f>COUNTIF('2310'!V5, TRUE)+COUNTIF('2410'!V5, TRUE)+COUNTIF('2510'!V5, TRUE)</f>
        <v>2</v>
      </c>
    </row>
    <row r="32" spans="2:49" ht="14.25" customHeight="1" x14ac:dyDescent="0.45"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S32" s="70" t="s">
        <v>152</v>
      </c>
      <c r="X32" s="13"/>
      <c r="Z32" s="1" t="s">
        <v>48</v>
      </c>
      <c r="AA32" s="22"/>
      <c r="AB32" s="22"/>
      <c r="AC32" s="22"/>
      <c r="AD32" s="22"/>
      <c r="AE32" s="6"/>
      <c r="AF32" s="6"/>
      <c r="AG32" s="6"/>
      <c r="AH32" s="6"/>
      <c r="AK32" s="1" t="s">
        <v>48</v>
      </c>
      <c r="AL32" s="22">
        <f>'2310'!R6+'2410'!R6+'2510'!R6</f>
        <v>14</v>
      </c>
      <c r="AM32" s="22">
        <f>'2310'!S6+'2410'!S6+'2510'!S6</f>
        <v>11</v>
      </c>
      <c r="AN32" s="22">
        <f>'2310'!T6+'2410'!T6+'2510'!T6</f>
        <v>1</v>
      </c>
      <c r="AO32" s="22">
        <f>'2310'!U6+'2410'!U6+'2510'!U6</f>
        <v>1</v>
      </c>
      <c r="AP32" s="22">
        <f>Table211[[#This Row],[Points]]/($AL$27-Table211[[#This Row],[Missed Games]])</f>
        <v>4.666666666666667</v>
      </c>
      <c r="AQ32" s="22">
        <f>Table211[[#This Row],[Finishes]]/($AL$27-Table211[[#This Row],[Missed Games]])</f>
        <v>3.6666666666666665</v>
      </c>
      <c r="AR32" s="22">
        <f>Table211[[#This Row],[Midranges]]/($AL$27-Table211[[#This Row],[Missed Games]])</f>
        <v>0.33333333333333331</v>
      </c>
      <c r="AS32" s="22">
        <f>Table211[[#This Row],[Threes]]/($AL$27-Table211[[#This Row],[Missed Games]])</f>
        <v>0.33333333333333331</v>
      </c>
      <c r="AT32" s="22">
        <f>COUNTIF('2310'!V6, TRUE)+COUNTIF('2410'!V6, TRUE)+COUNTIF('2510'!V6, TRUE)</f>
        <v>0</v>
      </c>
    </row>
    <row r="33" spans="2:46" ht="14.25" customHeight="1" x14ac:dyDescent="0.45"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S33" s="70" t="s">
        <v>153</v>
      </c>
      <c r="Z33" s="1" t="s">
        <v>51</v>
      </c>
      <c r="AA33" s="22"/>
      <c r="AB33" s="22"/>
      <c r="AC33" s="22"/>
      <c r="AD33" s="22"/>
      <c r="AE33" s="6"/>
      <c r="AF33" s="6"/>
      <c r="AG33" s="6"/>
      <c r="AH33" s="6"/>
      <c r="AK33" s="1" t="s">
        <v>51</v>
      </c>
      <c r="AL33" s="22">
        <f>'2310'!R7+'2410'!R7+'2510'!R7</f>
        <v>4</v>
      </c>
      <c r="AM33" s="22">
        <f>'2310'!S7+'2410'!S7+'2510'!S7</f>
        <v>1</v>
      </c>
      <c r="AN33" s="22">
        <f>'2310'!T7+'2410'!T7+'2510'!T7</f>
        <v>1</v>
      </c>
      <c r="AO33" s="22">
        <f>'2310'!U7+'2410'!U7+'2510'!U7</f>
        <v>1</v>
      </c>
      <c r="AP33" s="22">
        <f>Table211[[#This Row],[Points]]/($AL$27-Table211[[#This Row],[Missed Games]])</f>
        <v>1.3333333333333333</v>
      </c>
      <c r="AQ33" s="22">
        <f>Table211[[#This Row],[Finishes]]/($AL$27-Table211[[#This Row],[Missed Games]])</f>
        <v>0.33333333333333331</v>
      </c>
      <c r="AR33" s="22">
        <f>Table211[[#This Row],[Midranges]]/($AL$27-Table211[[#This Row],[Missed Games]])</f>
        <v>0.33333333333333331</v>
      </c>
      <c r="AS33" s="22">
        <f>Table211[[#This Row],[Threes]]/($AL$27-Table211[[#This Row],[Missed Games]])</f>
        <v>0.33333333333333331</v>
      </c>
      <c r="AT33" s="22">
        <f>COUNTIF('2310'!V7, TRUE)+COUNTIF('2410'!V7, TRUE)+COUNTIF('2510'!V7, TRUE)</f>
        <v>0</v>
      </c>
    </row>
    <row r="34" spans="2:46" ht="14.25" customHeight="1" x14ac:dyDescent="0.45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S34" s="70" t="s">
        <v>154</v>
      </c>
      <c r="Z34" s="1" t="s">
        <v>54</v>
      </c>
      <c r="AA34" s="22"/>
      <c r="AB34" s="22"/>
      <c r="AC34" s="22"/>
      <c r="AD34" s="22"/>
      <c r="AE34" s="6"/>
      <c r="AF34" s="6"/>
      <c r="AG34" s="6"/>
      <c r="AH34" s="6"/>
      <c r="AK34" s="1" t="s">
        <v>54</v>
      </c>
      <c r="AL34" s="22">
        <f>'2310'!R8+'2410'!R8+'2510'!R8</f>
        <v>1</v>
      </c>
      <c r="AM34" s="22">
        <f>'2310'!S8+'2410'!S8+'2510'!S8</f>
        <v>0</v>
      </c>
      <c r="AN34" s="22">
        <f>'2310'!T8+'2410'!T8+'2510'!T8</f>
        <v>1</v>
      </c>
      <c r="AO34" s="22">
        <f>'2310'!U8+'2410'!U8+'2510'!U8</f>
        <v>0</v>
      </c>
      <c r="AP34" s="22">
        <f>Table211[[#This Row],[Points]]/($AL$27-Table211[[#This Row],[Missed Games]])</f>
        <v>0.33333333333333331</v>
      </c>
      <c r="AQ34" s="22">
        <f>Table211[[#This Row],[Finishes]]/($AL$27-Table211[[#This Row],[Missed Games]])</f>
        <v>0</v>
      </c>
      <c r="AR34" s="22">
        <f>Table211[[#This Row],[Midranges]]/($AL$27-Table211[[#This Row],[Missed Games]])</f>
        <v>0.33333333333333331</v>
      </c>
      <c r="AS34" s="22">
        <f>Table211[[#This Row],[Threes]]/($AL$27-Table211[[#This Row],[Missed Games]])</f>
        <v>0</v>
      </c>
      <c r="AT34" s="22">
        <f>COUNTIF('2310'!V8, TRUE)+COUNTIF('2410'!V8, TRUE)+COUNTIF('2510'!V8, TRUE)</f>
        <v>0</v>
      </c>
    </row>
    <row r="35" spans="2:46" ht="14.25" customHeight="1" x14ac:dyDescent="0.45"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S35" s="70" t="s">
        <v>155</v>
      </c>
      <c r="Z35" t="s">
        <v>82</v>
      </c>
      <c r="AA35" s="22"/>
      <c r="AB35" s="22"/>
      <c r="AC35" s="22"/>
      <c r="AD35" s="22"/>
      <c r="AE35" s="6"/>
      <c r="AF35" s="6"/>
      <c r="AG35" s="6"/>
      <c r="AH35" s="6"/>
      <c r="AK35" t="s">
        <v>82</v>
      </c>
      <c r="AL35" s="22">
        <f>'2310'!R9+'2410'!R9+'2510'!R9</f>
        <v>3</v>
      </c>
      <c r="AM35" s="22">
        <f>'2310'!S9+'2410'!S9+'2510'!S9</f>
        <v>2</v>
      </c>
      <c r="AN35" s="22">
        <f>'2310'!T9+'2410'!T9+'2510'!T9</f>
        <v>1</v>
      </c>
      <c r="AO35" s="22">
        <f>'2310'!U9+'2410'!U9+'2510'!U9</f>
        <v>0</v>
      </c>
      <c r="AP35" s="22">
        <f>Table211[[#This Row],[Points]]/($AL$27-Table211[[#This Row],[Missed Games]])</f>
        <v>1</v>
      </c>
      <c r="AQ35" s="22">
        <f>Table211[[#This Row],[Finishes]]/($AL$27-Table211[[#This Row],[Missed Games]])</f>
        <v>0.66666666666666663</v>
      </c>
      <c r="AR35" s="22">
        <f>Table211[[#This Row],[Midranges]]/($AL$27-Table211[[#This Row],[Missed Games]])</f>
        <v>0.33333333333333331</v>
      </c>
      <c r="AS35" s="22">
        <f>Table211[[#This Row],[Threes]]/($AL$27-Table211[[#This Row],[Missed Games]])</f>
        <v>0</v>
      </c>
      <c r="AT35" s="22">
        <f>COUNTIF('2310'!V9, TRUE)+COUNTIF('2410'!V9, TRUE)+COUNTIF('2510'!V9, TRUE)</f>
        <v>0</v>
      </c>
    </row>
    <row r="36" spans="2:46" ht="14.25" customHeight="1" x14ac:dyDescent="0.45"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S36" s="70" t="s">
        <v>156</v>
      </c>
      <c r="Z36" s="1" t="s">
        <v>57</v>
      </c>
      <c r="AA36" s="22"/>
      <c r="AB36" s="22"/>
      <c r="AC36" s="22"/>
      <c r="AD36" s="22"/>
      <c r="AE36" s="6"/>
      <c r="AF36" s="6"/>
      <c r="AG36" s="6"/>
      <c r="AH36" s="6"/>
      <c r="AK36" s="1" t="s">
        <v>57</v>
      </c>
      <c r="AL36" s="22">
        <f>'2310'!R10+'2410'!R10+'2510'!R10</f>
        <v>5</v>
      </c>
      <c r="AM36" s="22">
        <f>'2310'!S10+'2410'!S10+'2510'!S10</f>
        <v>2</v>
      </c>
      <c r="AN36" s="22">
        <f>'2310'!T10+'2410'!T10+'2510'!T10</f>
        <v>1</v>
      </c>
      <c r="AO36" s="22">
        <f>'2310'!U10+'2410'!U10+'2510'!U10</f>
        <v>1</v>
      </c>
      <c r="AP36" s="22">
        <f>Table211[[#This Row],[Points]]/($AL$27-Table211[[#This Row],[Missed Games]])</f>
        <v>1.6666666666666667</v>
      </c>
      <c r="AQ36" s="22">
        <f>Table211[[#This Row],[Finishes]]/($AL$27-Table211[[#This Row],[Missed Games]])</f>
        <v>0.66666666666666663</v>
      </c>
      <c r="AR36" s="22">
        <f>Table211[[#This Row],[Midranges]]/($AL$27-Table211[[#This Row],[Missed Games]])</f>
        <v>0.33333333333333331</v>
      </c>
      <c r="AS36" s="22">
        <f>Table211[[#This Row],[Threes]]/($AL$27-Table211[[#This Row],[Missed Games]])</f>
        <v>0.33333333333333331</v>
      </c>
      <c r="AT36" s="22">
        <f>COUNTIF('2310'!V10, TRUE)+COUNTIF('2410'!V10, TRUE)+COUNTIF('2510'!V10, TRUE)</f>
        <v>0</v>
      </c>
    </row>
    <row r="37" spans="2:46" ht="14.25" customHeight="1" x14ac:dyDescent="0.45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Z37" s="1" t="s">
        <v>59</v>
      </c>
      <c r="AA37" s="22"/>
      <c r="AB37" s="22"/>
      <c r="AC37" s="22"/>
      <c r="AD37" s="22"/>
      <c r="AE37" s="6"/>
      <c r="AF37" s="6"/>
      <c r="AG37" s="6"/>
      <c r="AH37" s="6"/>
      <c r="AK37" s="1" t="s">
        <v>59</v>
      </c>
      <c r="AL37" s="22">
        <f>'2310'!R11+'2410'!R11+'2510'!R11</f>
        <v>5</v>
      </c>
      <c r="AM37" s="22">
        <f>'2310'!S11+'2410'!S11+'2510'!S11</f>
        <v>2</v>
      </c>
      <c r="AN37" s="22">
        <f>'2310'!T11+'2410'!T11+'2510'!T11</f>
        <v>1</v>
      </c>
      <c r="AO37" s="22">
        <f>'2310'!U11+'2410'!U11+'2510'!U11</f>
        <v>1</v>
      </c>
      <c r="AP37" s="22">
        <f>Table211[[#This Row],[Points]]/($AL$27-Table211[[#This Row],[Missed Games]])</f>
        <v>1.6666666666666667</v>
      </c>
      <c r="AQ37" s="22">
        <f>Table211[[#This Row],[Finishes]]/($AL$27-Table211[[#This Row],[Missed Games]])</f>
        <v>0.66666666666666663</v>
      </c>
      <c r="AR37" s="22">
        <f>Table211[[#This Row],[Midranges]]/($AL$27-Table211[[#This Row],[Missed Games]])</f>
        <v>0.33333333333333331</v>
      </c>
      <c r="AS37" s="22">
        <f>Table211[[#This Row],[Threes]]/($AL$27-Table211[[#This Row],[Missed Games]])</f>
        <v>0.33333333333333331</v>
      </c>
      <c r="AT37" s="22">
        <f>COUNTIF('2310'!V11, TRUE)+COUNTIF('2410'!V11, TRUE)+COUNTIF('2510'!V11, TRUE)</f>
        <v>0</v>
      </c>
    </row>
    <row r="38" spans="2:46" ht="14.25" customHeight="1" x14ac:dyDescent="0.45"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Z38" s="1" t="s">
        <v>60</v>
      </c>
      <c r="AA38" s="22"/>
      <c r="AB38" s="22"/>
      <c r="AC38" s="22"/>
      <c r="AD38" s="22"/>
      <c r="AE38" s="6"/>
      <c r="AF38" s="6"/>
      <c r="AG38" s="6"/>
      <c r="AH38" s="6"/>
      <c r="AK38" s="1" t="s">
        <v>60</v>
      </c>
      <c r="AL38" s="22">
        <f>'2310'!R12+'2410'!R12+'2510'!R12</f>
        <v>6</v>
      </c>
      <c r="AM38" s="22">
        <f>'2310'!S12+'2410'!S12+'2510'!S12</f>
        <v>0</v>
      </c>
      <c r="AN38" s="22">
        <f>'2310'!T12+'2410'!T12+'2510'!T12</f>
        <v>6</v>
      </c>
      <c r="AO38" s="22">
        <f>'2310'!U12+'2410'!U12+'2510'!U12</f>
        <v>0</v>
      </c>
      <c r="AP38" s="22">
        <f>Table211[[#This Row],[Points]]/($AL$27-Table211[[#This Row],[Missed Games]])</f>
        <v>2</v>
      </c>
      <c r="AQ38" s="22">
        <f>Table211[[#This Row],[Finishes]]/($AL$27-Table211[[#This Row],[Missed Games]])</f>
        <v>0</v>
      </c>
      <c r="AR38" s="22">
        <f>Table211[[#This Row],[Midranges]]/($AL$27-Table211[[#This Row],[Missed Games]])</f>
        <v>2</v>
      </c>
      <c r="AS38" s="22">
        <f>Table211[[#This Row],[Threes]]/($AL$27-Table211[[#This Row],[Missed Games]])</f>
        <v>0</v>
      </c>
      <c r="AT38" s="22">
        <f>COUNTIF('2310'!V12, TRUE)+COUNTIF('2410'!V12, TRUE)+COUNTIF('2510'!V12, TRUE)</f>
        <v>0</v>
      </c>
    </row>
    <row r="39" spans="2:46" ht="14.25" customHeight="1" x14ac:dyDescent="0.45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Z39" s="1" t="s">
        <v>61</v>
      </c>
      <c r="AA39" s="22"/>
      <c r="AB39" s="22"/>
      <c r="AC39" s="22"/>
      <c r="AD39" s="22"/>
      <c r="AE39" s="6"/>
      <c r="AF39" s="6"/>
      <c r="AG39" s="6"/>
      <c r="AH39" s="6"/>
      <c r="AJ39" s="50"/>
      <c r="AK39" s="1" t="s">
        <v>61</v>
      </c>
      <c r="AL39" s="22">
        <f>'2310'!R13+'2410'!R13+'2510'!R13</f>
        <v>2</v>
      </c>
      <c r="AM39" s="22">
        <f>'2310'!S13+'2410'!S13+'2510'!S13</f>
        <v>0</v>
      </c>
      <c r="AN39" s="22">
        <f>'2310'!T13+'2410'!T13+'2510'!T13</f>
        <v>2</v>
      </c>
      <c r="AO39" s="22">
        <f>'2310'!U13+'2410'!U13+'2510'!U13</f>
        <v>0</v>
      </c>
      <c r="AP39" s="22">
        <f>Table211[[#This Row],[Points]]/($AL$27-Table211[[#This Row],[Missed Games]])</f>
        <v>0.66666666666666663</v>
      </c>
      <c r="AQ39" s="22">
        <f>Table211[[#This Row],[Finishes]]/($AL$27-Table211[[#This Row],[Missed Games]])</f>
        <v>0</v>
      </c>
      <c r="AR39" s="22">
        <f>Table211[[#This Row],[Midranges]]/($AL$27-Table211[[#This Row],[Missed Games]])</f>
        <v>0.66666666666666663</v>
      </c>
      <c r="AS39" s="22">
        <f>Table211[[#This Row],[Threes]]/($AL$27-Table211[[#This Row],[Missed Games]])</f>
        <v>0</v>
      </c>
      <c r="AT39" s="22">
        <f>COUNTIF('2310'!V13, TRUE)+COUNTIF('2410'!V13, TRUE)+COUNTIF('2510'!V13, TRUE)</f>
        <v>0</v>
      </c>
    </row>
    <row r="40" spans="2:46" ht="14.25" customHeight="1" x14ac:dyDescent="0.45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10" t="s">
        <v>99</v>
      </c>
      <c r="U40" t="s">
        <v>166</v>
      </c>
      <c r="V40" t="s">
        <v>167</v>
      </c>
      <c r="W40" t="s">
        <v>168</v>
      </c>
      <c r="X40" t="s">
        <v>173</v>
      </c>
      <c r="Z40" t="s">
        <v>158</v>
      </c>
      <c r="AA40" s="22"/>
      <c r="AB40" s="22"/>
      <c r="AC40" s="22"/>
      <c r="AD40" s="22"/>
      <c r="AE40" s="6"/>
      <c r="AF40" s="6"/>
      <c r="AG40" s="6"/>
      <c r="AH40" s="6"/>
      <c r="AK40" t="s">
        <v>158</v>
      </c>
      <c r="AL40" s="22">
        <f>'2310'!R14+'2410'!R14+'2510'!R14</f>
        <v>0</v>
      </c>
      <c r="AM40" s="22">
        <f>'2310'!S14+'2410'!S14+'2510'!S14</f>
        <v>0</v>
      </c>
      <c r="AN40" s="22">
        <f>'2310'!T14+'2410'!T14+'2510'!T14</f>
        <v>0</v>
      </c>
      <c r="AO40" s="22">
        <f>'2310'!U14+'2410'!U14+'2510'!U14</f>
        <v>0</v>
      </c>
      <c r="AP40" s="22" t="e">
        <f>Table211[[#This Row],[Points]]/($AL$27-Table211[[#This Row],[Missed Games]])</f>
        <v>#DIV/0!</v>
      </c>
      <c r="AQ40" s="22" t="e">
        <f>Table211[[#This Row],[Finishes]]/($AL$27-Table211[[#This Row],[Missed Games]])</f>
        <v>#DIV/0!</v>
      </c>
      <c r="AR40" s="22" t="e">
        <f>Table211[[#This Row],[Midranges]]/($AL$27-Table211[[#This Row],[Missed Games]])</f>
        <v>#DIV/0!</v>
      </c>
      <c r="AS40" s="22" t="e">
        <f>Table211[[#This Row],[Threes]]/($AL$27-Table211[[#This Row],[Missed Games]])</f>
        <v>#DIV/0!</v>
      </c>
      <c r="AT40" s="22">
        <f>COUNTIF('2310'!V14, TRUE)+COUNTIF('2410'!V14, TRUE)+COUNTIF('2510'!V14, TRUE)</f>
        <v>3</v>
      </c>
    </row>
    <row r="41" spans="2:46" ht="14.25" customHeight="1" x14ac:dyDescent="0.45">
      <c r="R41" s="10" t="s">
        <v>181</v>
      </c>
      <c r="S41">
        <f>'Statistics CT'!J3</f>
        <v>4</v>
      </c>
      <c r="T41" s="85">
        <f>S41/SUM(S41:S43)</f>
        <v>0.22222222222222221</v>
      </c>
      <c r="U41" s="89">
        <v>0.32188841201716739</v>
      </c>
      <c r="V41" s="30">
        <v>0.36899999999999999</v>
      </c>
      <c r="W41">
        <f>T41*(6*(20-AA$5))</f>
        <v>22.666666666666664</v>
      </c>
      <c r="X41" s="13">
        <f>((MAX(U41:U43)+MAX(V41:V43))/2)*6*(20-AA5)</f>
        <v>36.767497854077249</v>
      </c>
      <c r="Y41" s="90">
        <v>1</v>
      </c>
      <c r="Z41" t="s">
        <v>111</v>
      </c>
      <c r="AA41" s="22"/>
      <c r="AB41" s="22"/>
      <c r="AC41" s="22"/>
      <c r="AD41" s="22"/>
      <c r="AE41" s="6"/>
      <c r="AF41" s="6"/>
      <c r="AG41" s="6"/>
      <c r="AH41" s="6"/>
      <c r="AK41" t="s">
        <v>111</v>
      </c>
      <c r="AL41" s="22">
        <f>'2310'!R15+'2410'!R15+'2510'!R15</f>
        <v>1</v>
      </c>
      <c r="AM41" s="22">
        <f>'2310'!S15+'2410'!S15+'2510'!S15</f>
        <v>1</v>
      </c>
      <c r="AN41" s="22">
        <f>'2310'!T15+'2410'!T15+'2510'!T15</f>
        <v>0</v>
      </c>
      <c r="AO41" s="22">
        <f>'2310'!U15+'2410'!U15+'2510'!U15</f>
        <v>0</v>
      </c>
      <c r="AP41" s="22">
        <f>Table211[[#This Row],[Points]]/($AL$27-Table211[[#This Row],[Missed Games]])</f>
        <v>0.33333333333333331</v>
      </c>
      <c r="AQ41" s="22">
        <f>Table211[[#This Row],[Finishes]]/($AL$27-Table211[[#This Row],[Missed Games]])</f>
        <v>0.33333333333333331</v>
      </c>
      <c r="AR41" s="22">
        <f>Table211[[#This Row],[Midranges]]/($AL$27-Table211[[#This Row],[Missed Games]])</f>
        <v>0</v>
      </c>
      <c r="AS41" s="22">
        <f>Table211[[#This Row],[Threes]]/($AL$27-Table211[[#This Row],[Missed Games]])</f>
        <v>0</v>
      </c>
      <c r="AT41" s="22">
        <f>COUNTIF('2310'!V15, TRUE)+COUNTIF('2410'!V15, TRUE)+COUNTIF('2510'!V15, TRUE)</f>
        <v>0</v>
      </c>
    </row>
    <row r="42" spans="2:46" ht="14.25" customHeight="1" x14ac:dyDescent="0.45">
      <c r="R42" s="10" t="s">
        <v>182</v>
      </c>
      <c r="S42">
        <f>'Statistics TC'!J3</f>
        <v>6</v>
      </c>
      <c r="T42" s="89">
        <f>S42/SUM(S41:S43)</f>
        <v>0.33333333333333331</v>
      </c>
      <c r="U42" s="89">
        <v>0.35193133047210301</v>
      </c>
      <c r="V42" s="30">
        <v>0.26200000000000001</v>
      </c>
      <c r="W42">
        <f t="shared" ref="W42:W43" si="5">T42*(6*(20-AA$5))</f>
        <v>34</v>
      </c>
      <c r="X42" s="13">
        <f>6*(20-AA5)-X41-X43</f>
        <v>35.454193133047212</v>
      </c>
      <c r="Y42" s="90">
        <v>2</v>
      </c>
      <c r="Z42" t="s">
        <v>110</v>
      </c>
      <c r="AA42" s="22"/>
      <c r="AB42" s="22"/>
      <c r="AC42" s="22"/>
      <c r="AD42" s="22"/>
      <c r="AE42" s="6"/>
      <c r="AF42" s="6"/>
      <c r="AG42" s="6"/>
      <c r="AH42" s="6"/>
      <c r="AK42" t="s">
        <v>110</v>
      </c>
      <c r="AL42" s="22">
        <f>'2310'!R16+'2410'!R16+'2510'!R16</f>
        <v>6</v>
      </c>
      <c r="AM42" s="22">
        <f>'2310'!S16+'2410'!S16+'2510'!S16</f>
        <v>5</v>
      </c>
      <c r="AN42" s="22">
        <f>'2310'!T16+'2410'!T16+'2510'!T16</f>
        <v>1</v>
      </c>
      <c r="AO42" s="22">
        <f>'2310'!U16+'2410'!U16+'2510'!U16</f>
        <v>0</v>
      </c>
      <c r="AP42" s="22">
        <f>Table211[[#This Row],[Points]]/($AL$27-Table211[[#This Row],[Missed Games]])</f>
        <v>2</v>
      </c>
      <c r="AQ42" s="22">
        <f>Table211[[#This Row],[Finishes]]/($AL$27-Table211[[#This Row],[Missed Games]])</f>
        <v>1.6666666666666667</v>
      </c>
      <c r="AR42" s="22">
        <f>Table211[[#This Row],[Midranges]]/($AL$27-Table211[[#This Row],[Missed Games]])</f>
        <v>0.33333333333333331</v>
      </c>
      <c r="AS42" s="22">
        <f>Table211[[#This Row],[Threes]]/($AL$27-Table211[[#This Row],[Missed Games]])</f>
        <v>0</v>
      </c>
      <c r="AT42" s="22">
        <f>COUNTIF('2310'!V16, TRUE)+COUNTIF('2410'!V16, TRUE)+COUNTIF('2510'!V16, TRUE)</f>
        <v>0</v>
      </c>
    </row>
    <row r="43" spans="2:46" ht="14.25" customHeight="1" x14ac:dyDescent="0.45">
      <c r="R43" s="10" t="s">
        <v>35</v>
      </c>
      <c r="S43">
        <f>'Statistics GM'!J3</f>
        <v>8</v>
      </c>
      <c r="T43" s="89">
        <f>S43/SUM(S41:S43)</f>
        <v>0.44444444444444442</v>
      </c>
      <c r="U43" s="89">
        <v>0.3261802575107296</v>
      </c>
      <c r="V43" s="30">
        <v>0.36899999999999999</v>
      </c>
      <c r="W43">
        <f t="shared" si="5"/>
        <v>45.333333333333329</v>
      </c>
      <c r="X43" s="13">
        <f>((MIN(U41:U43)+MIN(V41:V43))/2)*6*(20-AA5)</f>
        <v>29.778309012875539</v>
      </c>
      <c r="Y43" s="90">
        <v>3</v>
      </c>
      <c r="Z43" t="s">
        <v>65</v>
      </c>
      <c r="AA43" s="22"/>
      <c r="AB43" s="22"/>
      <c r="AC43" s="22"/>
      <c r="AD43" s="22"/>
      <c r="AE43" s="6"/>
      <c r="AF43" s="6"/>
      <c r="AG43" s="6"/>
      <c r="AH43" s="6"/>
      <c r="AK43" t="s">
        <v>65</v>
      </c>
      <c r="AL43" s="22">
        <f>'2310'!R17+'2410'!R17+'2510'!R17</f>
        <v>2</v>
      </c>
      <c r="AM43" s="22">
        <f>'2310'!S17+'2410'!S17+'2510'!S17</f>
        <v>0</v>
      </c>
      <c r="AN43" s="22">
        <f>'2310'!T17+'2410'!T17+'2510'!T17</f>
        <v>0</v>
      </c>
      <c r="AO43" s="22">
        <f>'2310'!U17+'2410'!U17+'2510'!U17</f>
        <v>1</v>
      </c>
      <c r="AP43" s="22">
        <f>Table211[[#This Row],[Points]]/($AL$27-Table211[[#This Row],[Missed Games]])</f>
        <v>0.66666666666666663</v>
      </c>
      <c r="AQ43" s="22">
        <f>Table211[[#This Row],[Finishes]]/($AL$27-Table211[[#This Row],[Missed Games]])</f>
        <v>0</v>
      </c>
      <c r="AR43" s="22">
        <f>Table211[[#This Row],[Midranges]]/($AL$27-Table211[[#This Row],[Missed Games]])</f>
        <v>0</v>
      </c>
      <c r="AS43" s="22">
        <f>Table211[[#This Row],[Threes]]/($AL$27-Table211[[#This Row],[Missed Games]])</f>
        <v>0.33333333333333331</v>
      </c>
      <c r="AT43" s="22">
        <f>COUNTIF('2310'!V17, TRUE)+COUNTIF('2410'!V17, TRUE)+COUNTIF('2510'!V17, TRUE)</f>
        <v>0</v>
      </c>
    </row>
    <row r="44" spans="2:46" ht="14.25" customHeight="1" x14ac:dyDescent="0.45">
      <c r="Z44" t="s">
        <v>66</v>
      </c>
      <c r="AA44" s="22"/>
      <c r="AB44" s="22"/>
      <c r="AC44" s="22"/>
      <c r="AD44" s="22"/>
      <c r="AE44" s="6"/>
      <c r="AF44" s="6"/>
      <c r="AG44" s="6"/>
      <c r="AH44" s="6"/>
      <c r="AK44" t="s">
        <v>66</v>
      </c>
      <c r="AL44" s="22">
        <f>'2310'!R18+'2410'!R18+'2510'!R18</f>
        <v>2</v>
      </c>
      <c r="AM44" s="22">
        <f>'2310'!S18+'2410'!S18+'2510'!S18</f>
        <v>2</v>
      </c>
      <c r="AN44" s="22">
        <f>'2310'!T18+'2410'!T18+'2510'!T18</f>
        <v>0</v>
      </c>
      <c r="AO44" s="22">
        <f>'2310'!U18+'2410'!U18+'2510'!U18</f>
        <v>0</v>
      </c>
      <c r="AP44" s="22">
        <f>Table211[[#This Row],[Points]]/($AL$27-Table211[[#This Row],[Missed Games]])</f>
        <v>0.66666666666666663</v>
      </c>
      <c r="AQ44" s="22">
        <f>Table211[[#This Row],[Finishes]]/($AL$27-Table211[[#This Row],[Missed Games]])</f>
        <v>0.66666666666666663</v>
      </c>
      <c r="AR44" s="22">
        <f>Table211[[#This Row],[Midranges]]/($AL$27-Table211[[#This Row],[Missed Games]])</f>
        <v>0</v>
      </c>
      <c r="AS44" s="22">
        <f>Table211[[#This Row],[Threes]]/($AL$27-Table211[[#This Row],[Missed Games]])</f>
        <v>0</v>
      </c>
      <c r="AT44" s="22">
        <f>COUNTIF('2310'!V18, TRUE)+COUNTIF('2410'!V18, TRUE)+COUNTIF('2510'!V18, TRUE)</f>
        <v>0</v>
      </c>
    </row>
    <row r="45" spans="2:46" ht="14.25" customHeight="1" x14ac:dyDescent="0.45">
      <c r="T45" t="s">
        <v>172</v>
      </c>
      <c r="W45">
        <f>(20-AA6-AA5)*2</f>
        <v>28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177</v>
      </c>
      <c r="W46">
        <f>(W45-(MAX(S41:S43)-MIN(S41:S43)))/2</f>
        <v>12</v>
      </c>
      <c r="AA46" s="1"/>
      <c r="AB46" s="1"/>
      <c r="AC46" s="1"/>
      <c r="AK46" s="1"/>
      <c r="AL46" s="1"/>
    </row>
    <row r="47" spans="2:46" ht="14.25" customHeight="1" x14ac:dyDescent="0.45">
      <c r="Z47" s="1" t="s">
        <v>109</v>
      </c>
      <c r="AA47" s="1">
        <v>0</v>
      </c>
      <c r="AI47" s="2"/>
      <c r="AK47" s="1" t="s">
        <v>112</v>
      </c>
      <c r="AL47" s="1">
        <v>0</v>
      </c>
      <c r="AT47" s="2"/>
    </row>
    <row r="48" spans="2:46" ht="14.25" customHeight="1" x14ac:dyDescent="0.45">
      <c r="S48" s="10" t="s">
        <v>123</v>
      </c>
      <c r="U48" s="10" t="s">
        <v>73</v>
      </c>
      <c r="V48" s="10" t="s">
        <v>76</v>
      </c>
      <c r="W48" s="10" t="s">
        <v>124</v>
      </c>
      <c r="Z48" s="10" t="s">
        <v>75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107</v>
      </c>
      <c r="AF48" s="21" t="s">
        <v>105</v>
      </c>
      <c r="AG48" s="10" t="s">
        <v>106</v>
      </c>
      <c r="AH48" s="21" t="s">
        <v>144</v>
      </c>
      <c r="AI48" s="2" t="s">
        <v>103</v>
      </c>
      <c r="AK48" s="10" t="s">
        <v>75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107</v>
      </c>
      <c r="AQ48" s="21" t="s">
        <v>105</v>
      </c>
      <c r="AR48" s="10" t="s">
        <v>106</v>
      </c>
      <c r="AS48" s="21" t="s">
        <v>144</v>
      </c>
      <c r="AT48" s="2" t="s">
        <v>103</v>
      </c>
    </row>
    <row r="49" spans="19:48" ht="14.25" customHeight="1" x14ac:dyDescent="0.45">
      <c r="T49" s="10" t="s">
        <v>1</v>
      </c>
      <c r="U49" s="13">
        <f>SUM(Table1[Finishes])</f>
        <v>32</v>
      </c>
      <c r="V49" s="12">
        <f>U49/AA6</f>
        <v>10.666666666666666</v>
      </c>
      <c r="W49" s="20">
        <f>U49/SUM($U$49:$U$51)</f>
        <v>0.56140350877192979</v>
      </c>
      <c r="Z49" s="1" t="s">
        <v>40</v>
      </c>
      <c r="AA49" s="22"/>
      <c r="AB49" s="22"/>
      <c r="AC49" s="22"/>
      <c r="AD49" s="22"/>
      <c r="AE49" s="96"/>
      <c r="AF49" s="96"/>
      <c r="AG49" s="96"/>
      <c r="AH49" s="96"/>
      <c r="AI49" s="22"/>
      <c r="AK49" s="1" t="s">
        <v>40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20</v>
      </c>
      <c r="V50" s="12">
        <f>U50/AA6</f>
        <v>6.666666666666667</v>
      </c>
      <c r="W50" s="20">
        <f>U50/SUM($U$49:$U$51)</f>
        <v>0.35087719298245612</v>
      </c>
      <c r="Z50" s="1" t="s">
        <v>43</v>
      </c>
      <c r="AA50" s="22"/>
      <c r="AB50" s="22"/>
      <c r="AC50" s="22"/>
      <c r="AD50" s="22"/>
      <c r="AE50" s="96"/>
      <c r="AF50" s="96"/>
      <c r="AG50" s="96"/>
      <c r="AH50" s="96"/>
      <c r="AI50" s="22"/>
      <c r="AK50" s="1" t="s">
        <v>43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5</v>
      </c>
      <c r="V51" s="12">
        <f>U51/AA6</f>
        <v>1.6666666666666667</v>
      </c>
      <c r="W51" s="20">
        <f>U51/SUM($U$49:$U$51)</f>
        <v>8.771929824561403E-2</v>
      </c>
      <c r="Z51" s="1" t="s">
        <v>45</v>
      </c>
      <c r="AA51" s="22"/>
      <c r="AB51" s="22"/>
      <c r="AC51" s="22"/>
      <c r="AD51" s="22"/>
      <c r="AE51" s="96"/>
      <c r="AF51" s="96"/>
      <c r="AG51" s="96"/>
      <c r="AH51" s="96"/>
      <c r="AI51" s="22"/>
      <c r="AK51" s="1" t="s">
        <v>45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48</v>
      </c>
      <c r="AA52" s="22"/>
      <c r="AB52" s="22"/>
      <c r="AC52" s="22"/>
      <c r="AD52" s="22"/>
      <c r="AE52" s="96"/>
      <c r="AF52" s="96"/>
      <c r="AG52" s="96"/>
      <c r="AH52" s="96"/>
      <c r="AI52" s="22"/>
      <c r="AK52" s="1" t="s">
        <v>48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113</v>
      </c>
      <c r="Z53" s="1" t="s">
        <v>51</v>
      </c>
      <c r="AA53" s="22"/>
      <c r="AB53" s="22"/>
      <c r="AC53" s="22"/>
      <c r="AD53" s="22"/>
      <c r="AE53" s="96"/>
      <c r="AF53" s="96"/>
      <c r="AG53" s="96"/>
      <c r="AH53" s="96"/>
      <c r="AI53" s="22"/>
      <c r="AK53" s="1" t="s">
        <v>51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181</v>
      </c>
      <c r="U54" s="10" t="s">
        <v>182</v>
      </c>
      <c r="V54" s="10" t="s">
        <v>35</v>
      </c>
      <c r="Z54" s="1" t="s">
        <v>54</v>
      </c>
      <c r="AA54" s="22"/>
      <c r="AB54" s="22"/>
      <c r="AC54" s="22"/>
      <c r="AD54" s="22"/>
      <c r="AE54" s="96"/>
      <c r="AF54" s="96"/>
      <c r="AG54" s="96"/>
      <c r="AH54" s="96"/>
      <c r="AI54" s="22"/>
      <c r="AK54" s="1" t="s">
        <v>54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183</v>
      </c>
      <c r="T55" s="27" t="s">
        <v>114</v>
      </c>
      <c r="U55" s="25">
        <f>'Statistics CT'!L42</f>
        <v>0.25</v>
      </c>
      <c r="V55" s="25">
        <f>'Statistics CT'!O42</f>
        <v>0.1875</v>
      </c>
      <c r="W55" s="25">
        <f>AVERAGE(U55:V55)</f>
        <v>0.21875</v>
      </c>
      <c r="Z55" t="s">
        <v>82</v>
      </c>
      <c r="AA55" s="22"/>
      <c r="AB55" s="22"/>
      <c r="AC55" s="22"/>
      <c r="AD55" s="22"/>
      <c r="AE55" s="96"/>
      <c r="AF55" s="96"/>
      <c r="AG55" s="96"/>
      <c r="AH55" s="96"/>
      <c r="AI55" s="22"/>
      <c r="AK55" t="s">
        <v>82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184</v>
      </c>
      <c r="T56" s="25">
        <f>1-'Statistics CT'!L42</f>
        <v>0.75</v>
      </c>
      <c r="U56" s="27" t="s">
        <v>114</v>
      </c>
      <c r="V56" s="25">
        <f>'Statistics TC'!L42</f>
        <v>0.48</v>
      </c>
      <c r="W56" s="25">
        <f>AVERAGE(T56:V56)</f>
        <v>0.61499999999999999</v>
      </c>
      <c r="Z56" s="1" t="s">
        <v>57</v>
      </c>
      <c r="AA56" s="22"/>
      <c r="AB56" s="22"/>
      <c r="AC56" s="22"/>
      <c r="AD56" s="22"/>
      <c r="AE56" s="96"/>
      <c r="AF56" s="96"/>
      <c r="AG56" s="96"/>
      <c r="AH56" s="96"/>
      <c r="AI56" s="22"/>
      <c r="AK56" s="1" t="s">
        <v>57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185</v>
      </c>
      <c r="T57" s="25">
        <f>1-V55</f>
        <v>0.8125</v>
      </c>
      <c r="U57" s="25">
        <f>1-V56</f>
        <v>0.52</v>
      </c>
      <c r="V57" s="27" t="s">
        <v>114</v>
      </c>
      <c r="W57" s="25">
        <f>AVERAGE(T57:V57)</f>
        <v>0.66625000000000001</v>
      </c>
      <c r="Z57" s="1" t="s">
        <v>59</v>
      </c>
      <c r="AA57" s="22"/>
      <c r="AB57" s="22"/>
      <c r="AC57" s="22"/>
      <c r="AD57" s="22"/>
      <c r="AE57" s="96"/>
      <c r="AF57" s="96"/>
      <c r="AG57" s="96"/>
      <c r="AH57" s="96"/>
      <c r="AI57" s="22"/>
      <c r="AK57" s="1" t="s">
        <v>59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80"/>
      <c r="Z58" s="1" t="s">
        <v>60</v>
      </c>
      <c r="AA58" s="22"/>
      <c r="AB58" s="22"/>
      <c r="AC58" s="22"/>
      <c r="AD58" s="22"/>
      <c r="AE58" s="96"/>
      <c r="AF58" s="96"/>
      <c r="AG58" s="96"/>
      <c r="AH58" s="96"/>
      <c r="AI58" s="22"/>
      <c r="AK58" s="1" t="s">
        <v>60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61</v>
      </c>
      <c r="AA59" s="22"/>
      <c r="AB59" s="22"/>
      <c r="AC59" s="22"/>
      <c r="AD59" s="22"/>
      <c r="AE59" s="96"/>
      <c r="AF59" s="96"/>
      <c r="AG59" s="96"/>
      <c r="AH59" s="96"/>
      <c r="AI59" s="22"/>
      <c r="AK59" s="1" t="s">
        <v>61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158</v>
      </c>
      <c r="AA60" s="22"/>
      <c r="AB60" s="22"/>
      <c r="AC60" s="22"/>
      <c r="AD60" s="22"/>
      <c r="AE60" s="96"/>
      <c r="AF60" s="96"/>
      <c r="AG60" s="96"/>
      <c r="AH60" s="96"/>
      <c r="AI60" s="22"/>
      <c r="AK60" t="s">
        <v>158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111</v>
      </c>
      <c r="AA61" s="22"/>
      <c r="AB61" s="22"/>
      <c r="AC61" s="22"/>
      <c r="AD61" s="22"/>
      <c r="AE61" s="96"/>
      <c r="AF61" s="96"/>
      <c r="AG61" s="96"/>
      <c r="AH61" s="96"/>
      <c r="AI61" s="22"/>
      <c r="AK61" t="s">
        <v>111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110</v>
      </c>
      <c r="AA62" s="22"/>
      <c r="AB62" s="22"/>
      <c r="AC62" s="22"/>
      <c r="AD62" s="22"/>
      <c r="AE62" s="96"/>
      <c r="AF62" s="96"/>
      <c r="AG62" s="96"/>
      <c r="AH62" s="96"/>
      <c r="AI62" s="22"/>
      <c r="AK62" t="s">
        <v>110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65</v>
      </c>
      <c r="AA63" s="22"/>
      <c r="AB63" s="22"/>
      <c r="AC63" s="22"/>
      <c r="AD63" s="22"/>
      <c r="AE63" s="96"/>
      <c r="AF63" s="96"/>
      <c r="AG63" s="96"/>
      <c r="AH63" s="96"/>
      <c r="AI63" s="22"/>
      <c r="AK63" t="s">
        <v>65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66</v>
      </c>
      <c r="AA64" s="22"/>
      <c r="AB64" s="22"/>
      <c r="AC64" s="22"/>
      <c r="AD64" s="22"/>
      <c r="AE64" s="96"/>
      <c r="AF64" s="96"/>
      <c r="AG64" s="96"/>
      <c r="AH64" s="96"/>
      <c r="AI64" s="22"/>
      <c r="AK64" t="s">
        <v>66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96"/>
      <c r="AF65" s="96"/>
      <c r="AG65" s="96"/>
      <c r="AH65" s="96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122</v>
      </c>
      <c r="AA67" s="1">
        <v>0</v>
      </c>
      <c r="AI67" s="2"/>
      <c r="AK67" s="1" t="s">
        <v>126</v>
      </c>
      <c r="AL67" s="1">
        <v>0</v>
      </c>
      <c r="AT67" s="2"/>
    </row>
    <row r="68" spans="18:46" ht="14.25" customHeight="1" x14ac:dyDescent="0.45">
      <c r="Z68" s="10" t="s">
        <v>75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107</v>
      </c>
      <c r="AF68" s="21" t="s">
        <v>105</v>
      </c>
      <c r="AG68" s="10" t="s">
        <v>106</v>
      </c>
      <c r="AH68" s="21" t="s">
        <v>144</v>
      </c>
      <c r="AI68" s="2" t="s">
        <v>103</v>
      </c>
      <c r="AK68" s="10" t="s">
        <v>75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107</v>
      </c>
      <c r="AQ68" s="21" t="s">
        <v>105</v>
      </c>
      <c r="AR68" s="10" t="s">
        <v>106</v>
      </c>
      <c r="AS68" s="21" t="s">
        <v>144</v>
      </c>
      <c r="AT68" s="2" t="s">
        <v>103</v>
      </c>
    </row>
    <row r="69" spans="18:46" ht="14.25" customHeight="1" x14ac:dyDescent="0.45">
      <c r="Z69" s="1" t="s">
        <v>40</v>
      </c>
      <c r="AA69" s="22"/>
      <c r="AB69" s="22"/>
      <c r="AC69" s="22"/>
      <c r="AD69" s="22"/>
      <c r="AE69" s="96"/>
      <c r="AF69" s="96"/>
      <c r="AG69" s="96"/>
      <c r="AH69" s="96"/>
      <c r="AI69" s="22"/>
      <c r="AK69" s="1" t="s">
        <v>40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43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43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45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45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48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48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51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51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54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54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82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82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125</v>
      </c>
      <c r="Z76" s="1" t="s">
        <v>57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57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64</v>
      </c>
      <c r="T77" t="s">
        <v>181</v>
      </c>
      <c r="U77" t="s">
        <v>35</v>
      </c>
      <c r="V77" t="s">
        <v>182</v>
      </c>
      <c r="Z77" s="1" t="s">
        <v>59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59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60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60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61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61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158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158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111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111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110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110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65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65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66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66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4"/>
      <c r="AA86" s="22"/>
      <c r="AB86" s="3"/>
      <c r="AC86" s="6"/>
      <c r="AD86" s="1"/>
      <c r="AE86" s="6"/>
      <c r="AF86" s="1"/>
      <c r="AG86" s="6"/>
      <c r="AH86" s="1"/>
      <c r="AK86" s="44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178</v>
      </c>
      <c r="AA87" s="1">
        <v>0</v>
      </c>
      <c r="AI87" s="2"/>
      <c r="AK87" s="1" t="s">
        <v>159</v>
      </c>
      <c r="AL87" s="1">
        <v>0</v>
      </c>
      <c r="AT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75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107</v>
      </c>
      <c r="AF88" s="21" t="s">
        <v>105</v>
      </c>
      <c r="AG88" s="10" t="s">
        <v>106</v>
      </c>
      <c r="AH88" s="21" t="s">
        <v>144</v>
      </c>
      <c r="AI88" s="2" t="s">
        <v>103</v>
      </c>
      <c r="AK88" s="10" t="s">
        <v>75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107</v>
      </c>
      <c r="AQ88" s="21" t="s">
        <v>105</v>
      </c>
      <c r="AR88" s="10" t="s">
        <v>106</v>
      </c>
      <c r="AS88" s="21" t="s">
        <v>144</v>
      </c>
      <c r="AT88" s="2" t="s">
        <v>103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40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40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43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43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45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45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48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48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51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51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54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54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82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82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57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57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45">
      <c r="S97" s="32"/>
      <c r="Z97" s="1" t="s">
        <v>59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59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45">
      <c r="S98" s="32"/>
      <c r="Z98" s="1" t="s">
        <v>60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60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45">
      <c r="Z99" s="1" t="s">
        <v>61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61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45">
      <c r="Z100" t="s">
        <v>158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158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45">
      <c r="Z101" t="s">
        <v>111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111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45">
      <c r="G102" s="38"/>
      <c r="H102" s="38"/>
      <c r="I102" s="38"/>
      <c r="J102" s="38"/>
      <c r="K102" s="38"/>
      <c r="L102" s="38"/>
      <c r="M102" s="38"/>
      <c r="N102" s="38"/>
      <c r="Q102" s="38"/>
      <c r="R102" s="38"/>
      <c r="S102" s="38"/>
      <c r="T102" s="38"/>
      <c r="U102" s="38"/>
      <c r="V102" s="38"/>
      <c r="W102" s="38"/>
      <c r="Z102" t="s">
        <v>110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110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45">
      <c r="G103" s="38"/>
      <c r="H103" s="39"/>
      <c r="I103" s="39"/>
      <c r="J103" s="39"/>
      <c r="K103" s="39"/>
      <c r="L103" s="39"/>
      <c r="M103" s="39"/>
      <c r="N103" s="39"/>
      <c r="Q103" s="39"/>
      <c r="R103" s="39"/>
      <c r="S103" s="39"/>
      <c r="T103" s="39"/>
      <c r="U103" s="39"/>
      <c r="V103" s="39"/>
      <c r="W103" s="38"/>
      <c r="Z103" t="s">
        <v>65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65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45">
      <c r="G104" s="38"/>
      <c r="H104" s="39"/>
      <c r="I104" s="39"/>
      <c r="J104" s="39"/>
      <c r="K104" s="39"/>
      <c r="L104" s="39"/>
      <c r="M104" s="39"/>
      <c r="N104" s="39"/>
      <c r="Q104" s="39"/>
      <c r="R104" s="39"/>
      <c r="S104" s="39"/>
      <c r="T104" s="39"/>
      <c r="U104" s="39"/>
      <c r="V104" s="39"/>
      <c r="W104" s="38"/>
      <c r="Z104" t="s">
        <v>66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66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45">
      <c r="G105" s="38"/>
      <c r="H105" s="39"/>
      <c r="I105" s="39"/>
      <c r="J105" s="39"/>
      <c r="K105" s="39"/>
      <c r="L105" s="39"/>
      <c r="M105" s="39"/>
      <c r="N105" s="39"/>
      <c r="Q105" s="39"/>
      <c r="R105" s="39"/>
      <c r="S105" s="39"/>
      <c r="T105" s="39"/>
      <c r="U105" s="39"/>
      <c r="V105" s="39"/>
      <c r="W105" s="38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8"/>
      <c r="H106" s="39"/>
      <c r="I106" s="39"/>
      <c r="J106" s="39"/>
      <c r="K106" s="39"/>
      <c r="L106" s="39"/>
      <c r="M106" s="39"/>
      <c r="N106" s="39"/>
      <c r="Q106" s="39"/>
      <c r="R106" s="39"/>
      <c r="S106" s="39"/>
      <c r="T106" s="39"/>
      <c r="U106" s="39"/>
      <c r="V106" s="39"/>
      <c r="W106" s="38"/>
    </row>
    <row r="107" spans="7:46" ht="14.25" customHeight="1" x14ac:dyDescent="0.45">
      <c r="G107" s="38"/>
      <c r="H107" s="39"/>
      <c r="I107" s="39"/>
      <c r="J107" s="39"/>
      <c r="K107" s="39"/>
      <c r="L107" s="39"/>
      <c r="M107" s="39"/>
      <c r="N107" s="39"/>
      <c r="Q107" s="39"/>
      <c r="R107" s="39"/>
      <c r="S107" s="39"/>
      <c r="T107" s="39"/>
      <c r="U107" s="39"/>
      <c r="V107" s="39"/>
      <c r="W107" s="38"/>
    </row>
    <row r="108" spans="7:46" ht="14.25" customHeight="1" x14ac:dyDescent="0.45">
      <c r="G108" s="38"/>
      <c r="H108" s="39"/>
      <c r="I108" s="39"/>
      <c r="J108" s="39"/>
      <c r="K108" s="39"/>
      <c r="L108" s="39"/>
      <c r="M108" s="39"/>
      <c r="N108" s="39"/>
      <c r="Q108" s="39"/>
      <c r="R108" s="39"/>
      <c r="S108" s="39"/>
      <c r="T108" s="39"/>
      <c r="U108" s="39"/>
      <c r="V108" s="39"/>
      <c r="W108" s="38"/>
    </row>
    <row r="109" spans="7:46" ht="14.25" customHeight="1" x14ac:dyDescent="0.45">
      <c r="G109" s="38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8"/>
    </row>
    <row r="110" spans="7:46" ht="14.25" customHeight="1" x14ac:dyDescent="0.45">
      <c r="G110" s="38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8"/>
    </row>
    <row r="111" spans="7:46" ht="14.25" customHeight="1" x14ac:dyDescent="0.45">
      <c r="G111" s="38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8"/>
    </row>
    <row r="112" spans="7:46" ht="14.25" customHeight="1" x14ac:dyDescent="0.45">
      <c r="G112" s="38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8"/>
    </row>
    <row r="113" spans="7:21" ht="14.25" customHeight="1" x14ac:dyDescent="0.45">
      <c r="G113" s="38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8"/>
    </row>
    <row r="114" spans="7:21" ht="14.25" customHeight="1" x14ac:dyDescent="0.45">
      <c r="G114" s="38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8"/>
    </row>
    <row r="115" spans="7:21" ht="14.25" customHeight="1" x14ac:dyDescent="0.45">
      <c r="G115" s="38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8"/>
    </row>
    <row r="116" spans="7:21" ht="14.25" customHeight="1" x14ac:dyDescent="0.45">
      <c r="G116" s="38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8"/>
    </row>
    <row r="117" spans="7:21" ht="14.25" customHeight="1" x14ac:dyDescent="0.45">
      <c r="G117" s="38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8"/>
    </row>
    <row r="118" spans="7:21" ht="14.25" customHeight="1" x14ac:dyDescent="0.45">
      <c r="G118" s="38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8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1" type="noConversion"/>
  <conditionalFormatting sqref="W103:W108 U109:U118">
    <cfRule type="cellIs" dxfId="154" priority="10" operator="lessThan">
      <formula>0</formula>
    </cfRule>
    <cfRule type="cellIs" dxfId="153" priority="11" operator="greaterThan">
      <formula>0</formula>
    </cfRule>
  </conditionalFormatting>
  <conditionalFormatting sqref="AQ8:AQ24">
    <cfRule type="cellIs" dxfId="152" priority="5" operator="equal">
      <formula>$AA$4</formula>
    </cfRule>
    <cfRule type="cellIs" dxfId="151" priority="6" operator="lessThan">
      <formula>$AA$4</formula>
    </cfRule>
    <cfRule type="cellIs" dxfId="150" priority="7" operator="greaterThan">
      <formula>$AA$4</formula>
    </cfRule>
  </conditionalFormatting>
  <conditionalFormatting sqref="AT8:AU24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18" zoomScale="85" zoomScaleNormal="85" workbookViewId="0">
      <selection activeCell="I43" sqref="I43:I46"/>
    </sheetView>
  </sheetViews>
  <sheetFormatPr defaultColWidth="14.33203125" defaultRowHeight="15" customHeight="1" x14ac:dyDescent="0.45"/>
  <cols>
    <col min="1" max="24" width="8.73046875" style="37" customWidth="1"/>
    <col min="25" max="25" width="9.59765625" style="37" customWidth="1"/>
    <col min="26" max="28" width="8.73046875" style="37" customWidth="1"/>
    <col min="29" max="29" width="17.73046875" style="37" customWidth="1"/>
    <col min="30" max="30" width="9.265625" style="37" customWidth="1"/>
    <col min="31" max="31" width="10.265625" style="37" customWidth="1"/>
    <col min="32" max="32" width="11.33203125" style="37" customWidth="1"/>
    <col min="33" max="33" width="12.46484375" style="37" customWidth="1"/>
    <col min="34" max="34" width="11.06640625" style="37" customWidth="1"/>
    <col min="35" max="35" width="11.33203125" style="37" customWidth="1"/>
    <col min="36" max="37" width="10.59765625" style="37" customWidth="1"/>
    <col min="38" max="39" width="14.33203125" style="37" customWidth="1"/>
    <col min="40" max="16384" width="14.33203125" style="37"/>
  </cols>
  <sheetData>
    <row r="1" spans="1:27" ht="14.55" customHeight="1" x14ac:dyDescent="0.45">
      <c r="N1" s="54"/>
    </row>
    <row r="2" spans="1:27" ht="14.55" customHeight="1" x14ac:dyDescent="0.45">
      <c r="B2" s="53" t="s">
        <v>195</v>
      </c>
      <c r="H2" s="54" t="s">
        <v>79</v>
      </c>
      <c r="I2" s="54" t="s">
        <v>80</v>
      </c>
      <c r="J2" s="37" t="s">
        <v>81</v>
      </c>
      <c r="L2" s="54" t="s">
        <v>179</v>
      </c>
      <c r="O2" s="54" t="s">
        <v>180</v>
      </c>
      <c r="R2" s="71" t="s">
        <v>157</v>
      </c>
    </row>
    <row r="3" spans="1:27" ht="14.55" customHeight="1" x14ac:dyDescent="0.4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4">
        <f>SUM(B4:B40)</f>
        <v>7</v>
      </c>
      <c r="I3" s="124">
        <f>SUM(C4:C40)</f>
        <v>32</v>
      </c>
      <c r="J3" s="124">
        <f>SUM(D4:D40)</f>
        <v>4</v>
      </c>
      <c r="L3" s="54" t="s">
        <v>77</v>
      </c>
      <c r="M3" s="54" t="s">
        <v>78</v>
      </c>
      <c r="N3" s="54"/>
      <c r="O3" s="54" t="s">
        <v>77</v>
      </c>
      <c r="P3" s="54" t="s">
        <v>78</v>
      </c>
      <c r="R3" s="72" t="s">
        <v>4</v>
      </c>
      <c r="S3" s="73" t="s">
        <v>0</v>
      </c>
      <c r="T3" s="73" t="s">
        <v>76</v>
      </c>
      <c r="U3" s="73" t="s">
        <v>1</v>
      </c>
      <c r="V3" s="74" t="s">
        <v>71</v>
      </c>
      <c r="W3" s="74" t="s">
        <v>2</v>
      </c>
      <c r="X3" s="74" t="s">
        <v>100</v>
      </c>
      <c r="Y3" s="73" t="s">
        <v>3</v>
      </c>
      <c r="Z3" s="74" t="s">
        <v>101</v>
      </c>
      <c r="AA3" s="74" t="s">
        <v>103</v>
      </c>
    </row>
    <row r="4" spans="1:27" ht="14.55" customHeight="1" x14ac:dyDescent="0.45">
      <c r="A4" s="125" t="str">
        <f>'Stats Global'!B5</f>
        <v>23-October</v>
      </c>
      <c r="B4" s="125">
        <f>'Stats Global'!F5</f>
        <v>4</v>
      </c>
      <c r="C4" s="125">
        <f>'Stats Global'!G5+'Stats Global'!G5</f>
        <v>8</v>
      </c>
      <c r="D4" s="125">
        <f>'Stats Global'!O5</f>
        <v>2</v>
      </c>
      <c r="E4" s="56"/>
      <c r="F4" s="56"/>
      <c r="J4" s="58"/>
      <c r="L4" s="121">
        <f>'Stats Global'!M5</f>
        <v>2</v>
      </c>
      <c r="M4" s="121">
        <f>'Stats Global'!H5</f>
        <v>0</v>
      </c>
      <c r="N4" s="60"/>
      <c r="O4" s="121">
        <f>'Stats Global'!J5</f>
        <v>2</v>
      </c>
      <c r="P4" s="121">
        <f>'Stats Global'!G5</f>
        <v>4</v>
      </c>
      <c r="R4" s="75" t="str">
        <f>'Stats Global'!Z18</f>
        <v>Ryan Pattemore</v>
      </c>
      <c r="S4" s="75">
        <f>'Stats Global'!AA18</f>
        <v>2</v>
      </c>
      <c r="T4" s="75">
        <f>'Stats Global'!AB18</f>
        <v>0.66666666666666663</v>
      </c>
      <c r="U4" s="75">
        <f>'Stats Global'!AC18</f>
        <v>0</v>
      </c>
      <c r="V4" s="75">
        <f>'Stats Global'!AD18</f>
        <v>0</v>
      </c>
      <c r="W4" s="75">
        <f>'Stats Global'!AE18</f>
        <v>2</v>
      </c>
      <c r="X4" s="75">
        <f>'Stats Global'!AF18</f>
        <v>0.66666666666666663</v>
      </c>
      <c r="Y4" s="75">
        <f>'Stats Global'!AG18</f>
        <v>0</v>
      </c>
      <c r="Z4" s="75">
        <f>'Stats Global'!AH18</f>
        <v>0</v>
      </c>
      <c r="AA4" s="75">
        <f>'Stats Global'!AIJ8</f>
        <v>0</v>
      </c>
    </row>
    <row r="5" spans="1:27" ht="14.55" customHeight="1" x14ac:dyDescent="0.45">
      <c r="A5" s="125" t="str">
        <f>'Stats Global'!B6</f>
        <v>24-October</v>
      </c>
      <c r="B5" s="125">
        <f>'Stats Global'!F6</f>
        <v>1</v>
      </c>
      <c r="C5" s="125">
        <f>'Stats Global'!G6+'Stats Global'!G6</f>
        <v>16</v>
      </c>
      <c r="D5" s="125">
        <f>'Stats Global'!O6</f>
        <v>1</v>
      </c>
      <c r="E5" s="56"/>
      <c r="F5" s="56"/>
      <c r="I5" s="54"/>
      <c r="J5" s="58"/>
      <c r="L5" s="82">
        <f>'Stats Global'!J6</f>
        <v>1</v>
      </c>
      <c r="M5" s="82">
        <f>'Stats Global'!G6</f>
        <v>8</v>
      </c>
      <c r="N5" s="60"/>
      <c r="O5" s="82">
        <f>'Stats Global'!M6</f>
        <v>0</v>
      </c>
      <c r="P5" s="82">
        <f>'Stats Global'!H6</f>
        <v>5</v>
      </c>
      <c r="R5" s="58" t="str">
        <f>'Stats Global'!Z22</f>
        <v>Angus Walker</v>
      </c>
      <c r="S5" s="58">
        <f>'Stats Global'!AA22</f>
        <v>2</v>
      </c>
      <c r="T5" s="58">
        <f>'Stats Global'!AB22</f>
        <v>0.66666666666666663</v>
      </c>
      <c r="U5" s="58">
        <f>'Stats Global'!AC22</f>
        <v>0</v>
      </c>
      <c r="V5" s="58">
        <f>'Stats Global'!AD22</f>
        <v>0</v>
      </c>
      <c r="W5" s="58">
        <f>'Stats Global'!AE22</f>
        <v>0</v>
      </c>
      <c r="X5" s="58">
        <f>'Stats Global'!AF22</f>
        <v>0</v>
      </c>
      <c r="Y5" s="58">
        <f>'Stats Global'!AG22</f>
        <v>1</v>
      </c>
      <c r="Z5" s="58">
        <f>'Stats Global'!AH22</f>
        <v>0.33333333333333331</v>
      </c>
      <c r="AA5" s="68">
        <f>'Stats Global'!AJ22</f>
        <v>0</v>
      </c>
    </row>
    <row r="6" spans="1:27" ht="14.55" customHeight="1" x14ac:dyDescent="0.45">
      <c r="A6" s="125" t="str">
        <f>'Stats Global'!B7</f>
        <v>25-October</v>
      </c>
      <c r="B6" s="125">
        <f>'Stats Global'!F7</f>
        <v>2</v>
      </c>
      <c r="C6" s="125">
        <f>'Stats Global'!G7+'Stats Global'!G7</f>
        <v>8</v>
      </c>
      <c r="D6" s="125">
        <f>'Stats Global'!O7</f>
        <v>1</v>
      </c>
      <c r="E6" s="56"/>
      <c r="F6" s="56"/>
      <c r="I6" s="54"/>
      <c r="J6" s="58"/>
      <c r="L6" s="82">
        <f>'Stats Global'!J7</f>
        <v>1</v>
      </c>
      <c r="M6" s="82">
        <f>'Stats Global'!G7</f>
        <v>4</v>
      </c>
      <c r="N6" s="60"/>
      <c r="O6" s="82">
        <f>'Stats Global'!M7</f>
        <v>1</v>
      </c>
      <c r="P6" s="82">
        <f>'Stats Global'!H7</f>
        <v>4</v>
      </c>
      <c r="R6" s="68" t="str">
        <f>'Stats Global'!Z20</f>
        <v>Nicholas Szogi</v>
      </c>
      <c r="S6" s="68">
        <f>'Stats Global'!AA20</f>
        <v>1</v>
      </c>
      <c r="T6" s="68">
        <f>'Stats Global'!AB20</f>
        <v>0.33333333333333331</v>
      </c>
      <c r="U6" s="68">
        <f>'Stats Global'!AC20</f>
        <v>1</v>
      </c>
      <c r="V6" s="68">
        <f>'Stats Global'!AD20</f>
        <v>0.33333333333333331</v>
      </c>
      <c r="W6" s="68">
        <f>'Stats Global'!AE20</f>
        <v>0</v>
      </c>
      <c r="X6" s="68">
        <f>'Stats Global'!AF20</f>
        <v>0</v>
      </c>
      <c r="Y6" s="68">
        <f>'Stats Global'!AG20</f>
        <v>0</v>
      </c>
      <c r="Z6" s="68">
        <f>'Stats Global'!AH20</f>
        <v>0</v>
      </c>
      <c r="AA6" s="68">
        <f>'Stats Global'!AJ20</f>
        <v>0</v>
      </c>
    </row>
    <row r="7" spans="1:27" ht="14.55" customHeight="1" x14ac:dyDescent="0.45">
      <c r="A7" s="52"/>
      <c r="B7" s="57"/>
      <c r="C7" s="57"/>
      <c r="D7" s="57"/>
      <c r="E7" s="56"/>
      <c r="F7" s="56"/>
      <c r="I7" s="54"/>
      <c r="J7" s="58"/>
      <c r="L7" s="59">
        <f>'Stats Global'!J8</f>
        <v>0</v>
      </c>
      <c r="M7" s="59">
        <f>'Stats Global'!G8</f>
        <v>0</v>
      </c>
      <c r="N7" s="60"/>
      <c r="O7" s="59">
        <f>'Stats Global'!M8</f>
        <v>0</v>
      </c>
      <c r="P7" s="59">
        <f>'Stats Global'!H8</f>
        <v>0</v>
      </c>
      <c r="R7" s="58" t="str">
        <f>'Stats Global'!Z14</f>
        <v>Sam James</v>
      </c>
      <c r="S7" s="58">
        <f>'Stats Global'!AA14</f>
        <v>3</v>
      </c>
      <c r="T7" s="58">
        <f>'Stats Global'!AB14</f>
        <v>1</v>
      </c>
      <c r="U7" s="58">
        <f>'Stats Global'!AC14</f>
        <v>2</v>
      </c>
      <c r="V7" s="58">
        <f>'Stats Global'!AD14</f>
        <v>0.66666666666666663</v>
      </c>
      <c r="W7" s="58">
        <f>'Stats Global'!AE14</f>
        <v>1</v>
      </c>
      <c r="X7" s="58">
        <f>'Stats Global'!AF14</f>
        <v>0.33333333333333331</v>
      </c>
      <c r="Y7" s="58">
        <f>'Stats Global'!AG14</f>
        <v>0</v>
      </c>
      <c r="Z7" s="58">
        <f>'Stats Global'!AH14</f>
        <v>0</v>
      </c>
      <c r="AA7" s="68">
        <f>'Stats Global'!AJ14</f>
        <v>0</v>
      </c>
    </row>
    <row r="8" spans="1:27" ht="14.55" customHeight="1" x14ac:dyDescent="0.45">
      <c r="A8" s="52"/>
      <c r="B8" s="57"/>
      <c r="C8" s="57"/>
      <c r="D8" s="57"/>
      <c r="E8" s="56"/>
      <c r="F8" s="56"/>
      <c r="I8" s="54"/>
      <c r="J8" s="58"/>
      <c r="L8" s="59">
        <f>'Stats Global'!J9</f>
        <v>0</v>
      </c>
      <c r="M8" s="59">
        <f>'Stats Global'!G9</f>
        <v>0</v>
      </c>
      <c r="N8" s="60"/>
      <c r="O8" s="59">
        <f>'Stats Global'!M9</f>
        <v>0</v>
      </c>
      <c r="P8" s="59">
        <f>'Stats Global'!H9</f>
        <v>0</v>
      </c>
      <c r="R8" s="58" t="str">
        <f>'Stats Global'!Z12</f>
        <v>Michael Iffland</v>
      </c>
      <c r="S8" s="58">
        <f>'Stats Global'!AA12</f>
        <v>4</v>
      </c>
      <c r="T8" s="58">
        <f>'Stats Global'!AB12</f>
        <v>1.3333333333333333</v>
      </c>
      <c r="U8" s="58">
        <f>'Stats Global'!AC12</f>
        <v>1</v>
      </c>
      <c r="V8" s="58">
        <f>'Stats Global'!AD12</f>
        <v>0.33333333333333331</v>
      </c>
      <c r="W8" s="58">
        <f>'Stats Global'!AE12</f>
        <v>1</v>
      </c>
      <c r="X8" s="58">
        <f>'Stats Global'!AF12</f>
        <v>0.33333333333333331</v>
      </c>
      <c r="Y8" s="58">
        <f>'Stats Global'!AG12</f>
        <v>1</v>
      </c>
      <c r="Z8" s="58">
        <f>'Stats Global'!AH12</f>
        <v>0.33333333333333331</v>
      </c>
      <c r="AA8" s="68">
        <f>'Stats Global'!AJ12</f>
        <v>0</v>
      </c>
    </row>
    <row r="9" spans="1:27" ht="14.55" customHeight="1" x14ac:dyDescent="0.45">
      <c r="A9" s="52"/>
      <c r="B9" s="57"/>
      <c r="C9" s="57"/>
      <c r="D9" s="57"/>
      <c r="E9" s="56"/>
      <c r="F9" s="56"/>
      <c r="I9" s="54"/>
      <c r="J9" s="58"/>
      <c r="L9" s="59">
        <f>'Stats Global'!J10</f>
        <v>0</v>
      </c>
      <c r="M9" s="59">
        <f>'Stats Global'!G10</f>
        <v>0</v>
      </c>
      <c r="N9" s="60"/>
      <c r="O9" s="59">
        <f>'Stats Global'!M10</f>
        <v>0</v>
      </c>
      <c r="P9" s="59">
        <f>'Stats Global'!H10</f>
        <v>0</v>
      </c>
      <c r="S9" s="26"/>
      <c r="T9" s="26"/>
      <c r="U9" s="26"/>
      <c r="V9" s="26"/>
      <c r="W9" s="26"/>
    </row>
    <row r="10" spans="1:27" ht="14.55" customHeight="1" x14ac:dyDescent="0.45">
      <c r="A10" s="52"/>
      <c r="B10" s="57"/>
      <c r="C10" s="57"/>
      <c r="D10" s="57"/>
      <c r="E10" s="56"/>
      <c r="F10" s="56"/>
      <c r="I10" s="54"/>
      <c r="J10" s="58"/>
      <c r="L10" s="59">
        <f>'Stats Global'!J11</f>
        <v>0</v>
      </c>
      <c r="M10" s="59">
        <f>'Stats Global'!G11</f>
        <v>0</v>
      </c>
      <c r="N10" s="60"/>
      <c r="O10" s="59">
        <f>'Stats Global'!M11</f>
        <v>0</v>
      </c>
      <c r="P10" s="59">
        <f>'Stats Global'!H11</f>
        <v>0</v>
      </c>
      <c r="T10" s="26"/>
      <c r="U10" s="26"/>
      <c r="V10" s="26"/>
      <c r="W10" s="26"/>
    </row>
    <row r="11" spans="1:27" ht="14.55" customHeight="1" x14ac:dyDescent="0.45">
      <c r="A11" s="52"/>
      <c r="B11" s="57"/>
      <c r="C11" s="57"/>
      <c r="D11" s="57"/>
      <c r="E11" s="56"/>
      <c r="F11" s="56"/>
      <c r="I11" s="54"/>
      <c r="J11" s="58"/>
      <c r="L11" s="59">
        <f>'Stats Global'!J12</f>
        <v>0</v>
      </c>
      <c r="M11" s="59">
        <f>'Stats Global'!G12</f>
        <v>0</v>
      </c>
      <c r="N11" s="60"/>
      <c r="O11" s="59">
        <f>'Stats Global'!M12</f>
        <v>0</v>
      </c>
      <c r="P11" s="59">
        <f>'Stats Global'!H12</f>
        <v>0</v>
      </c>
      <c r="R11" s="36"/>
      <c r="S11" s="36"/>
    </row>
    <row r="12" spans="1:27" ht="14.55" customHeight="1" x14ac:dyDescent="0.45">
      <c r="A12" s="52"/>
      <c r="B12" s="57"/>
      <c r="C12" s="57"/>
      <c r="D12" s="57"/>
      <c r="E12" s="56"/>
      <c r="F12" s="56"/>
      <c r="I12" s="54"/>
      <c r="J12" s="58"/>
      <c r="L12" s="59">
        <f>'Stats Global'!J13</f>
        <v>0</v>
      </c>
      <c r="M12" s="59">
        <f>'Stats Global'!G13</f>
        <v>0</v>
      </c>
      <c r="N12" s="60"/>
      <c r="O12" s="59">
        <f>'Stats Global'!M13</f>
        <v>0</v>
      </c>
      <c r="P12" s="59">
        <f>'Stats Global'!H13</f>
        <v>0</v>
      </c>
      <c r="T12" s="36"/>
      <c r="U12" s="36"/>
      <c r="V12" s="36"/>
      <c r="W12" s="36"/>
    </row>
    <row r="13" spans="1:27" ht="14.55" customHeight="1" x14ac:dyDescent="0.45">
      <c r="A13" s="52"/>
      <c r="B13" s="57"/>
      <c r="C13" s="57"/>
      <c r="D13" s="57"/>
      <c r="E13" s="56"/>
      <c r="F13" s="56"/>
      <c r="J13" s="58"/>
      <c r="L13" s="59">
        <f>'Stats Global'!J14</f>
        <v>0</v>
      </c>
      <c r="M13" s="59">
        <f>'Stats Global'!G14</f>
        <v>0</v>
      </c>
      <c r="N13" s="60"/>
      <c r="O13" s="59">
        <f>'Stats Global'!M14</f>
        <v>0</v>
      </c>
      <c r="P13" s="59">
        <f>'Stats Global'!H14</f>
        <v>0</v>
      </c>
    </row>
    <row r="14" spans="1:27" ht="14.55" customHeight="1" x14ac:dyDescent="0.45">
      <c r="A14" s="52"/>
      <c r="B14" s="57"/>
      <c r="C14" s="57"/>
      <c r="D14" s="57"/>
      <c r="E14" s="56"/>
      <c r="F14" s="56"/>
      <c r="J14" s="58"/>
      <c r="L14" s="59">
        <f>'Stats Global'!J15</f>
        <v>0</v>
      </c>
      <c r="M14" s="59">
        <f>'Stats Global'!G15</f>
        <v>0</v>
      </c>
      <c r="N14" s="60"/>
      <c r="O14" s="59">
        <f>'Stats Global'!M15</f>
        <v>0</v>
      </c>
      <c r="P14" s="59">
        <f>'Stats Global'!H15</f>
        <v>0</v>
      </c>
    </row>
    <row r="15" spans="1:27" ht="14.55" customHeight="1" x14ac:dyDescent="0.45">
      <c r="A15" s="52"/>
      <c r="B15" s="57"/>
      <c r="C15" s="57"/>
      <c r="D15" s="57"/>
      <c r="E15" s="56"/>
      <c r="F15" s="56"/>
      <c r="J15" s="58"/>
      <c r="L15" s="59">
        <f>'Stats Global'!J16</f>
        <v>0</v>
      </c>
      <c r="M15" s="59">
        <f>'Stats Global'!G16</f>
        <v>0</v>
      </c>
      <c r="N15" s="60"/>
      <c r="O15" s="59">
        <f>'Stats Global'!M16</f>
        <v>0</v>
      </c>
      <c r="P15" s="59">
        <f>'Stats Global'!H16</f>
        <v>0</v>
      </c>
    </row>
    <row r="16" spans="1:27" ht="14.55" customHeight="1" x14ac:dyDescent="0.45">
      <c r="A16" s="52"/>
      <c r="B16" s="57"/>
      <c r="C16" s="57"/>
      <c r="D16" s="57"/>
      <c r="E16" s="56"/>
      <c r="F16" s="56"/>
      <c r="J16" s="58"/>
      <c r="L16" s="59">
        <f>'Stats Global'!J17</f>
        <v>0</v>
      </c>
      <c r="M16" s="59">
        <f>'Stats Global'!G17</f>
        <v>0</v>
      </c>
      <c r="N16" s="60"/>
      <c r="O16" s="59">
        <f>'Stats Global'!M17</f>
        <v>0</v>
      </c>
      <c r="P16" s="59">
        <f>'Stats Global'!H17</f>
        <v>0</v>
      </c>
    </row>
    <row r="17" spans="1:16" ht="14.55" customHeight="1" x14ac:dyDescent="0.45">
      <c r="A17" s="52"/>
      <c r="B17" s="57"/>
      <c r="C17" s="57"/>
      <c r="D17" s="57"/>
      <c r="E17" s="101"/>
      <c r="F17" s="101"/>
      <c r="J17" s="58"/>
      <c r="L17" s="59">
        <f>'Stats Global'!J18</f>
        <v>0</v>
      </c>
      <c r="M17" s="59">
        <f>'Stats Global'!G18</f>
        <v>0</v>
      </c>
      <c r="N17" s="60"/>
      <c r="O17" s="59">
        <f>'Stats Global'!M18</f>
        <v>0</v>
      </c>
      <c r="P17" s="59">
        <f>'Stats Global'!H18</f>
        <v>0</v>
      </c>
    </row>
    <row r="18" spans="1:16" ht="14.55" customHeight="1" x14ac:dyDescent="0.45">
      <c r="A18" s="52"/>
      <c r="B18" s="57"/>
      <c r="C18" s="57"/>
      <c r="D18" s="57"/>
      <c r="E18" s="103"/>
      <c r="F18" s="103"/>
      <c r="J18" s="58"/>
      <c r="L18" s="59">
        <f>'Stats Global'!J19</f>
        <v>0</v>
      </c>
      <c r="M18" s="59">
        <f>'Stats Global'!G19</f>
        <v>0</v>
      </c>
      <c r="N18" s="60"/>
      <c r="O18" s="59">
        <f>'Stats Global'!M19</f>
        <v>0</v>
      </c>
      <c r="P18" s="59">
        <f>'Stats Global'!H19</f>
        <v>0</v>
      </c>
    </row>
    <row r="19" spans="1:16" ht="14.55" customHeight="1" x14ac:dyDescent="0.45">
      <c r="A19" s="52"/>
      <c r="B19" s="57"/>
      <c r="C19" s="57"/>
      <c r="D19" s="57"/>
      <c r="E19" s="104"/>
      <c r="F19" s="104"/>
      <c r="J19" s="58"/>
      <c r="L19" s="59">
        <f>'Stats Global'!J20</f>
        <v>0</v>
      </c>
      <c r="M19" s="59">
        <f>'Stats Global'!G20</f>
        <v>0</v>
      </c>
      <c r="N19" s="60"/>
      <c r="O19" s="59">
        <f>'Stats Global'!M20</f>
        <v>0</v>
      </c>
      <c r="P19" s="59">
        <f>'Stats Global'!H20</f>
        <v>0</v>
      </c>
    </row>
    <row r="20" spans="1:16" ht="14.55" customHeight="1" x14ac:dyDescent="0.45">
      <c r="A20" s="52"/>
      <c r="B20" s="57"/>
      <c r="C20" s="57"/>
      <c r="D20" s="57"/>
      <c r="E20" s="107"/>
      <c r="F20" s="107"/>
      <c r="J20" s="58"/>
      <c r="L20" s="59">
        <f>'Stats Global'!J21</f>
        <v>0</v>
      </c>
      <c r="M20" s="59">
        <f>'Stats Global'!G21</f>
        <v>0</v>
      </c>
      <c r="N20" s="60"/>
      <c r="O20" s="59">
        <f>'Stats Global'!M21</f>
        <v>0</v>
      </c>
      <c r="P20" s="59">
        <f>'Stats Global'!H21</f>
        <v>0</v>
      </c>
    </row>
    <row r="21" spans="1:16" ht="14.55" customHeight="1" x14ac:dyDescent="0.45">
      <c r="A21" s="52"/>
      <c r="B21" s="57"/>
      <c r="C21" s="57"/>
      <c r="D21" s="57"/>
      <c r="E21" s="56"/>
      <c r="F21" s="56"/>
      <c r="J21" s="58"/>
      <c r="L21" s="59">
        <f>'Stats Global'!J22</f>
        <v>0</v>
      </c>
      <c r="M21" s="59">
        <f>'Stats Global'!G22</f>
        <v>0</v>
      </c>
      <c r="N21" s="60"/>
      <c r="O21" s="59">
        <f>'Stats Global'!M22</f>
        <v>0</v>
      </c>
      <c r="P21" s="59">
        <f>'Stats Global'!H22</f>
        <v>0</v>
      </c>
    </row>
    <row r="22" spans="1:16" ht="14.55" customHeight="1" x14ac:dyDescent="0.45">
      <c r="A22" s="52"/>
      <c r="B22" s="57"/>
      <c r="C22" s="57"/>
      <c r="D22" s="57"/>
      <c r="E22" s="56"/>
      <c r="F22" s="56"/>
      <c r="H22" s="62"/>
      <c r="J22" s="58"/>
      <c r="L22" s="59">
        <f>'Stats Global'!J23</f>
        <v>0</v>
      </c>
      <c r="M22" s="59">
        <f>'Stats Global'!G23</f>
        <v>0</v>
      </c>
      <c r="N22" s="60"/>
      <c r="O22" s="59">
        <f>'Stats Global'!M23</f>
        <v>0</v>
      </c>
      <c r="P22" s="59">
        <f>'Stats Global'!H23</f>
        <v>0</v>
      </c>
    </row>
    <row r="23" spans="1:16" ht="14.55" customHeight="1" x14ac:dyDescent="0.45">
      <c r="A23" s="52"/>
      <c r="B23" s="57"/>
      <c r="C23" s="57"/>
      <c r="D23" s="57"/>
      <c r="E23" s="115"/>
      <c r="F23" s="116"/>
      <c r="H23" s="62"/>
      <c r="J23" s="58"/>
      <c r="L23" s="59">
        <f>'Stats Global'!J24</f>
        <v>0</v>
      </c>
      <c r="M23" s="59">
        <f>'Stats Global'!G24</f>
        <v>0</v>
      </c>
      <c r="N23" s="60"/>
      <c r="O23" s="59">
        <f>'Stats Global'!M24</f>
        <v>0</v>
      </c>
      <c r="P23" s="59">
        <f>'Stats Global'!H24</f>
        <v>0</v>
      </c>
    </row>
    <row r="24" spans="1:16" ht="14.55" customHeight="1" x14ac:dyDescent="0.45">
      <c r="A24" s="52"/>
      <c r="B24" s="57"/>
      <c r="C24" s="57"/>
      <c r="D24" s="57"/>
      <c r="E24" s="61"/>
      <c r="F24" s="56"/>
      <c r="H24" s="62"/>
      <c r="J24" s="58"/>
      <c r="L24" s="59">
        <f>'Stats Global'!J25</f>
        <v>0</v>
      </c>
      <c r="M24" s="59">
        <f>'Stats Global'!G25</f>
        <v>0</v>
      </c>
      <c r="N24" s="60"/>
      <c r="O24" s="59">
        <f>'Stats Global'!M25</f>
        <v>0</v>
      </c>
      <c r="P24" s="59">
        <f>'Stats Global'!H25</f>
        <v>0</v>
      </c>
    </row>
    <row r="25" spans="1:16" ht="14.55" customHeight="1" x14ac:dyDescent="0.45">
      <c r="A25" s="52"/>
      <c r="B25" s="57"/>
      <c r="C25" s="57"/>
      <c r="D25" s="57"/>
      <c r="E25" s="61"/>
      <c r="F25" s="56"/>
      <c r="J25" s="58"/>
      <c r="L25" s="59">
        <f>'Stats Global'!J26</f>
        <v>0</v>
      </c>
      <c r="M25" s="59">
        <f>'Stats Global'!G26</f>
        <v>0</v>
      </c>
      <c r="N25" s="60"/>
      <c r="O25" s="59">
        <f>'Stats Global'!M26</f>
        <v>0</v>
      </c>
      <c r="P25" s="59">
        <f>'Stats Global'!H26</f>
        <v>0</v>
      </c>
    </row>
    <row r="26" spans="1:16" ht="14.55" customHeight="1" x14ac:dyDescent="0.45">
      <c r="A26" s="52"/>
      <c r="B26" s="57"/>
      <c r="C26" s="57"/>
      <c r="D26" s="57"/>
      <c r="E26" s="56"/>
      <c r="F26" s="56"/>
      <c r="J26" s="58"/>
      <c r="L26" s="59">
        <f>'Stats Global'!J27</f>
        <v>0</v>
      </c>
      <c r="M26" s="59">
        <f>'Stats Global'!G27</f>
        <v>0</v>
      </c>
      <c r="N26" s="60"/>
      <c r="O26" s="59">
        <f>'Stats Global'!M27</f>
        <v>0</v>
      </c>
      <c r="P26" s="59">
        <f>'Stats Global'!H27</f>
        <v>0</v>
      </c>
    </row>
    <row r="27" spans="1:16" ht="14.55" customHeight="1" x14ac:dyDescent="0.45">
      <c r="A27" s="52"/>
      <c r="B27" s="57"/>
      <c r="C27" s="57"/>
      <c r="D27" s="57"/>
      <c r="E27" s="56"/>
      <c r="F27" s="56"/>
      <c r="J27" s="58"/>
      <c r="L27" s="59">
        <f>'Stats Global'!J28</f>
        <v>0</v>
      </c>
      <c r="M27" s="59">
        <f>'Stats Global'!G28</f>
        <v>0</v>
      </c>
      <c r="N27" s="60"/>
      <c r="O27" s="59">
        <f>'Stats Global'!M28</f>
        <v>0</v>
      </c>
      <c r="P27" s="59">
        <f>'Stats Global'!H28</f>
        <v>0</v>
      </c>
    </row>
    <row r="28" spans="1:16" ht="14.55" customHeight="1" x14ac:dyDescent="0.45">
      <c r="A28" s="52"/>
      <c r="B28" s="57"/>
      <c r="C28" s="57"/>
      <c r="D28" s="57"/>
      <c r="E28" s="56"/>
      <c r="F28" s="56"/>
      <c r="J28" s="58"/>
      <c r="L28" s="59">
        <f>'Stats Global'!J29</f>
        <v>0</v>
      </c>
      <c r="M28" s="59">
        <f>'Stats Global'!G29</f>
        <v>0</v>
      </c>
      <c r="N28" s="60"/>
      <c r="O28" s="59">
        <f>'Stats Global'!M29</f>
        <v>0</v>
      </c>
      <c r="P28" s="59">
        <f>'Stats Global'!H29</f>
        <v>0</v>
      </c>
    </row>
    <row r="29" spans="1:16" ht="14.55" customHeight="1" x14ac:dyDescent="0.45">
      <c r="A29" s="52"/>
      <c r="B29" s="57"/>
      <c r="C29" s="57"/>
      <c r="D29" s="57"/>
      <c r="E29" s="56"/>
      <c r="F29" s="56"/>
      <c r="J29" s="58"/>
      <c r="L29" s="59">
        <f>'Stats Global'!J30</f>
        <v>0</v>
      </c>
      <c r="M29" s="59">
        <f>'Stats Global'!G30</f>
        <v>0</v>
      </c>
      <c r="N29" s="60"/>
      <c r="O29" s="59">
        <f>'Stats Global'!M30</f>
        <v>0</v>
      </c>
      <c r="P29" s="59">
        <f>'Stats Global'!H30</f>
        <v>0</v>
      </c>
    </row>
    <row r="30" spans="1:16" ht="14.55" customHeight="1" x14ac:dyDescent="0.45">
      <c r="A30" s="52"/>
      <c r="B30" s="57"/>
      <c r="C30" s="57"/>
      <c r="D30" s="57"/>
      <c r="E30" s="56"/>
      <c r="F30" s="56"/>
      <c r="L30" s="59">
        <f>'Stats Global'!J31</f>
        <v>0</v>
      </c>
      <c r="M30" s="59">
        <f>'Stats Global'!G31</f>
        <v>0</v>
      </c>
      <c r="N30" s="60"/>
      <c r="O30" s="59">
        <f>'Stats Global'!M31</f>
        <v>0</v>
      </c>
      <c r="P30" s="59">
        <f>'Stats Global'!H31</f>
        <v>0</v>
      </c>
    </row>
    <row r="31" spans="1:16" ht="14.55" customHeight="1" x14ac:dyDescent="0.45">
      <c r="A31" s="52"/>
      <c r="B31" s="57"/>
      <c r="C31" s="57"/>
      <c r="D31" s="57"/>
      <c r="E31" s="56"/>
      <c r="F31" s="56"/>
      <c r="L31" s="59">
        <f>'Stats Global'!J32</f>
        <v>0</v>
      </c>
      <c r="M31" s="59">
        <f>'Stats Global'!G32</f>
        <v>0</v>
      </c>
      <c r="N31" s="60"/>
      <c r="O31" s="59">
        <f>'Stats Global'!M32</f>
        <v>0</v>
      </c>
      <c r="P31" s="59">
        <f>'Stats Global'!H32</f>
        <v>0</v>
      </c>
    </row>
    <row r="32" spans="1:16" ht="14.55" customHeight="1" x14ac:dyDescent="0.45">
      <c r="A32" s="52"/>
      <c r="B32" s="57"/>
      <c r="C32" s="57"/>
      <c r="D32" s="57"/>
      <c r="E32" s="56"/>
      <c r="F32" s="56"/>
      <c r="L32" s="59">
        <f>'Stats Global'!J33</f>
        <v>0</v>
      </c>
      <c r="M32" s="59">
        <f>'Stats Global'!G33</f>
        <v>0</v>
      </c>
      <c r="N32" s="60"/>
      <c r="O32" s="59">
        <f>'Stats Global'!M33</f>
        <v>0</v>
      </c>
      <c r="P32" s="59">
        <f>'Stats Global'!H33</f>
        <v>0</v>
      </c>
    </row>
    <row r="33" spans="1:16" ht="14.55" customHeight="1" x14ac:dyDescent="0.45">
      <c r="A33" s="52"/>
      <c r="B33" s="57"/>
      <c r="C33" s="57"/>
      <c r="D33" s="57"/>
      <c r="E33" s="56"/>
      <c r="F33" s="56"/>
      <c r="L33" s="59">
        <f>'Stats Global'!J34</f>
        <v>0</v>
      </c>
      <c r="M33" s="59">
        <f>'Stats Global'!G34</f>
        <v>0</v>
      </c>
      <c r="N33" s="60"/>
      <c r="O33" s="59">
        <f>'Stats Global'!M34</f>
        <v>0</v>
      </c>
      <c r="P33" s="59">
        <f>'Stats Global'!H34</f>
        <v>0</v>
      </c>
    </row>
    <row r="34" spans="1:16" ht="14.25" customHeight="1" x14ac:dyDescent="0.45">
      <c r="A34" s="52"/>
      <c r="B34" s="57"/>
      <c r="C34" s="57"/>
      <c r="D34" s="57"/>
      <c r="E34" s="56"/>
      <c r="F34" s="56"/>
      <c r="L34" s="59">
        <f>'Stats Global'!J35</f>
        <v>0</v>
      </c>
      <c r="M34" s="59">
        <f>'Stats Global'!G35</f>
        <v>0</v>
      </c>
      <c r="N34" s="60"/>
      <c r="O34" s="59">
        <f>'Stats Global'!M35</f>
        <v>0</v>
      </c>
      <c r="P34" s="59">
        <f>'Stats Global'!H35</f>
        <v>0</v>
      </c>
    </row>
    <row r="35" spans="1:16" ht="14.25" customHeight="1" x14ac:dyDescent="0.45">
      <c r="A35" s="52"/>
      <c r="B35" s="57"/>
      <c r="C35" s="57"/>
      <c r="D35" s="57"/>
      <c r="E35" s="56"/>
      <c r="F35" s="56"/>
      <c r="L35" s="59">
        <f>'Stats Global'!J36</f>
        <v>0</v>
      </c>
      <c r="M35" s="59">
        <f>'Stats Global'!G36</f>
        <v>0</v>
      </c>
      <c r="N35" s="60"/>
      <c r="O35" s="59">
        <f>'Stats Global'!M36</f>
        <v>0</v>
      </c>
      <c r="P35" s="59">
        <f>'Stats Global'!H36</f>
        <v>0</v>
      </c>
    </row>
    <row r="36" spans="1:16" ht="14.25" customHeight="1" x14ac:dyDescent="0.45">
      <c r="A36" s="52"/>
      <c r="B36" s="57"/>
      <c r="C36" s="57"/>
      <c r="D36" s="57"/>
      <c r="E36" s="56"/>
      <c r="F36" s="56"/>
      <c r="L36" s="59">
        <f>'Stats Global'!J37</f>
        <v>0</v>
      </c>
      <c r="M36" s="59">
        <f>'Stats Global'!G37</f>
        <v>0</v>
      </c>
      <c r="N36" s="60"/>
      <c r="O36" s="59">
        <f>'Stats Global'!M37</f>
        <v>0</v>
      </c>
      <c r="P36" s="59">
        <f>'Stats Global'!H37</f>
        <v>0</v>
      </c>
    </row>
    <row r="37" spans="1:16" ht="14.25" customHeight="1" x14ac:dyDescent="0.45">
      <c r="A37" s="52"/>
      <c r="B37" s="57"/>
      <c r="C37" s="57"/>
      <c r="D37" s="57"/>
      <c r="E37" s="56"/>
      <c r="F37" s="56"/>
      <c r="L37" s="59">
        <f>'Stats Global'!J38</f>
        <v>0</v>
      </c>
      <c r="M37" s="59">
        <f>'Stats Global'!G38</f>
        <v>0</v>
      </c>
      <c r="N37" s="60"/>
      <c r="O37" s="59">
        <f>'Stats Global'!M38</f>
        <v>0</v>
      </c>
      <c r="P37" s="59">
        <f>'Stats Global'!H38</f>
        <v>0</v>
      </c>
    </row>
    <row r="38" spans="1:16" ht="14.25" customHeight="1" x14ac:dyDescent="0.45">
      <c r="A38" s="52"/>
      <c r="B38" s="57"/>
      <c r="C38" s="57"/>
      <c r="D38" s="57"/>
      <c r="E38" s="56"/>
      <c r="F38" s="56"/>
      <c r="L38" s="59">
        <f>'Stats Global'!J39</f>
        <v>0</v>
      </c>
      <c r="M38" s="59">
        <f>'Stats Global'!G39</f>
        <v>0</v>
      </c>
      <c r="N38" s="60"/>
      <c r="O38" s="59">
        <f>'Stats Global'!M39</f>
        <v>0</v>
      </c>
      <c r="P38" s="59">
        <f>'Stats Global'!H39</f>
        <v>0</v>
      </c>
    </row>
    <row r="39" spans="1:16" ht="14.25" customHeight="1" x14ac:dyDescent="0.45">
      <c r="A39" s="52"/>
      <c r="B39" s="57"/>
      <c r="C39" s="57"/>
      <c r="D39" s="57"/>
      <c r="E39" s="56"/>
      <c r="F39" s="56"/>
      <c r="L39" s="59">
        <f>'Stats Global'!J40</f>
        <v>0</v>
      </c>
      <c r="M39" s="59">
        <f>'Stats Global'!G40</f>
        <v>0</v>
      </c>
      <c r="N39" s="60"/>
      <c r="O39" s="59">
        <f>'Stats Global'!M40</f>
        <v>0</v>
      </c>
      <c r="P39" s="59">
        <f>'Stats Global'!H40</f>
        <v>0</v>
      </c>
    </row>
    <row r="40" spans="1:16" ht="14.25" customHeight="1" x14ac:dyDescent="0.45">
      <c r="A40" s="52"/>
      <c r="B40" s="57"/>
      <c r="C40" s="57"/>
      <c r="D40" s="57"/>
      <c r="E40" s="56"/>
      <c r="F40" s="56"/>
      <c r="L40" s="59">
        <f>'Stats Global'!J41</f>
        <v>0</v>
      </c>
      <c r="M40" s="59">
        <f>'Stats Global'!G41</f>
        <v>0</v>
      </c>
      <c r="N40" s="60"/>
      <c r="O40" s="59">
        <f>'Stats Global'!M41</f>
        <v>0</v>
      </c>
      <c r="P40" s="59">
        <f>'Stats Global'!H41</f>
        <v>0</v>
      </c>
    </row>
    <row r="41" spans="1:16" ht="14.25" customHeight="1" x14ac:dyDescent="0.45">
      <c r="C41" s="81">
        <f>SUM(B4:B40)/SUM(B4:C40)</f>
        <v>0.17948717948717949</v>
      </c>
      <c r="J41" s="58"/>
      <c r="K41" s="54" t="s">
        <v>83</v>
      </c>
      <c r="L41" s="128">
        <f>SUM(L4:L40)</f>
        <v>4</v>
      </c>
      <c r="M41" s="128">
        <f>SUM(M4:M40)</f>
        <v>12</v>
      </c>
      <c r="N41" s="58"/>
      <c r="O41" s="128">
        <f>SUM(O4:O40)</f>
        <v>3</v>
      </c>
      <c r="P41" s="128">
        <f>SUM(P4:P40)</f>
        <v>13</v>
      </c>
    </row>
    <row r="42" spans="1:16" ht="14.25" customHeight="1" x14ac:dyDescent="0.45">
      <c r="L42" s="63">
        <f>L41/(M41+L41)</f>
        <v>0.25</v>
      </c>
      <c r="O42" s="63">
        <f>O41/(P41+O41)</f>
        <v>0.1875</v>
      </c>
    </row>
    <row r="43" spans="1:16" ht="14.25" customHeight="1" x14ac:dyDescent="0.45">
      <c r="I43" s="64" t="str">
        <f>K43&amp;H3&amp;","&amp;I3&amp;","&amp;J3&amp;"],"</f>
        <v>"PartA":[7,32,4],</v>
      </c>
      <c r="K43" s="37" t="s">
        <v>115</v>
      </c>
      <c r="M43" s="37" t="s">
        <v>119</v>
      </c>
      <c r="O43" s="65">
        <f>ROUND((SUM('Stats Global'!AA8,'Stats Global'!AA9,'Stats Global'!AA16,'Stats Global'!AA21,'Stats Global'!AA22))/'Stats Global'!AA6,1)</f>
        <v>6.7</v>
      </c>
    </row>
    <row r="44" spans="1:16" ht="14.25" customHeight="1" x14ac:dyDescent="0.45">
      <c r="I44" s="37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"PartB":[4,"Michael Iffland",2,"Sam James",2,"Ryan Pattemore",1,"Angus Walker"],</v>
      </c>
      <c r="K44" s="37" t="s">
        <v>116</v>
      </c>
      <c r="M44" s="66">
        <f>MAX(Table1114[Points])</f>
        <v>4</v>
      </c>
      <c r="N44" s="37" t="str">
        <f>IF(M44&lt;&gt;0,IF(M44=S4,R4,IF(M44=S5,R5,IF(S6=M44,R6,IF(S7=M44,R7,R8)))),"N/A")</f>
        <v>Michael Iffland</v>
      </c>
      <c r="O44" s="65">
        <f>ROUND(SUM('Stats Global'!AC8,'Stats Global'!AC9,'Stats Global'!AC16,'Stats Global'!AC21,'Stats Global'!AC22)/'Stats Global'!AA6,1)</f>
        <v>3</v>
      </c>
    </row>
    <row r="45" spans="1:16" ht="14.25" customHeight="1" x14ac:dyDescent="0.45">
      <c r="I45" s="37" t="str">
        <f>K45&amp;O43&amp;","&amp;O44&amp;","&amp;O45&amp;","&amp;O46&amp;","&amp;O47&amp;","&amp;O48&amp;"],"</f>
        <v>"PartC":[6.7,3,2.3,0.7,2.3,10.7],</v>
      </c>
      <c r="K45" s="37" t="s">
        <v>117</v>
      </c>
      <c r="M45" s="66">
        <f>MAX(Table1114[Finishes])</f>
        <v>2</v>
      </c>
      <c r="N45" s="71" t="str">
        <f>IF(M45&lt;&gt;0,IF(M45=U4,R4,IF(M45=U5,R5,IF(U6=M45,R6,IF(U7=M45,R7,R8)))),"N/A")</f>
        <v>Sam James</v>
      </c>
      <c r="O45" s="65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37" t="str">
        <f>K46&amp;L41&amp;","&amp;M41&amp;","&amp;ROUND(L42*100,1)&amp;","&amp;O41&amp;","&amp;P41&amp;","&amp;ROUND(O42*100,1)&amp;"],"</f>
        <v>"PartD":[4,12,25,3,13,18.8],</v>
      </c>
      <c r="K46" s="37" t="s">
        <v>118</v>
      </c>
      <c r="M46" s="66">
        <f>MAX(Table1114[Midranges])</f>
        <v>2</v>
      </c>
      <c r="N46" s="71" t="str">
        <f>IF(M46&lt;&gt;0,IF(M46=W4,R4,IF(M46=W5,R5,IF(W6=M46,R6,IF(W7=M46,R7,R8)))),"N/A")</f>
        <v>Ryan Pattemore</v>
      </c>
      <c r="O46" s="65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66">
        <f>MAX(Table1114[Threes])</f>
        <v>1</v>
      </c>
      <c r="N47" s="37" t="str">
        <f>IF(M47&lt;&gt;0,IF(M47=Y4,R4,IF(M47=Y5,R5,IF(Y6=M47,R6,IF(Y7=M47,R7,R8)))),"N/A")</f>
        <v>Angus Walker</v>
      </c>
      <c r="O47" s="37">
        <f>ROUND(H3/'Stats Global'!AA6,1)</f>
        <v>2.2999999999999998</v>
      </c>
    </row>
    <row r="48" spans="1:16" ht="14.25" customHeight="1" x14ac:dyDescent="0.45">
      <c r="O48" s="37">
        <f>ROUND(I3/'Stats Global'!AA6,1)</f>
        <v>10.7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3203125" defaultRowHeight="15" customHeight="1" x14ac:dyDescent="0.45"/>
  <cols>
    <col min="1" max="32" width="8.73046875" style="37" customWidth="1"/>
    <col min="33" max="16384" width="14.33203125" style="37"/>
  </cols>
  <sheetData>
    <row r="1" spans="1:24" ht="14.25" customHeight="1" x14ac:dyDescent="0.45"/>
    <row r="2" spans="1:24" ht="14.25" customHeight="1" x14ac:dyDescent="0.45">
      <c r="B2" s="53" t="s">
        <v>196</v>
      </c>
      <c r="H2" s="54" t="s">
        <v>79</v>
      </c>
      <c r="I2" s="54" t="s">
        <v>80</v>
      </c>
      <c r="J2" s="37" t="s">
        <v>81</v>
      </c>
      <c r="L2" s="54" t="s">
        <v>180</v>
      </c>
      <c r="O2" s="71" t="s">
        <v>157</v>
      </c>
    </row>
    <row r="3" spans="1:24" ht="14.25" customHeight="1" x14ac:dyDescent="0.4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7">
        <f>SUM(B4:B40)</f>
        <v>17</v>
      </c>
      <c r="I3" s="127">
        <f>SUM(C4:C40)</f>
        <v>20</v>
      </c>
      <c r="J3" s="127">
        <f>SUM(D4:D40)</f>
        <v>6</v>
      </c>
      <c r="L3" s="54" t="s">
        <v>77</v>
      </c>
      <c r="M3" s="54" t="s">
        <v>78</v>
      </c>
      <c r="N3" s="54"/>
      <c r="O3" s="72" t="s">
        <v>4</v>
      </c>
      <c r="P3" s="73" t="s">
        <v>0</v>
      </c>
      <c r="Q3" s="73" t="s">
        <v>76</v>
      </c>
      <c r="R3" s="73" t="s">
        <v>1</v>
      </c>
      <c r="S3" s="74" t="s">
        <v>71</v>
      </c>
      <c r="T3" s="74" t="s">
        <v>2</v>
      </c>
      <c r="U3" s="74" t="s">
        <v>100</v>
      </c>
      <c r="V3" s="73" t="s">
        <v>3</v>
      </c>
      <c r="W3" s="74" t="s">
        <v>101</v>
      </c>
      <c r="X3" s="74" t="s">
        <v>103</v>
      </c>
    </row>
    <row r="4" spans="1:24" ht="14.25" customHeight="1" x14ac:dyDescent="0.45">
      <c r="A4" s="125" t="str">
        <f>'Stats Global'!B5</f>
        <v>23-October</v>
      </c>
      <c r="B4" s="126">
        <f>'Stats Global'!L5</f>
        <v>0</v>
      </c>
      <c r="C4" s="126">
        <f>'Stats Global'!M5+'Stats Global'!N5</f>
        <v>7</v>
      </c>
      <c r="D4" s="126">
        <f>'Stats Global'!Q5</f>
        <v>1</v>
      </c>
      <c r="E4" s="56"/>
      <c r="F4" s="56"/>
      <c r="L4" s="123">
        <f>'Stats Global'!L5</f>
        <v>0</v>
      </c>
      <c r="M4" s="123">
        <f>'Stats Global'!N5</f>
        <v>5</v>
      </c>
      <c r="N4" s="60"/>
      <c r="O4" s="58" t="str">
        <f>'Stats Global'!Z15</f>
        <v>Clarrie Jones</v>
      </c>
      <c r="P4" s="58">
        <f>'Stats Global'!AA15</f>
        <v>5</v>
      </c>
      <c r="Q4" s="58">
        <f>'Stats Global'!AB15</f>
        <v>1.6666666666666667</v>
      </c>
      <c r="R4" s="58">
        <f>'Stats Global'!AC15</f>
        <v>2</v>
      </c>
      <c r="S4" s="58">
        <f>'Stats Global'!AD15</f>
        <v>0.66666666666666663</v>
      </c>
      <c r="T4" s="58">
        <f>'Stats Global'!AE15</f>
        <v>1</v>
      </c>
      <c r="U4" s="58">
        <f>'Stats Global'!AF15</f>
        <v>0.33333333333333331</v>
      </c>
      <c r="V4" s="58">
        <f>'Stats Global'!AG15</f>
        <v>1</v>
      </c>
      <c r="W4" s="58">
        <f>'Stats Global'!AH15</f>
        <v>0.33333333333333331</v>
      </c>
      <c r="X4" s="68">
        <f>'Stats Global'!AJ15</f>
        <v>0</v>
      </c>
    </row>
    <row r="5" spans="1:24" ht="14.25" customHeight="1" x14ac:dyDescent="0.45">
      <c r="A5" s="125" t="str">
        <f>'Stats Global'!B6</f>
        <v>24-October</v>
      </c>
      <c r="B5" s="126">
        <f>'Stats Global'!L6</f>
        <v>9</v>
      </c>
      <c r="C5" s="126">
        <f>'Stats Global'!M6+'Stats Global'!N6</f>
        <v>9</v>
      </c>
      <c r="D5" s="126">
        <f>'Stats Global'!Q6</f>
        <v>2</v>
      </c>
      <c r="E5" s="56"/>
      <c r="F5" s="56"/>
      <c r="J5" s="58"/>
      <c r="L5" s="82">
        <f>'Stats Global'!N6</f>
        <v>9</v>
      </c>
      <c r="M5" s="82">
        <f>'Stats Global'!K6</f>
        <v>4</v>
      </c>
      <c r="N5" s="60"/>
      <c r="O5" s="58" t="str">
        <f>'Stats Global'!Z8</f>
        <v>Jasper Collier</v>
      </c>
      <c r="P5" s="58">
        <f>'Stats Global'!AA8</f>
        <v>0</v>
      </c>
      <c r="Q5" s="58">
        <f>'Stats Global'!AB8</f>
        <v>0</v>
      </c>
      <c r="R5" s="58">
        <f>'Stats Global'!AC8</f>
        <v>0</v>
      </c>
      <c r="S5" s="58">
        <f>'Stats Global'!AD8</f>
        <v>0</v>
      </c>
      <c r="T5" s="58">
        <f>'Stats Global'!AE8</f>
        <v>0</v>
      </c>
      <c r="U5" s="58">
        <f>'Stats Global'!AF8</f>
        <v>0</v>
      </c>
      <c r="V5" s="58">
        <f>'Stats Global'!AG8</f>
        <v>0</v>
      </c>
      <c r="W5" s="58">
        <f>'Stats Global'!AH8</f>
        <v>0</v>
      </c>
      <c r="X5" s="68">
        <f>'Stats Global'!AJ8</f>
        <v>0</v>
      </c>
    </row>
    <row r="6" spans="1:24" ht="14.25" customHeight="1" x14ac:dyDescent="0.45">
      <c r="A6" s="125" t="str">
        <f>'Stats Global'!B7</f>
        <v>25-October</v>
      </c>
      <c r="B6" s="126">
        <f>'Stats Global'!L7</f>
        <v>8</v>
      </c>
      <c r="C6" s="126">
        <f>'Stats Global'!M7+'Stats Global'!N7</f>
        <v>4</v>
      </c>
      <c r="D6" s="126">
        <f>'Stats Global'!Q7</f>
        <v>3</v>
      </c>
      <c r="E6" s="56"/>
      <c r="F6" s="56"/>
      <c r="I6" s="54"/>
      <c r="J6" s="58"/>
      <c r="L6" s="82">
        <f>'Stats Global'!N7</f>
        <v>3</v>
      </c>
      <c r="M6" s="82">
        <f>'Stats Global'!K7</f>
        <v>4</v>
      </c>
      <c r="N6" s="60"/>
      <c r="O6" s="58" t="str">
        <f>'Stats Global'!Z17</f>
        <v>Samuel McConaghy</v>
      </c>
      <c r="P6" s="58">
        <f>'Stats Global'!AA17</f>
        <v>6</v>
      </c>
      <c r="Q6" s="58">
        <f>'Stats Global'!AB17</f>
        <v>2</v>
      </c>
      <c r="R6" s="58">
        <f>'Stats Global'!AC17</f>
        <v>0</v>
      </c>
      <c r="S6" s="58">
        <f>'Stats Global'!AD17</f>
        <v>0</v>
      </c>
      <c r="T6" s="58">
        <f>'Stats Global'!AE17</f>
        <v>6</v>
      </c>
      <c r="U6" s="58">
        <f>'Stats Global'!AF17</f>
        <v>2</v>
      </c>
      <c r="V6" s="58">
        <f>'Stats Global'!AG17</f>
        <v>0</v>
      </c>
      <c r="W6" s="58">
        <f>'Stats Global'!AH17</f>
        <v>0</v>
      </c>
      <c r="X6" s="68">
        <f>'Stats Global'!AJ17</f>
        <v>0</v>
      </c>
    </row>
    <row r="7" spans="1:24" ht="14.25" customHeight="1" x14ac:dyDescent="0.45">
      <c r="A7" s="52"/>
      <c r="B7" s="57"/>
      <c r="C7" s="57"/>
      <c r="D7" s="57"/>
      <c r="E7" s="56"/>
      <c r="F7" s="56"/>
      <c r="I7" s="54"/>
      <c r="J7" s="58"/>
      <c r="L7" s="59">
        <f>'Stats Global'!N8</f>
        <v>0</v>
      </c>
      <c r="M7" s="59">
        <f>'Stats Global'!K8</f>
        <v>0</v>
      </c>
      <c r="N7" s="60"/>
      <c r="O7" s="58" t="str">
        <f>'Stats Global'!Z16</f>
        <v>William Kim</v>
      </c>
      <c r="P7" s="58">
        <f>'Stats Global'!AA16</f>
        <v>5</v>
      </c>
      <c r="Q7" s="58">
        <f>'Stats Global'!AB16</f>
        <v>1.6666666666666667</v>
      </c>
      <c r="R7" s="58">
        <f>'Stats Global'!AC16</f>
        <v>2</v>
      </c>
      <c r="S7" s="58">
        <f>'Stats Global'!AD16</f>
        <v>0.66666666666666663</v>
      </c>
      <c r="T7" s="58">
        <f>'Stats Global'!AE16</f>
        <v>1</v>
      </c>
      <c r="U7" s="58">
        <f>'Stats Global'!AF16</f>
        <v>0.33333333333333331</v>
      </c>
      <c r="V7" s="58">
        <f>'Stats Global'!AG16</f>
        <v>1</v>
      </c>
      <c r="W7" s="58">
        <f>'Stats Global'!AH16</f>
        <v>0.33333333333333331</v>
      </c>
      <c r="X7" s="68">
        <f>'Stats Global'!AJ16</f>
        <v>0</v>
      </c>
    </row>
    <row r="8" spans="1:24" ht="14.25" customHeight="1" x14ac:dyDescent="0.45">
      <c r="A8" s="52"/>
      <c r="B8" s="57"/>
      <c r="C8" s="57"/>
      <c r="D8" s="57"/>
      <c r="E8" s="56"/>
      <c r="F8" s="56"/>
      <c r="I8" s="54"/>
      <c r="J8" s="58"/>
      <c r="L8" s="59">
        <f>'Stats Global'!N9</f>
        <v>0</v>
      </c>
      <c r="M8" s="59">
        <f>'Stats Global'!K9</f>
        <v>0</v>
      </c>
      <c r="N8" s="60"/>
      <c r="O8" s="58" t="str">
        <f>'Stats Global'!Z21</f>
        <v>Christopher Tomkinson</v>
      </c>
      <c r="P8" s="58">
        <f>'Stats Global'!AA21</f>
        <v>6</v>
      </c>
      <c r="Q8" s="58">
        <f>'Stats Global'!AB21</f>
        <v>2</v>
      </c>
      <c r="R8" s="58">
        <f>'Stats Global'!AC21</f>
        <v>5</v>
      </c>
      <c r="S8" s="58">
        <f>'Stats Global'!AD21</f>
        <v>1.6666666666666667</v>
      </c>
      <c r="T8" s="58">
        <f>'Stats Global'!AE21</f>
        <v>1</v>
      </c>
      <c r="U8" s="58">
        <f>'Stats Global'!AF21</f>
        <v>0.33333333333333331</v>
      </c>
      <c r="V8" s="58">
        <f>'Stats Global'!AG21</f>
        <v>0</v>
      </c>
      <c r="W8" s="58">
        <f>'Stats Global'!AH21</f>
        <v>0</v>
      </c>
      <c r="X8" s="68">
        <f>'Stats Global'!AJ21</f>
        <v>0</v>
      </c>
    </row>
    <row r="9" spans="1:24" ht="14.25" customHeight="1" x14ac:dyDescent="0.45">
      <c r="A9" s="52"/>
      <c r="B9" s="57"/>
      <c r="C9" s="57"/>
      <c r="D9" s="57"/>
      <c r="E9" s="56"/>
      <c r="F9" s="56"/>
      <c r="I9" s="54"/>
      <c r="J9" s="58"/>
      <c r="L9" s="59">
        <f>'Stats Global'!N10</f>
        <v>0</v>
      </c>
      <c r="M9" s="59">
        <f>'Stats Global'!K10</f>
        <v>0</v>
      </c>
      <c r="N9" s="60"/>
      <c r="O9" s="58"/>
      <c r="P9" s="78"/>
      <c r="Q9" s="78"/>
      <c r="R9" s="78"/>
      <c r="S9" s="78"/>
      <c r="T9" s="78"/>
      <c r="U9" s="78"/>
      <c r="V9" s="78"/>
      <c r="W9" s="78"/>
      <c r="X9" s="78"/>
    </row>
    <row r="10" spans="1:24" ht="14.25" customHeight="1" x14ac:dyDescent="0.45">
      <c r="A10" s="52"/>
      <c r="B10" s="57"/>
      <c r="C10" s="57"/>
      <c r="D10" s="57"/>
      <c r="E10" s="56"/>
      <c r="F10" s="56"/>
      <c r="I10" s="54"/>
      <c r="J10" s="58"/>
      <c r="L10" s="59">
        <f>'Stats Global'!N11</f>
        <v>0</v>
      </c>
      <c r="M10" s="59">
        <f>'Stats Global'!K11</f>
        <v>0</v>
      </c>
      <c r="N10" s="60"/>
      <c r="O10" s="58"/>
      <c r="P10" s="78"/>
      <c r="Q10" s="78"/>
      <c r="R10" s="78"/>
      <c r="S10" s="78"/>
      <c r="T10" s="78"/>
      <c r="U10" s="78"/>
      <c r="V10" s="78"/>
      <c r="W10" s="78"/>
      <c r="X10" s="78"/>
    </row>
    <row r="11" spans="1:24" ht="14.25" customHeight="1" x14ac:dyDescent="0.45">
      <c r="A11" s="52"/>
      <c r="B11" s="57"/>
      <c r="C11" s="57"/>
      <c r="D11" s="57"/>
      <c r="E11" s="56"/>
      <c r="F11" s="56"/>
      <c r="I11" s="54"/>
      <c r="J11" s="58"/>
      <c r="L11" s="59">
        <f>'Stats Global'!N12</f>
        <v>0</v>
      </c>
      <c r="M11" s="59">
        <f>'Stats Global'!K12</f>
        <v>0</v>
      </c>
      <c r="N11" s="60"/>
      <c r="O11" s="58"/>
      <c r="W11" s="58"/>
      <c r="X11" s="58"/>
    </row>
    <row r="12" spans="1:24" ht="14.25" customHeight="1" x14ac:dyDescent="0.45">
      <c r="A12" s="52"/>
      <c r="B12" s="57"/>
      <c r="C12" s="57"/>
      <c r="D12" s="57"/>
      <c r="E12" s="56"/>
      <c r="F12" s="56"/>
      <c r="I12" s="54"/>
      <c r="J12" s="58"/>
      <c r="L12" s="59">
        <f>'Stats Global'!N13</f>
        <v>0</v>
      </c>
      <c r="M12" s="59">
        <f>'Stats Global'!K13</f>
        <v>0</v>
      </c>
      <c r="N12" s="60"/>
      <c r="O12" s="58"/>
      <c r="W12" s="58"/>
      <c r="X12" s="58"/>
    </row>
    <row r="13" spans="1:24" ht="14.25" customHeight="1" x14ac:dyDescent="0.45">
      <c r="A13" s="52"/>
      <c r="B13" s="57"/>
      <c r="C13" s="57"/>
      <c r="D13" s="57"/>
      <c r="E13" s="56"/>
      <c r="F13" s="56"/>
      <c r="I13" s="54"/>
      <c r="J13" s="58"/>
      <c r="L13" s="59">
        <f>'Stats Global'!N14</f>
        <v>0</v>
      </c>
      <c r="M13" s="59">
        <f>'Stats Global'!K14</f>
        <v>0</v>
      </c>
      <c r="N13" s="60"/>
      <c r="O13" s="58"/>
      <c r="W13" s="58"/>
      <c r="X13" s="58"/>
    </row>
    <row r="14" spans="1:24" ht="14.25" customHeight="1" x14ac:dyDescent="0.45">
      <c r="A14" s="52"/>
      <c r="B14" s="57"/>
      <c r="C14" s="57"/>
      <c r="D14" s="57"/>
      <c r="E14" s="56"/>
      <c r="F14" s="56"/>
      <c r="J14" s="58"/>
      <c r="L14" s="59">
        <f>'Stats Global'!N15</f>
        <v>0</v>
      </c>
      <c r="M14" s="59">
        <f>'Stats Global'!K15</f>
        <v>0</v>
      </c>
      <c r="N14" s="60"/>
      <c r="O14" s="58"/>
      <c r="W14" s="58"/>
      <c r="X14" s="58"/>
    </row>
    <row r="15" spans="1:24" ht="14.25" customHeight="1" x14ac:dyDescent="0.45">
      <c r="A15" s="52"/>
      <c r="B15" s="57"/>
      <c r="C15" s="57"/>
      <c r="D15" s="57"/>
      <c r="E15" s="56"/>
      <c r="F15" s="56"/>
      <c r="J15" s="58"/>
      <c r="L15" s="59">
        <f>'Stats Global'!N16</f>
        <v>0</v>
      </c>
      <c r="M15" s="59">
        <f>'Stats Global'!K16</f>
        <v>0</v>
      </c>
      <c r="N15" s="60"/>
      <c r="O15" s="58"/>
      <c r="W15" s="58"/>
      <c r="X15" s="58"/>
    </row>
    <row r="16" spans="1:24" ht="14.25" customHeight="1" x14ac:dyDescent="0.45">
      <c r="A16" s="52"/>
      <c r="B16" s="57"/>
      <c r="C16" s="57"/>
      <c r="D16" s="57"/>
      <c r="E16" s="56"/>
      <c r="F16" s="56"/>
      <c r="J16" s="58"/>
      <c r="L16" s="59">
        <f>'Stats Global'!N17</f>
        <v>0</v>
      </c>
      <c r="M16" s="59">
        <f>'Stats Global'!K17</f>
        <v>0</v>
      </c>
      <c r="N16" s="60"/>
      <c r="O16" s="58"/>
      <c r="W16" s="58"/>
      <c r="X16" s="58"/>
    </row>
    <row r="17" spans="1:24" ht="14.25" customHeight="1" x14ac:dyDescent="0.45">
      <c r="A17" s="52"/>
      <c r="B17" s="57"/>
      <c r="C17" s="57"/>
      <c r="D17" s="57"/>
      <c r="E17" s="101"/>
      <c r="F17" s="101"/>
      <c r="J17" s="58"/>
      <c r="L17" s="59">
        <f>'Stats Global'!N18</f>
        <v>0</v>
      </c>
      <c r="M17" s="59">
        <f>'Stats Global'!K18</f>
        <v>0</v>
      </c>
      <c r="N17" s="58"/>
      <c r="O17" s="58"/>
      <c r="W17" s="58"/>
      <c r="X17" s="58"/>
    </row>
    <row r="18" spans="1:24" ht="14.25" customHeight="1" x14ac:dyDescent="0.45">
      <c r="A18" s="52"/>
      <c r="B18" s="57"/>
      <c r="C18" s="57"/>
      <c r="D18" s="57"/>
      <c r="E18" s="103"/>
      <c r="F18" s="103"/>
      <c r="J18" s="58"/>
      <c r="L18" s="59">
        <f>'Stats Global'!N19</f>
        <v>0</v>
      </c>
      <c r="M18" s="59">
        <f>'Stats Global'!K19</f>
        <v>0</v>
      </c>
      <c r="N18" s="58"/>
      <c r="O18" s="58"/>
      <c r="W18" s="58"/>
      <c r="X18" s="58"/>
    </row>
    <row r="19" spans="1:24" ht="14.25" customHeight="1" x14ac:dyDescent="0.45">
      <c r="A19" s="52"/>
      <c r="B19" s="57"/>
      <c r="C19" s="57"/>
      <c r="D19" s="57"/>
      <c r="E19" s="104"/>
      <c r="F19" s="104"/>
      <c r="J19" s="58"/>
      <c r="L19" s="59">
        <f>'Stats Global'!N20</f>
        <v>0</v>
      </c>
      <c r="M19" s="59">
        <f>'Stats Global'!K20</f>
        <v>0</v>
      </c>
      <c r="N19" s="58"/>
      <c r="O19" s="58"/>
      <c r="W19" s="58"/>
      <c r="X19" s="58"/>
    </row>
    <row r="20" spans="1:24" ht="14.25" customHeight="1" x14ac:dyDescent="0.45">
      <c r="A20" s="52"/>
      <c r="B20" s="57"/>
      <c r="C20" s="57"/>
      <c r="D20" s="57"/>
      <c r="E20" s="107"/>
      <c r="F20" s="107"/>
      <c r="J20" s="58"/>
      <c r="L20" s="59">
        <f>'Stats Global'!N21</f>
        <v>0</v>
      </c>
      <c r="M20" s="59">
        <f>'Stats Global'!K21</f>
        <v>0</v>
      </c>
      <c r="N20" s="58"/>
      <c r="O20" s="58"/>
      <c r="W20" s="58"/>
      <c r="X20" s="58"/>
    </row>
    <row r="21" spans="1:24" ht="14.25" customHeight="1" x14ac:dyDescent="0.45">
      <c r="A21" s="52"/>
      <c r="B21" s="57"/>
      <c r="C21" s="57"/>
      <c r="D21" s="57"/>
      <c r="E21" s="56"/>
      <c r="F21" s="56"/>
      <c r="J21" s="58"/>
      <c r="L21" s="59">
        <f>'Stats Global'!N22</f>
        <v>0</v>
      </c>
      <c r="M21" s="59">
        <f>'Stats Global'!K22</f>
        <v>0</v>
      </c>
      <c r="N21" s="58"/>
      <c r="O21" s="58"/>
      <c r="W21" s="58"/>
      <c r="X21" s="58"/>
    </row>
    <row r="22" spans="1:24" ht="14.25" customHeight="1" x14ac:dyDescent="0.45">
      <c r="A22" s="52"/>
      <c r="B22" s="57"/>
      <c r="C22" s="57"/>
      <c r="D22" s="57"/>
      <c r="E22" s="56"/>
      <c r="F22" s="56"/>
      <c r="J22" s="58"/>
      <c r="L22" s="59">
        <f>'Stats Global'!N23</f>
        <v>0</v>
      </c>
      <c r="M22" s="59">
        <f>'Stats Global'!K23</f>
        <v>0</v>
      </c>
      <c r="N22" s="58"/>
      <c r="O22" s="58"/>
      <c r="W22" s="58"/>
      <c r="X22" s="58"/>
    </row>
    <row r="23" spans="1:24" ht="14.25" customHeight="1" x14ac:dyDescent="0.45">
      <c r="A23" s="52"/>
      <c r="B23" s="57"/>
      <c r="C23" s="57"/>
      <c r="D23" s="57"/>
      <c r="E23" s="115"/>
      <c r="F23" s="116"/>
      <c r="H23" s="62"/>
      <c r="J23" s="58"/>
      <c r="L23" s="59">
        <f>'Stats Global'!N24</f>
        <v>0</v>
      </c>
      <c r="M23" s="59">
        <f>'Stats Global'!K24</f>
        <v>0</v>
      </c>
      <c r="N23" s="58"/>
      <c r="O23" s="58"/>
      <c r="W23" s="58"/>
      <c r="X23" s="58"/>
    </row>
    <row r="24" spans="1:24" ht="14.25" customHeight="1" x14ac:dyDescent="0.45">
      <c r="A24" s="52"/>
      <c r="B24" s="57"/>
      <c r="C24" s="57"/>
      <c r="D24" s="57"/>
      <c r="E24" s="61"/>
      <c r="F24" s="56"/>
      <c r="H24" s="62"/>
      <c r="J24" s="58"/>
      <c r="L24" s="59">
        <f>'Stats Global'!N25</f>
        <v>0</v>
      </c>
      <c r="M24" s="59">
        <f>'Stats Global'!K25</f>
        <v>0</v>
      </c>
      <c r="N24" s="58"/>
      <c r="O24" s="58"/>
      <c r="W24" s="58"/>
      <c r="X24" s="58"/>
    </row>
    <row r="25" spans="1:24" ht="14.25" customHeight="1" x14ac:dyDescent="0.45">
      <c r="A25" s="52"/>
      <c r="B25" s="57"/>
      <c r="C25" s="57"/>
      <c r="D25" s="57"/>
      <c r="E25" s="61"/>
      <c r="F25" s="56"/>
      <c r="H25" s="62"/>
      <c r="J25" s="58"/>
      <c r="L25" s="59">
        <f>'Stats Global'!N26</f>
        <v>0</v>
      </c>
      <c r="M25" s="59">
        <f>'Stats Global'!K26</f>
        <v>0</v>
      </c>
      <c r="N25" s="58"/>
      <c r="O25" s="58"/>
      <c r="W25" s="58"/>
      <c r="X25" s="58"/>
    </row>
    <row r="26" spans="1:24" ht="14.25" customHeight="1" x14ac:dyDescent="0.45">
      <c r="A26" s="52"/>
      <c r="B26" s="57"/>
      <c r="C26" s="57"/>
      <c r="D26" s="57"/>
      <c r="E26" s="56"/>
      <c r="F26" s="56"/>
      <c r="J26" s="58"/>
      <c r="L26" s="59">
        <f>'Stats Global'!N27</f>
        <v>0</v>
      </c>
      <c r="M26" s="59">
        <f>'Stats Global'!K27</f>
        <v>0</v>
      </c>
      <c r="N26" s="58"/>
      <c r="O26" s="58"/>
      <c r="W26" s="58"/>
      <c r="X26" s="58"/>
    </row>
    <row r="27" spans="1:24" ht="14.25" customHeight="1" x14ac:dyDescent="0.45">
      <c r="A27" s="52"/>
      <c r="B27" s="57"/>
      <c r="C27" s="57"/>
      <c r="D27" s="57"/>
      <c r="E27" s="56"/>
      <c r="F27" s="56"/>
      <c r="J27" s="58"/>
      <c r="L27" s="59">
        <f>'Stats Global'!N28</f>
        <v>0</v>
      </c>
      <c r="M27" s="59">
        <f>'Stats Global'!K28</f>
        <v>0</v>
      </c>
      <c r="N27" s="58"/>
      <c r="O27" s="58"/>
      <c r="W27" s="58"/>
      <c r="X27" s="58"/>
    </row>
    <row r="28" spans="1:24" ht="14.25" customHeight="1" x14ac:dyDescent="0.45">
      <c r="A28" s="52"/>
      <c r="B28" s="57"/>
      <c r="C28" s="57"/>
      <c r="D28" s="57"/>
      <c r="E28" s="56"/>
      <c r="F28" s="56"/>
      <c r="J28" s="58"/>
      <c r="L28" s="59">
        <f>'Stats Global'!N29</f>
        <v>0</v>
      </c>
      <c r="M28" s="59">
        <f>'Stats Global'!K29</f>
        <v>0</v>
      </c>
      <c r="N28" s="58"/>
      <c r="O28" s="58"/>
      <c r="W28" s="58"/>
      <c r="X28" s="58"/>
    </row>
    <row r="29" spans="1:24" ht="14.25" customHeight="1" x14ac:dyDescent="0.45">
      <c r="A29" s="52"/>
      <c r="B29" s="57"/>
      <c r="C29" s="57"/>
      <c r="D29" s="57"/>
      <c r="E29" s="56"/>
      <c r="F29" s="56"/>
      <c r="J29" s="58"/>
      <c r="L29" s="59">
        <f>'Stats Global'!N30</f>
        <v>0</v>
      </c>
      <c r="M29" s="59">
        <f>'Stats Global'!K30</f>
        <v>0</v>
      </c>
      <c r="N29" s="58"/>
      <c r="O29" s="58"/>
      <c r="W29" s="58"/>
      <c r="X29" s="58"/>
    </row>
    <row r="30" spans="1:24" ht="14.25" customHeight="1" x14ac:dyDescent="0.45">
      <c r="A30" s="52"/>
      <c r="B30" s="57"/>
      <c r="C30" s="57"/>
      <c r="D30" s="57"/>
      <c r="E30" s="56"/>
      <c r="F30" s="56"/>
      <c r="L30" s="59">
        <f>'Stats Global'!N31</f>
        <v>0</v>
      </c>
      <c r="M30" s="59">
        <f>'Stats Global'!K31</f>
        <v>0</v>
      </c>
      <c r="W30" s="58"/>
      <c r="X30" s="58"/>
    </row>
    <row r="31" spans="1:24" ht="14.25" customHeight="1" x14ac:dyDescent="0.45">
      <c r="A31" s="52"/>
      <c r="B31" s="57"/>
      <c r="C31" s="57"/>
      <c r="D31" s="57"/>
      <c r="E31" s="56"/>
      <c r="F31" s="56"/>
      <c r="L31" s="59">
        <f>'Stats Global'!N32</f>
        <v>0</v>
      </c>
      <c r="M31" s="59">
        <f>'Stats Global'!K32</f>
        <v>0</v>
      </c>
    </row>
    <row r="32" spans="1:24" ht="14.25" customHeight="1" x14ac:dyDescent="0.45">
      <c r="A32" s="52"/>
      <c r="B32" s="57"/>
      <c r="C32" s="57"/>
      <c r="D32" s="57"/>
      <c r="E32" s="56"/>
      <c r="F32" s="56"/>
      <c r="L32" s="59">
        <f>'Stats Global'!N33</f>
        <v>0</v>
      </c>
      <c r="M32" s="59">
        <f>'Stats Global'!K33</f>
        <v>0</v>
      </c>
    </row>
    <row r="33" spans="1:16" ht="14.25" customHeight="1" x14ac:dyDescent="0.45">
      <c r="A33" s="52"/>
      <c r="B33" s="57"/>
      <c r="C33" s="57"/>
      <c r="D33" s="57"/>
      <c r="E33" s="56"/>
      <c r="F33" s="56"/>
      <c r="L33" s="59">
        <f>'Stats Global'!N34</f>
        <v>0</v>
      </c>
      <c r="M33" s="59">
        <f>'Stats Global'!K34</f>
        <v>0</v>
      </c>
    </row>
    <row r="34" spans="1:16" ht="14.25" customHeight="1" x14ac:dyDescent="0.45">
      <c r="A34" s="52"/>
      <c r="B34" s="57"/>
      <c r="C34" s="57"/>
      <c r="D34" s="57"/>
      <c r="E34" s="56"/>
      <c r="F34" s="56"/>
      <c r="L34" s="59">
        <f>'Stats Global'!N35</f>
        <v>0</v>
      </c>
      <c r="M34" s="59">
        <f>'Stats Global'!K35</f>
        <v>0</v>
      </c>
    </row>
    <row r="35" spans="1:16" ht="14.25" customHeight="1" x14ac:dyDescent="0.45">
      <c r="A35" s="52"/>
      <c r="B35" s="57"/>
      <c r="C35" s="57"/>
      <c r="D35" s="57"/>
      <c r="E35" s="56"/>
      <c r="F35" s="56"/>
      <c r="L35" s="59">
        <f>'Stats Global'!N36</f>
        <v>0</v>
      </c>
      <c r="M35" s="59">
        <f>'Stats Global'!K36</f>
        <v>0</v>
      </c>
    </row>
    <row r="36" spans="1:16" ht="14.25" customHeight="1" x14ac:dyDescent="0.45">
      <c r="A36" s="52"/>
      <c r="B36" s="57"/>
      <c r="C36" s="57"/>
      <c r="D36" s="57"/>
      <c r="E36" s="56"/>
      <c r="F36" s="56"/>
      <c r="L36" s="59">
        <f>'Stats Global'!N37</f>
        <v>0</v>
      </c>
      <c r="M36" s="59">
        <f>'Stats Global'!K37</f>
        <v>0</v>
      </c>
    </row>
    <row r="37" spans="1:16" ht="14.25" customHeight="1" x14ac:dyDescent="0.45">
      <c r="A37" s="52"/>
      <c r="B37" s="57"/>
      <c r="C37" s="57"/>
      <c r="D37" s="57"/>
      <c r="E37" s="56"/>
      <c r="F37" s="56"/>
      <c r="L37" s="59">
        <f>'Stats Global'!N38</f>
        <v>0</v>
      </c>
      <c r="M37" s="59">
        <f>'Stats Global'!K38</f>
        <v>0</v>
      </c>
    </row>
    <row r="38" spans="1:16" ht="14.25" customHeight="1" x14ac:dyDescent="0.45">
      <c r="A38" s="52"/>
      <c r="B38" s="57"/>
      <c r="C38" s="57"/>
      <c r="D38" s="57"/>
      <c r="E38" s="56"/>
      <c r="F38" s="56"/>
      <c r="L38" s="59">
        <f>'Stats Global'!N39</f>
        <v>0</v>
      </c>
      <c r="M38" s="59">
        <f>'Stats Global'!K39</f>
        <v>0</v>
      </c>
    </row>
    <row r="39" spans="1:16" ht="14.25" customHeight="1" x14ac:dyDescent="0.45">
      <c r="A39" s="52"/>
      <c r="B39" s="57"/>
      <c r="C39" s="57"/>
      <c r="D39" s="57"/>
      <c r="E39" s="56"/>
      <c r="F39" s="56"/>
      <c r="L39" s="59">
        <f>'Stats Global'!N40</f>
        <v>0</v>
      </c>
      <c r="M39" s="59">
        <f>'Stats Global'!K40</f>
        <v>0</v>
      </c>
    </row>
    <row r="40" spans="1:16" ht="14.25" customHeight="1" x14ac:dyDescent="0.45">
      <c r="A40" s="52"/>
      <c r="B40" s="57"/>
      <c r="C40" s="57"/>
      <c r="D40" s="57"/>
      <c r="E40" s="56"/>
      <c r="F40" s="56"/>
      <c r="L40" s="59">
        <f>'Stats Global'!N41</f>
        <v>0</v>
      </c>
      <c r="M40" s="59">
        <f>'Stats Global'!K41</f>
        <v>0</v>
      </c>
    </row>
    <row r="41" spans="1:16" ht="14.25" customHeight="1" x14ac:dyDescent="0.45">
      <c r="C41" s="81">
        <f>SUM(B4:B40)/SUM(B4:C40)</f>
        <v>0.45945945945945948</v>
      </c>
      <c r="J41" s="58"/>
      <c r="K41" s="37" t="s">
        <v>83</v>
      </c>
      <c r="L41" s="129">
        <f>SUM(L4:L40)</f>
        <v>12</v>
      </c>
      <c r="M41" s="129">
        <f>SUM(M4:M40)</f>
        <v>13</v>
      </c>
      <c r="N41" s="58"/>
      <c r="O41" s="58"/>
    </row>
    <row r="42" spans="1:16" ht="14.25" customHeight="1" x14ac:dyDescent="0.45">
      <c r="L42" s="63">
        <f>L41/(M41+L41)</f>
        <v>0.48</v>
      </c>
    </row>
    <row r="43" spans="1:16" ht="14.25" customHeight="1" x14ac:dyDescent="0.45">
      <c r="J43" s="64" t="str">
        <f>L43&amp;H3&amp;","&amp;I3&amp;","&amp;J3&amp;"],"</f>
        <v>"PartA":[17,20,6],</v>
      </c>
      <c r="K43" s="54"/>
      <c r="L43" s="37" t="s">
        <v>115</v>
      </c>
      <c r="N43" s="37" t="s">
        <v>119</v>
      </c>
      <c r="P43" s="65">
        <f>ROUND(SUM('Stats Global'!AA11,'Stats Global'!AA12,'Stats Global'!AA20,'Stats Global'!AA15,'Stats Global'!AA19,'Stats Global'!AA18)/'Stats Global'!AA6,1)</f>
        <v>8.6999999999999993</v>
      </c>
    </row>
    <row r="44" spans="1:16" ht="14.25" customHeight="1" x14ac:dyDescent="0.45">
      <c r="J44" s="37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"PartB":[6,"Samuel McConaghy",5,"Christopher Tomkinson",6,"Samuel McConaghy",1,"Clarrie Jones"],</v>
      </c>
      <c r="L44" s="37" t="s">
        <v>116</v>
      </c>
      <c r="N44" s="66">
        <f>MAX(Table1113[Points])</f>
        <v>6</v>
      </c>
      <c r="O44" s="37" t="str">
        <f>IF(N44&lt;&gt;0,IF(N44=P4,O4,IF(N44=P5,O5,IF(P6=N44,O6,IF(P7=N44,O7,IF(P8=N44,O8,IF(P9=N44,O9,O10)))))),"N/A")</f>
        <v>Samuel McConaghy</v>
      </c>
      <c r="P44" s="65">
        <f>ROUND(SUM('Stats Global'!AC11,'Stats Global'!AC12,'Stats Global'!AC20,'Stats Global'!AC15,'Stats Global'!AC19,'Stats Global'!AC18)/'Stats Global'!AA6,1)</f>
        <v>5</v>
      </c>
    </row>
    <row r="45" spans="1:16" ht="14.25" customHeight="1" x14ac:dyDescent="0.45">
      <c r="J45" s="37" t="str">
        <f>L45&amp;P43&amp;","&amp;P44&amp;","&amp;P45&amp;","&amp;P46&amp;","&amp;P47&amp;","&amp;P48&amp;"],"</f>
        <v>"PartC":[8.7,5,1.7,1,5.7,6.7],</v>
      </c>
      <c r="L45" s="37" t="s">
        <v>117</v>
      </c>
      <c r="N45" s="66">
        <f>MAX(Table1113[Finishes])</f>
        <v>5</v>
      </c>
      <c r="O45" s="37" t="str">
        <f>IF(N45&lt;&gt;0,IF(N45=R4,O4,IF(N45=R5,O5,IF(R6=N45,O6,IF(R7=N45,O7,IF(R8=N45,O8,IF(R9=N45,O9,O10)))))),"N/A")</f>
        <v>Christopher Tomkinson</v>
      </c>
      <c r="P45" s="65">
        <f>ROUND(SUM('Stats Global'!AE11,'Stats Global'!AE12,'Stats Global'!AE20,'Stats Global'!AE15,'Stats Global'!AE19,'Stats Global'!AE18)/'Stats Global'!AA6,1)</f>
        <v>1.7</v>
      </c>
    </row>
    <row r="46" spans="1:16" ht="14.25" customHeight="1" x14ac:dyDescent="0.45">
      <c r="J46" s="37" t="str">
        <f>L46&amp;'Statistics CT'!M41&amp;","&amp;'Statistics CT'!L41&amp;","&amp;ROUND((1-'Statistics CT'!L42)*100,1)&amp;","&amp;L41&amp;","&amp;M41&amp;","&amp;ROUND(L42*100,1)&amp;"],"</f>
        <v>"PartD":[12,4,75,12,13,48],</v>
      </c>
      <c r="L46" s="37" t="s">
        <v>118</v>
      </c>
      <c r="N46" s="66">
        <f>MAX(Table1113[Midranges])</f>
        <v>6</v>
      </c>
      <c r="O46" s="37" t="str">
        <f>IF(N46&lt;&gt;0,IF(N46=T4,O4,IF(N46=T5,O5,IF(T6=N46,O6,IF(T7=N46,O7,IF(T8=N46,O8,IF(T9=N46,O9,O10)))))),"N/A")</f>
        <v>Samuel McConaghy</v>
      </c>
      <c r="P46" s="65">
        <f>ROUND(SUM('Stats Global'!AG11,'Stats Global'!AG12,'Stats Global'!AG20,'Stats Global'!AG15,'Stats Global'!AG19,'Stats Global'!AG18)/'Stats Global'!AA6,1)</f>
        <v>1</v>
      </c>
    </row>
    <row r="47" spans="1:16" ht="14.25" customHeight="1" x14ac:dyDescent="0.45">
      <c r="N47" s="66">
        <f>MAX(Table1113[Threes])</f>
        <v>1</v>
      </c>
      <c r="O47" s="71" t="str">
        <f>IF(N47&lt;&gt;0,IF(N47=V4,O4,IF(N47=V5,O5,IF(V6=N47,O6,IF(V7=N47,O7,IF(V8=N47,O8,IF(V9=N47,O9,O10)))))),"N/A")</f>
        <v>Clarrie Jones</v>
      </c>
      <c r="P47" s="37">
        <f>ROUND(H3/'Stats Global'!AA6,1)</f>
        <v>5.7</v>
      </c>
    </row>
    <row r="48" spans="1:16" ht="14.25" customHeight="1" x14ac:dyDescent="0.45">
      <c r="P48" s="37">
        <f>ROUND(I3/'Stats Global'!AA6,1)</f>
        <v>6.7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U9" sqref="U9"/>
    </sheetView>
  </sheetViews>
  <sheetFormatPr defaultColWidth="14.33203125" defaultRowHeight="15" customHeight="1" x14ac:dyDescent="0.45"/>
  <cols>
    <col min="1" max="11" width="8.73046875" style="37" customWidth="1"/>
    <col min="12" max="20" width="10" style="37" customWidth="1"/>
    <col min="21" max="22" width="11.06640625" style="37" customWidth="1"/>
    <col min="23" max="32" width="8.73046875" style="37" customWidth="1"/>
    <col min="33" max="16384" width="14.33203125" style="37"/>
  </cols>
  <sheetData>
    <row r="1" spans="1:24" ht="14.25" customHeight="1" x14ac:dyDescent="0.45"/>
    <row r="2" spans="1:24" ht="14.25" customHeight="1" x14ac:dyDescent="0.45">
      <c r="B2" s="53" t="s">
        <v>197</v>
      </c>
      <c r="H2" s="54" t="s">
        <v>79</v>
      </c>
      <c r="I2" s="54" t="s">
        <v>80</v>
      </c>
      <c r="J2" s="54" t="s">
        <v>81</v>
      </c>
      <c r="M2" s="54"/>
      <c r="Q2" s="54"/>
    </row>
    <row r="3" spans="1:24" ht="14.25" customHeight="1" x14ac:dyDescent="0.4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7">
        <f>SUM(B4:B40)</f>
        <v>33</v>
      </c>
      <c r="I3" s="127">
        <f>SUM(C4:C40)</f>
        <v>12</v>
      </c>
      <c r="J3" s="127">
        <f>SUM(D4:D40)</f>
        <v>8</v>
      </c>
      <c r="K3" s="54"/>
      <c r="L3" s="71" t="s">
        <v>157</v>
      </c>
      <c r="V3" s="54"/>
      <c r="W3" s="54"/>
      <c r="X3" s="54"/>
    </row>
    <row r="4" spans="1:24" ht="14.25" customHeight="1" x14ac:dyDescent="0.45">
      <c r="A4" s="125" t="str">
        <f>'Stats Global'!B5</f>
        <v>23-October</v>
      </c>
      <c r="B4" s="126">
        <f>'Stats Global'!I5</f>
        <v>9</v>
      </c>
      <c r="C4" s="126">
        <f>'Stats Global'!J5+'Stats Global'!K5</f>
        <v>2</v>
      </c>
      <c r="D4" s="126">
        <f>'Stats Global'!P5</f>
        <v>3</v>
      </c>
      <c r="E4" s="56"/>
      <c r="F4" s="56"/>
      <c r="K4" s="58"/>
      <c r="L4" s="72" t="s">
        <v>4</v>
      </c>
      <c r="M4" s="73" t="s">
        <v>0</v>
      </c>
      <c r="N4" s="73" t="s">
        <v>76</v>
      </c>
      <c r="O4" s="73" t="s">
        <v>1</v>
      </c>
      <c r="P4" s="74" t="s">
        <v>71</v>
      </c>
      <c r="Q4" s="74" t="s">
        <v>2</v>
      </c>
      <c r="R4" s="74" t="s">
        <v>100</v>
      </c>
      <c r="S4" s="73" t="s">
        <v>3</v>
      </c>
      <c r="T4" s="74" t="s">
        <v>101</v>
      </c>
      <c r="U4" s="74" t="s">
        <v>103</v>
      </c>
      <c r="V4" s="58"/>
      <c r="W4" s="58"/>
      <c r="X4" s="58"/>
    </row>
    <row r="5" spans="1:24" ht="14.25" customHeight="1" x14ac:dyDescent="0.45">
      <c r="A5" s="125" t="str">
        <f>'Stats Global'!B6</f>
        <v>24-October</v>
      </c>
      <c r="B5" s="126">
        <f>'Stats Global'!I6</f>
        <v>17</v>
      </c>
      <c r="C5" s="126">
        <f>'Stats Global'!J6+'Stats Global'!K6</f>
        <v>5</v>
      </c>
      <c r="D5" s="126">
        <f>'Stats Global'!P6</f>
        <v>3</v>
      </c>
      <c r="E5" s="56"/>
      <c r="F5" s="56"/>
      <c r="K5" s="58"/>
      <c r="L5" s="58" t="str">
        <f>'Stats Global'!Z9</f>
        <v>Conor Farrington</v>
      </c>
      <c r="M5" s="58">
        <f>'Stats Global'!AA9</f>
        <v>7</v>
      </c>
      <c r="N5" s="58">
        <f>'Stats Global'!AB9</f>
        <v>2.3333333333333335</v>
      </c>
      <c r="O5" s="58">
        <f>'Stats Global'!AC9</f>
        <v>2</v>
      </c>
      <c r="P5" s="58">
        <f>'Stats Global'!AD9</f>
        <v>0.66666666666666663</v>
      </c>
      <c r="Q5" s="58">
        <f>'Stats Global'!AE9</f>
        <v>5</v>
      </c>
      <c r="R5" s="58">
        <f>'Stats Global'!AF9</f>
        <v>1.6666666666666667</v>
      </c>
      <c r="S5" s="58">
        <f>'Stats Global'!AG9</f>
        <v>0</v>
      </c>
      <c r="T5" s="58">
        <f>'Stats Global'!AH9</f>
        <v>0</v>
      </c>
      <c r="U5" s="68">
        <f>'Stats Global'!AJ9</f>
        <v>0</v>
      </c>
      <c r="V5" s="58"/>
      <c r="W5" s="58"/>
      <c r="X5" s="58"/>
    </row>
    <row r="6" spans="1:24" ht="14.25" customHeight="1" x14ac:dyDescent="0.45">
      <c r="A6" s="125" t="str">
        <f>'Stats Global'!B7</f>
        <v>25-October</v>
      </c>
      <c r="B6" s="126">
        <f>'Stats Global'!I7</f>
        <v>7</v>
      </c>
      <c r="C6" s="126">
        <f>'Stats Global'!J7+'Stats Global'!K7</f>
        <v>5</v>
      </c>
      <c r="D6" s="126">
        <f>'Stats Global'!P7</f>
        <v>2</v>
      </c>
      <c r="E6" s="56"/>
      <c r="F6" s="56"/>
      <c r="H6" s="54"/>
      <c r="I6" s="67"/>
      <c r="K6" s="58"/>
      <c r="L6" s="58" t="str">
        <f>'Stats Global'!Z11</f>
        <v>Rudy Hoschke</v>
      </c>
      <c r="M6" s="58">
        <f>'Stats Global'!AA11</f>
        <v>14</v>
      </c>
      <c r="N6" s="58">
        <f>'Stats Global'!AB11</f>
        <v>4.666666666666667</v>
      </c>
      <c r="O6" s="58">
        <f>'Stats Global'!AC11</f>
        <v>11</v>
      </c>
      <c r="P6" s="58">
        <f>'Stats Global'!AD11</f>
        <v>3.6666666666666665</v>
      </c>
      <c r="Q6" s="58">
        <f>'Stats Global'!AE11</f>
        <v>1</v>
      </c>
      <c r="R6" s="58">
        <f>'Stats Global'!AF11</f>
        <v>0.33333333333333331</v>
      </c>
      <c r="S6" s="58">
        <f>'Stats Global'!AG11</f>
        <v>1</v>
      </c>
      <c r="T6" s="58">
        <f>'Stats Global'!AH11</f>
        <v>0.33333333333333331</v>
      </c>
      <c r="U6" s="68">
        <f>'Stats Global'!AJ11</f>
        <v>0</v>
      </c>
      <c r="V6" s="58"/>
      <c r="W6" s="58"/>
      <c r="X6" s="58"/>
    </row>
    <row r="7" spans="1:24" ht="14.25" customHeight="1" x14ac:dyDescent="0.45">
      <c r="A7" s="52"/>
      <c r="B7" s="57"/>
      <c r="C7" s="57"/>
      <c r="D7" s="57"/>
      <c r="E7" s="56"/>
      <c r="F7" s="56"/>
      <c r="H7" s="54"/>
      <c r="I7" s="67"/>
      <c r="K7" s="58"/>
      <c r="L7" s="58" t="str">
        <f>'Stats Global'!Z10</f>
        <v>Alexander Galt</v>
      </c>
      <c r="M7" s="58">
        <f>'Stats Global'!AA10</f>
        <v>4</v>
      </c>
      <c r="N7" s="58">
        <f>'Stats Global'!AB10</f>
        <v>4</v>
      </c>
      <c r="O7" s="58">
        <f>'Stats Global'!AC10</f>
        <v>4</v>
      </c>
      <c r="P7" s="58">
        <f>'Stats Global'!AD10</f>
        <v>4</v>
      </c>
      <c r="Q7" s="58">
        <f>'Stats Global'!AE10</f>
        <v>0</v>
      </c>
      <c r="R7" s="58">
        <f>'Stats Global'!AF10</f>
        <v>0</v>
      </c>
      <c r="S7" s="58">
        <f>'Stats Global'!AG10</f>
        <v>0</v>
      </c>
      <c r="T7" s="58">
        <f>'Stats Global'!AH10</f>
        <v>0</v>
      </c>
      <c r="U7" s="68">
        <f>'Stats Global'!AJ10</f>
        <v>2</v>
      </c>
      <c r="V7" s="58"/>
      <c r="W7" s="58"/>
      <c r="X7" s="58"/>
    </row>
    <row r="8" spans="1:24" ht="14.25" customHeight="1" x14ac:dyDescent="0.45">
      <c r="A8" s="52"/>
      <c r="B8" s="57"/>
      <c r="C8" s="57"/>
      <c r="D8" s="57"/>
      <c r="E8" s="56"/>
      <c r="F8" s="56"/>
      <c r="H8" s="54"/>
      <c r="I8" s="67"/>
      <c r="K8" s="58"/>
      <c r="L8" s="58" t="str">
        <f>'Stats Global'!Z13</f>
        <v>Lukas Johnston</v>
      </c>
      <c r="M8" s="58">
        <f>'Stats Global'!AA13</f>
        <v>1</v>
      </c>
      <c r="N8" s="58">
        <f>'Stats Global'!AB13</f>
        <v>0.33333333333333331</v>
      </c>
      <c r="O8" s="58">
        <f>'Stats Global'!AC13</f>
        <v>0</v>
      </c>
      <c r="P8" s="58">
        <f>'Stats Global'!AD13</f>
        <v>0</v>
      </c>
      <c r="Q8" s="58">
        <f>'Stats Global'!AE13</f>
        <v>1</v>
      </c>
      <c r="R8" s="58">
        <f>'Stats Global'!AF13</f>
        <v>0.33333333333333331</v>
      </c>
      <c r="S8" s="58">
        <f>'Stats Global'!AG13</f>
        <v>0</v>
      </c>
      <c r="T8" s="58">
        <f>'Stats Global'!AH13</f>
        <v>0</v>
      </c>
      <c r="U8" s="68">
        <f>'Stats Global'!AJ13</f>
        <v>0</v>
      </c>
      <c r="V8" s="58"/>
      <c r="W8" s="58"/>
      <c r="X8" s="58"/>
    </row>
    <row r="9" spans="1:24" ht="14.25" customHeight="1" x14ac:dyDescent="0.45">
      <c r="A9" s="52"/>
      <c r="B9" s="57"/>
      <c r="C9" s="57"/>
      <c r="D9" s="57"/>
      <c r="E9" s="56"/>
      <c r="F9" s="56"/>
      <c r="H9" s="54"/>
      <c r="I9" s="67"/>
      <c r="K9" s="58"/>
      <c r="L9" s="58" t="str">
        <f>'Stats Global'!Z23</f>
        <v>Will Weekes</v>
      </c>
      <c r="M9" s="58">
        <f>'Stats Global'!AA23</f>
        <v>2</v>
      </c>
      <c r="N9" s="58">
        <f>'Stats Global'!AB23</f>
        <v>0.66666666666666663</v>
      </c>
      <c r="O9" s="58">
        <f>'Stats Global'!AC23</f>
        <v>2</v>
      </c>
      <c r="P9" s="58">
        <f>'Stats Global'!AD23</f>
        <v>0.66666666666666663</v>
      </c>
      <c r="Q9" s="58">
        <f>'Stats Global'!AE23</f>
        <v>0</v>
      </c>
      <c r="R9" s="58">
        <f>'Stats Global'!AF23</f>
        <v>0</v>
      </c>
      <c r="S9" s="58">
        <f>'Stats Global'!AG23</f>
        <v>0</v>
      </c>
      <c r="T9" s="58">
        <f>'Stats Global'!AH23</f>
        <v>0</v>
      </c>
      <c r="U9" s="68">
        <f>'Stats Global'!AJ23</f>
        <v>0</v>
      </c>
      <c r="V9" s="58"/>
      <c r="W9" s="58"/>
      <c r="X9" s="58"/>
    </row>
    <row r="10" spans="1:24" ht="14.25" customHeight="1" x14ac:dyDescent="0.45">
      <c r="A10" s="52"/>
      <c r="B10" s="57"/>
      <c r="C10" s="57"/>
      <c r="D10" s="57"/>
      <c r="E10" s="56"/>
      <c r="F10" s="56"/>
      <c r="H10" s="54"/>
      <c r="I10" s="67"/>
      <c r="L10" s="95"/>
      <c r="M10" s="78"/>
      <c r="N10" s="78"/>
      <c r="O10" s="78"/>
      <c r="P10" s="78"/>
      <c r="Q10" s="78"/>
      <c r="R10" s="78"/>
      <c r="S10" s="78"/>
      <c r="T10" s="78"/>
      <c r="U10" s="78"/>
      <c r="V10" s="58"/>
      <c r="W10" s="58"/>
      <c r="X10" s="58"/>
    </row>
    <row r="11" spans="1:24" ht="14.25" customHeight="1" x14ac:dyDescent="0.45">
      <c r="A11" s="52"/>
      <c r="B11" s="57"/>
      <c r="C11" s="57"/>
      <c r="D11" s="57"/>
      <c r="E11" s="56"/>
      <c r="F11" s="56"/>
      <c r="H11" s="54"/>
      <c r="I11" s="67"/>
      <c r="K11" s="58"/>
      <c r="L11" s="58"/>
      <c r="M11" s="58"/>
      <c r="N11" s="58"/>
      <c r="O11" s="58"/>
      <c r="Q11" s="58"/>
      <c r="R11" s="58"/>
      <c r="S11" s="58"/>
      <c r="T11" s="58"/>
      <c r="V11" s="58"/>
      <c r="W11" s="58"/>
      <c r="X11" s="58"/>
    </row>
    <row r="12" spans="1:24" ht="14.25" customHeight="1" x14ac:dyDescent="0.45">
      <c r="A12" s="52"/>
      <c r="B12" s="57"/>
      <c r="C12" s="57"/>
      <c r="D12" s="57"/>
      <c r="E12" s="56"/>
      <c r="F12" s="56"/>
      <c r="H12" s="54"/>
      <c r="I12" s="67"/>
      <c r="K12" s="58"/>
      <c r="L12" s="58"/>
      <c r="M12" s="58"/>
      <c r="N12" s="58"/>
      <c r="O12" s="58"/>
      <c r="Q12" s="58"/>
      <c r="R12" s="58"/>
      <c r="S12" s="58"/>
      <c r="T12" s="58"/>
      <c r="V12" s="58"/>
      <c r="W12" s="58"/>
      <c r="X12" s="58"/>
    </row>
    <row r="13" spans="1:24" ht="14.25" customHeight="1" x14ac:dyDescent="0.45">
      <c r="A13" s="52"/>
      <c r="B13" s="57"/>
      <c r="C13" s="57"/>
      <c r="D13" s="57"/>
      <c r="E13" s="56"/>
      <c r="F13" s="56"/>
      <c r="H13" s="54"/>
      <c r="I13" s="67"/>
      <c r="K13" s="58"/>
      <c r="L13" s="58"/>
      <c r="M13" s="58"/>
      <c r="N13" s="58"/>
      <c r="O13" s="58"/>
      <c r="Q13" s="58"/>
      <c r="R13" s="58"/>
      <c r="S13" s="58"/>
      <c r="T13" s="58"/>
      <c r="V13" s="58"/>
      <c r="W13" s="58"/>
      <c r="X13" s="58"/>
    </row>
    <row r="14" spans="1:24" ht="14.25" customHeight="1" x14ac:dyDescent="0.45">
      <c r="A14" s="52"/>
      <c r="B14" s="57"/>
      <c r="C14" s="57"/>
      <c r="D14" s="57"/>
      <c r="E14" s="56"/>
      <c r="F14" s="56"/>
      <c r="K14" s="58"/>
      <c r="L14" s="58"/>
      <c r="M14" s="58"/>
      <c r="N14" s="58"/>
      <c r="O14" s="58"/>
      <c r="Q14" s="58"/>
      <c r="R14" s="58"/>
      <c r="S14" s="58"/>
      <c r="T14" s="58"/>
      <c r="V14" s="58"/>
      <c r="W14" s="58"/>
      <c r="X14" s="58"/>
    </row>
    <row r="15" spans="1:24" ht="14.25" customHeight="1" x14ac:dyDescent="0.45">
      <c r="A15" s="52"/>
      <c r="B15" s="57"/>
      <c r="C15" s="57"/>
      <c r="D15" s="57"/>
      <c r="E15" s="56"/>
      <c r="F15" s="56"/>
      <c r="K15" s="58"/>
      <c r="L15" s="58"/>
      <c r="M15" s="58"/>
      <c r="N15" s="58"/>
      <c r="O15" s="58"/>
      <c r="Q15" s="58"/>
      <c r="R15" s="58"/>
      <c r="S15" s="58"/>
      <c r="T15" s="58"/>
      <c r="V15" s="58"/>
      <c r="W15" s="58"/>
      <c r="X15" s="58"/>
    </row>
    <row r="16" spans="1:24" ht="14.25" customHeight="1" x14ac:dyDescent="0.45">
      <c r="A16" s="52"/>
      <c r="B16" s="57"/>
      <c r="C16" s="57"/>
      <c r="D16" s="57"/>
      <c r="E16" s="56"/>
      <c r="F16" s="56"/>
      <c r="K16" s="58"/>
      <c r="L16" s="58"/>
      <c r="M16" s="58"/>
      <c r="N16" s="58"/>
      <c r="O16" s="58"/>
      <c r="Q16" s="58"/>
      <c r="R16" s="58"/>
      <c r="S16" s="58"/>
      <c r="T16" s="58"/>
      <c r="V16" s="58"/>
      <c r="W16" s="58"/>
      <c r="X16" s="58"/>
    </row>
    <row r="17" spans="1:24" ht="14.25" customHeight="1" x14ac:dyDescent="0.45">
      <c r="A17" s="52"/>
      <c r="B17" s="57"/>
      <c r="C17" s="57"/>
      <c r="D17" s="57"/>
      <c r="E17" s="101"/>
      <c r="F17" s="101"/>
      <c r="K17" s="58"/>
      <c r="L17" s="58"/>
      <c r="M17" s="58"/>
      <c r="N17" s="58"/>
      <c r="O17" s="58"/>
      <c r="Q17" s="58"/>
      <c r="R17" s="58"/>
      <c r="S17" s="58"/>
      <c r="T17" s="58"/>
      <c r="V17" s="58"/>
      <c r="W17" s="58"/>
      <c r="X17" s="58"/>
    </row>
    <row r="18" spans="1:24" ht="14.25" customHeight="1" x14ac:dyDescent="0.45">
      <c r="A18" s="52"/>
      <c r="B18" s="57"/>
      <c r="C18" s="57"/>
      <c r="D18" s="57"/>
      <c r="E18" s="103"/>
      <c r="F18" s="103"/>
      <c r="K18" s="58"/>
      <c r="L18" s="58"/>
      <c r="M18" s="58"/>
      <c r="N18" s="58"/>
      <c r="O18" s="58"/>
      <c r="Q18" s="58"/>
      <c r="R18" s="58"/>
      <c r="S18" s="58"/>
      <c r="T18" s="58"/>
      <c r="V18" s="58"/>
      <c r="W18" s="58"/>
      <c r="X18" s="58"/>
    </row>
    <row r="19" spans="1:24" ht="14.25" customHeight="1" x14ac:dyDescent="0.45">
      <c r="A19" s="52"/>
      <c r="B19" s="57"/>
      <c r="C19" s="57"/>
      <c r="D19" s="57"/>
      <c r="E19" s="104"/>
      <c r="F19" s="104"/>
      <c r="K19" s="58"/>
      <c r="L19" s="58"/>
      <c r="M19" s="58"/>
      <c r="N19" s="58"/>
      <c r="O19" s="58"/>
      <c r="Q19" s="58"/>
      <c r="R19" s="58"/>
      <c r="S19" s="58"/>
      <c r="T19" s="58"/>
      <c r="V19" s="58"/>
      <c r="W19" s="58"/>
      <c r="X19" s="58"/>
    </row>
    <row r="20" spans="1:24" ht="14.25" customHeight="1" x14ac:dyDescent="0.45">
      <c r="A20" s="52"/>
      <c r="B20" s="57"/>
      <c r="C20" s="57"/>
      <c r="D20" s="57"/>
      <c r="E20" s="107"/>
      <c r="F20" s="107"/>
      <c r="K20" s="58"/>
      <c r="L20" s="58"/>
      <c r="M20" s="58"/>
      <c r="N20" s="58"/>
      <c r="O20" s="58"/>
      <c r="Q20" s="58"/>
      <c r="R20" s="58"/>
      <c r="S20" s="58"/>
      <c r="T20" s="58"/>
      <c r="V20" s="58"/>
      <c r="W20" s="58"/>
      <c r="X20" s="58"/>
    </row>
    <row r="21" spans="1:24" ht="14.25" customHeight="1" x14ac:dyDescent="0.45">
      <c r="A21" s="52"/>
      <c r="B21" s="57"/>
      <c r="C21" s="57"/>
      <c r="D21" s="57"/>
      <c r="E21" s="56"/>
      <c r="F21" s="56"/>
      <c r="K21" s="58"/>
      <c r="L21" s="58"/>
      <c r="M21" s="58"/>
      <c r="N21" s="58"/>
      <c r="O21" s="58"/>
      <c r="Q21" s="58"/>
      <c r="R21" s="58"/>
      <c r="S21" s="58"/>
      <c r="T21" s="58"/>
      <c r="V21" s="58"/>
      <c r="W21" s="58"/>
      <c r="X21" s="58"/>
    </row>
    <row r="22" spans="1:24" ht="14.25" customHeight="1" x14ac:dyDescent="0.45">
      <c r="A22" s="52"/>
      <c r="B22" s="57"/>
      <c r="C22" s="57"/>
      <c r="D22" s="57"/>
      <c r="E22" s="56"/>
      <c r="F22" s="56"/>
      <c r="K22" s="58"/>
      <c r="L22" s="58"/>
      <c r="M22" s="58"/>
      <c r="N22" s="58"/>
      <c r="O22" s="58"/>
      <c r="Q22" s="58"/>
      <c r="R22" s="58"/>
      <c r="S22" s="58"/>
      <c r="T22" s="58"/>
      <c r="V22" s="58"/>
      <c r="W22" s="58"/>
      <c r="X22" s="58"/>
    </row>
    <row r="23" spans="1:24" ht="14.25" customHeight="1" x14ac:dyDescent="0.45">
      <c r="A23" s="52"/>
      <c r="B23" s="57"/>
      <c r="C23" s="57"/>
      <c r="D23" s="57"/>
      <c r="E23" s="115"/>
      <c r="F23" s="116"/>
      <c r="G23" s="62"/>
      <c r="K23" s="58"/>
      <c r="L23" s="58"/>
      <c r="M23" s="58"/>
      <c r="N23" s="58"/>
      <c r="O23" s="58"/>
      <c r="Q23" s="58"/>
      <c r="R23" s="58"/>
      <c r="S23" s="58"/>
      <c r="T23" s="58"/>
      <c r="V23" s="58"/>
      <c r="W23" s="58"/>
      <c r="X23" s="58"/>
    </row>
    <row r="24" spans="1:24" ht="14.25" customHeight="1" x14ac:dyDescent="0.45">
      <c r="A24" s="52"/>
      <c r="B24" s="57"/>
      <c r="C24" s="57"/>
      <c r="D24" s="57"/>
      <c r="E24" s="61"/>
      <c r="F24" s="56"/>
      <c r="G24" s="62"/>
      <c r="K24" s="58"/>
      <c r="L24" s="58"/>
      <c r="M24" s="58"/>
      <c r="N24" s="58"/>
      <c r="O24" s="58"/>
      <c r="Q24" s="58"/>
      <c r="R24" s="58"/>
      <c r="S24" s="58"/>
      <c r="T24" s="58"/>
      <c r="V24" s="58"/>
      <c r="W24" s="58"/>
      <c r="X24" s="58"/>
    </row>
    <row r="25" spans="1:24" ht="14.25" customHeight="1" x14ac:dyDescent="0.45">
      <c r="A25" s="52"/>
      <c r="B25" s="57"/>
      <c r="C25" s="57"/>
      <c r="D25" s="57"/>
      <c r="E25" s="61"/>
      <c r="F25" s="56"/>
      <c r="G25" s="62"/>
      <c r="K25" s="58"/>
      <c r="L25" s="58"/>
      <c r="M25" s="58"/>
      <c r="N25" s="58"/>
      <c r="O25" s="58"/>
      <c r="Q25" s="58"/>
      <c r="R25" s="58"/>
      <c r="S25" s="58"/>
      <c r="T25" s="58"/>
      <c r="V25" s="58"/>
      <c r="W25" s="58"/>
      <c r="X25" s="58"/>
    </row>
    <row r="26" spans="1:24" ht="14.25" customHeight="1" x14ac:dyDescent="0.45">
      <c r="A26" s="52"/>
      <c r="B26" s="57"/>
      <c r="C26" s="57"/>
      <c r="D26" s="57"/>
      <c r="E26" s="56"/>
      <c r="F26" s="56"/>
      <c r="K26" s="58"/>
      <c r="L26" s="58"/>
      <c r="M26" s="58"/>
      <c r="N26" s="58"/>
      <c r="O26" s="58"/>
      <c r="Q26" s="58"/>
      <c r="R26" s="58"/>
      <c r="S26" s="58"/>
      <c r="T26" s="58"/>
      <c r="V26" s="58"/>
      <c r="W26" s="58"/>
      <c r="X26" s="58"/>
    </row>
    <row r="27" spans="1:24" ht="14.25" customHeight="1" x14ac:dyDescent="0.45">
      <c r="A27" s="52"/>
      <c r="B27" s="57"/>
      <c r="C27" s="57"/>
      <c r="D27" s="57"/>
      <c r="E27" s="56"/>
      <c r="F27" s="56"/>
      <c r="K27" s="58"/>
      <c r="L27" s="58"/>
      <c r="M27" s="58"/>
      <c r="N27" s="58"/>
      <c r="O27" s="58"/>
      <c r="Q27" s="58"/>
      <c r="R27" s="58"/>
      <c r="S27" s="58"/>
      <c r="T27" s="58"/>
      <c r="V27" s="58"/>
      <c r="W27" s="58"/>
      <c r="X27" s="58"/>
    </row>
    <row r="28" spans="1:24" ht="14.25" customHeight="1" x14ac:dyDescent="0.45">
      <c r="A28" s="52"/>
      <c r="B28" s="57"/>
      <c r="C28" s="57"/>
      <c r="D28" s="57"/>
      <c r="E28" s="56"/>
      <c r="F28" s="56"/>
      <c r="K28" s="58"/>
      <c r="L28" s="58"/>
      <c r="M28" s="58"/>
      <c r="N28" s="58"/>
      <c r="O28" s="58"/>
      <c r="Q28" s="58"/>
      <c r="R28" s="58"/>
      <c r="S28" s="58"/>
      <c r="T28" s="58"/>
      <c r="V28" s="58"/>
      <c r="W28" s="58"/>
      <c r="X28" s="58"/>
    </row>
    <row r="29" spans="1:24" ht="14.25" customHeight="1" x14ac:dyDescent="0.45">
      <c r="A29" s="52"/>
      <c r="B29" s="57"/>
      <c r="C29" s="57"/>
      <c r="D29" s="57"/>
      <c r="E29" s="56"/>
      <c r="F29" s="56"/>
      <c r="K29" s="58"/>
      <c r="L29" s="58"/>
      <c r="M29" s="58"/>
      <c r="N29" s="58"/>
      <c r="O29" s="58"/>
      <c r="Q29" s="58"/>
      <c r="R29" s="58"/>
      <c r="S29" s="58"/>
      <c r="T29" s="58"/>
      <c r="V29" s="68"/>
      <c r="W29" s="58"/>
      <c r="X29" s="58"/>
    </row>
    <row r="30" spans="1:24" ht="14.25" customHeight="1" x14ac:dyDescent="0.45">
      <c r="A30" s="52"/>
      <c r="B30" s="57"/>
      <c r="C30" s="57"/>
      <c r="D30" s="57"/>
      <c r="E30" s="56"/>
      <c r="F30" s="56"/>
      <c r="K30" s="58"/>
      <c r="L30" s="58"/>
      <c r="M30" s="58"/>
      <c r="N30" s="58"/>
      <c r="O30" s="58"/>
      <c r="P30" s="54"/>
      <c r="Q30" s="58"/>
      <c r="R30" s="58"/>
      <c r="S30" s="58"/>
      <c r="T30" s="58"/>
      <c r="V30" s="58"/>
      <c r="W30" s="58"/>
      <c r="X30" s="58"/>
    </row>
    <row r="31" spans="1:24" ht="14.25" customHeight="1" x14ac:dyDescent="0.45">
      <c r="A31" s="52"/>
      <c r="B31" s="57"/>
      <c r="C31" s="57"/>
      <c r="D31" s="57"/>
      <c r="E31" s="56"/>
      <c r="F31" s="56"/>
      <c r="J31" s="54"/>
      <c r="Q31" s="63"/>
    </row>
    <row r="32" spans="1:24" ht="14.25" customHeight="1" x14ac:dyDescent="0.45">
      <c r="A32" s="52"/>
      <c r="B32" s="57"/>
      <c r="C32" s="57"/>
      <c r="D32" s="57"/>
      <c r="E32" s="56"/>
      <c r="F32" s="56"/>
      <c r="J32" s="54"/>
      <c r="K32" s="64" t="str">
        <f>M32&amp;H3&amp;","&amp;I3&amp;","&amp;J3&amp;"],"</f>
        <v>"PartA":[33,12,8],</v>
      </c>
      <c r="L32" s="54"/>
      <c r="M32" s="37" t="s">
        <v>115</v>
      </c>
      <c r="O32" s="37" t="s">
        <v>119</v>
      </c>
      <c r="Q32" s="65">
        <f>ROUND(SUM('Stats Global'!AA10,'Stats Global'!AA14,'Stats Global'!AA17,'Stats Global'!AA13,'Stats Global'!AA24,'Stats Global'!AA23)/'Stats Global'!AA6,1)</f>
        <v>5.3</v>
      </c>
    </row>
    <row r="33" spans="1:17" ht="14.25" customHeight="1" x14ac:dyDescent="0.45">
      <c r="A33" s="52"/>
      <c r="B33" s="57"/>
      <c r="C33" s="57"/>
      <c r="D33" s="57"/>
      <c r="E33" s="56"/>
      <c r="F33" s="56"/>
      <c r="K33" s="37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"PartB":[14,"Rudy Hoschke",11,"Rudy Hoschke",5,"Conor Farrington",1,"Rudy Hoschke"],</v>
      </c>
      <c r="M33" s="37" t="s">
        <v>116</v>
      </c>
      <c r="O33" s="66">
        <f>MAX(Table11[Points])</f>
        <v>14</v>
      </c>
      <c r="P33" s="37" t="str">
        <f>IF(O33&lt;&gt;0,IF(O33=M5,L5,IF(O33=M6,L6,IF(M7=O33,L7,IF(M8=O33,L8,L9)))),"N/A")</f>
        <v>Rudy Hoschke</v>
      </c>
      <c r="Q33" s="65">
        <f>ROUND(SUM('Stats Global'!AC10,'Stats Global'!AC14,'Stats Global'!AC17,'Stats Global'!AC13,'Stats Global'!AC24,'Stats Global'!AC23)/'Stats Global'!AA6,1)</f>
        <v>2.7</v>
      </c>
    </row>
    <row r="34" spans="1:17" ht="14.25" customHeight="1" x14ac:dyDescent="0.45">
      <c r="A34" s="52"/>
      <c r="B34" s="57"/>
      <c r="C34" s="57"/>
      <c r="D34" s="57"/>
      <c r="E34" s="56"/>
      <c r="F34" s="56"/>
      <c r="K34" s="37" t="str">
        <f>M34&amp;Q32&amp;","&amp;Q33&amp;","&amp;Q34&amp;","&amp;Q35&amp;","&amp;Q36&amp;","&amp;Q37&amp;"],"</f>
        <v>"PartC":[5.3,2.7,2.7,0,11,4],</v>
      </c>
      <c r="M34" s="37" t="s">
        <v>117</v>
      </c>
      <c r="O34" s="66">
        <f>MAX(Table11[Finishes])</f>
        <v>11</v>
      </c>
      <c r="P34" s="37" t="str">
        <f>IF(O34&lt;&gt;0,IF(O34=O5,L5,IF(O34=O6,L6,IF(O7=O34,L7,IF(O8=O34,L8,L9)))),"N/A")</f>
        <v>Rudy Hoschke</v>
      </c>
      <c r="Q34" s="65">
        <f>ROUND(SUM('Stats Global'!AE10,'Stats Global'!AE14,'Stats Global'!AE17,'Stats Global'!AE13,'Stats Global'!AE24,'Stats Global'!AE23)/'Stats Global'!AA6,1)</f>
        <v>2.7</v>
      </c>
    </row>
    <row r="35" spans="1:17" ht="14.25" customHeight="1" x14ac:dyDescent="0.45">
      <c r="A35" s="52"/>
      <c r="B35" s="57"/>
      <c r="C35" s="57"/>
      <c r="D35" s="57"/>
      <c r="E35" s="56"/>
      <c r="F35" s="56"/>
      <c r="K35" s="37" t="str">
        <f>M35&amp;'Statistics CT'!P41&amp;","&amp;'Statistics CT'!O41&amp;","&amp;ROUND((1-'Statistics CT'!O42)*100,1)&amp;","&amp;'Statistics TC'!M41&amp;","&amp;'Statistics TC'!L41&amp;","&amp;ROUND((1-'Statistics TC'!L42)*100,1)&amp;"],"</f>
        <v>"PartD":[13,3,81.3,13,12,52],</v>
      </c>
      <c r="M35" s="37" t="s">
        <v>118</v>
      </c>
      <c r="O35" s="66">
        <f>MAX(Table11[Midranges])</f>
        <v>5</v>
      </c>
      <c r="P35" s="37" t="str">
        <f>IF(O35&lt;&gt;0,IF(O35=Q5,L5,IF(O35=Q6,L6,IF(Q7=O35,L7,IF(Q8=O35,L8,L9)))),"N/A")</f>
        <v>Conor Farrington</v>
      </c>
      <c r="Q35" s="65">
        <f>ROUND(SUM('Stats Global'!AG10,'Stats Global'!AG14,'Stats Global'!AG17,'Stats Global'!AG13,'Stats Global'!AG24,'Stats Global'!AG23)/'Stats Global'!AA6,1)</f>
        <v>0</v>
      </c>
    </row>
    <row r="36" spans="1:17" ht="14.25" customHeight="1" x14ac:dyDescent="0.45">
      <c r="A36" s="52"/>
      <c r="B36" s="57"/>
      <c r="C36" s="57"/>
      <c r="D36" s="57"/>
      <c r="E36" s="56"/>
      <c r="F36" s="56"/>
      <c r="O36" s="66">
        <f>MAX(Table11[Threes])</f>
        <v>1</v>
      </c>
      <c r="P36" s="37" t="str">
        <f>IF(O36&lt;&gt;0,IF(O36=S5,L5,IF(O36=S6,L6,IF(S7=O36,L7,IF(S8=O36,L8,L9)))),"N/A")</f>
        <v>Rudy Hoschke</v>
      </c>
      <c r="Q36" s="37">
        <f>ROUND(H3/'Stats Global'!AA6,1)</f>
        <v>11</v>
      </c>
    </row>
    <row r="37" spans="1:17" ht="14.25" customHeight="1" x14ac:dyDescent="0.45">
      <c r="A37" s="52"/>
      <c r="B37" s="57"/>
      <c r="C37" s="57"/>
      <c r="D37" s="57"/>
      <c r="E37" s="56"/>
      <c r="F37" s="56"/>
      <c r="Q37" s="37">
        <f>ROUND(I3/'Stats Global'!AA6,1)</f>
        <v>4</v>
      </c>
    </row>
    <row r="38" spans="1:17" ht="14.25" customHeight="1" x14ac:dyDescent="0.45">
      <c r="A38" s="52"/>
      <c r="B38" s="57"/>
      <c r="C38" s="57"/>
      <c r="D38" s="57"/>
      <c r="E38" s="56"/>
      <c r="F38" s="56"/>
    </row>
    <row r="39" spans="1:17" ht="14.25" customHeight="1" x14ac:dyDescent="0.45">
      <c r="A39" s="52"/>
      <c r="B39" s="57"/>
      <c r="C39" s="57"/>
      <c r="D39" s="57"/>
      <c r="E39" s="56"/>
      <c r="F39" s="56"/>
    </row>
    <row r="40" spans="1:17" ht="14.25" customHeight="1" x14ac:dyDescent="0.45">
      <c r="A40" s="52"/>
      <c r="B40" s="57"/>
      <c r="C40" s="57"/>
      <c r="D40" s="57"/>
      <c r="E40" s="56"/>
      <c r="F40" s="56"/>
    </row>
    <row r="41" spans="1:17" ht="14.25" customHeight="1" x14ac:dyDescent="0.45">
      <c r="C41" s="81">
        <f>SUM(B4:B40)/SUM(B4:C40)</f>
        <v>0.73333333333333328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Q19" sqref="Q19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B2" s="1" t="s">
        <v>84</v>
      </c>
      <c r="C2" s="34" t="s">
        <v>174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4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0</v>
      </c>
      <c r="M3" s="1">
        <f>COUNTIF(D3:D40, "Choc-Tops")</f>
        <v>0</v>
      </c>
      <c r="N3" s="8" t="e">
        <f>L3/(L3+M3)</f>
        <v>#DIV/0!</v>
      </c>
      <c r="O3" s="1">
        <f>IF(M3&lt;&gt;0,IF(AND(N3&gt;N4,N3&gt;N5),3,IF(OR(N3&gt;N4,N3&gt;N5),2,1)),0)</f>
        <v>0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181</v>
      </c>
      <c r="Y3" s="118" t="s">
        <v>182</v>
      </c>
      <c r="Z3" s="118" t="s">
        <v>35</v>
      </c>
      <c r="AB3" s="1"/>
    </row>
    <row r="4" spans="2:31" ht="14.25" customHeight="1" x14ac:dyDescent="0.45">
      <c r="K4" s="1" t="s">
        <v>182</v>
      </c>
      <c r="L4" s="1">
        <f>COUNTIF(C3:C40, "Traffic Controllers")</f>
        <v>0</v>
      </c>
      <c r="M4" s="1">
        <f>COUNTIF(D3:D40, "Traffic Controllers")</f>
        <v>0</v>
      </c>
      <c r="N4" s="8" t="e">
        <f t="shared" ref="N4:N5" si="4">L4/(L4+M4)</f>
        <v>#DIV/0!</v>
      </c>
      <c r="O4" s="1">
        <f>IF(M4&lt;&gt;0,IF(AND(N4&gt;N3,N4&gt;N5),3,IF(OR(N4&gt;N3,N4&gt;N5),2,1)),0)</f>
        <v>0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/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45">
      <c r="K5" s="1" t="s">
        <v>35</v>
      </c>
      <c r="L5" s="1">
        <f>COUNTIF(C3:C40, "Gentle, Men")</f>
        <v>0</v>
      </c>
      <c r="M5" s="1">
        <f>COUNTIF(D3:D40, "Gentle, Men")</f>
        <v>0</v>
      </c>
      <c r="N5" s="8" t="e">
        <f t="shared" si="4"/>
        <v>#DIV/0!</v>
      </c>
      <c r="O5" s="1">
        <f>IF(M5&lt;&gt;0,IF(AND(N5&gt;N4, N5&gt;N3), 3, IF(OR(N5&gt;N4, N5&gt;N3), 2, 1)),0)</f>
        <v>0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0</v>
      </c>
      <c r="X5" s="35" t="str">
        <f t="shared" si="5"/>
        <v/>
      </c>
      <c r="Y5" s="35" t="str">
        <f t="shared" si="6"/>
        <v/>
      </c>
      <c r="Z5" s="35" t="str">
        <f t="shared" si="7"/>
        <v/>
      </c>
      <c r="AB5" s="1"/>
    </row>
    <row r="6" spans="2:31" ht="14.25" customHeight="1" x14ac:dyDescent="0.45">
      <c r="Q6" s="1" t="s">
        <v>30</v>
      </c>
      <c r="R6" s="6">
        <f t="shared" si="0"/>
        <v>0</v>
      </c>
      <c r="S6" s="7">
        <f t="shared" si="1"/>
        <v>0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/>
      </c>
      <c r="Z6" s="35" t="str">
        <f t="shared" si="7"/>
        <v/>
      </c>
      <c r="AB6" s="1"/>
    </row>
    <row r="7" spans="2:31" ht="14.25" customHeight="1" x14ac:dyDescent="0.45">
      <c r="Q7" s="1" t="s">
        <v>32</v>
      </c>
      <c r="R7" s="6">
        <f t="shared" si="0"/>
        <v>0</v>
      </c>
      <c r="S7" s="7">
        <f t="shared" si="1"/>
        <v>0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/>
      </c>
      <c r="Z7" s="35" t="str">
        <f t="shared" si="7"/>
        <v/>
      </c>
      <c r="AB7" s="1"/>
    </row>
    <row r="8" spans="2:31" ht="14.25" customHeight="1" x14ac:dyDescent="0.45"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/>
      </c>
      <c r="Z8" s="35" t="str">
        <f t="shared" si="7"/>
        <v/>
      </c>
      <c r="AB8" s="1"/>
    </row>
    <row r="9" spans="2:31" ht="14.25" customHeight="1" x14ac:dyDescent="0.45">
      <c r="Q9" t="s">
        <v>98</v>
      </c>
      <c r="R9" s="13">
        <f t="shared" si="0"/>
        <v>0</v>
      </c>
      <c r="S9" s="7">
        <f t="shared" si="1"/>
        <v>0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/>
      </c>
      <c r="Z9" s="35" t="str">
        <f t="shared" si="7"/>
        <v/>
      </c>
    </row>
    <row r="10" spans="2:31" ht="14.25" customHeight="1" x14ac:dyDescent="0.45"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/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45"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/>
      </c>
      <c r="Z11" s="35" t="str">
        <f t="shared" si="7"/>
        <v/>
      </c>
      <c r="AB11" s="1"/>
    </row>
    <row r="12" spans="2:31" ht="14.25" customHeight="1" x14ac:dyDescent="0.45"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/>
      </c>
      <c r="AB12" s="1"/>
    </row>
    <row r="13" spans="2:31" ht="14.25" customHeight="1" x14ac:dyDescent="0.45"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45"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45"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/>
      </c>
      <c r="Z15" s="35" t="str">
        <f t="shared" si="7"/>
        <v/>
      </c>
      <c r="AB15" s="1"/>
    </row>
    <row r="16" spans="2:31" ht="14.25" customHeight="1" x14ac:dyDescent="0.45">
      <c r="Q16" s="1" t="s">
        <v>52</v>
      </c>
      <c r="R16" s="6">
        <f t="shared" si="0"/>
        <v>0</v>
      </c>
      <c r="S16" s="7">
        <f t="shared" si="1"/>
        <v>0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/>
      </c>
      <c r="Z16" s="35" t="str">
        <f t="shared" si="7"/>
        <v/>
      </c>
      <c r="AB16" s="1"/>
    </row>
    <row r="17" spans="17:32" ht="14.25" customHeight="1" x14ac:dyDescent="0.4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45"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4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4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4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4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4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5"/>
      <c r="AC23" s="106"/>
      <c r="AD23" s="106"/>
      <c r="AE23" s="106"/>
      <c r="AF23" s="106"/>
    </row>
    <row r="24" spans="17:32" ht="14.25" customHeight="1" x14ac:dyDescent="0.4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45">
      <c r="Q25" s="2"/>
      <c r="R25" t="str">
        <f t="shared" si="9"/>
        <v>0,</v>
      </c>
      <c r="S25" t="str">
        <f t="shared" si="9"/>
        <v>0,</v>
      </c>
      <c r="T25" t="str">
        <f t="shared" si="9"/>
        <v>0,</v>
      </c>
      <c r="U25" t="str">
        <f t="shared" si="9"/>
        <v>0,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45">
      <c r="Q26" s="9"/>
      <c r="R26" t="str">
        <f t="shared" si="9"/>
        <v>0,</v>
      </c>
      <c r="S26" t="str">
        <f t="shared" si="9"/>
        <v>0,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45">
      <c r="R27" t="str">
        <f t="shared" si="9"/>
        <v>0,</v>
      </c>
      <c r="S27" t="str">
        <f t="shared" si="9"/>
        <v>0,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4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45">
      <c r="R29" t="str">
        <f t="shared" si="9"/>
        <v>0,</v>
      </c>
      <c r="S29" t="str">
        <f t="shared" si="9"/>
        <v>0,</v>
      </c>
      <c r="T29" t="str">
        <f t="shared" si="9"/>
        <v>0,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4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45">
      <c r="R31" t="str">
        <f t="shared" si="9"/>
        <v>0,</v>
      </c>
      <c r="S31" t="str">
        <f t="shared" si="9"/>
        <v>0,</v>
      </c>
      <c r="T31" t="str">
        <f t="shared" si="9"/>
        <v>0,</v>
      </c>
      <c r="U31" t="str">
        <f t="shared" si="9"/>
        <v>0,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4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45">
      <c r="R33" t="str">
        <f t="shared" si="9"/>
        <v>0,</v>
      </c>
      <c r="S33" t="str">
        <f t="shared" si="9"/>
        <v>0,</v>
      </c>
      <c r="T33" t="str">
        <f t="shared" si="9"/>
        <v>0,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4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4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45">
      <c r="R36" t="str">
        <f t="shared" si="9"/>
        <v>0,</v>
      </c>
      <c r="S36" t="str">
        <f t="shared" si="9"/>
        <v>0,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4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4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4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45">
      <c r="B40" s="51"/>
      <c r="S40" s="6"/>
      <c r="T40" s="6"/>
      <c r="U40" s="6"/>
    </row>
    <row r="41" spans="2:26" ht="14.25" customHeight="1" x14ac:dyDescent="0.9">
      <c r="R41" s="69"/>
      <c r="S41" s="69"/>
      <c r="T41" s="134" t="s">
        <v>102</v>
      </c>
      <c r="U41" s="134"/>
      <c r="V41" s="134"/>
    </row>
    <row r="42" spans="2:26" ht="14.25" customHeight="1" x14ac:dyDescent="0.9">
      <c r="R42" s="69"/>
      <c r="S42" s="69"/>
      <c r="T42" s="134"/>
      <c r="U42" s="134"/>
      <c r="V42" s="134"/>
    </row>
    <row r="43" spans="2:26" ht="14.25" customHeight="1" x14ac:dyDescent="0.45">
      <c r="B43" t="s">
        <v>149</v>
      </c>
      <c r="T43" s="49" t="s">
        <v>147</v>
      </c>
    </row>
    <row r="44" spans="2:26" ht="14.25" customHeight="1" x14ac:dyDescent="0.4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51" t="str">
        <f>C2</f>
        <v>12-August</v>
      </c>
      <c r="C45">
        <f>MAX(L3:L5)</f>
        <v>0</v>
      </c>
      <c r="D45">
        <f>COUNT(B4:B42)-C45-E45</f>
        <v>0</v>
      </c>
      <c r="E45">
        <f>MIN(L3:L5)</f>
        <v>0</v>
      </c>
      <c r="F45">
        <f>L3</f>
        <v>0</v>
      </c>
      <c r="G45">
        <f>COUNTIF(Y4:Y39, "GM/CT")</f>
        <v>0</v>
      </c>
      <c r="H45">
        <f>COUNTIF(Z4:Z39, "TC/CT")</f>
        <v>0</v>
      </c>
      <c r="I45">
        <f>L5</f>
        <v>0</v>
      </c>
      <c r="J45">
        <f>COUNTIF(X4:X39, "CT/GM")</f>
        <v>0</v>
      </c>
      <c r="K45">
        <f>COUNTIF(Z4:Z39, "TC/GM")</f>
        <v>0</v>
      </c>
      <c r="L45">
        <f>L4</f>
        <v>0</v>
      </c>
      <c r="M45">
        <f>COUNTIF(X4:X39, "CT/TC")</f>
        <v>0</v>
      </c>
      <c r="N45">
        <f>COUNTIF(Y4:Y39, "GM/TC")</f>
        <v>0</v>
      </c>
      <c r="O45">
        <f>O3</f>
        <v>0</v>
      </c>
      <c r="P45">
        <f>O5</f>
        <v>0</v>
      </c>
      <c r="Q45">
        <f>O4</f>
        <v>0</v>
      </c>
      <c r="T45" t="str">
        <f>CHAR(34)&amp;"Points"&amp;CHAR(34)&amp;":["&amp;R23&amp;R24&amp;R25&amp;R26&amp;R27&amp;R28&amp;R29&amp;R30&amp;R31&amp;R32&amp;R33&amp;R34&amp;R35&amp;R36&amp;R37&amp;R38&amp;"],"</f>
        <v>"Points":[0,0,0,0,0,0,0,0,0,0,0,"Did not Play",0,0,0,0],</v>
      </c>
    </row>
    <row r="46" spans="2:26" ht="14.25" customHeight="1" x14ac:dyDescent="0.45">
      <c r="T46" t="str">
        <f>CHAR(34)&amp;"Finishes"&amp;CHAR(34)&amp;":["&amp;S23&amp;S24&amp;S25&amp;S26&amp;S27&amp;S28&amp;S29&amp;S30&amp;S31&amp;S32&amp;S33&amp;S34&amp;S35&amp;S36&amp;S37&amp;S38&amp;"],"</f>
        <v>"Finishes":[0,0,0,0,0,0,0,0,0,0,0,"Did not Play",0,0,0,0],</v>
      </c>
    </row>
    <row r="47" spans="2:26" ht="14.25" customHeight="1" x14ac:dyDescent="0.45">
      <c r="T47" t="str">
        <f>CHAR(34)&amp;"Midrange"&amp;CHAR(34)&amp;":["&amp;T23&amp;T24&amp;T25&amp;T26&amp;T27&amp;T28&amp;T29&amp;T30&amp;T31&amp;T32&amp;T33&amp;T34&amp;T35&amp;T36&amp;T37&amp;T38&amp;"],"</f>
        <v>"Midrange":[0,0,0,0,0,0,0,0,0,0,0,"Did not Play",0,0,0,0],</v>
      </c>
    </row>
    <row r="48" spans="2:26" ht="14.25" customHeight="1" x14ac:dyDescent="0.45">
      <c r="T48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Play",0,0,0,0]</v>
      </c>
    </row>
    <row r="49" spans="20:20" ht="14.25" customHeight="1" x14ac:dyDescent="0.45">
      <c r="T49" s="49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67CB-E906-45CC-A5F1-3C9B7E23A80C}">
  <dimension ref="B1:AF1000"/>
  <sheetViews>
    <sheetView zoomScale="79" workbookViewId="0">
      <selection activeCell="B3" sqref="B3:I20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B2" s="1" t="s">
        <v>84</v>
      </c>
      <c r="C2" s="34" t="s">
        <v>224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4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2</v>
      </c>
      <c r="M3" s="1">
        <f>COUNTIF(D3:D40, "Choc-Tops")</f>
        <v>8</v>
      </c>
      <c r="N3" s="8">
        <f>L3/(L3+M3)</f>
        <v>0.2</v>
      </c>
      <c r="O3" s="1">
        <f>IF(M3&lt;&gt;0,IF(AND(N3&gt;N4,N3&gt;N5),3,IF(OR(N3&gt;N4,N3&gt;N5),2,1)),0)</f>
        <v>1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181</v>
      </c>
      <c r="Y3" s="118" t="s">
        <v>182</v>
      </c>
      <c r="Z3" s="118" t="s">
        <v>35</v>
      </c>
      <c r="AB3" s="1"/>
    </row>
    <row r="4" spans="2:31" ht="14.25" customHeight="1" x14ac:dyDescent="0.5">
      <c r="B4" s="132">
        <v>1</v>
      </c>
      <c r="C4" s="132" t="s">
        <v>191</v>
      </c>
      <c r="D4" s="132" t="s">
        <v>189</v>
      </c>
      <c r="E4" s="132" t="s">
        <v>46</v>
      </c>
      <c r="F4" s="132" t="s">
        <v>86</v>
      </c>
      <c r="G4" s="132">
        <v>1</v>
      </c>
      <c r="H4" s="132">
        <v>1</v>
      </c>
      <c r="I4" s="132">
        <v>1</v>
      </c>
      <c r="K4" s="1" t="s">
        <v>182</v>
      </c>
      <c r="L4" s="1">
        <f>COUNTIF(C3:C40, "Traffic Controllers")</f>
        <v>8</v>
      </c>
      <c r="M4" s="1">
        <f>COUNTIF(D3:D40, "Traffic Controllers")</f>
        <v>4</v>
      </c>
      <c r="N4" s="8">
        <f t="shared" ref="N4:N5" si="4">L4/(L4+M4)</f>
        <v>0.66666666666666663</v>
      </c>
      <c r="O4" s="1">
        <f>IF(M4&lt;&gt;0,IF(AND(N4&gt;N3,N4&gt;N5),3,IF(OR(N4&gt;N3,N4&gt;N5),2,1)),0)</f>
        <v>3</v>
      </c>
      <c r="Q4" s="1" t="s">
        <v>26</v>
      </c>
      <c r="R4" s="6">
        <f t="shared" si="0"/>
        <v>1</v>
      </c>
      <c r="S4" s="7">
        <f t="shared" si="1"/>
        <v>0</v>
      </c>
      <c r="T4" s="7">
        <f t="shared" si="2"/>
        <v>1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>CT/GM</v>
      </c>
      <c r="Y4" s="35" t="str">
        <f t="shared" ref="Y4:Y39" si="6">IF(AND(C4="Gentle, Men",D4="Choc-Tops"),"GM/CT", IF(AND(C4="Gentle, Men",D4="Traffic Controllers"),"GM/TC", ""))</f>
        <v/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5">
      <c r="B5" s="132">
        <v>2</v>
      </c>
      <c r="C5" s="132" t="s">
        <v>190</v>
      </c>
      <c r="D5" s="132" t="s">
        <v>191</v>
      </c>
      <c r="E5" s="132" t="s">
        <v>41</v>
      </c>
      <c r="F5" s="132" t="s">
        <v>203</v>
      </c>
      <c r="G5" s="132">
        <v>1</v>
      </c>
      <c r="H5" s="132">
        <v>1</v>
      </c>
      <c r="I5" s="132">
        <v>1</v>
      </c>
      <c r="K5" s="1" t="s">
        <v>35</v>
      </c>
      <c r="L5" s="1">
        <f>COUNTIF(C3:C40, "Gentle, Men")</f>
        <v>7</v>
      </c>
      <c r="M5" s="1">
        <f>COUNTIF(D3:D40, "Gentle, Men")</f>
        <v>5</v>
      </c>
      <c r="N5" s="8">
        <f t="shared" si="4"/>
        <v>0.58333333333333337</v>
      </c>
      <c r="O5" s="1">
        <f>IF(M5&lt;&gt;0,IF(AND(N5&gt;N4, N5&gt;N3), 3, IF(OR(N5&gt;N4, N5&gt;N3), 2, 1)),0)</f>
        <v>2</v>
      </c>
      <c r="Q5" s="1" t="s">
        <v>27</v>
      </c>
      <c r="R5" s="6">
        <f t="shared" si="0"/>
        <v>4</v>
      </c>
      <c r="S5" s="7">
        <f t="shared" si="1"/>
        <v>4</v>
      </c>
      <c r="T5" s="7">
        <f t="shared" si="2"/>
        <v>0</v>
      </c>
      <c r="U5" s="7">
        <f t="shared" si="3"/>
        <v>0</v>
      </c>
      <c r="V5" s="19" t="b">
        <v>0</v>
      </c>
      <c r="X5" s="35" t="str">
        <f t="shared" si="5"/>
        <v/>
      </c>
      <c r="Y5" s="35" t="str">
        <f t="shared" si="6"/>
        <v/>
      </c>
      <c r="Z5" s="35" t="str">
        <f t="shared" si="7"/>
        <v>TC/CT</v>
      </c>
      <c r="AB5" s="1"/>
    </row>
    <row r="6" spans="2:31" ht="14.25" customHeight="1" x14ac:dyDescent="0.5">
      <c r="B6" s="132">
        <v>3</v>
      </c>
      <c r="C6" s="132" t="s">
        <v>190</v>
      </c>
      <c r="D6" s="132" t="s">
        <v>189</v>
      </c>
      <c r="E6" s="132" t="s">
        <v>44</v>
      </c>
      <c r="F6" s="132" t="s">
        <v>86</v>
      </c>
      <c r="G6" s="132">
        <v>2</v>
      </c>
      <c r="H6" s="132">
        <v>2</v>
      </c>
      <c r="I6" s="132">
        <v>1</v>
      </c>
      <c r="Q6" s="1" t="s">
        <v>30</v>
      </c>
      <c r="R6" s="6">
        <f t="shared" si="0"/>
        <v>2</v>
      </c>
      <c r="S6" s="7">
        <f t="shared" si="1"/>
        <v>1</v>
      </c>
      <c r="T6" s="7">
        <f t="shared" si="2"/>
        <v>1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/>
      </c>
      <c r="Z6" s="35" t="str">
        <f t="shared" si="7"/>
        <v>TC/GM</v>
      </c>
      <c r="AB6" s="1"/>
    </row>
    <row r="7" spans="2:31" ht="14.25" customHeight="1" x14ac:dyDescent="0.5">
      <c r="B7" s="132">
        <v>4</v>
      </c>
      <c r="C7" s="132" t="s">
        <v>190</v>
      </c>
      <c r="D7" s="132" t="s">
        <v>191</v>
      </c>
      <c r="E7" s="132" t="s">
        <v>44</v>
      </c>
      <c r="F7" s="132" t="s">
        <v>86</v>
      </c>
      <c r="G7" s="132">
        <v>3</v>
      </c>
      <c r="H7" s="132">
        <v>2</v>
      </c>
      <c r="I7" s="132">
        <v>2</v>
      </c>
      <c r="Q7" s="1" t="s">
        <v>32</v>
      </c>
      <c r="R7" s="6">
        <f t="shared" si="0"/>
        <v>0</v>
      </c>
      <c r="S7" s="7">
        <f t="shared" si="1"/>
        <v>0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/>
      </c>
      <c r="Z7" s="35" t="str">
        <f t="shared" si="7"/>
        <v>TC/CT</v>
      </c>
      <c r="AB7" s="1"/>
    </row>
    <row r="8" spans="2:31" ht="14.25" customHeight="1" x14ac:dyDescent="0.5">
      <c r="B8" s="132">
        <v>5</v>
      </c>
      <c r="C8" s="132" t="s">
        <v>190</v>
      </c>
      <c r="D8" s="132" t="s">
        <v>189</v>
      </c>
      <c r="E8" s="132" t="s">
        <v>52</v>
      </c>
      <c r="F8" s="132" t="s">
        <v>203</v>
      </c>
      <c r="G8" s="132">
        <v>4</v>
      </c>
      <c r="H8" s="132">
        <v>3</v>
      </c>
      <c r="I8" s="132">
        <v>1</v>
      </c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/>
      </c>
      <c r="Z8" s="35" t="str">
        <f t="shared" si="7"/>
        <v>TC/GM</v>
      </c>
      <c r="AB8" s="1"/>
    </row>
    <row r="9" spans="2:31" ht="14.25" customHeight="1" x14ac:dyDescent="0.5">
      <c r="B9" s="132">
        <v>6</v>
      </c>
      <c r="C9" s="132" t="s">
        <v>190</v>
      </c>
      <c r="D9" s="132" t="s">
        <v>191</v>
      </c>
      <c r="E9" s="132" t="s">
        <v>39</v>
      </c>
      <c r="F9" s="132" t="s">
        <v>203</v>
      </c>
      <c r="G9" s="132">
        <v>5</v>
      </c>
      <c r="H9" s="132">
        <v>3</v>
      </c>
      <c r="I9" s="132">
        <v>1</v>
      </c>
      <c r="Q9" t="s">
        <v>98</v>
      </c>
      <c r="R9" s="13">
        <f t="shared" si="0"/>
        <v>0</v>
      </c>
      <c r="S9" s="7">
        <f t="shared" si="1"/>
        <v>0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/>
      </c>
      <c r="Z9" s="35" t="str">
        <f t="shared" si="7"/>
        <v>TC/CT</v>
      </c>
    </row>
    <row r="10" spans="2:31" ht="14.25" customHeight="1" x14ac:dyDescent="0.5">
      <c r="B10" s="132">
        <v>7</v>
      </c>
      <c r="C10" s="132" t="s">
        <v>190</v>
      </c>
      <c r="D10" s="132" t="s">
        <v>189</v>
      </c>
      <c r="E10" s="132" t="s">
        <v>41</v>
      </c>
      <c r="F10" s="132" t="s">
        <v>86</v>
      </c>
      <c r="G10" s="132">
        <v>6</v>
      </c>
      <c r="H10" s="132">
        <v>4</v>
      </c>
      <c r="I10" s="132">
        <v>1</v>
      </c>
      <c r="Q10" s="1" t="s">
        <v>39</v>
      </c>
      <c r="R10" s="6">
        <f t="shared" si="0"/>
        <v>1</v>
      </c>
      <c r="S10" s="7">
        <f t="shared" si="1"/>
        <v>1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/>
      </c>
      <c r="Y10" s="35" t="str">
        <f t="shared" si="6"/>
        <v/>
      </c>
      <c r="Z10" s="35" t="str">
        <f t="shared" si="7"/>
        <v>TC/GM</v>
      </c>
      <c r="AB10" s="1"/>
    </row>
    <row r="11" spans="2:31" ht="14.25" customHeight="1" x14ac:dyDescent="0.5">
      <c r="B11" s="132">
        <v>8</v>
      </c>
      <c r="C11" s="132" t="s">
        <v>191</v>
      </c>
      <c r="D11" s="132" t="s">
        <v>190</v>
      </c>
      <c r="E11" s="132" t="s">
        <v>55</v>
      </c>
      <c r="F11" s="132" t="s">
        <v>204</v>
      </c>
      <c r="G11" s="132">
        <v>1</v>
      </c>
      <c r="H11" s="132">
        <v>1</v>
      </c>
      <c r="I11" s="132">
        <v>1</v>
      </c>
      <c r="Q11" s="1" t="s">
        <v>41</v>
      </c>
      <c r="R11" s="6">
        <f t="shared" si="0"/>
        <v>3</v>
      </c>
      <c r="S11" s="7">
        <f t="shared" si="1"/>
        <v>2</v>
      </c>
      <c r="T11" s="7">
        <f t="shared" si="2"/>
        <v>1</v>
      </c>
      <c r="U11" s="7">
        <f t="shared" si="3"/>
        <v>0</v>
      </c>
      <c r="V11" s="19" t="b">
        <v>0</v>
      </c>
      <c r="X11" s="35" t="str">
        <f t="shared" si="5"/>
        <v>CT/TC</v>
      </c>
      <c r="Y11" s="35" t="str">
        <f t="shared" si="6"/>
        <v/>
      </c>
      <c r="Z11" s="35" t="str">
        <f t="shared" si="7"/>
        <v/>
      </c>
      <c r="AB11" s="1"/>
    </row>
    <row r="12" spans="2:31" ht="14.25" customHeight="1" x14ac:dyDescent="0.5">
      <c r="B12" s="132">
        <v>9</v>
      </c>
      <c r="C12" s="132" t="s">
        <v>189</v>
      </c>
      <c r="D12" s="132" t="s">
        <v>191</v>
      </c>
      <c r="E12" s="132" t="s">
        <v>26</v>
      </c>
      <c r="F12" s="132" t="s">
        <v>86</v>
      </c>
      <c r="G12" s="132">
        <v>1</v>
      </c>
      <c r="H12" s="132">
        <v>1</v>
      </c>
      <c r="I12" s="132">
        <v>1</v>
      </c>
      <c r="Q12" s="1" t="s">
        <v>44</v>
      </c>
      <c r="R12" s="6">
        <f t="shared" si="0"/>
        <v>2</v>
      </c>
      <c r="S12" s="7">
        <f t="shared" si="1"/>
        <v>0</v>
      </c>
      <c r="T12" s="7">
        <f t="shared" si="2"/>
        <v>2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>GM/CT</v>
      </c>
      <c r="Z12" s="35" t="str">
        <f t="shared" si="7"/>
        <v/>
      </c>
      <c r="AB12" s="1"/>
    </row>
    <row r="13" spans="2:31" ht="14.25" customHeight="1" x14ac:dyDescent="0.5">
      <c r="B13" s="132">
        <v>10</v>
      </c>
      <c r="C13" s="132" t="s">
        <v>189</v>
      </c>
      <c r="D13" s="132" t="s">
        <v>190</v>
      </c>
      <c r="E13" s="132" t="s">
        <v>30</v>
      </c>
      <c r="F13" s="132" t="s">
        <v>86</v>
      </c>
      <c r="G13" s="132">
        <v>2</v>
      </c>
      <c r="H13" s="132">
        <v>2</v>
      </c>
      <c r="I13" s="132">
        <v>1</v>
      </c>
      <c r="Q13" s="1" t="s">
        <v>46</v>
      </c>
      <c r="R13" s="6">
        <f t="shared" si="0"/>
        <v>1</v>
      </c>
      <c r="S13" s="7">
        <f t="shared" si="1"/>
        <v>0</v>
      </c>
      <c r="T13" s="7">
        <f t="shared" si="2"/>
        <v>1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>GM/TC</v>
      </c>
      <c r="Z13" s="35" t="str">
        <f t="shared" si="7"/>
        <v/>
      </c>
      <c r="AB13" s="1"/>
    </row>
    <row r="14" spans="2:31" ht="14.25" customHeight="1" x14ac:dyDescent="0.5">
      <c r="B14" s="132">
        <v>11</v>
      </c>
      <c r="C14" s="132" t="s">
        <v>189</v>
      </c>
      <c r="D14" s="132" t="s">
        <v>191</v>
      </c>
      <c r="E14" s="132" t="s">
        <v>27</v>
      </c>
      <c r="F14" s="132" t="s">
        <v>203</v>
      </c>
      <c r="G14" s="132">
        <v>3</v>
      </c>
      <c r="H14" s="132">
        <v>2</v>
      </c>
      <c r="I14" s="132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>GM/CT</v>
      </c>
      <c r="Z14" s="35" t="str">
        <f t="shared" si="7"/>
        <v/>
      </c>
      <c r="AB14" s="1"/>
    </row>
    <row r="15" spans="2:31" ht="14.25" customHeight="1" x14ac:dyDescent="0.5">
      <c r="B15" s="132">
        <v>12</v>
      </c>
      <c r="C15" s="132" t="s">
        <v>189</v>
      </c>
      <c r="D15" s="132" t="s">
        <v>190</v>
      </c>
      <c r="E15" s="132" t="s">
        <v>27</v>
      </c>
      <c r="F15" s="132" t="s">
        <v>203</v>
      </c>
      <c r="G15" s="132">
        <v>4</v>
      </c>
      <c r="H15" s="132">
        <v>3</v>
      </c>
      <c r="I15" s="132">
        <v>2</v>
      </c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>GM/TC</v>
      </c>
      <c r="Z15" s="35" t="str">
        <f t="shared" si="7"/>
        <v/>
      </c>
      <c r="AB15" s="1"/>
    </row>
    <row r="16" spans="2:31" ht="14.25" customHeight="1" x14ac:dyDescent="0.5">
      <c r="B16" s="132">
        <v>13</v>
      </c>
      <c r="C16" s="132" t="s">
        <v>189</v>
      </c>
      <c r="D16" s="132" t="s">
        <v>191</v>
      </c>
      <c r="E16" s="132" t="s">
        <v>30</v>
      </c>
      <c r="F16" s="132" t="s">
        <v>203</v>
      </c>
      <c r="G16" s="132">
        <v>5</v>
      </c>
      <c r="H16" s="132">
        <v>3</v>
      </c>
      <c r="I16" s="132">
        <v>1</v>
      </c>
      <c r="Q16" s="1" t="s">
        <v>52</v>
      </c>
      <c r="R16" s="6">
        <f t="shared" si="0"/>
        <v>2</v>
      </c>
      <c r="S16" s="7">
        <f t="shared" si="1"/>
        <v>1</v>
      </c>
      <c r="T16" s="7">
        <f t="shared" si="2"/>
        <v>1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>GM/CT</v>
      </c>
      <c r="Z16" s="35" t="str">
        <f t="shared" si="7"/>
        <v/>
      </c>
      <c r="AB16" s="1"/>
    </row>
    <row r="17" spans="2:32" ht="14.25" customHeight="1" x14ac:dyDescent="0.5">
      <c r="B17" s="132">
        <v>14</v>
      </c>
      <c r="C17" s="132" t="s">
        <v>189</v>
      </c>
      <c r="D17" s="132" t="s">
        <v>190</v>
      </c>
      <c r="E17" s="132" t="s">
        <v>27</v>
      </c>
      <c r="F17" s="132" t="s">
        <v>203</v>
      </c>
      <c r="G17" s="132">
        <v>6</v>
      </c>
      <c r="H17" s="132">
        <v>4</v>
      </c>
      <c r="I17" s="132">
        <v>1</v>
      </c>
      <c r="Q17" s="1" t="s">
        <v>55</v>
      </c>
      <c r="R17" s="6">
        <f t="shared" si="0"/>
        <v>2</v>
      </c>
      <c r="S17" s="7">
        <f t="shared" si="1"/>
        <v>0</v>
      </c>
      <c r="T17" s="7">
        <f t="shared" si="2"/>
        <v>0</v>
      </c>
      <c r="U17" s="7">
        <f t="shared" si="3"/>
        <v>1</v>
      </c>
      <c r="V17" s="19" t="b">
        <v>0</v>
      </c>
      <c r="X17" s="35" t="str">
        <f t="shared" si="5"/>
        <v/>
      </c>
      <c r="Y17" s="35" t="str">
        <f t="shared" si="6"/>
        <v>GM/TC</v>
      </c>
      <c r="Z17" s="35" t="str">
        <f t="shared" si="7"/>
        <v/>
      </c>
      <c r="AB17" s="1"/>
    </row>
    <row r="18" spans="2:32" ht="14.25" customHeight="1" x14ac:dyDescent="0.5">
      <c r="B18" s="132">
        <v>15</v>
      </c>
      <c r="C18" s="132" t="s">
        <v>189</v>
      </c>
      <c r="D18" s="132" t="s">
        <v>191</v>
      </c>
      <c r="E18" s="132" t="s">
        <v>27</v>
      </c>
      <c r="F18" s="132" t="s">
        <v>203</v>
      </c>
      <c r="G18" s="132">
        <v>7</v>
      </c>
      <c r="H18" s="132">
        <v>4</v>
      </c>
      <c r="I18" s="132">
        <v>2</v>
      </c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>GM/CT</v>
      </c>
      <c r="Z18" s="35" t="str">
        <f t="shared" si="7"/>
        <v/>
      </c>
      <c r="AB18" s="1"/>
    </row>
    <row r="19" spans="2:32" ht="14.25" customHeight="1" x14ac:dyDescent="0.5">
      <c r="B19" s="132">
        <v>16</v>
      </c>
      <c r="C19" s="132" t="s">
        <v>190</v>
      </c>
      <c r="D19" s="132" t="s">
        <v>189</v>
      </c>
      <c r="E19" s="132" t="s">
        <v>52</v>
      </c>
      <c r="F19" s="132" t="s">
        <v>86</v>
      </c>
      <c r="G19" s="132">
        <v>1</v>
      </c>
      <c r="H19" s="132">
        <v>1</v>
      </c>
      <c r="I19" s="132">
        <v>1</v>
      </c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>TC/GM</v>
      </c>
    </row>
    <row r="20" spans="2:32" ht="14.25" customHeight="1" x14ac:dyDescent="0.5">
      <c r="B20" s="132">
        <v>17</v>
      </c>
      <c r="C20" s="132" t="s">
        <v>190</v>
      </c>
      <c r="D20" s="132" t="s">
        <v>191</v>
      </c>
      <c r="E20" s="132" t="s">
        <v>41</v>
      </c>
      <c r="F20" s="132" t="s">
        <v>203</v>
      </c>
      <c r="G20" s="132">
        <v>2</v>
      </c>
      <c r="H20" s="132">
        <v>5</v>
      </c>
      <c r="I20" s="132">
        <v>1</v>
      </c>
      <c r="X20" s="35" t="str">
        <f t="shared" si="5"/>
        <v/>
      </c>
      <c r="Y20" s="35" t="str">
        <f t="shared" si="6"/>
        <v/>
      </c>
      <c r="Z20" s="35" t="str">
        <f t="shared" si="7"/>
        <v>TC/CT</v>
      </c>
    </row>
    <row r="21" spans="2:32" ht="14.25" customHeight="1" x14ac:dyDescent="0.4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2:32" ht="14.25" customHeight="1" x14ac:dyDescent="0.4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2:32" ht="14.25" customHeight="1" x14ac:dyDescent="0.4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5"/>
      <c r="AC23" s="106"/>
      <c r="AD23" s="106"/>
      <c r="AE23" s="106"/>
      <c r="AF23" s="106"/>
    </row>
    <row r="24" spans="2:32" ht="14.25" customHeight="1" x14ac:dyDescent="0.45">
      <c r="R24" t="str">
        <f t="shared" ref="R24:U37" si="9">IF($V4, CHAR(34)&amp;"Did not Play"&amp;CHAR(34), R4)&amp;","</f>
        <v>1,</v>
      </c>
      <c r="S24" t="str">
        <f t="shared" si="9"/>
        <v>0,</v>
      </c>
      <c r="T24" t="str">
        <f t="shared" si="9"/>
        <v>1,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2:32" ht="14.25" customHeight="1" x14ac:dyDescent="0.45">
      <c r="Q25" s="2"/>
      <c r="R25" t="str">
        <f t="shared" si="9"/>
        <v>4,</v>
      </c>
      <c r="S25" t="str">
        <f t="shared" si="9"/>
        <v>4,</v>
      </c>
      <c r="T25" t="str">
        <f t="shared" si="9"/>
        <v>0,</v>
      </c>
      <c r="U25" t="str">
        <f t="shared" si="9"/>
        <v>0,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2:32" ht="14.25" customHeight="1" x14ac:dyDescent="0.45">
      <c r="Q26" s="9"/>
      <c r="R26" t="str">
        <f t="shared" si="9"/>
        <v>2,</v>
      </c>
      <c r="S26" t="str">
        <f t="shared" si="9"/>
        <v>1,</v>
      </c>
      <c r="T26" t="str">
        <f t="shared" si="9"/>
        <v>1,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2:32" ht="14.25" customHeight="1" x14ac:dyDescent="0.45">
      <c r="R27" t="str">
        <f t="shared" si="9"/>
        <v>0,</v>
      </c>
      <c r="S27" t="str">
        <f t="shared" si="9"/>
        <v>0,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2:32" ht="14.25" customHeight="1" x14ac:dyDescent="0.4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2:32" ht="14.25" customHeight="1" x14ac:dyDescent="0.45">
      <c r="R29" t="str">
        <f t="shared" si="9"/>
        <v>0,</v>
      </c>
      <c r="S29" t="str">
        <f t="shared" si="9"/>
        <v>0,</v>
      </c>
      <c r="T29" t="str">
        <f t="shared" si="9"/>
        <v>0,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2:32" ht="14.25" customHeight="1" x14ac:dyDescent="0.45">
      <c r="R30" t="str">
        <f t="shared" si="9"/>
        <v>1,</v>
      </c>
      <c r="S30" t="str">
        <f t="shared" si="9"/>
        <v>1,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2:32" ht="14.25" customHeight="1" x14ac:dyDescent="0.45">
      <c r="R31" t="str">
        <f t="shared" si="9"/>
        <v>3,</v>
      </c>
      <c r="S31" t="str">
        <f t="shared" si="9"/>
        <v>2,</v>
      </c>
      <c r="T31" t="str">
        <f t="shared" si="9"/>
        <v>1,</v>
      </c>
      <c r="U31" t="str">
        <f t="shared" si="9"/>
        <v>0,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2:32" ht="14.25" customHeight="1" x14ac:dyDescent="0.45">
      <c r="R32" t="str">
        <f t="shared" si="9"/>
        <v>2,</v>
      </c>
      <c r="S32" t="str">
        <f t="shared" si="9"/>
        <v>0,</v>
      </c>
      <c r="T32" t="str">
        <f t="shared" si="9"/>
        <v>2,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45">
      <c r="R33" t="str">
        <f t="shared" si="9"/>
        <v>1,</v>
      </c>
      <c r="S33" t="str">
        <f t="shared" si="9"/>
        <v>0,</v>
      </c>
      <c r="T33" t="str">
        <f t="shared" si="9"/>
        <v>1,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4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4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45">
      <c r="R36" t="str">
        <f t="shared" si="9"/>
        <v>2,</v>
      </c>
      <c r="S36" t="str">
        <f t="shared" si="9"/>
        <v>1,</v>
      </c>
      <c r="T36" t="str">
        <f t="shared" si="9"/>
        <v>1,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45">
      <c r="R37" t="str">
        <f t="shared" si="9"/>
        <v>2,</v>
      </c>
      <c r="S37" t="str">
        <f t="shared" si="9"/>
        <v>0,</v>
      </c>
      <c r="T37" t="str">
        <f t="shared" si="9"/>
        <v>0,</v>
      </c>
      <c r="U37" t="str">
        <f t="shared" si="9"/>
        <v>1,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4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4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45">
      <c r="B40" s="51"/>
      <c r="S40" s="6"/>
      <c r="T40" s="6"/>
      <c r="U40" s="6"/>
    </row>
    <row r="41" spans="2:26" ht="14.25" customHeight="1" x14ac:dyDescent="0.9">
      <c r="R41" s="69"/>
      <c r="S41" s="69"/>
      <c r="T41" s="134" t="s">
        <v>102</v>
      </c>
      <c r="U41" s="134"/>
      <c r="V41" s="134"/>
    </row>
    <row r="42" spans="2:26" ht="14.25" customHeight="1" x14ac:dyDescent="0.9">
      <c r="R42" s="69"/>
      <c r="S42" s="69"/>
      <c r="T42" s="134"/>
      <c r="U42" s="134"/>
      <c r="V42" s="134"/>
    </row>
    <row r="43" spans="2:26" ht="14.25" customHeight="1" x14ac:dyDescent="0.45">
      <c r="B43" t="s">
        <v>149</v>
      </c>
      <c r="T43" s="49" t="s">
        <v>147</v>
      </c>
    </row>
    <row r="44" spans="2:26" ht="14.25" customHeight="1" x14ac:dyDescent="0.4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"Date":["25-October"],</v>
      </c>
    </row>
    <row r="45" spans="2:26" ht="14.25" customHeight="1" x14ac:dyDescent="0.45">
      <c r="B45" s="51" t="str">
        <f>C2</f>
        <v>25-October</v>
      </c>
      <c r="C45">
        <f>MAX(L3:L5)</f>
        <v>8</v>
      </c>
      <c r="D45">
        <f>COUNT(B4:B42)-C45-E45</f>
        <v>7</v>
      </c>
      <c r="E45">
        <f>MIN(L3:L5)</f>
        <v>2</v>
      </c>
      <c r="F45">
        <f>L3</f>
        <v>2</v>
      </c>
      <c r="G45">
        <f>COUNTIF(Y4:Y39, "GM/CT")</f>
        <v>4</v>
      </c>
      <c r="H45">
        <f>COUNTIF(Z4:Z39, "TC/CT")</f>
        <v>4</v>
      </c>
      <c r="I45">
        <f>L5</f>
        <v>7</v>
      </c>
      <c r="J45">
        <f>COUNTIF(X4:X39, "CT/GM")</f>
        <v>1</v>
      </c>
      <c r="K45">
        <f>COUNTIF(Z4:Z39, "TC/GM")</f>
        <v>4</v>
      </c>
      <c r="L45">
        <f>L4</f>
        <v>8</v>
      </c>
      <c r="M45">
        <f>COUNTIF(X4:X39, "CT/TC")</f>
        <v>1</v>
      </c>
      <c r="N45">
        <f>COUNTIF(Y4:Y39, "GM/TC")</f>
        <v>3</v>
      </c>
      <c r="O45">
        <f>O3</f>
        <v>1</v>
      </c>
      <c r="P45">
        <f>O5</f>
        <v>2</v>
      </c>
      <c r="Q45">
        <f>O4</f>
        <v>3</v>
      </c>
      <c r="T45" t="str">
        <f>CHAR(34)&amp;"Points"&amp;CHAR(34)&amp;":["&amp;R23&amp;R24&amp;R25&amp;R26&amp;R27&amp;R28&amp;R29&amp;R30&amp;R31&amp;R32&amp;R33&amp;R34&amp;R35&amp;R36&amp;R37&amp;R38&amp;"],"</f>
        <v>"Points":[0,1,4,2,0,0,0,1,3,2,1,"Did not Play",0,2,2,0],</v>
      </c>
    </row>
    <row r="46" spans="2:26" ht="14.25" customHeight="1" x14ac:dyDescent="0.45">
      <c r="T46" t="str">
        <f>CHAR(34)&amp;"Finishes"&amp;CHAR(34)&amp;":["&amp;S23&amp;S24&amp;S25&amp;S26&amp;S27&amp;S28&amp;S29&amp;S30&amp;S31&amp;S32&amp;S33&amp;S34&amp;S35&amp;S36&amp;S37&amp;S38&amp;"],"</f>
        <v>"Finishes":[0,0,4,1,0,0,0,1,2,0,0,"Did not Play",0,1,0,0],</v>
      </c>
    </row>
    <row r="47" spans="2:26" ht="14.25" customHeight="1" x14ac:dyDescent="0.45">
      <c r="T47" t="str">
        <f>CHAR(34)&amp;"Midrange"&amp;CHAR(34)&amp;":["&amp;T23&amp;T24&amp;T25&amp;T26&amp;T27&amp;T28&amp;T29&amp;T30&amp;T31&amp;T32&amp;T33&amp;T34&amp;T35&amp;T36&amp;T37&amp;T38&amp;"],"</f>
        <v>"Midrange":[0,1,0,1,0,0,0,0,1,2,1,"Did not Play",0,1,0,0],</v>
      </c>
    </row>
    <row r="48" spans="2:26" ht="14.25" customHeight="1" x14ac:dyDescent="0.45">
      <c r="T48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Play",0,0,1,0]</v>
      </c>
    </row>
    <row r="49" spans="20:20" ht="14.25" customHeight="1" x14ac:dyDescent="0.45">
      <c r="T49" s="49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74D9-98A8-47DC-8DB9-CDDFD27E733E}">
  <dimension ref="B1:AF1000"/>
  <sheetViews>
    <sheetView zoomScale="79" workbookViewId="0">
      <selection activeCell="O34" sqref="O34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B2" s="1" t="s">
        <v>84</v>
      </c>
      <c r="C2" s="34" t="s">
        <v>217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4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1</v>
      </c>
      <c r="M3" s="1">
        <f>COUNTIF(D3:D40, "Choc-Tops")</f>
        <v>13</v>
      </c>
      <c r="N3" s="8">
        <f>L3/(L3+M3)</f>
        <v>7.1428571428571425E-2</v>
      </c>
      <c r="O3" s="1">
        <f>IF(M3&lt;&gt;0,IF(AND(N3&gt;N4,N3&gt;N5),3,IF(OR(N3&gt;N4,N3&gt;N5),2,1)),0)</f>
        <v>1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181</v>
      </c>
      <c r="Y3" s="118" t="s">
        <v>182</v>
      </c>
      <c r="Z3" s="118" t="s">
        <v>35</v>
      </c>
      <c r="AB3" s="1"/>
    </row>
    <row r="4" spans="2:31" ht="14.25" customHeight="1" x14ac:dyDescent="0.45">
      <c r="B4">
        <v>1</v>
      </c>
      <c r="C4" t="s">
        <v>189</v>
      </c>
      <c r="D4" t="s">
        <v>190</v>
      </c>
      <c r="E4" t="s">
        <v>26</v>
      </c>
      <c r="F4" t="s">
        <v>86</v>
      </c>
      <c r="G4">
        <v>1</v>
      </c>
      <c r="H4">
        <v>1</v>
      </c>
      <c r="I4">
        <v>1</v>
      </c>
      <c r="K4" s="1" t="s">
        <v>182</v>
      </c>
      <c r="L4" s="1">
        <f>COUNTIF(C3:C40, "Traffic Controllers")</f>
        <v>9</v>
      </c>
      <c r="M4" s="1">
        <f>COUNTIF(D3:D40, "Traffic Controllers")</f>
        <v>9</v>
      </c>
      <c r="N4" s="8">
        <f t="shared" ref="N4:N5" si="4">L4/(L4+M4)</f>
        <v>0.5</v>
      </c>
      <c r="O4" s="1">
        <f>IF(M4&lt;&gt;0,IF(AND(N4&gt;N3,N4&gt;N5),3,IF(OR(N4&gt;N3,N4&gt;N5),2,1)),0)</f>
        <v>2</v>
      </c>
      <c r="Q4" s="1" t="s">
        <v>26</v>
      </c>
      <c r="R4" s="6">
        <f t="shared" si="0"/>
        <v>6</v>
      </c>
      <c r="S4" s="7">
        <f t="shared" si="1"/>
        <v>2</v>
      </c>
      <c r="T4" s="7">
        <f t="shared" si="2"/>
        <v>4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>GM/TC</v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45">
      <c r="B5">
        <v>2</v>
      </c>
      <c r="C5" t="s">
        <v>189</v>
      </c>
      <c r="D5" t="s">
        <v>191</v>
      </c>
      <c r="E5" t="s">
        <v>218</v>
      </c>
      <c r="F5" t="s">
        <v>203</v>
      </c>
      <c r="G5">
        <v>2</v>
      </c>
      <c r="H5">
        <v>1</v>
      </c>
      <c r="I5">
        <v>1</v>
      </c>
      <c r="K5" s="1" t="s">
        <v>35</v>
      </c>
      <c r="L5" s="1">
        <f>COUNTIF(C3:C40, "Gentle, Men")</f>
        <v>17</v>
      </c>
      <c r="M5" s="1">
        <f>COUNTIF(D3:D40, "Gentle, Men")</f>
        <v>5</v>
      </c>
      <c r="N5" s="8">
        <f t="shared" si="4"/>
        <v>0.77272727272727271</v>
      </c>
      <c r="O5" s="1">
        <f>IF(M5&lt;&gt;0,IF(AND(N5&gt;N4, N5&gt;N3), 3, IF(OR(N5&gt;N4, N5&gt;N3), 2, 1)),0)</f>
        <v>3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1</v>
      </c>
      <c r="X5" s="35" t="str">
        <f t="shared" si="5"/>
        <v/>
      </c>
      <c r="Y5" s="35" t="str">
        <f t="shared" si="6"/>
        <v>GM/CT</v>
      </c>
      <c r="Z5" s="35" t="str">
        <f t="shared" si="7"/>
        <v/>
      </c>
      <c r="AB5" s="1"/>
    </row>
    <row r="6" spans="2:31" ht="14.25" customHeight="1" x14ac:dyDescent="0.45">
      <c r="B6">
        <v>3</v>
      </c>
      <c r="C6" t="s">
        <v>189</v>
      </c>
      <c r="D6" t="s">
        <v>190</v>
      </c>
      <c r="E6" t="s">
        <v>30</v>
      </c>
      <c r="F6" t="s">
        <v>203</v>
      </c>
      <c r="G6">
        <v>3</v>
      </c>
      <c r="H6">
        <v>2</v>
      </c>
      <c r="I6">
        <v>1</v>
      </c>
      <c r="Q6" s="1" t="s">
        <v>30</v>
      </c>
      <c r="R6" s="6">
        <f t="shared" si="0"/>
        <v>6</v>
      </c>
      <c r="S6" s="7">
        <f t="shared" si="1"/>
        <v>4</v>
      </c>
      <c r="T6" s="7">
        <f t="shared" si="2"/>
        <v>0</v>
      </c>
      <c r="U6" s="7">
        <f t="shared" si="3"/>
        <v>1</v>
      </c>
      <c r="V6" s="19" t="b">
        <v>0</v>
      </c>
      <c r="X6" s="35" t="str">
        <f t="shared" si="5"/>
        <v/>
      </c>
      <c r="Y6" s="35" t="str">
        <f t="shared" si="6"/>
        <v>GM/TC</v>
      </c>
      <c r="Z6" s="35" t="str">
        <f t="shared" si="7"/>
        <v/>
      </c>
      <c r="AB6" s="1"/>
    </row>
    <row r="7" spans="2:31" ht="14.25" customHeight="1" x14ac:dyDescent="0.45">
      <c r="B7">
        <v>4</v>
      </c>
      <c r="C7" t="s">
        <v>189</v>
      </c>
      <c r="D7" t="s">
        <v>191</v>
      </c>
      <c r="E7" t="s">
        <v>30</v>
      </c>
      <c r="F7" t="s">
        <v>203</v>
      </c>
      <c r="G7">
        <v>4</v>
      </c>
      <c r="H7">
        <v>2</v>
      </c>
      <c r="I7">
        <v>2</v>
      </c>
      <c r="Q7" s="1" t="s">
        <v>32</v>
      </c>
      <c r="R7" s="6">
        <f t="shared" si="0"/>
        <v>3</v>
      </c>
      <c r="S7" s="7">
        <f t="shared" si="1"/>
        <v>0</v>
      </c>
      <c r="T7" s="7">
        <f t="shared" si="2"/>
        <v>1</v>
      </c>
      <c r="U7" s="7">
        <f t="shared" si="3"/>
        <v>1</v>
      </c>
      <c r="V7" s="19" t="b">
        <v>0</v>
      </c>
      <c r="X7" s="35" t="str">
        <f t="shared" si="5"/>
        <v/>
      </c>
      <c r="Y7" s="35" t="str">
        <f t="shared" si="6"/>
        <v>GM/CT</v>
      </c>
      <c r="Z7" s="35" t="str">
        <f t="shared" si="7"/>
        <v/>
      </c>
      <c r="AB7" s="1"/>
    </row>
    <row r="8" spans="2:31" ht="14.25" customHeight="1" x14ac:dyDescent="0.45">
      <c r="B8">
        <v>5</v>
      </c>
      <c r="C8" t="s">
        <v>189</v>
      </c>
      <c r="D8" t="s">
        <v>190</v>
      </c>
      <c r="E8" t="s">
        <v>26</v>
      </c>
      <c r="F8" t="s">
        <v>203</v>
      </c>
      <c r="G8">
        <v>5</v>
      </c>
      <c r="H8">
        <v>3</v>
      </c>
      <c r="I8">
        <v>1</v>
      </c>
      <c r="Q8" s="1" t="s">
        <v>37</v>
      </c>
      <c r="R8" s="6">
        <f t="shared" si="0"/>
        <v>1</v>
      </c>
      <c r="S8" s="7">
        <f t="shared" si="1"/>
        <v>0</v>
      </c>
      <c r="T8" s="7">
        <f t="shared" si="2"/>
        <v>1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>GM/TC</v>
      </c>
      <c r="Z8" s="35" t="str">
        <f t="shared" si="7"/>
        <v/>
      </c>
      <c r="AB8" s="1"/>
    </row>
    <row r="9" spans="2:31" ht="14.25" customHeight="1" x14ac:dyDescent="0.45">
      <c r="B9">
        <v>6</v>
      </c>
      <c r="C9" t="s">
        <v>189</v>
      </c>
      <c r="D9" t="s">
        <v>191</v>
      </c>
      <c r="E9" t="s">
        <v>32</v>
      </c>
      <c r="F9" t="s">
        <v>86</v>
      </c>
      <c r="G9">
        <v>6</v>
      </c>
      <c r="H9">
        <v>3</v>
      </c>
      <c r="I9">
        <v>1</v>
      </c>
      <c r="Q9" t="s">
        <v>98</v>
      </c>
      <c r="R9" s="13">
        <f t="shared" si="0"/>
        <v>1</v>
      </c>
      <c r="S9" s="7">
        <f t="shared" si="1"/>
        <v>1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>GM/CT</v>
      </c>
      <c r="Z9" s="35" t="str">
        <f t="shared" si="7"/>
        <v/>
      </c>
    </row>
    <row r="10" spans="2:31" ht="14.25" customHeight="1" x14ac:dyDescent="0.45">
      <c r="B10">
        <v>7</v>
      </c>
      <c r="C10" t="s">
        <v>189</v>
      </c>
      <c r="D10" t="s">
        <v>190</v>
      </c>
      <c r="E10" t="s">
        <v>218</v>
      </c>
      <c r="F10" t="s">
        <v>203</v>
      </c>
      <c r="G10">
        <v>7</v>
      </c>
      <c r="H10">
        <v>4</v>
      </c>
      <c r="I10">
        <v>1</v>
      </c>
      <c r="Q10" s="1" t="s">
        <v>39</v>
      </c>
      <c r="R10" s="6">
        <f t="shared" si="0"/>
        <v>4</v>
      </c>
      <c r="S10" s="7">
        <f t="shared" si="1"/>
        <v>1</v>
      </c>
      <c r="T10" s="7">
        <f t="shared" si="2"/>
        <v>1</v>
      </c>
      <c r="U10" s="7">
        <f t="shared" si="3"/>
        <v>1</v>
      </c>
      <c r="V10" s="19" t="b">
        <v>0</v>
      </c>
      <c r="X10" s="35" t="str">
        <f t="shared" si="5"/>
        <v/>
      </c>
      <c r="Y10" s="35" t="str">
        <f t="shared" si="6"/>
        <v>GM/TC</v>
      </c>
      <c r="Z10" s="35" t="str">
        <f t="shared" si="7"/>
        <v/>
      </c>
      <c r="AB10" s="1"/>
    </row>
    <row r="11" spans="2:31" ht="14.25" customHeight="1" x14ac:dyDescent="0.45">
      <c r="B11">
        <v>8</v>
      </c>
      <c r="C11" t="s">
        <v>189</v>
      </c>
      <c r="D11" t="s">
        <v>191</v>
      </c>
      <c r="E11" t="s">
        <v>52</v>
      </c>
      <c r="F11" t="s">
        <v>203</v>
      </c>
      <c r="G11">
        <v>8</v>
      </c>
      <c r="H11">
        <v>4</v>
      </c>
      <c r="I11">
        <v>1</v>
      </c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>GM/CT</v>
      </c>
      <c r="Z11" s="35" t="str">
        <f t="shared" si="7"/>
        <v/>
      </c>
      <c r="AB11" s="1"/>
    </row>
    <row r="12" spans="2:31" ht="14.25" customHeight="1" x14ac:dyDescent="0.45">
      <c r="B12">
        <v>9</v>
      </c>
      <c r="C12" t="s">
        <v>190</v>
      </c>
      <c r="D12" t="s">
        <v>189</v>
      </c>
      <c r="E12" t="s">
        <v>44</v>
      </c>
      <c r="F12" t="s">
        <v>86</v>
      </c>
      <c r="G12">
        <v>1</v>
      </c>
      <c r="H12">
        <v>1</v>
      </c>
      <c r="I12">
        <v>1</v>
      </c>
      <c r="Q12" s="1" t="s">
        <v>44</v>
      </c>
      <c r="R12" s="6">
        <f t="shared" si="0"/>
        <v>4</v>
      </c>
      <c r="S12" s="7">
        <f t="shared" si="1"/>
        <v>0</v>
      </c>
      <c r="T12" s="7">
        <f t="shared" si="2"/>
        <v>4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>TC/GM</v>
      </c>
      <c r="AB12" s="1"/>
    </row>
    <row r="13" spans="2:31" ht="14.25" customHeight="1" x14ac:dyDescent="0.45">
      <c r="B13">
        <v>10</v>
      </c>
      <c r="C13" t="s">
        <v>190</v>
      </c>
      <c r="D13" t="s">
        <v>191</v>
      </c>
      <c r="E13" t="s">
        <v>39</v>
      </c>
      <c r="F13" t="s">
        <v>203</v>
      </c>
      <c r="G13">
        <v>2</v>
      </c>
      <c r="H13">
        <v>5</v>
      </c>
      <c r="I13">
        <v>1</v>
      </c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>TC/CT</v>
      </c>
      <c r="AB13" s="1"/>
    </row>
    <row r="14" spans="2:31" ht="14.25" customHeight="1" x14ac:dyDescent="0.45">
      <c r="B14">
        <v>11</v>
      </c>
      <c r="C14" t="s">
        <v>189</v>
      </c>
      <c r="D14" t="s">
        <v>190</v>
      </c>
      <c r="E14" t="s">
        <v>32</v>
      </c>
      <c r="F14" t="s">
        <v>204</v>
      </c>
      <c r="G14">
        <v>1</v>
      </c>
      <c r="H14">
        <v>1</v>
      </c>
      <c r="I14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>GM/TC</v>
      </c>
      <c r="Z14" s="35" t="str">
        <f t="shared" si="7"/>
        <v/>
      </c>
      <c r="AB14" s="1"/>
    </row>
    <row r="15" spans="2:31" ht="14.25" customHeight="1" x14ac:dyDescent="0.45">
      <c r="B15">
        <v>12</v>
      </c>
      <c r="C15" t="s">
        <v>189</v>
      </c>
      <c r="D15" t="s">
        <v>191</v>
      </c>
      <c r="E15" t="s">
        <v>26</v>
      </c>
      <c r="F15" t="s">
        <v>86</v>
      </c>
      <c r="G15">
        <v>4</v>
      </c>
      <c r="H15">
        <v>7</v>
      </c>
      <c r="I15">
        <v>2</v>
      </c>
      <c r="Q15" s="1" t="s">
        <v>49</v>
      </c>
      <c r="R15" s="6">
        <f t="shared" si="0"/>
        <v>1</v>
      </c>
      <c r="S15" s="7">
        <f t="shared" si="1"/>
        <v>1</v>
      </c>
      <c r="T15" s="7">
        <f t="shared" si="2"/>
        <v>0</v>
      </c>
      <c r="U15" s="7">
        <f t="shared" si="3"/>
        <v>0</v>
      </c>
      <c r="V15" s="19" t="b">
        <v>0</v>
      </c>
      <c r="X15" s="35" t="e">
        <f>IF(AND(#REF!="Choc-Tops",#REF!="Gentle, Men"),"CT/GM", IF(AND(#REF!="Choc-Tops",#REF!="Traffic Controllers"),"CT/TC", ""))</f>
        <v>#REF!</v>
      </c>
      <c r="Y15" s="35" t="e">
        <f>IF(AND(#REF!="Gentle, Men",#REF!="Choc-Tops"),"GM/CT", IF(AND(#REF!="Gentle, Men",#REF!="Traffic Controllers"),"GM/TC", ""))</f>
        <v>#REF!</v>
      </c>
      <c r="Z15" s="35" t="e">
        <f>IF(AND(#REF!="Traffic Controllers",#REF!="Choc-Tops"),"TC/CT", IF(AND(#REF!="Traffic Controllers",#REF!="Gentle, Men"),"TC/GM", ""))</f>
        <v>#REF!</v>
      </c>
      <c r="AB15" s="1"/>
    </row>
    <row r="16" spans="2:31" ht="14.25" customHeight="1" x14ac:dyDescent="0.45">
      <c r="B16">
        <v>13</v>
      </c>
      <c r="C16" t="s">
        <v>190</v>
      </c>
      <c r="D16" t="s">
        <v>189</v>
      </c>
      <c r="E16" t="s">
        <v>49</v>
      </c>
      <c r="F16" t="s">
        <v>203</v>
      </c>
      <c r="G16">
        <v>1</v>
      </c>
      <c r="H16">
        <v>1</v>
      </c>
      <c r="I16">
        <v>1</v>
      </c>
      <c r="Q16" s="1" t="s">
        <v>52</v>
      </c>
      <c r="R16" s="6">
        <f t="shared" si="0"/>
        <v>2</v>
      </c>
      <c r="S16" s="7">
        <f t="shared" si="1"/>
        <v>2</v>
      </c>
      <c r="T16" s="7">
        <f t="shared" si="2"/>
        <v>0</v>
      </c>
      <c r="U16" s="7">
        <f t="shared" si="3"/>
        <v>0</v>
      </c>
      <c r="V16" s="19" t="b">
        <v>0</v>
      </c>
      <c r="X16" s="35" t="e">
        <f>IF(AND(#REF!="Choc-Tops",#REF!="Gentle, Men"),"CT/GM", IF(AND(#REF!="Choc-Tops",#REF!="Traffic Controllers"),"CT/TC", ""))</f>
        <v>#REF!</v>
      </c>
      <c r="Y16" s="35" t="e">
        <f>IF(AND(#REF!="Gentle, Men",#REF!="Choc-Tops"),"GM/CT", IF(AND(#REF!="Gentle, Men",#REF!="Traffic Controllers"),"GM/TC", ""))</f>
        <v>#REF!</v>
      </c>
      <c r="Z16" s="35" t="e">
        <f>IF(AND(#REF!="Traffic Controllers",#REF!="Choc-Tops"),"TC/CT", IF(AND(#REF!="Traffic Controllers",#REF!="Gentle, Men"),"TC/GM", ""))</f>
        <v>#REF!</v>
      </c>
      <c r="AB16" s="1"/>
    </row>
    <row r="17" spans="2:32" ht="14.25" customHeight="1" x14ac:dyDescent="0.45">
      <c r="B17">
        <v>14</v>
      </c>
      <c r="C17" t="s">
        <v>190</v>
      </c>
      <c r="D17" t="s">
        <v>191</v>
      </c>
      <c r="E17" t="s">
        <v>44</v>
      </c>
      <c r="F17" t="s">
        <v>86</v>
      </c>
      <c r="G17">
        <v>2</v>
      </c>
      <c r="H17">
        <v>8</v>
      </c>
      <c r="I17">
        <v>1</v>
      </c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ref="X17:X32" si="8">IF(AND(C15="Choc-Tops",D15="Gentle, Men"),"CT/GM", IF(AND(C15="Choc-Tops",D15="Traffic Controllers"),"CT/TC", ""))</f>
        <v/>
      </c>
      <c r="Y17" s="35" t="str">
        <f t="shared" ref="Y17:Y32" si="9">IF(AND(C15="Gentle, Men",D15="Choc-Tops"),"GM/CT", IF(AND(C15="Gentle, Men",D15="Traffic Controllers"),"GM/TC", ""))</f>
        <v>GM/CT</v>
      </c>
      <c r="Z17" s="35" t="str">
        <f t="shared" ref="Z17:Z32" si="10">IF(AND(C15="Traffic Controllers",D15="Choc-Tops"),"TC/CT", IF(AND($C15="Traffic Controllers",$D15="Gentle, Men"),"TC/GM", ""))</f>
        <v/>
      </c>
      <c r="AB17" s="1"/>
    </row>
    <row r="18" spans="2:32" ht="14.25" customHeight="1" x14ac:dyDescent="0.45">
      <c r="B18">
        <v>15</v>
      </c>
      <c r="C18" t="s">
        <v>189</v>
      </c>
      <c r="D18" t="s">
        <v>190</v>
      </c>
      <c r="E18" t="s">
        <v>26</v>
      </c>
      <c r="F18" t="s">
        <v>86</v>
      </c>
      <c r="G18">
        <v>1</v>
      </c>
      <c r="H18">
        <v>1</v>
      </c>
      <c r="I18">
        <v>1</v>
      </c>
      <c r="Q18" s="1" t="s">
        <v>218</v>
      </c>
      <c r="R18" s="6">
        <f t="shared" si="0"/>
        <v>2</v>
      </c>
      <c r="S18" s="7">
        <f t="shared" si="1"/>
        <v>2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8"/>
        <v/>
      </c>
      <c r="Y18" s="35" t="str">
        <f t="shared" si="9"/>
        <v/>
      </c>
      <c r="Z18" s="35" t="str">
        <f t="shared" si="10"/>
        <v>TC/GM</v>
      </c>
      <c r="AB18" s="1"/>
    </row>
    <row r="19" spans="2:32" ht="14.25" customHeight="1" x14ac:dyDescent="0.45">
      <c r="B19">
        <v>16</v>
      </c>
      <c r="C19" t="s">
        <v>189</v>
      </c>
      <c r="D19" t="s">
        <v>191</v>
      </c>
      <c r="E19" t="s">
        <v>26</v>
      </c>
      <c r="F19" t="s">
        <v>203</v>
      </c>
      <c r="G19">
        <v>2</v>
      </c>
      <c r="H19">
        <v>9</v>
      </c>
      <c r="I19">
        <v>2</v>
      </c>
      <c r="Q19" s="1"/>
      <c r="R19" s="6"/>
      <c r="S19" s="7"/>
      <c r="T19" s="7"/>
      <c r="U19" s="7"/>
      <c r="V19" s="19"/>
      <c r="X19" s="35" t="str">
        <f t="shared" si="8"/>
        <v/>
      </c>
      <c r="Y19" s="35" t="str">
        <f t="shared" si="9"/>
        <v/>
      </c>
      <c r="Z19" s="35" t="str">
        <f t="shared" si="10"/>
        <v>TC/CT</v>
      </c>
    </row>
    <row r="20" spans="2:32" ht="14.25" customHeight="1" x14ac:dyDescent="0.45">
      <c r="B20">
        <v>17</v>
      </c>
      <c r="C20" t="s">
        <v>189</v>
      </c>
      <c r="D20" t="s">
        <v>190</v>
      </c>
      <c r="E20" t="s">
        <v>26</v>
      </c>
      <c r="F20" t="s">
        <v>86</v>
      </c>
      <c r="G20">
        <v>3</v>
      </c>
      <c r="H20">
        <v>2</v>
      </c>
      <c r="I20">
        <v>3</v>
      </c>
      <c r="X20" s="35" t="str">
        <f t="shared" si="8"/>
        <v/>
      </c>
      <c r="Y20" s="35" t="str">
        <f t="shared" si="9"/>
        <v>GM/TC</v>
      </c>
      <c r="Z20" s="35" t="str">
        <f t="shared" si="10"/>
        <v/>
      </c>
    </row>
    <row r="21" spans="2:32" ht="14.25" customHeight="1" x14ac:dyDescent="0.45">
      <c r="B21">
        <v>18</v>
      </c>
      <c r="C21" t="s">
        <v>189</v>
      </c>
      <c r="D21" t="s">
        <v>191</v>
      </c>
      <c r="E21" t="s">
        <v>52</v>
      </c>
      <c r="F21" t="s">
        <v>203</v>
      </c>
      <c r="G21">
        <v>4</v>
      </c>
      <c r="H21">
        <v>10</v>
      </c>
      <c r="I21">
        <v>1</v>
      </c>
      <c r="X21" s="35" t="str">
        <f t="shared" si="8"/>
        <v/>
      </c>
      <c r="Y21" s="35" t="str">
        <f t="shared" si="9"/>
        <v>GM/CT</v>
      </c>
      <c r="Z21" s="35" t="str">
        <f t="shared" si="10"/>
        <v/>
      </c>
    </row>
    <row r="22" spans="2:32" ht="14.25" customHeight="1" x14ac:dyDescent="0.45">
      <c r="B22">
        <v>19</v>
      </c>
      <c r="C22" t="s">
        <v>190</v>
      </c>
      <c r="D22" t="s">
        <v>189</v>
      </c>
      <c r="E22" t="s">
        <v>39</v>
      </c>
      <c r="F22" t="s">
        <v>86</v>
      </c>
      <c r="G22">
        <v>1</v>
      </c>
      <c r="H22">
        <v>1</v>
      </c>
      <c r="I22">
        <v>1</v>
      </c>
      <c r="X22" s="35" t="str">
        <f t="shared" si="8"/>
        <v/>
      </c>
      <c r="Y22" s="35" t="str">
        <f t="shared" si="9"/>
        <v>GM/TC</v>
      </c>
      <c r="Z22" s="35" t="str">
        <f t="shared" si="10"/>
        <v/>
      </c>
    </row>
    <row r="23" spans="2:32" ht="14.25" customHeight="1" x14ac:dyDescent="0.45">
      <c r="B23">
        <v>20</v>
      </c>
      <c r="C23" t="s">
        <v>190</v>
      </c>
      <c r="D23" t="s">
        <v>191</v>
      </c>
      <c r="E23" t="s">
        <v>44</v>
      </c>
      <c r="F23" t="s">
        <v>86</v>
      </c>
      <c r="G23">
        <v>2</v>
      </c>
      <c r="H23">
        <v>11</v>
      </c>
      <c r="I23">
        <v>1</v>
      </c>
      <c r="Q23" s="1"/>
      <c r="R23" t="str">
        <f>IF($V3, CHAR(34)&amp;"Did not Play"&amp;CHAR(34), R3)&amp;","</f>
        <v>0,</v>
      </c>
      <c r="S23" t="str">
        <f t="shared" ref="S23:U23" si="11">IF($V3, CHAR(34)&amp;"Did not Play"&amp;CHAR(34), S3)&amp;","</f>
        <v>0,</v>
      </c>
      <c r="T23" t="str">
        <f t="shared" si="11"/>
        <v>0,</v>
      </c>
      <c r="U23" t="str">
        <f t="shared" si="11"/>
        <v>0,</v>
      </c>
      <c r="X23" s="35" t="str">
        <f t="shared" si="8"/>
        <v/>
      </c>
      <c r="Y23" s="35" t="str">
        <f t="shared" si="9"/>
        <v>GM/CT</v>
      </c>
      <c r="Z23" s="35" t="str">
        <f t="shared" si="10"/>
        <v/>
      </c>
      <c r="AB23" s="105"/>
      <c r="AC23" s="106"/>
      <c r="AD23" s="106"/>
      <c r="AE23" s="106"/>
      <c r="AF23" s="106"/>
    </row>
    <row r="24" spans="2:32" ht="14.25" customHeight="1" x14ac:dyDescent="0.45">
      <c r="B24">
        <v>21</v>
      </c>
      <c r="C24" t="s">
        <v>190</v>
      </c>
      <c r="D24" t="s">
        <v>189</v>
      </c>
      <c r="E24" t="s">
        <v>44</v>
      </c>
      <c r="F24" t="s">
        <v>86</v>
      </c>
      <c r="G24">
        <v>3</v>
      </c>
      <c r="H24">
        <v>2</v>
      </c>
      <c r="I24">
        <v>2</v>
      </c>
      <c r="R24" t="str">
        <f t="shared" ref="R24:U37" si="12">IF($V4, CHAR(34)&amp;"Did not Play"&amp;CHAR(34), R4)&amp;","</f>
        <v>6,</v>
      </c>
      <c r="S24" t="str">
        <f t="shared" si="12"/>
        <v>2,</v>
      </c>
      <c r="T24" t="str">
        <f t="shared" si="12"/>
        <v>4,</v>
      </c>
      <c r="U24" t="str">
        <f t="shared" si="12"/>
        <v>0,</v>
      </c>
      <c r="X24" s="35" t="str">
        <f t="shared" si="8"/>
        <v/>
      </c>
      <c r="Y24" s="35" t="str">
        <f t="shared" si="9"/>
        <v/>
      </c>
      <c r="Z24" s="35" t="str">
        <f t="shared" si="10"/>
        <v>TC/GM</v>
      </c>
    </row>
    <row r="25" spans="2:32" ht="14.25" customHeight="1" x14ac:dyDescent="0.45">
      <c r="B25">
        <v>22</v>
      </c>
      <c r="C25" t="s">
        <v>190</v>
      </c>
      <c r="D25" t="s">
        <v>191</v>
      </c>
      <c r="E25" t="s">
        <v>39</v>
      </c>
      <c r="F25" t="s">
        <v>204</v>
      </c>
      <c r="G25">
        <v>4</v>
      </c>
      <c r="H25">
        <v>12</v>
      </c>
      <c r="I25">
        <v>1</v>
      </c>
      <c r="Q25" s="2"/>
      <c r="R25" t="str">
        <f t="shared" si="12"/>
        <v>"Did not Play",</v>
      </c>
      <c r="S25" t="str">
        <f t="shared" si="12"/>
        <v>"Did not Play",</v>
      </c>
      <c r="T25" t="str">
        <f t="shared" si="12"/>
        <v>"Did not Play",</v>
      </c>
      <c r="U25" t="str">
        <f t="shared" si="12"/>
        <v>"Did not Play",</v>
      </c>
      <c r="X25" s="35" t="str">
        <f t="shared" si="8"/>
        <v/>
      </c>
      <c r="Y25" s="35" t="str">
        <f t="shared" si="9"/>
        <v/>
      </c>
      <c r="Z25" s="35" t="str">
        <f t="shared" si="10"/>
        <v>TC/CT</v>
      </c>
    </row>
    <row r="26" spans="2:32" ht="14.25" customHeight="1" x14ac:dyDescent="0.45">
      <c r="B26">
        <v>23</v>
      </c>
      <c r="C26" t="s">
        <v>189</v>
      </c>
      <c r="D26" t="s">
        <v>190</v>
      </c>
      <c r="E26" t="s">
        <v>30</v>
      </c>
      <c r="F26" t="s">
        <v>203</v>
      </c>
      <c r="G26">
        <v>1</v>
      </c>
      <c r="H26">
        <v>1</v>
      </c>
      <c r="I26">
        <v>1</v>
      </c>
      <c r="Q26" s="9"/>
      <c r="R26" t="str">
        <f t="shared" si="12"/>
        <v>6,</v>
      </c>
      <c r="S26" t="str">
        <f t="shared" si="12"/>
        <v>4,</v>
      </c>
      <c r="T26" t="str">
        <f t="shared" si="12"/>
        <v>0,</v>
      </c>
      <c r="U26" t="str">
        <f t="shared" si="12"/>
        <v>1,</v>
      </c>
      <c r="X26" s="35" t="str">
        <f t="shared" si="8"/>
        <v/>
      </c>
      <c r="Y26" s="35" t="str">
        <f t="shared" si="9"/>
        <v/>
      </c>
      <c r="Z26" s="35" t="str">
        <f t="shared" si="10"/>
        <v>TC/GM</v>
      </c>
    </row>
    <row r="27" spans="2:32" ht="14.25" customHeight="1" x14ac:dyDescent="0.45">
      <c r="B27">
        <v>24</v>
      </c>
      <c r="C27" t="s">
        <v>191</v>
      </c>
      <c r="D27" t="s">
        <v>189</v>
      </c>
      <c r="E27" t="s">
        <v>98</v>
      </c>
      <c r="F27" t="s">
        <v>203</v>
      </c>
      <c r="G27">
        <v>1</v>
      </c>
      <c r="H27">
        <v>1</v>
      </c>
      <c r="I27">
        <v>1</v>
      </c>
      <c r="R27" t="str">
        <f t="shared" si="12"/>
        <v>3,</v>
      </c>
      <c r="S27" t="str">
        <f t="shared" si="12"/>
        <v>0,</v>
      </c>
      <c r="T27" t="str">
        <f t="shared" si="12"/>
        <v>1,</v>
      </c>
      <c r="U27" t="str">
        <f t="shared" si="12"/>
        <v>1,</v>
      </c>
      <c r="X27" s="35" t="str">
        <f t="shared" si="8"/>
        <v/>
      </c>
      <c r="Y27" s="35" t="str">
        <f t="shared" si="9"/>
        <v/>
      </c>
      <c r="Z27" s="35" t="str">
        <f t="shared" si="10"/>
        <v>TC/CT</v>
      </c>
    </row>
    <row r="28" spans="2:32" ht="14.25" customHeight="1" x14ac:dyDescent="0.45">
      <c r="B28">
        <v>25</v>
      </c>
      <c r="C28" t="s">
        <v>190</v>
      </c>
      <c r="D28" t="s">
        <v>191</v>
      </c>
      <c r="E28" t="s">
        <v>37</v>
      </c>
      <c r="F28" t="s">
        <v>86</v>
      </c>
      <c r="G28">
        <v>1</v>
      </c>
      <c r="H28">
        <v>1</v>
      </c>
      <c r="I28">
        <v>1</v>
      </c>
      <c r="R28" t="str">
        <f t="shared" si="12"/>
        <v>1,</v>
      </c>
      <c r="S28" t="str">
        <f t="shared" si="12"/>
        <v>0,</v>
      </c>
      <c r="T28" t="str">
        <f t="shared" si="12"/>
        <v>1,</v>
      </c>
      <c r="U28" t="str">
        <f t="shared" si="12"/>
        <v>0,</v>
      </c>
      <c r="X28" s="35" t="str">
        <f t="shared" si="8"/>
        <v/>
      </c>
      <c r="Y28" s="35" t="str">
        <f t="shared" si="9"/>
        <v>GM/TC</v>
      </c>
      <c r="Z28" s="35" t="str">
        <f t="shared" si="10"/>
        <v/>
      </c>
    </row>
    <row r="29" spans="2:32" ht="14.25" customHeight="1" x14ac:dyDescent="0.45">
      <c r="B29">
        <v>26</v>
      </c>
      <c r="C29" t="s">
        <v>189</v>
      </c>
      <c r="D29" t="s">
        <v>190</v>
      </c>
      <c r="E29" t="s">
        <v>30</v>
      </c>
      <c r="F29" t="s">
        <v>204</v>
      </c>
      <c r="G29">
        <v>1</v>
      </c>
      <c r="H29">
        <v>1</v>
      </c>
      <c r="I29">
        <v>1</v>
      </c>
      <c r="R29" t="str">
        <f t="shared" si="12"/>
        <v>1,</v>
      </c>
      <c r="S29" t="str">
        <f t="shared" si="12"/>
        <v>1,</v>
      </c>
      <c r="T29" t="str">
        <f t="shared" si="12"/>
        <v>0,</v>
      </c>
      <c r="U29" t="str">
        <f t="shared" si="12"/>
        <v>0,</v>
      </c>
      <c r="X29" s="35" t="str">
        <f t="shared" si="8"/>
        <v>CT/GM</v>
      </c>
      <c r="Y29" s="35" t="str">
        <f t="shared" si="9"/>
        <v/>
      </c>
      <c r="Z29" s="35" t="str">
        <f t="shared" si="10"/>
        <v/>
      </c>
    </row>
    <row r="30" spans="2:32" ht="14.25" customHeight="1" x14ac:dyDescent="0.45">
      <c r="B30">
        <v>27</v>
      </c>
      <c r="C30" t="s">
        <v>189</v>
      </c>
      <c r="D30" t="s">
        <v>191</v>
      </c>
      <c r="E30" t="s">
        <v>30</v>
      </c>
      <c r="F30" t="s">
        <v>203</v>
      </c>
      <c r="G30">
        <v>2</v>
      </c>
      <c r="H30">
        <v>2</v>
      </c>
      <c r="I30">
        <v>2</v>
      </c>
      <c r="R30" t="str">
        <f t="shared" si="12"/>
        <v>4,</v>
      </c>
      <c r="S30" t="str">
        <f t="shared" si="12"/>
        <v>1,</v>
      </c>
      <c r="T30" t="str">
        <f t="shared" si="12"/>
        <v>1,</v>
      </c>
      <c r="U30" t="str">
        <f t="shared" si="12"/>
        <v>1,</v>
      </c>
      <c r="X30" s="35" t="str">
        <f t="shared" si="8"/>
        <v/>
      </c>
      <c r="Y30" s="35" t="str">
        <f t="shared" si="9"/>
        <v/>
      </c>
      <c r="Z30" s="35" t="str">
        <f t="shared" si="10"/>
        <v>TC/CT</v>
      </c>
    </row>
    <row r="31" spans="2:32" ht="14.25" customHeight="1" x14ac:dyDescent="0.45">
      <c r="R31" t="str">
        <f t="shared" si="12"/>
        <v>0,</v>
      </c>
      <c r="S31" t="str">
        <f t="shared" si="12"/>
        <v>0,</v>
      </c>
      <c r="T31" t="str">
        <f t="shared" si="12"/>
        <v>0,</v>
      </c>
      <c r="U31" t="str">
        <f t="shared" si="12"/>
        <v>0,</v>
      </c>
      <c r="X31" s="35" t="str">
        <f t="shared" si="8"/>
        <v/>
      </c>
      <c r="Y31" s="35" t="str">
        <f t="shared" si="9"/>
        <v>GM/TC</v>
      </c>
      <c r="Z31" s="35" t="str">
        <f t="shared" si="10"/>
        <v/>
      </c>
    </row>
    <row r="32" spans="2:32" ht="14.25" customHeight="1" x14ac:dyDescent="0.45">
      <c r="R32" t="str">
        <f t="shared" si="12"/>
        <v>4,</v>
      </c>
      <c r="S32" t="str">
        <f t="shared" si="12"/>
        <v>0,</v>
      </c>
      <c r="T32" t="str">
        <f t="shared" si="12"/>
        <v>4,</v>
      </c>
      <c r="U32" t="str">
        <f t="shared" si="12"/>
        <v>0,</v>
      </c>
      <c r="X32" s="35" t="str">
        <f t="shared" si="8"/>
        <v/>
      </c>
      <c r="Y32" s="35" t="str">
        <f t="shared" si="9"/>
        <v>GM/CT</v>
      </c>
      <c r="Z32" s="35" t="str">
        <f t="shared" si="10"/>
        <v/>
      </c>
    </row>
    <row r="33" spans="2:26" ht="14.25" customHeight="1" x14ac:dyDescent="0.45"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45">
      <c r="R34" t="str">
        <f t="shared" si="12"/>
        <v>"Did not Play",</v>
      </c>
      <c r="S34" t="str">
        <f t="shared" si="12"/>
        <v>"Did not Play",</v>
      </c>
      <c r="T34" t="str">
        <f t="shared" si="12"/>
        <v>"Did not Play",</v>
      </c>
      <c r="U34" t="str">
        <f t="shared" si="12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45">
      <c r="R35" t="str">
        <f t="shared" si="12"/>
        <v>1,</v>
      </c>
      <c r="S35" t="str">
        <f t="shared" si="12"/>
        <v>1,</v>
      </c>
      <c r="T35" t="str">
        <f t="shared" si="12"/>
        <v>0,</v>
      </c>
      <c r="U35" t="str">
        <f t="shared" si="12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45">
      <c r="R36" t="str">
        <f t="shared" si="12"/>
        <v>2,</v>
      </c>
      <c r="S36" t="str">
        <f t="shared" si="12"/>
        <v>2,</v>
      </c>
      <c r="T36" t="str">
        <f t="shared" si="12"/>
        <v>0,</v>
      </c>
      <c r="U36" t="str">
        <f t="shared" si="12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45">
      <c r="R37" t="str">
        <f t="shared" si="12"/>
        <v>0,</v>
      </c>
      <c r="S37" t="str">
        <f t="shared" si="12"/>
        <v>0,</v>
      </c>
      <c r="T37" t="str">
        <f t="shared" si="12"/>
        <v>0,</v>
      </c>
      <c r="U37" t="str">
        <f t="shared" si="12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45">
      <c r="R38">
        <f>IF($V18, CHAR(34)&amp;"Did not Play"&amp;CHAR(34), R18)</f>
        <v>2</v>
      </c>
      <c r="S38">
        <f>IF($V18, CHAR(34)&amp;"Did not Play"&amp;CHAR(34), S18)</f>
        <v>2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4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45">
      <c r="B40" s="51"/>
      <c r="S40" s="6"/>
      <c r="T40" s="6"/>
      <c r="U40" s="6"/>
    </row>
    <row r="41" spans="2:26" ht="14.25" customHeight="1" x14ac:dyDescent="0.9">
      <c r="R41" s="69"/>
      <c r="S41" s="69"/>
      <c r="T41" s="134" t="s">
        <v>102</v>
      </c>
      <c r="U41" s="134"/>
      <c r="V41" s="134"/>
    </row>
    <row r="42" spans="2:26" ht="14.25" customHeight="1" x14ac:dyDescent="0.9">
      <c r="R42" s="69"/>
      <c r="S42" s="69"/>
      <c r="T42" s="134"/>
      <c r="U42" s="134"/>
      <c r="V42" s="134"/>
    </row>
    <row r="43" spans="2:26" ht="14.25" customHeight="1" x14ac:dyDescent="0.45">
      <c r="B43" t="s">
        <v>149</v>
      </c>
      <c r="T43" s="49" t="s">
        <v>147</v>
      </c>
    </row>
    <row r="44" spans="2:26" ht="14.25" customHeight="1" x14ac:dyDescent="0.4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"Date":["24-October"],</v>
      </c>
    </row>
    <row r="45" spans="2:26" ht="14.25" customHeight="1" x14ac:dyDescent="0.45">
      <c r="B45" s="51" t="str">
        <f>C2</f>
        <v>24-October</v>
      </c>
      <c r="C45">
        <f>MAX(L3:L5)</f>
        <v>17</v>
      </c>
      <c r="D45">
        <f>COUNT(B4:B42)-C45-E45</f>
        <v>9</v>
      </c>
      <c r="E45">
        <f>MIN(L3:L5)</f>
        <v>1</v>
      </c>
      <c r="F45">
        <f>L3</f>
        <v>1</v>
      </c>
      <c r="G45">
        <f>COUNTIF(Y4:Y39, "GM/CT")</f>
        <v>8</v>
      </c>
      <c r="H45">
        <f>COUNTIF(Z4:Z39, "TC/CT")</f>
        <v>5</v>
      </c>
      <c r="I45">
        <f>L5</f>
        <v>17</v>
      </c>
      <c r="J45">
        <f>COUNTIF(X4:X39, "CT/GM")</f>
        <v>1</v>
      </c>
      <c r="K45">
        <f>COUNTIF(Z4:Z39, "TC/GM")</f>
        <v>4</v>
      </c>
      <c r="L45">
        <f>L4</f>
        <v>9</v>
      </c>
      <c r="M45">
        <f>COUNTIF(X4:X39, "CT/TC")</f>
        <v>0</v>
      </c>
      <c r="N45">
        <f>COUNTIF(Y4:Y39, "GM/TC")</f>
        <v>9</v>
      </c>
      <c r="O45">
        <f>O3</f>
        <v>1</v>
      </c>
      <c r="P45">
        <f>O5</f>
        <v>3</v>
      </c>
      <c r="Q45">
        <f>O4</f>
        <v>2</v>
      </c>
      <c r="T45" t="str">
        <f>CHAR(34)&amp;"Points"&amp;CHAR(34)&amp;":["&amp;R23&amp;R24&amp;R25&amp;R26&amp;R27&amp;R28&amp;R29&amp;R30&amp;R31&amp;R32&amp;R33&amp;R34&amp;R35&amp;R36&amp;R37&amp;R38&amp;"],"</f>
        <v>"Points":[0,6,"Did not Play",6,3,1,1,4,0,4,0,"Did not Play",1,2,0,2],</v>
      </c>
    </row>
    <row r="46" spans="2:26" ht="14.25" customHeight="1" x14ac:dyDescent="0.45">
      <c r="T46" t="str">
        <f>CHAR(34)&amp;"Finishes"&amp;CHAR(34)&amp;":["&amp;S23&amp;S24&amp;S25&amp;S26&amp;S27&amp;S28&amp;S29&amp;S30&amp;S31&amp;S32&amp;S33&amp;S34&amp;S35&amp;S36&amp;S37&amp;S38&amp;"],"</f>
        <v>"Finishes":[0,2,"Did not Play",4,0,0,1,1,0,0,0,"Did not Play",1,2,0,2],</v>
      </c>
    </row>
    <row r="47" spans="2:26" ht="14.25" customHeight="1" x14ac:dyDescent="0.45">
      <c r="T47" t="str">
        <f>CHAR(34)&amp;"Midrange"&amp;CHAR(34)&amp;":["&amp;T23&amp;T24&amp;T25&amp;T26&amp;T27&amp;T28&amp;T29&amp;T30&amp;T31&amp;T32&amp;T33&amp;T34&amp;T35&amp;T36&amp;T37&amp;T38&amp;"],"</f>
        <v>"Midrange":[0,4,"Did not Play",0,1,1,0,1,0,4,0,"Did not Play",0,0,0,0],</v>
      </c>
    </row>
    <row r="48" spans="2:26" ht="14.25" customHeight="1" x14ac:dyDescent="0.45">
      <c r="T48" t="str">
        <f>CHAR(34)&amp;"ThreePointers"&amp;CHAR(34)&amp;":["&amp;U23&amp;U24&amp;U25&amp;U26&amp;U27&amp;U28&amp;U29&amp;U30&amp;U31&amp;U32&amp;U33&amp;U34&amp;U35&amp;U36&amp;U37&amp;U38&amp;"]"</f>
        <v>"ThreePointers":[0,0,"Did not Play",1,1,0,0,1,0,0,0,"Did not Play",0,0,0,0]</v>
      </c>
    </row>
    <row r="49" spans="20:20" ht="14.25" customHeight="1" x14ac:dyDescent="0.45">
      <c r="T49" s="49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BA0C-5C63-4E07-8097-E0E9B5F5BD3B}">
  <dimension ref="B1:AF1000"/>
  <sheetViews>
    <sheetView topLeftCell="A18" zoomScale="79" workbookViewId="0">
      <selection activeCell="T43" sqref="T43:T49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B2" s="1" t="s">
        <v>84</v>
      </c>
      <c r="C2" s="34" t="s">
        <v>202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4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4</v>
      </c>
      <c r="M3" s="1">
        <f>COUNTIF(D3:D40, "Choc-Tops")</f>
        <v>4</v>
      </c>
      <c r="N3" s="8">
        <f>L3/(L3+M3)</f>
        <v>0.5</v>
      </c>
      <c r="O3" s="1">
        <f>IF(M3&lt;&gt;0,IF(AND(N3&gt;N4,N3&gt;N5),3,IF(OR(N3&gt;N4,N3&gt;N5),2,1)),0)</f>
        <v>2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181</v>
      </c>
      <c r="Y3" s="118" t="s">
        <v>182</v>
      </c>
      <c r="Z3" s="118" t="s">
        <v>35</v>
      </c>
      <c r="AB3" s="1"/>
    </row>
    <row r="4" spans="2:31" ht="14.25" customHeight="1" x14ac:dyDescent="0.45">
      <c r="B4">
        <v>1</v>
      </c>
      <c r="C4" t="s">
        <v>189</v>
      </c>
      <c r="D4" t="s">
        <v>190</v>
      </c>
      <c r="E4" t="s">
        <v>30</v>
      </c>
      <c r="F4" t="s">
        <v>203</v>
      </c>
      <c r="G4">
        <v>1</v>
      </c>
      <c r="H4">
        <v>1</v>
      </c>
      <c r="I4">
        <v>1</v>
      </c>
      <c r="K4" s="1" t="s">
        <v>182</v>
      </c>
      <c r="L4" s="1">
        <f>COUNTIF(C3:C40, "Traffic Controllers")</f>
        <v>0</v>
      </c>
      <c r="M4" s="1">
        <f>COUNTIF(D3:D40, "Traffic Controllers")</f>
        <v>7</v>
      </c>
      <c r="N4" s="8">
        <f t="shared" ref="N4:N5" si="4">L4/(L4+M4)</f>
        <v>0</v>
      </c>
      <c r="O4" s="1">
        <f>IF(M4&lt;&gt;0,IF(AND(N4&gt;N3,N4&gt;N5),3,IF(OR(N4&gt;N3,N4&gt;N5),2,1)),0)</f>
        <v>1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>GM/TC</v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45">
      <c r="B5">
        <v>2</v>
      </c>
      <c r="C5" t="s">
        <v>189</v>
      </c>
      <c r="D5" t="s">
        <v>191</v>
      </c>
      <c r="E5" t="s">
        <v>30</v>
      </c>
      <c r="F5" t="s">
        <v>203</v>
      </c>
      <c r="G5">
        <v>2</v>
      </c>
      <c r="H5">
        <v>1</v>
      </c>
      <c r="I5">
        <v>2</v>
      </c>
      <c r="K5" s="1" t="s">
        <v>35</v>
      </c>
      <c r="L5" s="1">
        <f>COUNTIF(C3:C40, "Gentle, Men")</f>
        <v>9</v>
      </c>
      <c r="M5" s="1">
        <f>COUNTIF(D3:D40, "Gentle, Men")</f>
        <v>2</v>
      </c>
      <c r="N5" s="8">
        <f t="shared" si="4"/>
        <v>0.81818181818181823</v>
      </c>
      <c r="O5" s="1">
        <f>IF(M5&lt;&gt;0,IF(AND(N5&gt;N4, N5&gt;N3), 3, IF(OR(N5&gt;N4, N5&gt;N3), 2, 1)),0)</f>
        <v>3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1</v>
      </c>
      <c r="X5" s="35" t="str">
        <f t="shared" si="5"/>
        <v/>
      </c>
      <c r="Y5" s="35" t="str">
        <f t="shared" si="6"/>
        <v>GM/CT</v>
      </c>
      <c r="Z5" s="35" t="str">
        <f t="shared" si="7"/>
        <v/>
      </c>
      <c r="AB5" s="1"/>
    </row>
    <row r="6" spans="2:31" ht="14.25" customHeight="1" x14ac:dyDescent="0.45">
      <c r="B6">
        <v>3</v>
      </c>
      <c r="C6" t="s">
        <v>189</v>
      </c>
      <c r="D6" t="s">
        <v>190</v>
      </c>
      <c r="E6" t="s">
        <v>30</v>
      </c>
      <c r="F6" t="s">
        <v>203</v>
      </c>
      <c r="G6">
        <v>3</v>
      </c>
      <c r="H6">
        <v>2</v>
      </c>
      <c r="I6">
        <v>3</v>
      </c>
      <c r="Q6" s="1" t="s">
        <v>30</v>
      </c>
      <c r="R6" s="6">
        <f t="shared" si="0"/>
        <v>6</v>
      </c>
      <c r="S6" s="7">
        <f t="shared" si="1"/>
        <v>6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>GM/TC</v>
      </c>
      <c r="Z6" s="35" t="str">
        <f t="shared" si="7"/>
        <v/>
      </c>
      <c r="AB6" s="1"/>
    </row>
    <row r="7" spans="2:31" ht="14.25" customHeight="1" x14ac:dyDescent="0.45">
      <c r="B7">
        <v>4</v>
      </c>
      <c r="C7" t="s">
        <v>189</v>
      </c>
      <c r="D7" t="s">
        <v>191</v>
      </c>
      <c r="E7" t="s">
        <v>52</v>
      </c>
      <c r="F7" t="s">
        <v>203</v>
      </c>
      <c r="G7">
        <v>4</v>
      </c>
      <c r="H7">
        <v>2</v>
      </c>
      <c r="I7">
        <v>1</v>
      </c>
      <c r="Q7" s="1" t="s">
        <v>32</v>
      </c>
      <c r="R7" s="6">
        <f t="shared" si="0"/>
        <v>1</v>
      </c>
      <c r="S7" s="7">
        <f t="shared" si="1"/>
        <v>1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>GM/CT</v>
      </c>
      <c r="Z7" s="35" t="str">
        <f t="shared" si="7"/>
        <v/>
      </c>
      <c r="AB7" s="1"/>
    </row>
    <row r="8" spans="2:31" ht="14.25" customHeight="1" x14ac:dyDescent="0.45">
      <c r="B8">
        <v>5</v>
      </c>
      <c r="C8" t="s">
        <v>189</v>
      </c>
      <c r="D8" t="s">
        <v>190</v>
      </c>
      <c r="E8" t="s">
        <v>30</v>
      </c>
      <c r="F8" t="s">
        <v>203</v>
      </c>
      <c r="G8">
        <v>5</v>
      </c>
      <c r="H8">
        <v>3</v>
      </c>
      <c r="I8">
        <v>1</v>
      </c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>GM/TC</v>
      </c>
      <c r="Z8" s="35" t="str">
        <f t="shared" si="7"/>
        <v/>
      </c>
      <c r="AB8" s="1"/>
    </row>
    <row r="9" spans="2:31" ht="14.25" customHeight="1" x14ac:dyDescent="0.45">
      <c r="B9">
        <v>6</v>
      </c>
      <c r="C9" t="s">
        <v>191</v>
      </c>
      <c r="D9" t="s">
        <v>189</v>
      </c>
      <c r="E9" t="s">
        <v>98</v>
      </c>
      <c r="F9" t="s">
        <v>86</v>
      </c>
      <c r="G9">
        <v>1</v>
      </c>
      <c r="H9">
        <v>1</v>
      </c>
      <c r="I9">
        <v>1</v>
      </c>
      <c r="Q9" t="s">
        <v>98</v>
      </c>
      <c r="R9" s="13">
        <f t="shared" si="0"/>
        <v>2</v>
      </c>
      <c r="S9" s="7">
        <f t="shared" si="1"/>
        <v>1</v>
      </c>
      <c r="T9" s="7">
        <f t="shared" si="2"/>
        <v>1</v>
      </c>
      <c r="U9" s="7">
        <f t="shared" si="3"/>
        <v>0</v>
      </c>
      <c r="V9" s="19" t="b">
        <v>0</v>
      </c>
      <c r="X9" s="35" t="str">
        <f t="shared" si="5"/>
        <v>CT/GM</v>
      </c>
      <c r="Y9" s="35" t="str">
        <f t="shared" si="6"/>
        <v/>
      </c>
      <c r="Z9" s="35" t="str">
        <f t="shared" si="7"/>
        <v/>
      </c>
    </row>
    <row r="10" spans="2:31" ht="14.25" customHeight="1" x14ac:dyDescent="0.45">
      <c r="B10">
        <v>7</v>
      </c>
      <c r="C10" t="s">
        <v>191</v>
      </c>
      <c r="D10" t="s">
        <v>190</v>
      </c>
      <c r="E10" t="s">
        <v>46</v>
      </c>
      <c r="F10" t="s">
        <v>86</v>
      </c>
      <c r="G10">
        <v>2</v>
      </c>
      <c r="H10">
        <v>4</v>
      </c>
      <c r="I10">
        <v>1</v>
      </c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>CT/TC</v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45">
      <c r="B11">
        <v>8</v>
      </c>
      <c r="C11" t="s">
        <v>189</v>
      </c>
      <c r="D11" t="s">
        <v>191</v>
      </c>
      <c r="E11" t="s">
        <v>32</v>
      </c>
      <c r="F11" t="s">
        <v>203</v>
      </c>
      <c r="G11">
        <v>1</v>
      </c>
      <c r="H11">
        <v>1</v>
      </c>
      <c r="I11">
        <v>1</v>
      </c>
      <c r="Q11" s="1" t="s">
        <v>41</v>
      </c>
      <c r="R11" s="6">
        <f t="shared" si="0"/>
        <v>2</v>
      </c>
      <c r="S11" s="7">
        <f t="shared" si="1"/>
        <v>0</v>
      </c>
      <c r="T11" s="7">
        <f t="shared" si="2"/>
        <v>0</v>
      </c>
      <c r="U11" s="7">
        <f t="shared" si="3"/>
        <v>1</v>
      </c>
      <c r="V11" s="19" t="b">
        <v>0</v>
      </c>
      <c r="X11" s="35" t="str">
        <f t="shared" si="5"/>
        <v/>
      </c>
      <c r="Y11" s="35" t="str">
        <f t="shared" si="6"/>
        <v>GM/CT</v>
      </c>
      <c r="Z11" s="35" t="str">
        <f t="shared" si="7"/>
        <v/>
      </c>
      <c r="AB11" s="1"/>
    </row>
    <row r="12" spans="2:31" ht="14.25" customHeight="1" x14ac:dyDescent="0.45">
      <c r="B12">
        <v>9</v>
      </c>
      <c r="C12" t="s">
        <v>189</v>
      </c>
      <c r="D12" t="s">
        <v>190</v>
      </c>
      <c r="E12" t="s">
        <v>52</v>
      </c>
      <c r="F12" t="s">
        <v>203</v>
      </c>
      <c r="G12">
        <v>2</v>
      </c>
      <c r="H12">
        <v>5</v>
      </c>
      <c r="I12">
        <v>1</v>
      </c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>GM/TC</v>
      </c>
      <c r="Z12" s="35" t="str">
        <f t="shared" si="7"/>
        <v/>
      </c>
      <c r="AB12" s="1"/>
    </row>
    <row r="13" spans="2:31" ht="14.25" customHeight="1" x14ac:dyDescent="0.45">
      <c r="B13">
        <v>10</v>
      </c>
      <c r="C13" t="s">
        <v>191</v>
      </c>
      <c r="D13" t="s">
        <v>189</v>
      </c>
      <c r="E13" t="s">
        <v>41</v>
      </c>
      <c r="F13" t="s">
        <v>204</v>
      </c>
      <c r="G13">
        <v>1</v>
      </c>
      <c r="H13">
        <v>1</v>
      </c>
      <c r="I13">
        <v>1</v>
      </c>
      <c r="Q13" s="1" t="s">
        <v>46</v>
      </c>
      <c r="R13" s="6">
        <f t="shared" si="0"/>
        <v>1</v>
      </c>
      <c r="S13" s="7">
        <f t="shared" si="1"/>
        <v>0</v>
      </c>
      <c r="T13" s="7">
        <f t="shared" si="2"/>
        <v>1</v>
      </c>
      <c r="U13" s="7">
        <f t="shared" si="3"/>
        <v>0</v>
      </c>
      <c r="V13" s="19" t="b">
        <v>0</v>
      </c>
      <c r="X13" s="35" t="str">
        <f t="shared" si="5"/>
        <v>CT/GM</v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45">
      <c r="B14">
        <v>11</v>
      </c>
      <c r="C14" t="s">
        <v>191</v>
      </c>
      <c r="D14" t="s">
        <v>190</v>
      </c>
      <c r="E14" t="s">
        <v>98</v>
      </c>
      <c r="F14" t="s">
        <v>203</v>
      </c>
      <c r="G14">
        <v>2</v>
      </c>
      <c r="H14">
        <v>6</v>
      </c>
      <c r="I14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>CT/TC</v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45">
      <c r="B15">
        <v>12</v>
      </c>
      <c r="C15" t="s">
        <v>189</v>
      </c>
      <c r="D15" t="s">
        <v>191</v>
      </c>
      <c r="E15" t="s">
        <v>30</v>
      </c>
      <c r="F15" t="s">
        <v>203</v>
      </c>
      <c r="G15">
        <v>1</v>
      </c>
      <c r="H15">
        <v>1</v>
      </c>
      <c r="I15">
        <v>1</v>
      </c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>GM/CT</v>
      </c>
      <c r="Z15" s="35" t="str">
        <f t="shared" si="7"/>
        <v/>
      </c>
      <c r="AB15" s="1"/>
    </row>
    <row r="16" spans="2:31" ht="14.25" customHeight="1" x14ac:dyDescent="0.45">
      <c r="B16">
        <v>13</v>
      </c>
      <c r="C16" t="s">
        <v>189</v>
      </c>
      <c r="D16" t="s">
        <v>190</v>
      </c>
      <c r="E16" t="s">
        <v>30</v>
      </c>
      <c r="F16" t="s">
        <v>203</v>
      </c>
      <c r="G16">
        <v>2</v>
      </c>
      <c r="H16">
        <v>7</v>
      </c>
      <c r="I16">
        <v>2</v>
      </c>
      <c r="Q16" s="1" t="s">
        <v>52</v>
      </c>
      <c r="R16" s="6">
        <f t="shared" si="0"/>
        <v>2</v>
      </c>
      <c r="S16" s="7">
        <f t="shared" si="1"/>
        <v>2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>GM/TC</v>
      </c>
      <c r="Z16" s="35" t="str">
        <f t="shared" si="7"/>
        <v/>
      </c>
      <c r="AB16" s="1"/>
    </row>
    <row r="17" spans="17:32" ht="14.25" customHeight="1" x14ac:dyDescent="0.4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45"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4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4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4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4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4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5"/>
      <c r="AC23" s="106"/>
      <c r="AD23" s="106"/>
      <c r="AE23" s="106"/>
      <c r="AF23" s="106"/>
    </row>
    <row r="24" spans="17:32" ht="14.25" customHeight="1" x14ac:dyDescent="0.4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45">
      <c r="Q25" s="2"/>
      <c r="R25" t="str">
        <f t="shared" si="9"/>
        <v>"Did not Play",</v>
      </c>
      <c r="S25" t="str">
        <f t="shared" si="9"/>
        <v>"Did not Play",</v>
      </c>
      <c r="T25" t="str">
        <f t="shared" si="9"/>
        <v>"Did not Play",</v>
      </c>
      <c r="U25" t="str">
        <f t="shared" si="9"/>
        <v>"Did not Play",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45">
      <c r="Q26" s="9"/>
      <c r="R26" t="str">
        <f t="shared" si="9"/>
        <v>6,</v>
      </c>
      <c r="S26" t="str">
        <f t="shared" si="9"/>
        <v>6,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45">
      <c r="R27" t="str">
        <f t="shared" si="9"/>
        <v>1,</v>
      </c>
      <c r="S27" t="str">
        <f t="shared" si="9"/>
        <v>1,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4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45">
      <c r="R29" t="str">
        <f t="shared" si="9"/>
        <v>2,</v>
      </c>
      <c r="S29" t="str">
        <f t="shared" si="9"/>
        <v>1,</v>
      </c>
      <c r="T29" t="str">
        <f t="shared" si="9"/>
        <v>1,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4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45">
      <c r="R31" t="str">
        <f t="shared" si="9"/>
        <v>2,</v>
      </c>
      <c r="S31" t="str">
        <f t="shared" si="9"/>
        <v>0,</v>
      </c>
      <c r="T31" t="str">
        <f t="shared" si="9"/>
        <v>0,</v>
      </c>
      <c r="U31" t="str">
        <f t="shared" si="9"/>
        <v>1,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4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45">
      <c r="R33" t="str">
        <f t="shared" si="9"/>
        <v>1,</v>
      </c>
      <c r="S33" t="str">
        <f t="shared" si="9"/>
        <v>0,</v>
      </c>
      <c r="T33" t="str">
        <f t="shared" si="9"/>
        <v>1,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4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4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45">
      <c r="R36" t="str">
        <f t="shared" si="9"/>
        <v>2,</v>
      </c>
      <c r="S36" t="str">
        <f t="shared" si="9"/>
        <v>2,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4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4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4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45">
      <c r="B40" s="51"/>
      <c r="S40" s="6"/>
      <c r="T40" s="6"/>
      <c r="U40" s="6"/>
    </row>
    <row r="41" spans="2:26" ht="14.25" customHeight="1" x14ac:dyDescent="0.9">
      <c r="R41" s="69"/>
      <c r="S41" s="69"/>
      <c r="T41" s="134" t="s">
        <v>102</v>
      </c>
      <c r="U41" s="134"/>
      <c r="V41" s="134"/>
    </row>
    <row r="42" spans="2:26" ht="14.25" customHeight="1" x14ac:dyDescent="0.9">
      <c r="R42" s="69"/>
      <c r="S42" s="69"/>
      <c r="T42" s="134"/>
      <c r="U42" s="134"/>
      <c r="V42" s="134"/>
    </row>
    <row r="43" spans="2:26" ht="14.25" customHeight="1" x14ac:dyDescent="0.45">
      <c r="B43" t="s">
        <v>149</v>
      </c>
      <c r="T43" s="49" t="s">
        <v>147</v>
      </c>
    </row>
    <row r="44" spans="2:26" ht="14.25" customHeight="1" x14ac:dyDescent="0.4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"Date":["23-October"],</v>
      </c>
    </row>
    <row r="45" spans="2:26" ht="14.25" customHeight="1" x14ac:dyDescent="0.45">
      <c r="B45" s="51" t="str">
        <f>C2</f>
        <v>23-October</v>
      </c>
      <c r="C45" s="13">
        <f>MAX(L3:L5)</f>
        <v>9</v>
      </c>
      <c r="D45" s="13">
        <f>COUNT(B4:B42)-C45-E45</f>
        <v>4</v>
      </c>
      <c r="E45" s="13">
        <f>MIN(L3:L5)</f>
        <v>0</v>
      </c>
      <c r="F45" s="13">
        <f>L3</f>
        <v>4</v>
      </c>
      <c r="G45" s="13">
        <f>COUNTIF(Y4:Y39, "GM/CT")</f>
        <v>4</v>
      </c>
      <c r="H45" s="13">
        <f>COUNTIF(Z4:Z39, "TC/CT")</f>
        <v>0</v>
      </c>
      <c r="I45" s="13">
        <f>L5</f>
        <v>9</v>
      </c>
      <c r="J45" s="13">
        <f>COUNTIF(X4:X39, "CT/GM")</f>
        <v>2</v>
      </c>
      <c r="K45" s="13">
        <f>COUNTIF(Z4:Z39, "TC/GM")</f>
        <v>0</v>
      </c>
      <c r="L45" s="13">
        <f>L4</f>
        <v>0</v>
      </c>
      <c r="M45" s="13">
        <f>COUNTIF(X4:X39, "CT/TC")</f>
        <v>2</v>
      </c>
      <c r="N45" s="13">
        <f>COUNTIF(Y4:Y39, "GM/TC")</f>
        <v>5</v>
      </c>
      <c r="O45" s="13">
        <f>O3</f>
        <v>2</v>
      </c>
      <c r="P45" s="13">
        <f>O5</f>
        <v>3</v>
      </c>
      <c r="Q45" s="13">
        <f>O4</f>
        <v>1</v>
      </c>
      <c r="T45" t="str">
        <f>CHAR(34)&amp;"Points"&amp;CHAR(34)&amp;":["&amp;R23&amp;R24&amp;R25&amp;R26&amp;R27&amp;R28&amp;R29&amp;R30&amp;R31&amp;R32&amp;R33&amp;R34&amp;R35&amp;R36&amp;R37&amp;R38&amp;"],"</f>
        <v>"Points":[0,0,"Did not Play",6,1,0,2,0,2,0,1,"Did not Play",0,2,0,0],</v>
      </c>
    </row>
    <row r="46" spans="2:26" ht="14.25" customHeight="1" x14ac:dyDescent="0.45">
      <c r="T46" t="str">
        <f>CHAR(34)&amp;"Finishes"&amp;CHAR(34)&amp;":["&amp;S23&amp;S24&amp;S25&amp;S26&amp;S27&amp;S28&amp;S29&amp;S30&amp;S31&amp;S32&amp;S33&amp;S34&amp;S35&amp;S36&amp;S37&amp;S38&amp;"],"</f>
        <v>"Finishes":[0,0,"Did not Play",6,1,0,1,0,0,0,0,"Did not Play",0,2,0,0],</v>
      </c>
    </row>
    <row r="47" spans="2:26" ht="14.25" customHeight="1" x14ac:dyDescent="0.45">
      <c r="T47" t="str">
        <f>CHAR(34)&amp;"Midrange"&amp;CHAR(34)&amp;":["&amp;T23&amp;T24&amp;T25&amp;T26&amp;T27&amp;T28&amp;T29&amp;T30&amp;T31&amp;T32&amp;T33&amp;T34&amp;T35&amp;T36&amp;T37&amp;T38&amp;"],"</f>
        <v>"Midrange":[0,0,"Did not Play",0,0,0,1,0,0,0,1,"Did not Play",0,0,0,0],</v>
      </c>
    </row>
    <row r="48" spans="2:26" ht="14.25" customHeight="1" x14ac:dyDescent="0.45">
      <c r="T48" t="str">
        <f>CHAR(34)&amp;"ThreePointers"&amp;CHAR(34)&amp;":["&amp;U23&amp;U24&amp;U25&amp;U26&amp;U27&amp;U28&amp;U29&amp;U30&amp;U31&amp;U32&amp;U33&amp;U34&amp;U35&amp;U36&amp;U37&amp;U38&amp;"]"</f>
        <v>"ThreePointers":[0,0,"Did not Play",0,0,0,0,0,1,0,0,"Did not Play",0,0,0,0]</v>
      </c>
    </row>
    <row r="49" spans="20:20" ht="14.25" customHeight="1" x14ac:dyDescent="0.45">
      <c r="T49" s="49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SfW</vt:lpstr>
      <vt:lpstr>Stats Global</vt:lpstr>
      <vt:lpstr>Statistics CT</vt:lpstr>
      <vt:lpstr>Statistics TC</vt:lpstr>
      <vt:lpstr>Statistics GM</vt:lpstr>
      <vt:lpstr>Template</vt:lpstr>
      <vt:lpstr>2510</vt:lpstr>
      <vt:lpstr>2410</vt:lpstr>
      <vt:lpstr>2310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2023-10-30T02:52:29Z</dcterms:modified>
</cp:coreProperties>
</file>