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076EE5F6-53C5-4032-B7FE-5A0D90602521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208" sheetId="20" r:id="rId7"/>
    <sheet name="0108" sheetId="19" r:id="rId8"/>
    <sheet name="3107" sheetId="18" r:id="rId9"/>
    <sheet name="2707" sheetId="17" r:id="rId10"/>
    <sheet name="2607" sheetId="16" r:id="rId11"/>
    <sheet name="2407" sheetId="15" r:id="rId12"/>
    <sheet name="2007" sheetId="14" r:id="rId13"/>
    <sheet name="1907" sheetId="13" r:id="rId14"/>
    <sheet name="1807" sheetId="12" r:id="rId15"/>
    <sheet name="1707" sheetId="11" r:id="rId16"/>
    <sheet name="Preseason 3" sheetId="10" r:id="rId17"/>
    <sheet name="Preseason 2" sheetId="9" r:id="rId18"/>
    <sheet name="Preseason 1" sheetId="8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0" l="1"/>
  <c r="B17" i="3" s="1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N5" i="20" l="1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O64" i="3"/>
  <c r="AO62" i="3"/>
  <c r="AS62" i="3" s="1"/>
  <c r="AO60" i="3"/>
  <c r="AS60" i="3" s="1"/>
  <c r="AO58" i="3"/>
  <c r="AS58" i="3" s="1"/>
  <c r="AO56" i="3"/>
  <c r="AS56" i="3" s="1"/>
  <c r="AO54" i="3"/>
  <c r="AS54" i="3" s="1"/>
  <c r="AO52" i="3"/>
  <c r="AS52" i="3" s="1"/>
  <c r="AO50" i="3"/>
  <c r="R15" i="19"/>
  <c r="AO49" i="3"/>
  <c r="AS49" i="3" s="1"/>
  <c r="AN64" i="3"/>
  <c r="AR64" i="3" s="1"/>
  <c r="AN62" i="3"/>
  <c r="AN60" i="3"/>
  <c r="AR60" i="3" s="1"/>
  <c r="AN58" i="3"/>
  <c r="AR58" i="3" s="1"/>
  <c r="AN56" i="3"/>
  <c r="AR56" i="3" s="1"/>
  <c r="AN54" i="3"/>
  <c r="AR54" i="3" s="1"/>
  <c r="AN52" i="3"/>
  <c r="AN50" i="3"/>
  <c r="AR50" i="3" s="1"/>
  <c r="R14" i="19"/>
  <c r="AN49" i="3"/>
  <c r="AR49" i="3" s="1"/>
  <c r="AM64" i="3"/>
  <c r="AQ64" i="3" s="1"/>
  <c r="AM62" i="3"/>
  <c r="AQ62" i="3" s="1"/>
  <c r="AM60" i="3"/>
  <c r="AQ60" i="3" s="1"/>
  <c r="AM58" i="3"/>
  <c r="AM56" i="3"/>
  <c r="AM54" i="3"/>
  <c r="AQ54" i="3" s="1"/>
  <c r="AM52" i="3"/>
  <c r="AQ52" i="3" s="1"/>
  <c r="AM50" i="3"/>
  <c r="AQ50" i="3" s="1"/>
  <c r="M45" i="19"/>
  <c r="M16" i="3" s="1"/>
  <c r="G45" i="19"/>
  <c r="G16" i="3" s="1"/>
  <c r="R9" i="19"/>
  <c r="AM49" i="3"/>
  <c r="AL64" i="3"/>
  <c r="AL56" i="3"/>
  <c r="AP56" i="3" s="1"/>
  <c r="K45" i="19"/>
  <c r="K16" i="3" s="1"/>
  <c r="R8" i="19"/>
  <c r="AO65" i="3"/>
  <c r="AS65" i="3" s="1"/>
  <c r="AO63" i="3"/>
  <c r="AS63" i="3" s="1"/>
  <c r="AO61" i="3"/>
  <c r="AS61" i="3" s="1"/>
  <c r="AO59" i="3"/>
  <c r="AO57" i="3"/>
  <c r="AS57" i="3" s="1"/>
  <c r="AO55" i="3"/>
  <c r="AS55" i="3" s="1"/>
  <c r="AO53" i="3"/>
  <c r="AS53" i="3" s="1"/>
  <c r="AO51" i="3"/>
  <c r="AS51" i="3" s="1"/>
  <c r="R7" i="19"/>
  <c r="AN65" i="3"/>
  <c r="AR65" i="3" s="1"/>
  <c r="AN63" i="3"/>
  <c r="AR63" i="3" s="1"/>
  <c r="AN61" i="3"/>
  <c r="AN59" i="3"/>
  <c r="AR59" i="3" s="1"/>
  <c r="AN57" i="3"/>
  <c r="AR57" i="3" s="1"/>
  <c r="AN55" i="3"/>
  <c r="AR55" i="3" s="1"/>
  <c r="AN53" i="3"/>
  <c r="AR53" i="3" s="1"/>
  <c r="AN51" i="3"/>
  <c r="AR51" i="3" s="1"/>
  <c r="E45" i="19"/>
  <c r="E16" i="3" s="1"/>
  <c r="R4" i="19"/>
  <c r="R6" i="19"/>
  <c r="AM65" i="3"/>
  <c r="AM63" i="3"/>
  <c r="AQ63" i="3" s="1"/>
  <c r="AM61" i="3"/>
  <c r="AQ61" i="3" s="1"/>
  <c r="AM59" i="3"/>
  <c r="AQ59" i="3" s="1"/>
  <c r="AM57" i="3"/>
  <c r="AQ57" i="3" s="1"/>
  <c r="AM55" i="3"/>
  <c r="AQ55" i="3" s="1"/>
  <c r="AM53" i="3"/>
  <c r="AQ53" i="3" s="1"/>
  <c r="AM51" i="3"/>
  <c r="AQ51" i="3" s="1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B24" i="3"/>
  <c r="BC13" i="3"/>
  <c r="BA21" i="3"/>
  <c r="BA10" i="3"/>
  <c r="BC12" i="3"/>
  <c r="BA24" i="3"/>
  <c r="BC10" i="3"/>
  <c r="BA20" i="3"/>
  <c r="BC14" i="3"/>
  <c r="BC9" i="3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BB23" i="3"/>
  <c r="BB17" i="3"/>
  <c r="BB13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3" i="20" l="1"/>
  <c r="O45" i="20" s="1"/>
  <c r="O17" i="3" s="1"/>
  <c r="O4" i="20"/>
  <c r="Q45" i="20" s="1"/>
  <c r="Q17" i="3" s="1"/>
  <c r="T48" i="20"/>
  <c r="D45" i="20"/>
  <c r="D17" i="3" s="1"/>
  <c r="C17" i="3"/>
  <c r="T45" i="20"/>
  <c r="AL49" i="3"/>
  <c r="AL62" i="3"/>
  <c r="AP62" i="3" s="1"/>
  <c r="T48" i="19"/>
  <c r="AL63" i="3"/>
  <c r="AP63" i="3" s="1"/>
  <c r="D45" i="19"/>
  <c r="D16" i="3" s="1"/>
  <c r="C16" i="3"/>
  <c r="R33" i="19"/>
  <c r="AL59" i="3"/>
  <c r="AP59" i="3" s="1"/>
  <c r="O4" i="19"/>
  <c r="Q45" i="19" s="1"/>
  <c r="Q16" i="3" s="1"/>
  <c r="R25" i="19"/>
  <c r="AL51" i="3"/>
  <c r="AP51" i="3" s="1"/>
  <c r="R26" i="19"/>
  <c r="AL52" i="3"/>
  <c r="AP52" i="3" s="1"/>
  <c r="R35" i="19"/>
  <c r="AL61" i="3"/>
  <c r="AP61" i="3" s="1"/>
  <c r="R32" i="19"/>
  <c r="AL58" i="3"/>
  <c r="AP58" i="3" s="1"/>
  <c r="R34" i="19"/>
  <c r="AL60" i="3"/>
  <c r="AP60" i="3" s="1"/>
  <c r="R24" i="19"/>
  <c r="AL50" i="3"/>
  <c r="AP50" i="3" s="1"/>
  <c r="R28" i="19"/>
  <c r="AL54" i="3"/>
  <c r="AP54" i="3" s="1"/>
  <c r="R29" i="19"/>
  <c r="AL55" i="3"/>
  <c r="AP55" i="3" s="1"/>
  <c r="R31" i="19"/>
  <c r="AL57" i="3"/>
  <c r="AP57" i="3" s="1"/>
  <c r="R39" i="19"/>
  <c r="AL65" i="3"/>
  <c r="AP65" i="3" s="1"/>
  <c r="R27" i="19"/>
  <c r="AL53" i="3"/>
  <c r="AP53" i="3" s="1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AP49" i="3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9" l="1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<sst xmlns="http://schemas.openxmlformats.org/spreadsheetml/2006/main" count="2516" uniqueCount="266">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</sst>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3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2" fillId="0" borderId="0" xfId="0" applyFont="1" applyAlignment="1"/>
    <xf numFmtId="0" fontId="12" fillId="0" borderId="0" xfId="0" applyFont="1"/>
    <xf numFmtId="0" fontId="23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9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2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5" fillId="0" borderId="0" xfId="0" applyFont="1" applyAlignment="1"/>
    <xf numFmtId="0" fontId="5" fillId="0" borderId="0" xfId="0" applyFont="1"/>
    <xf numFmtId="0" fontId="2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0.61184210526315796</c:v>
                </c:pt>
                <c:pt idx="1">
                  <c:v>0.24342105263157898</c:v>
                </c:pt>
                <c:pt idx="2">
                  <c:v>0.14473684210526316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62" dataDxfId="160" headerRowBorderDxfId="161" tableBorderDxfId="159" totalsRowBorderDxfId="158">
  <autoFilter ref="Z7:AJ24" xr:uid="{598ECA3B-99B4-4CAB-8F81-5D711AA5A7FC}"/>
  <tableColumns count="11">
    <tableColumn id="1" xr3:uid="{9B036617-5450-4894-9268-827D2E0914FF}" name="Scoring" dataDxfId="157"/>
    <tableColumn id="2" xr3:uid="{6662CE93-E9C4-47DE-9476-E46126825B0A}" name="Points" dataDxfId="156">
      <calculatedColumnFormula>SUM(AL29,AA49,AL49,AA69,AL69,AA89,AL89)</calculatedColumnFormula>
    </tableColumn>
    <tableColumn id="3" xr3:uid="{8FDDFCB0-2692-4EB0-948C-7B877263B55B}" name="Average" dataDxfId="15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54">
      <calculatedColumnFormula>SUM(AM29,AB49,AM49,AB69,AM69,AB89,AM89)</calculatedColumnFormula>
    </tableColumn>
    <tableColumn id="5" xr3:uid="{5F324C66-956D-4EDC-870F-8EDE96C328C8}" name="Averages" dataDxfId="15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52">
      <calculatedColumnFormula>SUM(AN29,AC49,AN49,AC69,AN69,AC89,AN89)</calculatedColumnFormula>
    </tableColumn>
    <tableColumn id="7" xr3:uid="{8E7E6B37-23A0-4556-8839-B9D7834E3E68}" name="Averages2" dataDxfId="15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50">
      <calculatedColumnFormula>SUM(AO29,AD49,AO49,AD69,AO69,AD89,AO89)</calculatedColumnFormula>
    </tableColumn>
    <tableColumn id="9" xr3:uid="{E0C0BF1C-40E8-4137-8E0F-BB238D651DAE}" name="Averages3" dataDxfId="14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8">
      <calculatedColumnFormula>SfW!C3</calculatedColumnFormula>
    </tableColumn>
    <tableColumn id="11" xr3:uid="{E167D7FA-56F9-4571-B292-FF3869585F59}" name="Missed Games" dataDxfId="14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50">
  <autoFilter ref="AW7:BC24" xr:uid="{96B06DCA-2A57-491D-9968-278FF3FBD78A}"/>
  <tableColumns count="7">
    <tableColumn id="1" xr3:uid="{FE52DA28-AC9B-4385-A502-8DDB5D1FBA9E}" name="Name" dataDxfId="49"/>
    <tableColumn id="2" xr3:uid="{D93DA907-1A5C-4FC6-A721-6072347E34BF}" name="Total R" dataDxfId="48">
      <calculatedColumnFormula>'1707'!AC4+'1807'!AC4+'2407'!AC4+'2607'!AC4</calculatedColumnFormula>
    </tableColumn>
    <tableColumn id="3" xr3:uid="{EBD2E9CC-2367-4D50-957C-38F9CE276205}" name="Total A" dataDxfId="47">
      <calculatedColumnFormula>'1707'!AD4+'1807'!AD4+'2407'!AD4+'2607'!AD4</calculatedColumnFormula>
    </tableColumn>
    <tableColumn id="4" xr3:uid="{7DF9F4A1-F7D8-44DD-8445-ABFA3454613B}" name="Total S" dataDxfId="46">
      <calculatedColumnFormula>'1707'!AE4+'1807'!AE4+'2407'!AE4+'2607'!AE4</calculatedColumnFormula>
    </tableColumn>
    <tableColumn id="5" xr3:uid="{1AAD62E4-FA3F-4F41-8BD0-85F54409C489}" name="Avg R" dataDxfId="4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4" dataDxfId="43">
  <autoFilter ref="R3:AA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>
      <calculatedColumnFormula>'Stats Global'!AA22</calculatedColumnFormula>
    </tableColumn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2" dataDxfId="31">
  <autoFilter ref="O3:X10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0" dataDxfId="19">
  <autoFilter ref="L4:U10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46" dataDxfId="145">
  <autoFilter ref="Z28:AI45" xr:uid="{84D0C431-52CF-4ABD-AA3E-D31975A289B1}"/>
  <tableColumns count="10">
    <tableColumn id="1" xr3:uid="{4DB7A2B8-7BD8-4BD7-8F53-2A7873A4EAAE}" name="Scoring" dataDxfId="144"/>
    <tableColumn id="2" xr3:uid="{BE8EBD49-660A-4C9F-970E-230EBB942EF1}" name="Points" dataDxfId="143">
      <calculatedColumnFormula>'Preseason 1'!R3+'Preseason 2'!R3+'Preseason 3'!R3</calculatedColumnFormula>
    </tableColumn>
    <tableColumn id="3" xr3:uid="{C2C49EF0-4D8C-4F8C-8D19-CDD1481D9568}" name="Finishes" dataDxfId="142">
      <calculatedColumnFormula>'Preseason 1'!S3+'Preseason 2'!S3+'Preseason 3'!S3</calculatedColumnFormula>
    </tableColumn>
    <tableColumn id="4" xr3:uid="{7E789F8C-B8F3-4D6E-AB6C-C9454835B062}" name="Midranges" dataDxfId="141">
      <calculatedColumnFormula>'Preseason 1'!T3+'Preseason 2'!T3+'Preseason 3'!T3</calculatedColumnFormula>
    </tableColumn>
    <tableColumn id="5" xr3:uid="{18C990F2-A6D0-4F57-B96A-D00066DCC8D8}" name="Threes" dataDxfId="140">
      <calculatedColumnFormula>'Preseason 1'!U3+'Preseason 2'!U3+'Preseason 3'!U3</calculatedColumnFormula>
    </tableColumn>
    <tableColumn id="6" xr3:uid="{40526534-76CA-42BA-A8B6-AB092D9CE18F}" name="Avg P" dataDxfId="139">
      <calculatedColumnFormula>AA29/($AA$27-Table2[[#This Row],[Missed Games]])</calculatedColumnFormula>
    </tableColumn>
    <tableColumn id="7" xr3:uid="{693AF117-21F6-4887-B78D-D59235BABA44}" name="Avg F" dataDxfId="138">
      <calculatedColumnFormula>AB29/($AA$27-Table2[[#This Row],[Missed Games]])</calculatedColumnFormula>
    </tableColumn>
    <tableColumn id="8" xr3:uid="{02AC8FBF-EBB3-4AFC-BAC5-B773E33B7279}" name="Avg M" dataDxfId="137">
      <calculatedColumnFormula>AC29/($AA$27-Table2[[#This Row],[Missed Games]])</calculatedColumnFormula>
    </tableColumn>
    <tableColumn id="9" xr3:uid="{CCF75EB4-34C4-4D47-9D51-E8D85C07E38B}" name="Avg T" dataDxfId="136">
      <calculatedColumnFormula>AD29/($AA$27-Table2[[#This Row],[Missed Games]])</calculatedColumnFormula>
    </tableColumn>
    <tableColumn id="10" xr3:uid="{1A786A5C-D0C2-4ABC-904C-983180542D5F}" name="Missed Games" dataDxfId="13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4" dataDxfId="133">
  <autoFilter ref="AK28:AT45" xr:uid="{46F39EBA-1E74-46F4-A6E5-473672128124}"/>
  <tableColumns count="10">
    <tableColumn id="1" xr3:uid="{5D003608-C1C2-4694-9447-8632FB8D7348}" name="Scoring" dataDxfId="132"/>
    <tableColumn id="2" xr3:uid="{D15F4085-CED5-4CDD-B43B-BF7EB59B45A3}" name="Points" dataDxfId="131">
      <calculatedColumnFormula>'1707'!R3+'1807'!R3+'1907'!R3+'2007'!R3</calculatedColumnFormula>
    </tableColumn>
    <tableColumn id="3" xr3:uid="{2D436F37-54B6-4820-9145-F48B4EF9B294}" name="Finishes" dataDxfId="130">
      <calculatedColumnFormula>'1707'!S3+'1807'!S3+'1907'!S3+'2007'!S3</calculatedColumnFormula>
    </tableColumn>
    <tableColumn id="4" xr3:uid="{1D9B6A22-B682-47F3-B738-7C138F317A41}" name="Midranges" dataDxfId="129">
      <calculatedColumnFormula>'1707'!T3+'1807'!T3+'1907'!T3+'2007'!T3</calculatedColumnFormula>
    </tableColumn>
    <tableColumn id="5" xr3:uid="{9966C9A0-3872-44E9-BB39-05DE197EAA68}" name="Threes" dataDxfId="128">
      <calculatedColumnFormula>'1707'!U3+'1807'!U3+'1907'!U3+'2007'!U3</calculatedColumnFormula>
    </tableColumn>
    <tableColumn id="6" xr3:uid="{CC4AB646-735F-425F-8528-C5EFE7FE11DC}" name="Avg P" dataDxfId="127">
      <calculatedColumnFormula>AL29/($AL$27-Table211[[#This Row],[Missed Games]])</calculatedColumnFormula>
    </tableColumn>
    <tableColumn id="7" xr3:uid="{F8D0247E-C6F7-467A-9F38-46084D44F8AB}" name="Avg F" dataDxfId="126">
      <calculatedColumnFormula>AM29/($AL$27-Table211[[#This Row],[Missed Games]])</calculatedColumnFormula>
    </tableColumn>
    <tableColumn id="8" xr3:uid="{7CCF1C77-9DB0-4EB2-B7D0-FD0BDBEBFA0E}" name="Avg M" dataDxfId="125">
      <calculatedColumnFormula>AN29/($AL$27-Table211[[#This Row],[Missed Games]])</calculatedColumnFormula>
    </tableColumn>
    <tableColumn id="9" xr3:uid="{582A1A4E-5383-4383-A480-735408867046}" name="Avg T" dataDxfId="124">
      <calculatedColumnFormula>AO29/($AL$27-Table211[[#This Row],[Missed Games]])</calculatedColumnFormula>
    </tableColumn>
    <tableColumn id="10" xr3:uid="{E547AEB5-F9BA-4C5F-8DCE-34B6A8FF303A}" name="Missed Games" dataDxfId="12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22" dataDxfId="121">
  <autoFilter ref="Z48:AI65" xr:uid="{D27C125F-71B2-44D9-9F7A-9BED67755DD3}"/>
  <tableColumns count="10">
    <tableColumn id="1" xr3:uid="{0B0344E8-2677-4FAB-9B03-4745991FB5AE}" name="Scoring" dataDxfId="120"/>
    <tableColumn id="2" xr3:uid="{58CA1107-8BB4-4A5D-BA00-31619C8D3973}" name="Points" dataDxfId="119">
      <calculatedColumnFormula>'2407'!R3+'2607'!R3+'2707'!R3</calculatedColumnFormula>
    </tableColumn>
    <tableColumn id="3" xr3:uid="{8090861E-1FDF-44F4-9DB6-BB814E32C754}" name="Finishes" dataDxfId="118">
      <calculatedColumnFormula>'2407'!S3+'2607'!S3+'2707'!S3</calculatedColumnFormula>
    </tableColumn>
    <tableColumn id="4" xr3:uid="{972D0347-DAB3-4985-A738-E5D78740D498}" name="Midranges" dataDxfId="117">
      <calculatedColumnFormula>'2407'!T3+'2607'!T3+'2707'!T3</calculatedColumnFormula>
    </tableColumn>
    <tableColumn id="5" xr3:uid="{48F5F884-1753-4988-9056-632B5EB6BBCB}" name="Threes" dataDxfId="116">
      <calculatedColumnFormula>'2407'!U3+'2607'!U3+'2707'!U3</calculatedColumnFormula>
    </tableColumn>
    <tableColumn id="6" xr3:uid="{6953B627-EA05-418F-A758-FD59263EA60D}" name="Avg P" dataDxfId="115">
      <calculatedColumnFormula>Table21123[[#This Row],[Points]]/($AA$47-Table21123[[#This Row],[Missed Games]])</calculatedColumnFormula>
    </tableColumn>
    <tableColumn id="7" xr3:uid="{BE057C9C-5ECD-4AC2-A9C0-18C89CFB52BC}" name="Avg F" dataDxfId="114">
      <calculatedColumnFormula>Table21123[[#This Row],[Finishes]]/($AA$47-Table21123[[#This Row],[Missed Games]])</calculatedColumnFormula>
    </tableColumn>
    <tableColumn id="8" xr3:uid="{0FDEBEE7-CD5E-4A44-A0AE-74F044F1FF46}" name="Avg M" dataDxfId="113">
      <calculatedColumnFormula>Table21123[[#This Row],[Midranges]]/($AA$47-Table21123[[#This Row],[Missed Games]])</calculatedColumnFormula>
    </tableColumn>
    <tableColumn id="9" xr3:uid="{76975BB6-3677-41A8-BC24-7536B1D876D3}" name="Avg T" dataDxfId="112">
      <calculatedColumnFormula>Table21123[[#This Row],[Threes]]/($AA$47-Table21123[[#This Row],[Missed Games]])</calculatedColumnFormula>
    </tableColumn>
    <tableColumn id="10" xr3:uid="{E5ADB69B-3BA2-4019-8C83-8B02221F187E}" name="Missed Games" dataDxfId="11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10" dataDxfId="109">
  <autoFilter ref="AK48:AT65" xr:uid="{22B89D2C-1B74-4036-A4ED-A5E61F1B3AAC}"/>
  <tableColumns count="10">
    <tableColumn id="1" xr3:uid="{3D35891E-3654-497A-8DB2-BF0BD916CA29}" name="Scoring" dataDxfId="108"/>
    <tableColumn id="2" xr3:uid="{54B5B6AF-372A-4E07-B4D6-DFC66F7E20C5}" name="Points" dataDxfId="107">
      <calculatedColumnFormula>'3107'!R3+'0108'!R3</calculatedColumnFormula>
    </tableColumn>
    <tableColumn id="3" xr3:uid="{6CA15B41-F560-4B43-8836-163F5BB5689C}" name="Finishes" dataDxfId="106">
      <calculatedColumnFormula>'3107'!S3+'0108'!S3</calculatedColumnFormula>
    </tableColumn>
    <tableColumn id="4" xr3:uid="{8FF05262-0051-44F7-966E-8D405318BA69}" name="Midranges" dataDxfId="105">
      <calculatedColumnFormula>'3107'!T3+'0108'!T3</calculatedColumnFormula>
    </tableColumn>
    <tableColumn id="5" xr3:uid="{F0D843FC-7A93-4C9A-BCCF-E789F7811B3B}" name="Threes" dataDxfId="104">
      <calculatedColumnFormula>'3107'!U3+'0108'!U3</calculatedColumnFormula>
    </tableColumn>
    <tableColumn id="6" xr3:uid="{F0498F8A-F646-4C1F-A3CF-E89E73750FC1}" name="Avg P" dataDxfId="103">
      <calculatedColumnFormula>AL49/($AL$47-Table21124[[#This Row],[Missed Games]])</calculatedColumnFormula>
    </tableColumn>
    <tableColumn id="7" xr3:uid="{A387BC88-F45C-4386-8503-EFEA33BDAC38}" name="Avg F" dataDxfId="102">
      <calculatedColumnFormula>AM49/($AL$47-Table21124[[#This Row],[Missed Games]])</calculatedColumnFormula>
    </tableColumn>
    <tableColumn id="8" xr3:uid="{BEA82919-0828-4351-A01A-D72E13E63FAB}" name="Avg M" dataDxfId="101">
      <calculatedColumnFormula>AN49/($AL$47-Table21124[[#This Row],[Missed Games]])</calculatedColumnFormula>
    </tableColumn>
    <tableColumn id="9" xr3:uid="{ABEBCE01-BCA4-4342-966C-27301889B607}" name="Avg T" dataDxfId="100">
      <calculatedColumnFormula>AO49/($AL$47-Table21124[[#This Row],[Missed Games]])</calculatedColumnFormula>
    </tableColumn>
    <tableColumn id="10" xr3:uid="{65E7A8E7-4C51-42E4-AB0F-B7FF6099D70A}" name="Missed Games" dataDxfId="9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8" dataDxfId="97">
  <autoFilter ref="AK68:AT85" xr:uid="{18C7D514-96DE-4BA6-B019-3E860ED143EC}"/>
  <tableColumns count="10">
    <tableColumn id="1" xr3:uid="{D144EF14-69FD-4E71-90C7-56F49F45FAE5}" name="Scoring" dataDxfId="96"/>
    <tableColumn id="2" xr3:uid="{34D1D392-F3E0-4C36-9EED-849D5B1149E6}" name="Points" dataDxfId="95">
      <calculatedColumnFormula>Template!AC43</calculatedColumnFormula>
    </tableColumn>
    <tableColumn id="3" xr3:uid="{E91D98A2-80BD-4E5C-9036-2FCC8185369F}" name="Finishes" dataDxfId="94">
      <calculatedColumnFormula>Template!AD43</calculatedColumnFormula>
    </tableColumn>
    <tableColumn id="4" xr3:uid="{D2E5029E-4811-4E9B-9A2D-5F5F8F322B0D}" name="Midranges" dataDxfId="93">
      <calculatedColumnFormula>Template!AE43</calculatedColumnFormula>
    </tableColumn>
    <tableColumn id="5" xr3:uid="{B3E76CEE-33DA-4B18-8DCE-8EBC7EE592D7}" name="Threes" dataDxfId="92">
      <calculatedColumnFormula>Template!AF43</calculatedColumnFormula>
    </tableColumn>
    <tableColumn id="6" xr3:uid="{6ABE1879-8018-4498-A9A1-22CF831F0364}" name="Avg P" dataDxfId="91">
      <calculatedColumnFormula>AL69/$AA$27</calculatedColumnFormula>
    </tableColumn>
    <tableColumn id="7" xr3:uid="{8DA4DD79-8A2A-49E4-996F-C1ACCED3C565}" name="Avg F" dataDxfId="90">
      <calculatedColumnFormula>AM69/$AA$27</calculatedColumnFormula>
    </tableColumn>
    <tableColumn id="8" xr3:uid="{256EA4BC-BA61-49E2-969F-0786AA9AA6EA}" name="Avg M" dataDxfId="89">
      <calculatedColumnFormula>AN69/$AA$27</calculatedColumnFormula>
    </tableColumn>
    <tableColumn id="9" xr3:uid="{0E5566B2-99EC-4B03-A074-8705C4EDA484}" name="Avg T" dataDxfId="88">
      <calculatedColumnFormula>AO69/$AA$27</calculatedColumnFormula>
    </tableColumn>
    <tableColumn id="10" xr3:uid="{3E2357F0-493E-401D-AC75-9AAB260F684E}" name="Missed Games" dataDxfId="87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86" dataDxfId="85">
  <autoFilter ref="Z68:AI85" xr:uid="{F118BED8-7AAF-4E55-A61F-C75C69A64AAE}"/>
  <tableColumns count="10">
    <tableColumn id="1" xr3:uid="{7723929D-65B3-40BB-8FDD-C4533243706C}" name="Scoring" dataDxfId="84"/>
    <tableColumn id="2" xr3:uid="{EC28DE3D-619E-4930-A3AF-7AD1BE1D4843}" name="Points" dataDxfId="83">
      <calculatedColumnFormula>Template!R43</calculatedColumnFormula>
    </tableColumn>
    <tableColumn id="3" xr3:uid="{9537269D-8C1D-42B5-866F-D03CE61A8512}" name="Finishes" dataDxfId="82">
      <calculatedColumnFormula>Template!S43</calculatedColumnFormula>
    </tableColumn>
    <tableColumn id="4" xr3:uid="{AC590DDB-BE19-4A14-8B98-1E5E2430AA45}" name="Midranges" dataDxfId="81">
      <calculatedColumnFormula>Template!T43</calculatedColumnFormula>
    </tableColumn>
    <tableColumn id="5" xr3:uid="{C96D3ACD-F34D-477E-86DE-4650EE56BC94}" name="Threes" dataDxfId="80">
      <calculatedColumnFormula>Template!U43</calculatedColumnFormula>
    </tableColumn>
    <tableColumn id="6" xr3:uid="{A43DE5E9-BB01-49FA-A204-66EE7BAA2E9F}" name="Avg P" dataDxfId="79">
      <calculatedColumnFormula>AA69/$AA$27</calculatedColumnFormula>
    </tableColumn>
    <tableColumn id="7" xr3:uid="{C75A19FF-6041-45C2-BACB-E347F06B6329}" name="Avg F" dataDxfId="78">
      <calculatedColumnFormula>AB69/$AA$27</calculatedColumnFormula>
    </tableColumn>
    <tableColumn id="8" xr3:uid="{00D3FCFC-C9C5-4C96-BE0E-8E1FDC95D07C}" name="Avg M" dataDxfId="77">
      <calculatedColumnFormula>AC69/$AA$27</calculatedColumnFormula>
    </tableColumn>
    <tableColumn id="9" xr3:uid="{0448FF4E-9D2D-47F6-89B7-F17D36B05E8A}" name="Avg T" dataDxfId="76">
      <calculatedColumnFormula>AD69/$AA$27</calculatedColumnFormula>
    </tableColumn>
    <tableColumn id="10" xr3:uid="{D5BDFA2D-095B-44F8-8567-15B3B1520E5A}" name="Missed Games" dataDxfId="75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74" dataDxfId="73">
  <autoFilter ref="Z88:AI105" xr:uid="{BDD2E472-3925-41A7-BECD-3315E6E71ECC}"/>
  <tableColumns count="10">
    <tableColumn id="1" xr3:uid="{9DBD966D-620C-4B97-A502-29D00ABE150B}" name="Scoring" dataDxfId="72"/>
    <tableColumn id="2" xr3:uid="{F8F81F0E-16B3-4472-9D90-A92149C763E4}" name="Points" dataDxfId="71">
      <calculatedColumnFormula>Template!R63</calculatedColumnFormula>
    </tableColumn>
    <tableColumn id="3" xr3:uid="{09859CE1-290D-4977-B02C-46F4E5A6FDC2}" name="Finishes" dataDxfId="70">
      <calculatedColumnFormula>Template!S63</calculatedColumnFormula>
    </tableColumn>
    <tableColumn id="4" xr3:uid="{7D751A0E-2895-46DF-B5E2-5A8AA5531CD2}" name="Midranges" dataDxfId="69">
      <calculatedColumnFormula>Template!T63</calculatedColumnFormula>
    </tableColumn>
    <tableColumn id="5" xr3:uid="{591CDC71-B0EA-413B-B6C1-77884E7E50D4}" name="Threes" dataDxfId="68">
      <calculatedColumnFormula>Template!U63</calculatedColumnFormula>
    </tableColumn>
    <tableColumn id="6" xr3:uid="{52ED768C-5557-42DC-9824-7A4D9B547153}" name="Avg P" dataDxfId="67">
      <calculatedColumnFormula>AA89/$AA$27</calculatedColumnFormula>
    </tableColumn>
    <tableColumn id="7" xr3:uid="{FC79BE87-72E2-4F5E-83D6-CDCE645EB943}" name="Avg F" dataDxfId="66">
      <calculatedColumnFormula>AB89/$AA$27</calculatedColumnFormula>
    </tableColumn>
    <tableColumn id="8" xr3:uid="{BA012C22-0D65-4C11-98A7-4F958703D04B}" name="Avg M" dataDxfId="65">
      <calculatedColumnFormula>AC89/$AA$27</calculatedColumnFormula>
    </tableColumn>
    <tableColumn id="9" xr3:uid="{63344F2B-5D94-417D-85E2-C2BFBACE3E7E}" name="Avg T" dataDxfId="64">
      <calculatedColumnFormula>AD89/$AA$27</calculatedColumnFormula>
    </tableColumn>
    <tableColumn id="10" xr3:uid="{1AD5A604-8909-45B3-8E43-11D407451CEA}" name="Missed Games" dataDxfId="63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2" dataDxfId="61">
  <autoFilter ref="AK88:AT105" xr:uid="{F9183685-60DE-4163-AA62-BE4F563EE570}"/>
  <tableColumns count="10">
    <tableColumn id="1" xr3:uid="{E62FBAA0-D6F6-4997-96C9-B6B13FAA9B6E}" name="Scoring" dataDxfId="60"/>
    <tableColumn id="2" xr3:uid="{0A655F6F-9A21-4167-85B6-B9F7DC2070CA}" name="Points" dataDxfId="59">
      <calculatedColumnFormula>Template!AC63</calculatedColumnFormula>
    </tableColumn>
    <tableColumn id="3" xr3:uid="{460771D3-3BD8-4DA3-AF1B-1A0F98EF1499}" name="Finishes" dataDxfId="58">
      <calculatedColumnFormula>Template!AD63</calculatedColumnFormula>
    </tableColumn>
    <tableColumn id="4" xr3:uid="{3C08B2D7-823D-49C3-A627-A5848E664B2F}" name="Midranges" dataDxfId="57">
      <calculatedColumnFormula>Template!AE63</calculatedColumnFormula>
    </tableColumn>
    <tableColumn id="5" xr3:uid="{E88F45FB-4C46-4674-86D5-74808E7E5368}" name="Threes" dataDxfId="56">
      <calculatedColumnFormula>Template!AF63</calculatedColumnFormula>
    </tableColumn>
    <tableColumn id="6" xr3:uid="{0C0E8016-1E6E-4F25-9675-4EE061FFD0F7}" name="Avg P" dataDxfId="55">
      <calculatedColumnFormula>AL89/$AA$27</calculatedColumnFormula>
    </tableColumn>
    <tableColumn id="7" xr3:uid="{F7AC350B-AE4B-4912-B21D-16D99E2AE8BF}" name="Avg F" dataDxfId="54">
      <calculatedColumnFormula>AM89/$AA$27</calculatedColumnFormula>
    </tableColumn>
    <tableColumn id="8" xr3:uid="{F451E5CA-B9C4-4EFA-A647-CEDB2FB39550}" name="Avg M" dataDxfId="53">
      <calculatedColumnFormula>AN89/$AA$27</calculatedColumnFormula>
    </tableColumn>
    <tableColumn id="9" xr3:uid="{ED1D92B5-05F1-40CE-A89F-E6627FAB4A59}" name="Avg T" dataDxfId="52">
      <calculatedColumnFormula>AO89/$AA$27</calculatedColumnFormula>
    </tableColumn>
    <tableColumn id="10" xr3:uid="{48A4808A-3DE6-4644-83F5-C2AEDDFC3E5E}" name="Missed Games" dataDxfId="5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1" t="s">
        <v>47</v>
      </c>
      <c r="D3" s="7">
        <f>'Stats Global'!AB8</f>
        <v>0.33333333333333331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0.33333333333333331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1" t="s">
        <v>47</v>
      </c>
      <c r="D4" s="7">
        <f>'Stats Global'!AB9</f>
        <v>1.125</v>
      </c>
      <c r="E4" s="11">
        <f>'Stats Global'!AA9</f>
        <v>9</v>
      </c>
      <c r="F4" s="7">
        <f>'Stats Global'!AD9</f>
        <v>1.125</v>
      </c>
      <c r="G4" s="11">
        <f>'Stats Global'!AC9</f>
        <v>9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0" t="s">
        <v>26</v>
      </c>
      <c r="D5" s="7">
        <f>'Stats Global'!AB10</f>
        <v>4</v>
      </c>
      <c r="E5" s="11">
        <f>'Stats Global'!AA10</f>
        <v>12</v>
      </c>
      <c r="F5" s="7">
        <f>'Stats Global'!AD10</f>
        <v>3.3333333333333335</v>
      </c>
      <c r="G5" s="11">
        <f>'Stats Global'!AC10</f>
        <v>10</v>
      </c>
      <c r="H5" s="7">
        <f>'Stats Global'!AF10</f>
        <v>0</v>
      </c>
      <c r="I5" s="11">
        <f>'Stats Global'!AE10</f>
        <v>0</v>
      </c>
      <c r="J5" s="7">
        <f>'Stats Global'!AH10</f>
        <v>0.33333333333333331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</v>
      </c>
      <c r="E6" s="11">
        <f>'Stats Global'!AA11</f>
        <v>5</v>
      </c>
      <c r="F6" s="7">
        <f>'Stats Global'!AD11</f>
        <v>1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100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0" t="s">
        <v>31</v>
      </c>
      <c r="D7" s="7">
        <f>'Stats Global'!AB12</f>
        <v>0.8571428571428571</v>
      </c>
      <c r="E7" s="11">
        <f>'Stats Global'!AA12</f>
        <v>6</v>
      </c>
      <c r="F7" s="7">
        <f>'Stats Global'!AD12</f>
        <v>0.14285714285714285</v>
      </c>
      <c r="G7" s="11">
        <f>'Stats Global'!AC12</f>
        <v>1</v>
      </c>
      <c r="H7" s="7">
        <f>'Stats Global'!AF12</f>
        <v>0.42857142857142855</v>
      </c>
      <c r="I7" s="11">
        <f>'Stats Global'!AE12</f>
        <v>3</v>
      </c>
      <c r="J7" s="7">
        <f>'Stats Global'!AH12</f>
        <v>0.14285714285714285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10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3" t="s">
        <v>26</v>
      </c>
      <c r="D8" s="7">
        <f>'Stats Global'!AB13</f>
        <v>0.42857142857142855</v>
      </c>
      <c r="E8" s="11">
        <f>'Stats Global'!AA13</f>
        <v>3</v>
      </c>
      <c r="F8" s="7">
        <f>'Stats Global'!AD13</f>
        <v>0.2857142857142857</v>
      </c>
      <c r="G8" s="11">
        <f>'Stats Global'!AC13</f>
        <v>2</v>
      </c>
      <c r="H8" s="7">
        <f>'Stats Global'!AF13</f>
        <v>0.14285714285714285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3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1" t="s">
        <v>26</v>
      </c>
      <c r="D9" s="7">
        <f>'Stats Global'!AB14</f>
        <v>0.44444444444444442</v>
      </c>
      <c r="E9" s="11">
        <f>'Stats Global'!AA14</f>
        <v>4</v>
      </c>
      <c r="F9" s="7">
        <f>'Stats Global'!AD14</f>
        <v>0.33333333333333331</v>
      </c>
      <c r="G9" s="11">
        <f>'Stats Global'!AC14</f>
        <v>3</v>
      </c>
      <c r="H9" s="7">
        <f>'Stats Global'!AF14</f>
        <v>0.1111111111111111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1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1" t="s">
        <v>31</v>
      </c>
      <c r="D10" s="7">
        <f>'Stats Global'!AB15</f>
        <v>0.66666666666666663</v>
      </c>
      <c r="E10" s="11">
        <f>'Stats Global'!AA15</f>
        <v>2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0.33333333333333331</v>
      </c>
      <c r="K10" s="11">
        <f>'Stats Global'!AG15</f>
        <v>1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1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0" t="s">
        <v>47</v>
      </c>
      <c r="D11" s="7">
        <f>'Stats Global'!AB16</f>
        <v>2.125</v>
      </c>
      <c r="E11" s="11">
        <f>'Stats Global'!AA16</f>
        <v>17</v>
      </c>
      <c r="F11" s="7">
        <f>'Stats Global'!AD16</f>
        <v>0.875</v>
      </c>
      <c r="G11" s="11">
        <f>'Stats Global'!AC16</f>
        <v>7</v>
      </c>
      <c r="H11" s="7">
        <f>'Stats Global'!AF16</f>
        <v>0.75</v>
      </c>
      <c r="I11" s="11">
        <f>'Stats Global'!AE16</f>
        <v>6</v>
      </c>
      <c r="J11" s="7">
        <f>'Stats Global'!AH16</f>
        <v>0.25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2.7777777777777777</v>
      </c>
      <c r="E12" s="11">
        <f>'Stats Global'!AA17</f>
        <v>25</v>
      </c>
      <c r="F12" s="7">
        <f>'Stats Global'!AD17</f>
        <v>0.22222222222222221</v>
      </c>
      <c r="G12" s="11">
        <f>'Stats Global'!AC17</f>
        <v>2</v>
      </c>
      <c r="H12" s="7">
        <f>'Stats Global'!AF17</f>
        <v>1.6666666666666667</v>
      </c>
      <c r="I12" s="11">
        <f>'Stats Global'!AE17</f>
        <v>15</v>
      </c>
      <c r="J12" s="7">
        <f>'Stats Global'!AH17</f>
        <v>0.44444444444444442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1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1" t="s">
        <v>31</v>
      </c>
      <c r="D13" s="7">
        <f>'Stats Global'!AB18</f>
        <v>0.66666666666666663</v>
      </c>
      <c r="E13" s="11">
        <f>'Stats Global'!AA18</f>
        <v>6</v>
      </c>
      <c r="F13" s="7">
        <f>'Stats Global'!AD18</f>
        <v>0.1111111111111111</v>
      </c>
      <c r="G13" s="11">
        <f>'Stats Global'!AC18</f>
        <v>1</v>
      </c>
      <c r="H13" s="7">
        <f>'Stats Global'!AF18</f>
        <v>0.55555555555555558</v>
      </c>
      <c r="I13" s="11">
        <f>'Stats Global'!AE18</f>
        <v>5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2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7" t="s">
        <v>26</v>
      </c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8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3" t="s">
        <v>31</v>
      </c>
      <c r="D15" s="7">
        <f>'Stats Global'!AB20</f>
        <v>0.77777777777777779</v>
      </c>
      <c r="E15" s="11">
        <f>'Stats Global'!AA20</f>
        <v>7</v>
      </c>
      <c r="F15" s="7">
        <f>'Stats Global'!AD20</f>
        <v>0.66666666666666663</v>
      </c>
      <c r="G15" s="11">
        <f>'Stats Global'!AC20</f>
        <v>6</v>
      </c>
      <c r="H15" s="7">
        <f>'Stats Global'!AF20</f>
        <v>0.1111111111111111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4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1" t="s">
        <v>47</v>
      </c>
      <c r="D16" s="7">
        <f>'Stats Global'!AB21</f>
        <v>1.1111111111111112</v>
      </c>
      <c r="E16" s="11">
        <f>'Stats Global'!AA21</f>
        <v>10</v>
      </c>
      <c r="F16" s="7">
        <f>'Stats Global'!AD21</f>
        <v>0.66666666666666663</v>
      </c>
      <c r="G16" s="11">
        <f>'Stats Global'!AC21</f>
        <v>6</v>
      </c>
      <c r="H16" s="7">
        <f>'Stats Global'!AF21</f>
        <v>0.22222222222222221</v>
      </c>
      <c r="I16" s="11">
        <f>'Stats Global'!AE21</f>
        <v>2</v>
      </c>
      <c r="J16" s="7">
        <f>'Stats Global'!AH21</f>
        <v>0.1111111111111111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2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</v>
      </c>
      <c r="E17" s="11">
        <f>'Stats Global'!AA22</f>
        <v>27</v>
      </c>
      <c r="F17" s="7">
        <f>'Stats Global'!AD22</f>
        <v>1.5555555555555556</v>
      </c>
      <c r="G17" s="11">
        <f>'Stats Global'!AC22</f>
        <v>14</v>
      </c>
      <c r="H17" s="7">
        <f>'Stats Global'!AF22</f>
        <v>0.77777777777777779</v>
      </c>
      <c r="I17" s="11">
        <f>'Stats Global'!AE22</f>
        <v>7</v>
      </c>
      <c r="J17" s="7">
        <f>'Stats Global'!AH22</f>
        <v>0.33333333333333331</v>
      </c>
      <c r="K17" s="11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100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1" t="s">
        <v>31</v>
      </c>
      <c r="D18" s="7">
        <f>'Stats Global'!AB23</f>
        <v>0.1111111111111111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0.1111111111111111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1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7" t="s">
        <v>31</v>
      </c>
      <c r="D19" s="7">
        <f>'Stats Global'!AB24</f>
        <v>0.25</v>
      </c>
      <c r="E19" s="11">
        <f>'Stats Global'!AA24</f>
        <v>1</v>
      </c>
      <c r="F19" s="7">
        <f>'Stats Global'!AD24</f>
        <v>0.25</v>
      </c>
      <c r="G19" s="11">
        <f>'Stats Global'!AC24</f>
        <v>1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7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8" t="s">
        <v>119</v>
      </c>
      <c r="C22" s="158"/>
      <c r="D22" s="99"/>
      <c r="X22" s="2" t="s">
        <v>70</v>
      </c>
    </row>
    <row r="23" spans="2:24" ht="14.25" customHeight="1" x14ac:dyDescent="0.9">
      <c r="B23" s="158"/>
      <c r="C23" s="158"/>
      <c r="D23" s="99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"PPG":[0.33,1.13,4,1,0.86,0.43,0.44,0.67,2.13,2.78,0.67,0,0.78,1.11,3,0.11,0.25],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"TP":[3,9,12,5,6,3,4,2,17,25,6,0,7,10,27,1,1],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"FPG":[0,1.13,3.33,1,0.14,0.29,0.33,0,0.88,0.22,0.11,0,0.67,0.67,1.56,0,0.25],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"TF":[0,9,10,5,1,2,3,0,7,2,1,0,6,6,14,0,1],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"MPG":[0.33,0,0,0,0.43,0.14,0.11,0,0.75,1.67,0.56,0,0.11,0.22,0.78,0.11,0],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"TM":[3,0,0,0,3,1,1,0,6,15,5,0,1,2,7,1,0],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"TPG":[0,0,0.33,0,0.14,0,0,0.33,0.25,0.44,0,0,0,0.11,0.33,0,0],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"TT":[0,0,1,0,1,0,0,1,2,4,0,0,0,1,3,0,0],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0.33,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0.33,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1.13,</v>
      </c>
      <c r="E51" s="17" t="str">
        <f t="shared" si="7"/>
        <v>9,</v>
      </c>
      <c r="F51" s="17" t="str">
        <f t="shared" si="8"/>
        <v>1.13,</v>
      </c>
      <c r="G51" s="17" t="str">
        <f t="shared" si="9"/>
        <v>9,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4,</v>
      </c>
      <c r="E52" s="17" t="str">
        <f t="shared" si="7"/>
        <v>12,</v>
      </c>
      <c r="F52" s="17" t="str">
        <f t="shared" si="8"/>
        <v>3.33,</v>
      </c>
      <c r="G52" s="17" t="str">
        <f t="shared" si="9"/>
        <v>10,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0.33,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1,</v>
      </c>
      <c r="E53" s="17" t="str">
        <f t="shared" si="7"/>
        <v>5,</v>
      </c>
      <c r="F53" s="17" t="str">
        <f t="shared" si="8"/>
        <v>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0.86,</v>
      </c>
      <c r="E54" s="17" t="str">
        <f t="shared" si="7"/>
        <v>6,</v>
      </c>
      <c r="F54" s="17" t="str">
        <f t="shared" si="8"/>
        <v>0.14,</v>
      </c>
      <c r="G54" s="17" t="str">
        <f t="shared" si="9"/>
        <v>1,</v>
      </c>
      <c r="H54" s="17" t="str">
        <f t="shared" si="10"/>
        <v>0.43,</v>
      </c>
      <c r="I54" s="17" t="str">
        <f t="shared" si="11"/>
        <v>3,</v>
      </c>
      <c r="J54" s="17" t="str">
        <f t="shared" si="12"/>
        <v>0.14,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0.43,</v>
      </c>
      <c r="E55" s="17" t="str">
        <f t="shared" si="7"/>
        <v>3,</v>
      </c>
      <c r="F55" s="17" t="str">
        <f t="shared" si="8"/>
        <v>0.29,</v>
      </c>
      <c r="G55" s="17" t="str">
        <f t="shared" si="9"/>
        <v>2,</v>
      </c>
      <c r="H55" s="17" t="str">
        <f t="shared" si="10"/>
        <v>0.14,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0.44,</v>
      </c>
      <c r="E56" s="17" t="str">
        <f t="shared" si="7"/>
        <v>4,</v>
      </c>
      <c r="F56" s="17" t="str">
        <f t="shared" si="8"/>
        <v>0.33,</v>
      </c>
      <c r="G56" s="17" t="str">
        <f t="shared" si="9"/>
        <v>3,</v>
      </c>
      <c r="H56" s="17" t="str">
        <f t="shared" si="10"/>
        <v>0.11,</v>
      </c>
      <c r="I56" s="17" t="str">
        <f t="shared" si="11"/>
        <v>1,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0.67,</v>
      </c>
      <c r="E57" s="17" t="str">
        <f t="shared" si="7"/>
        <v>2,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0.33,</v>
      </c>
      <c r="K57" s="17" t="str">
        <f t="shared" si="13"/>
        <v>1,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2.13,</v>
      </c>
      <c r="E58" s="17" t="str">
        <f t="shared" si="7"/>
        <v>17,</v>
      </c>
      <c r="F58" s="17" t="str">
        <f t="shared" si="8"/>
        <v>0.88,</v>
      </c>
      <c r="G58" s="17" t="str">
        <f t="shared" si="9"/>
        <v>7,</v>
      </c>
      <c r="H58" s="17" t="str">
        <f t="shared" si="10"/>
        <v>0.75,</v>
      </c>
      <c r="I58" s="17" t="str">
        <f t="shared" si="11"/>
        <v>6,</v>
      </c>
      <c r="J58" s="17" t="str">
        <f t="shared" si="12"/>
        <v>0.25,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2.78,</v>
      </c>
      <c r="E59" s="17" t="str">
        <f t="shared" si="7"/>
        <v>25,</v>
      </c>
      <c r="F59" s="17" t="str">
        <f t="shared" si="8"/>
        <v>0.22,</v>
      </c>
      <c r="G59" s="17" t="str">
        <f t="shared" si="9"/>
        <v>2,</v>
      </c>
      <c r="H59" s="17" t="str">
        <f t="shared" si="10"/>
        <v>1.67,</v>
      </c>
      <c r="I59" s="17" t="str">
        <f t="shared" si="11"/>
        <v>15,</v>
      </c>
      <c r="J59" s="17" t="str">
        <f t="shared" si="12"/>
        <v>0.44,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0.67,</v>
      </c>
      <c r="E60" s="17" t="str">
        <f t="shared" si="7"/>
        <v>6,</v>
      </c>
      <c r="F60" s="17" t="str">
        <f t="shared" si="8"/>
        <v>0.11,</v>
      </c>
      <c r="G60" s="17" t="str">
        <f t="shared" si="9"/>
        <v>1,</v>
      </c>
      <c r="H60" s="17" t="str">
        <f t="shared" si="10"/>
        <v>0.56,</v>
      </c>
      <c r="I60" s="17" t="str">
        <f t="shared" si="11"/>
        <v>5,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0,</v>
      </c>
      <c r="E61" s="17" t="str">
        <f t="shared" si="7"/>
        <v>0,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0,</v>
      </c>
      <c r="I61" s="17" t="str">
        <f t="shared" si="11"/>
        <v>0,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0.78,</v>
      </c>
      <c r="E62" s="17" t="str">
        <f t="shared" si="7"/>
        <v>7,</v>
      </c>
      <c r="F62" s="17" t="str">
        <f t="shared" si="8"/>
        <v>0.67,</v>
      </c>
      <c r="G62" s="17" t="str">
        <f t="shared" si="9"/>
        <v>6,</v>
      </c>
      <c r="H62" s="17" t="str">
        <f t="shared" si="10"/>
        <v>0.11,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1.11,</v>
      </c>
      <c r="E63" s="17" t="str">
        <f t="shared" si="7"/>
        <v>10,</v>
      </c>
      <c r="F63" s="17" t="str">
        <f t="shared" si="8"/>
        <v>0.67,</v>
      </c>
      <c r="G63" s="17" t="str">
        <f t="shared" si="9"/>
        <v>6,</v>
      </c>
      <c r="H63" s="17" t="str">
        <f t="shared" si="10"/>
        <v>0.22,</v>
      </c>
      <c r="I63" s="17" t="str">
        <f t="shared" si="11"/>
        <v>2,</v>
      </c>
      <c r="J63" s="17" t="str">
        <f t="shared" si="12"/>
        <v>0.11,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3,</v>
      </c>
      <c r="E64" s="17" t="str">
        <f t="shared" si="7"/>
        <v>27,</v>
      </c>
      <c r="F64" s="17" t="str">
        <f t="shared" si="8"/>
        <v>1.56,</v>
      </c>
      <c r="G64" s="17" t="str">
        <f t="shared" si="9"/>
        <v>14,</v>
      </c>
      <c r="H64" s="17" t="str">
        <f t="shared" si="10"/>
        <v>0.78,</v>
      </c>
      <c r="I64" s="17" t="str">
        <f t="shared" si="11"/>
        <v>7,</v>
      </c>
      <c r="J64" s="17" t="str">
        <f t="shared" si="12"/>
        <v>0.33,</v>
      </c>
      <c r="K64" s="17" t="str">
        <f t="shared" si="13"/>
        <v>3,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0.11,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0.11,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0.25</v>
      </c>
      <c r="E66" s="17">
        <f>E19</f>
        <v>1</v>
      </c>
      <c r="F66" s="17">
        <f>ROUND(F19,2)</f>
        <v>0.25</v>
      </c>
      <c r="G66" s="17">
        <f>G19</f>
        <v>1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50"/>
      <c r="AC23" s="150"/>
      <c r="AD23" s="150"/>
      <c r="AE23" s="15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50"/>
      <c r="AD24" s="150"/>
      <c r="AE24" s="15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50"/>
      <c r="AD25" s="150"/>
      <c r="AE25" s="15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50"/>
      <c r="AD26" s="150"/>
      <c r="AE26" s="15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50"/>
      <c r="AD27" s="150"/>
      <c r="AE27" s="15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50"/>
      <c r="AD28" s="150"/>
      <c r="AE28" s="15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50"/>
      <c r="AD29" s="150"/>
      <c r="AE29" s="15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50"/>
      <c r="AD30" s="150"/>
      <c r="AE30" s="15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50"/>
      <c r="AD31" s="150"/>
      <c r="AE31" s="15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50"/>
      <c r="AD32" s="150"/>
      <c r="AE32" s="15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50"/>
      <c r="AD33" s="150"/>
      <c r="AE33" s="15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50"/>
      <c r="AD34" s="150"/>
      <c r="AE34" s="15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50"/>
      <c r="AD35" s="150"/>
      <c r="AE35" s="150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50"/>
      <c r="AD36" s="150"/>
      <c r="AE36" s="150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50"/>
      <c r="AD37" s="150"/>
      <c r="AE37" s="15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50"/>
      <c r="AD38" s="150"/>
      <c r="AE38" s="150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5"/>
      <c r="AC39" s="150"/>
      <c r="AD39" s="150"/>
      <c r="AE39" s="150"/>
    </row>
    <row r="40" spans="2:31" ht="14.25" customHeight="1" x14ac:dyDescent="0.45">
      <c r="B40" s="73"/>
      <c r="S40" s="8"/>
      <c r="T40" s="8"/>
      <c r="U40" s="8"/>
      <c r="AB40" s="135"/>
      <c r="AC40" s="150"/>
      <c r="AD40" s="150"/>
      <c r="AE40" s="150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2"/>
      <c r="AC21" s="132"/>
      <c r="AD21" s="132"/>
      <c r="AE21" s="132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3"/>
      <c r="AC22" s="132"/>
      <c r="AD22" s="132"/>
      <c r="AE22" s="132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3"/>
      <c r="AC23" s="132"/>
      <c r="AD23" s="132"/>
      <c r="AE23" s="132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32"/>
      <c r="AD24" s="132"/>
      <c r="AE24" s="132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32"/>
      <c r="AD25" s="132"/>
      <c r="AE25" s="132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32"/>
      <c r="AD26" s="132"/>
      <c r="AE26" s="132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4"/>
      <c r="AC27" s="132"/>
      <c r="AD27" s="132"/>
      <c r="AE27" s="132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4"/>
      <c r="AC28" s="132"/>
      <c r="AD28" s="132"/>
      <c r="AE28" s="132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32"/>
      <c r="AD29" s="132"/>
      <c r="AE29" s="132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32"/>
      <c r="AD30" s="132"/>
      <c r="AE30" s="132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32"/>
      <c r="AD31" s="132"/>
      <c r="AE31" s="132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5"/>
      <c r="AC32" s="132"/>
      <c r="AD32" s="132"/>
      <c r="AE32" s="132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5"/>
      <c r="AC33" s="132"/>
      <c r="AD33" s="132"/>
      <c r="AE33" s="132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32"/>
      <c r="AD34" s="132"/>
      <c r="AE34" s="132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32"/>
      <c r="AD35" s="132"/>
      <c r="AE35" s="132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32"/>
      <c r="AD36" s="132"/>
      <c r="AE36" s="132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32"/>
      <c r="AD37" s="132"/>
      <c r="AE37" s="132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32"/>
      <c r="AD38" s="132"/>
      <c r="AE38" s="132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219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9"/>
      <c r="S41" s="99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D1" zoomScale="81" zoomScaleNormal="100" workbookViewId="0">
      <selection activeCell="R16" sqref="R1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9" t="s">
        <v>72</v>
      </c>
      <c r="C4" s="109" t="s">
        <v>77</v>
      </c>
      <c r="D4" s="109" t="s">
        <v>78</v>
      </c>
      <c r="E4" s="109" t="s">
        <v>79</v>
      </c>
      <c r="F4" s="109" t="s">
        <v>171</v>
      </c>
      <c r="G4" s="109" t="s">
        <v>177</v>
      </c>
      <c r="H4" s="109" t="s">
        <v>178</v>
      </c>
      <c r="I4" s="109" t="s">
        <v>172</v>
      </c>
      <c r="J4" s="109" t="s">
        <v>179</v>
      </c>
      <c r="K4" s="109" t="s">
        <v>180</v>
      </c>
      <c r="L4" s="109" t="s">
        <v>173</v>
      </c>
      <c r="M4" s="109" t="s">
        <v>181</v>
      </c>
      <c r="N4" s="109" t="s">
        <v>182</v>
      </c>
      <c r="O4" s="109" t="s">
        <v>174</v>
      </c>
      <c r="P4" s="109" t="s">
        <v>175</v>
      </c>
      <c r="Q4" s="109" t="s">
        <v>176</v>
      </c>
      <c r="S4" s="3" t="s">
        <v>80</v>
      </c>
      <c r="Z4" t="s">
        <v>144</v>
      </c>
      <c r="AA4" s="136">
        <f>AA6/(20-AA5)</f>
        <v>0.47368421052631576</v>
      </c>
    </row>
    <row r="5" spans="1:55" ht="14.25" customHeight="1" x14ac:dyDescent="0.45">
      <c r="B5" s="122" t="str">
        <f>'Preseason 1'!B45</f>
        <v>11-July</v>
      </c>
      <c r="C5" s="122">
        <f>'Preseason 1'!C45</f>
        <v>12</v>
      </c>
      <c r="D5" s="122">
        <f>'Preseason 1'!D45</f>
        <v>5</v>
      </c>
      <c r="E5" s="122">
        <f>'Preseason 1'!E45</f>
        <v>0</v>
      </c>
      <c r="F5" s="122">
        <f>'Preseason 1'!F45</f>
        <v>5</v>
      </c>
      <c r="G5" s="122">
        <f>'Preseason 1'!G45</f>
        <v>0</v>
      </c>
      <c r="H5" s="122">
        <f>'Preseason 1'!H45</f>
        <v>6</v>
      </c>
      <c r="I5" s="122">
        <f>'Preseason 1'!I45</f>
        <v>0</v>
      </c>
      <c r="J5" s="122">
        <f>'Preseason 1'!J45</f>
        <v>2</v>
      </c>
      <c r="K5" s="122">
        <f>'Preseason 1'!K45</f>
        <v>6</v>
      </c>
      <c r="L5" s="122">
        <f>'Preseason 1'!L45</f>
        <v>12</v>
      </c>
      <c r="M5" s="122">
        <f>'Preseason 1'!M45</f>
        <v>3</v>
      </c>
      <c r="N5" s="122">
        <f>'Preseason 1'!N45</f>
        <v>0</v>
      </c>
      <c r="O5" s="122">
        <f>'Preseason 1'!O45</f>
        <v>2</v>
      </c>
      <c r="P5" s="122">
        <f>'Preseason 1'!P45</f>
        <v>1</v>
      </c>
      <c r="Q5" s="122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2" t="str">
        <f>'Preseason 2'!B45</f>
        <v>12-July</v>
      </c>
      <c r="C6" s="122">
        <f>'Preseason 2'!C45</f>
        <v>15</v>
      </c>
      <c r="D6" s="122">
        <f>'Preseason 2'!D45</f>
        <v>9</v>
      </c>
      <c r="E6" s="122">
        <f>'Preseason 2'!E45</f>
        <v>2</v>
      </c>
      <c r="F6" s="122">
        <f>'Preseason 2'!F45</f>
        <v>9</v>
      </c>
      <c r="G6" s="122">
        <f>'Preseason 2'!G45</f>
        <v>1</v>
      </c>
      <c r="H6" s="122">
        <f>'Preseason 2'!H45</f>
        <v>7</v>
      </c>
      <c r="I6" s="122">
        <f>'Preseason 2'!I45</f>
        <v>2</v>
      </c>
      <c r="J6" s="122">
        <f>'Preseason 2'!J45</f>
        <v>4</v>
      </c>
      <c r="K6" s="122">
        <f>'Preseason 2'!K45</f>
        <v>8</v>
      </c>
      <c r="L6" s="122">
        <f>'Preseason 2'!L45</f>
        <v>15</v>
      </c>
      <c r="M6" s="122">
        <f>'Preseason 2'!M45</f>
        <v>5</v>
      </c>
      <c r="N6" s="122">
        <f>'Preseason 2'!N45</f>
        <v>1</v>
      </c>
      <c r="O6" s="122">
        <f>'Preseason 2'!O45</f>
        <v>2</v>
      </c>
      <c r="P6" s="122">
        <f>'Preseason 2'!P45</f>
        <v>1</v>
      </c>
      <c r="Q6" s="122">
        <f>'Preseason 2'!Q45</f>
        <v>3</v>
      </c>
      <c r="S6" s="4">
        <f>SUM(C8:E40)/COUNT(C8:C40)</f>
        <v>15.2</v>
      </c>
      <c r="T6" s="123">
        <f>AVERAGE(C8:C40)</f>
        <v>9.3000000000000007</v>
      </c>
      <c r="U6" s="123">
        <f t="shared" ref="U6:V6" si="0">AVERAGE(D8:D40)</f>
        <v>3.7</v>
      </c>
      <c r="V6" s="123">
        <f t="shared" si="0"/>
        <v>2.2000000000000002</v>
      </c>
      <c r="Z6" s="69" t="s">
        <v>167</v>
      </c>
      <c r="AA6" s="8">
        <f>AA47+AA67+AL27+AL47+AL67+AA87+AL87</f>
        <v>9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6</v>
      </c>
    </row>
    <row r="7" spans="1:55" ht="14.25" customHeight="1" x14ac:dyDescent="0.45">
      <c r="B7" s="122" t="str">
        <f>'Preseason 3'!B45</f>
        <v>13-July</v>
      </c>
      <c r="C7" s="122">
        <f>'Preseason 3'!C45</f>
        <v>8</v>
      </c>
      <c r="D7" s="122">
        <f>'Preseason 3'!D45</f>
        <v>4</v>
      </c>
      <c r="E7" s="122">
        <f>'Preseason 3'!E45</f>
        <v>1</v>
      </c>
      <c r="F7" s="122">
        <f>'Preseason 3'!F45</f>
        <v>8</v>
      </c>
      <c r="G7" s="122">
        <f>'Preseason 3'!G45</f>
        <v>2</v>
      </c>
      <c r="H7" s="122">
        <f>'Preseason 3'!H45</f>
        <v>0</v>
      </c>
      <c r="I7" s="122">
        <f>'Preseason 3'!I45</f>
        <v>4</v>
      </c>
      <c r="J7" s="122">
        <f>'Preseason 3'!J45</f>
        <v>4</v>
      </c>
      <c r="K7" s="122">
        <f>'Preseason 3'!K45</f>
        <v>1</v>
      </c>
      <c r="L7" s="122">
        <f>'Preseason 3'!L45</f>
        <v>1</v>
      </c>
      <c r="M7" s="122">
        <f>'Preseason 3'!M45</f>
        <v>4</v>
      </c>
      <c r="N7" s="122">
        <f>'Preseason 3'!N45</f>
        <v>2</v>
      </c>
      <c r="O7" s="122">
        <f>'Preseason 3'!O45</f>
        <v>3</v>
      </c>
      <c r="P7" s="122">
        <f>'Preseason 3'!P45</f>
        <v>2</v>
      </c>
      <c r="Q7" s="122">
        <f>'Preseason 3'!Q45</f>
        <v>1</v>
      </c>
      <c r="S7" s="3" t="s">
        <v>83</v>
      </c>
      <c r="T7" s="5">
        <f>T6/$S$6</f>
        <v>0.61184210526315796</v>
      </c>
      <c r="U7" s="5">
        <f>U6/$S$6</f>
        <v>0.24342105263157898</v>
      </c>
      <c r="V7" s="5">
        <f>V6/$S$6</f>
        <v>0.14473684210526316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4"/>
      <c r="AR7" s="145" t="s">
        <v>232</v>
      </c>
      <c r="AS7" s="59" t="s">
        <v>233</v>
      </c>
      <c r="AT7" s="155" t="s">
        <v>261</v>
      </c>
      <c r="AU7" s="157" t="s">
        <v>262</v>
      </c>
      <c r="AW7" s="2" t="s">
        <v>4</v>
      </c>
      <c r="AX7" s="152" t="s">
        <v>246</v>
      </c>
      <c r="AY7" s="152" t="s">
        <v>247</v>
      </c>
      <c r="AZ7" s="152" t="s">
        <v>248</v>
      </c>
      <c r="BA7" s="152" t="s">
        <v>249</v>
      </c>
      <c r="BB7" s="152" t="s">
        <v>250</v>
      </c>
      <c r="BC7" s="152" t="s">
        <v>251</v>
      </c>
    </row>
    <row r="8" spans="1:55" ht="14.25" customHeight="1" x14ac:dyDescent="0.45">
      <c r="A8" s="73"/>
      <c r="B8" s="119" t="str">
        <f>'1707'!B45</f>
        <v>17-July</v>
      </c>
      <c r="C8" s="119">
        <f>'1707'!C45</f>
        <v>8</v>
      </c>
      <c r="D8" s="119">
        <f>'1707'!D45</f>
        <v>3</v>
      </c>
      <c r="E8" s="119">
        <f>'1707'!E45</f>
        <v>2</v>
      </c>
      <c r="F8" s="119">
        <f>'1707'!F45</f>
        <v>8</v>
      </c>
      <c r="G8" s="119">
        <f>'1707'!G45</f>
        <v>0</v>
      </c>
      <c r="H8" s="119">
        <f>'1707'!H45</f>
        <v>3</v>
      </c>
      <c r="I8" s="119">
        <f>'1707'!I45</f>
        <v>2</v>
      </c>
      <c r="J8" s="119">
        <f>'1707'!J45</f>
        <v>5</v>
      </c>
      <c r="K8" s="119">
        <f>'1707'!K45</f>
        <v>0</v>
      </c>
      <c r="L8" s="119">
        <f>'1707'!L45</f>
        <v>3</v>
      </c>
      <c r="M8" s="119">
        <f>'1707'!M45</f>
        <v>3</v>
      </c>
      <c r="N8" s="119">
        <f>'1707'!N45</f>
        <v>2</v>
      </c>
      <c r="O8" s="119">
        <f>'1707'!O45</f>
        <v>3</v>
      </c>
      <c r="P8" s="119">
        <f>'1707'!P45</f>
        <v>1</v>
      </c>
      <c r="Q8" s="119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0.33333333333333331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0.33333333333333331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30" t="s">
        <v>0</v>
      </c>
      <c r="AM8" s="129">
        <f>AVERAGE(Table1[Average])</f>
        <v>1.157329598506069</v>
      </c>
      <c r="AN8" s="129">
        <f>MEDIAN(Table1[Average])</f>
        <v>0.77777777777777779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40">
        <f>AP8-Table1[[#This Row],[Points]]</f>
        <v>5</v>
      </c>
      <c r="AS8" s="146">
        <f>Table1[[#This Row],[Points]]/(20-AA$5-Table1[[#This Row],[Missed Games]])</f>
        <v>0.15789473684210525</v>
      </c>
      <c r="AT8" s="156">
        <f>Table1[[#This Row],[Average]]-'[1]Stats Global'!R8</f>
        <v>-7.8431372549019607E-2</v>
      </c>
      <c r="AU8" s="27">
        <f>(Table1[[#This Row],[Average]]-'[1]Stats Global'!R8)/'[1]Stats Global'!R8</f>
        <v>-0.19047619047619049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0.5</v>
      </c>
      <c r="BB8" s="16">
        <f>Table4[[#This Row],[Total A]]/$AX$6</f>
        <v>0.16666666666666666</v>
      </c>
      <c r="BC8" s="16">
        <f>Table4[[#This Row],[Total S]]/$AX$6</f>
        <v>0.5</v>
      </c>
    </row>
    <row r="9" spans="1:55" ht="14.25" customHeight="1" x14ac:dyDescent="0.45">
      <c r="A9" s="73"/>
      <c r="B9" s="119" t="str">
        <f>'1807'!B45</f>
        <v>18-July</v>
      </c>
      <c r="C9" s="119">
        <f>'1807'!C45</f>
        <v>12</v>
      </c>
      <c r="D9" s="119">
        <f>'1807'!D45</f>
        <v>1</v>
      </c>
      <c r="E9" s="119">
        <f>'1807'!E45</f>
        <v>1</v>
      </c>
      <c r="F9" s="119">
        <f>'1807'!F45</f>
        <v>12</v>
      </c>
      <c r="G9" s="119">
        <f>'1807'!G45</f>
        <v>1</v>
      </c>
      <c r="H9" s="119">
        <f>'1807'!H45</f>
        <v>0</v>
      </c>
      <c r="I9" s="119">
        <f>'1807'!I45</f>
        <v>1</v>
      </c>
      <c r="J9" s="119">
        <f>'1807'!J45</f>
        <v>6</v>
      </c>
      <c r="K9" s="119">
        <f>'1807'!K45</f>
        <v>1</v>
      </c>
      <c r="L9" s="119">
        <f>'1807'!L45</f>
        <v>1</v>
      </c>
      <c r="M9" s="119">
        <f>'1807'!M45</f>
        <v>6</v>
      </c>
      <c r="N9" s="119">
        <f>'1807'!N45</f>
        <v>0</v>
      </c>
      <c r="O9" s="119">
        <f>'1807'!O45</f>
        <v>3</v>
      </c>
      <c r="P9" s="119">
        <f>'1807'!P45</f>
        <v>1</v>
      </c>
      <c r="Q9" s="119">
        <f>'1807'!Q45</f>
        <v>2</v>
      </c>
      <c r="Z9" s="63" t="s">
        <v>49</v>
      </c>
      <c r="AA9" s="64">
        <f t="shared" si="1"/>
        <v>9</v>
      </c>
      <c r="AB9" s="65">
        <f>IF($AA$6-Table1[[#This Row],[Missed Games]]=0, 0,Table1[[#This Row],[Points]]/($AA$6-Table1[[#This Row],[Missed Games]]))</f>
        <v>1.125</v>
      </c>
      <c r="AC9" s="66">
        <f t="shared" si="2"/>
        <v>9</v>
      </c>
      <c r="AD9" s="67">
        <f>IF($AA$6-Table1[[#This Row],[Missed Games]]=0, 0,Table1[[#This Row],[Finishes]]/($AA$6-Table1[[#This Row],[Missed Games]]))</f>
        <v>1.125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30" t="s">
        <v>1</v>
      </c>
      <c r="AM9" s="129">
        <f>AVERAGE(Table1[Finishes])</f>
        <v>3.9411764705882355</v>
      </c>
      <c r="AN9" s="129">
        <f>MEDIAN(Table1[Finishes])</f>
        <v>2</v>
      </c>
      <c r="AO9" s="141"/>
      <c r="AP9" s="18">
        <f>_xlfn.CEILING.MATH('[1]Stats Global'!R9*(20-$AA$5-$AJ9))</f>
        <v>11</v>
      </c>
      <c r="AQ9" s="27">
        <f>Table1[[#This Row],[Points]]/AP9</f>
        <v>0.81818181818181823</v>
      </c>
      <c r="AR9" s="140">
        <f>AP9-Table1[[#This Row],[Points]]</f>
        <v>2</v>
      </c>
      <c r="AS9" s="146">
        <f>Table1[[#This Row],[Points]]/(20-AA$5-Table1[[#This Row],[Missed Games]])</f>
        <v>0.5</v>
      </c>
      <c r="AT9" s="156">
        <f>Table1[[#This Row],[Average]]-'[1]Stats Global'!R9</f>
        <v>0.52500000000000002</v>
      </c>
      <c r="AU9" s="27">
        <f>(Table1[[#This Row],[Average]]-'[1]Stats Global'!R9)/'[1]Stats Global'!R9</f>
        <v>0.87500000000000011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2.1666666666666665</v>
      </c>
      <c r="BB9" s="16">
        <f>Table4[[#This Row],[Total A]]/$AX$6</f>
        <v>0</v>
      </c>
      <c r="BC9" s="16">
        <f>Table4[[#This Row],[Total S]]/$AX$6</f>
        <v>0.5</v>
      </c>
    </row>
    <row r="10" spans="1:55" ht="14.25" customHeight="1" x14ac:dyDescent="0.45">
      <c r="A10" s="73"/>
      <c r="B10" s="119" t="str">
        <f>'1907'!B45</f>
        <v>19-July</v>
      </c>
      <c r="C10" s="119">
        <f>'1907'!C45</f>
        <v>15</v>
      </c>
      <c r="D10" s="119">
        <f>'1907'!D45</f>
        <v>0</v>
      </c>
      <c r="E10" s="119">
        <f>'1907'!E45</f>
        <v>0</v>
      </c>
      <c r="F10" s="119">
        <f>'1907'!F45</f>
        <v>15</v>
      </c>
      <c r="G10" s="119">
        <f>'1907'!G45</f>
        <v>0</v>
      </c>
      <c r="H10" s="119">
        <f>'1907'!H45</f>
        <v>0</v>
      </c>
      <c r="I10" s="119">
        <f>'1907'!I45</f>
        <v>0</v>
      </c>
      <c r="J10" s="119">
        <f>'1907'!J45</f>
        <v>8</v>
      </c>
      <c r="K10" s="119">
        <f>'1907'!K45</f>
        <v>0</v>
      </c>
      <c r="L10" s="119">
        <f>'1907'!L45</f>
        <v>0</v>
      </c>
      <c r="M10" s="119">
        <f>'1907'!M45</f>
        <v>7</v>
      </c>
      <c r="N10" s="119">
        <f>'1907'!N45</f>
        <v>0</v>
      </c>
      <c r="O10" s="119">
        <f>'1907'!O45</f>
        <v>3</v>
      </c>
      <c r="P10" s="119">
        <f>'1907'!P45</f>
        <v>1</v>
      </c>
      <c r="Q10" s="119">
        <f>'1907'!Q45</f>
        <v>2</v>
      </c>
      <c r="Z10" s="63" t="s">
        <v>51</v>
      </c>
      <c r="AA10" s="64">
        <f t="shared" si="1"/>
        <v>12</v>
      </c>
      <c r="AB10" s="65">
        <f>IF($AA$6-Table1[[#This Row],[Missed Games]]=0, 0,Table1[[#This Row],[Points]]/($AA$6-Table1[[#This Row],[Missed Games]]))</f>
        <v>4</v>
      </c>
      <c r="AC10" s="66">
        <f t="shared" si="2"/>
        <v>10</v>
      </c>
      <c r="AD10" s="67">
        <f>IF($AA$6-Table1[[#This Row],[Missed Games]]=0, 0,Table1[[#This Row],[Finishes]]/($AA$6-Table1[[#This Row],[Missed Games]]))</f>
        <v>3.3333333333333335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0.33333333333333331</v>
      </c>
      <c r="AI10" s="63" t="str">
        <f>SfW!C5</f>
        <v>5 Musketeers</v>
      </c>
      <c r="AJ10" s="68">
        <f t="shared" si="5"/>
        <v>6</v>
      </c>
      <c r="AK10" s="62"/>
      <c r="AL10" s="130" t="s">
        <v>220</v>
      </c>
      <c r="AM10" s="129">
        <f>AVERAGE(Table1[Midranges])</f>
        <v>2.6470588235294117</v>
      </c>
      <c r="AN10" s="129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0.29268292682926828</v>
      </c>
      <c r="AR10" s="140">
        <f>AP10-Table1[[#This Row],[Points]]</f>
        <v>29</v>
      </c>
      <c r="AS10" s="146">
        <f>Table1[[#This Row],[Points]]/(20-AA$5-Table1[[#This Row],[Missed Games]])</f>
        <v>0.92307692307692313</v>
      </c>
      <c r="AT10" s="156">
        <f>Table1[[#This Row],[Average]]-'[1]Stats Global'!R10</f>
        <v>0.85714285714285721</v>
      </c>
      <c r="AU10" s="27">
        <f>(Table1[[#This Row],[Average]]-'[1]Stats Global'!R10)/'[1]Stats Global'!R10</f>
        <v>0.27272727272727276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0.83333333333333337</v>
      </c>
      <c r="BB10" s="16">
        <f>Table4[[#This Row],[Total A]]/$AX$6</f>
        <v>0.5</v>
      </c>
      <c r="BC10" s="16">
        <f>Table4[[#This Row],[Total S]]/$AX$6</f>
        <v>0.33333333333333331</v>
      </c>
    </row>
    <row r="11" spans="1:55" ht="14.25" customHeight="1" x14ac:dyDescent="0.45">
      <c r="A11" s="73"/>
      <c r="B11" s="119" t="str">
        <f>'2007'!B45</f>
        <v>20-July</v>
      </c>
      <c r="C11" s="119">
        <f>'2007'!C45</f>
        <v>6</v>
      </c>
      <c r="D11" s="119">
        <f>'2007'!D45</f>
        <v>3</v>
      </c>
      <c r="E11" s="119">
        <f>'2007'!E45</f>
        <v>2</v>
      </c>
      <c r="F11" s="119">
        <f>'2007'!F45</f>
        <v>3</v>
      </c>
      <c r="G11" s="119">
        <f>'2007'!G45</f>
        <v>3</v>
      </c>
      <c r="H11" s="119">
        <f>'2007'!H45</f>
        <v>1</v>
      </c>
      <c r="I11" s="119">
        <f>'2007'!I45</f>
        <v>6</v>
      </c>
      <c r="J11" s="119">
        <f>'2007'!J45</f>
        <v>2</v>
      </c>
      <c r="K11" s="119">
        <f>'2007'!K45</f>
        <v>1</v>
      </c>
      <c r="L11" s="119">
        <f>'2007'!L45</f>
        <v>2</v>
      </c>
      <c r="M11" s="119">
        <f>'2007'!M45</f>
        <v>1</v>
      </c>
      <c r="N11" s="119">
        <f>'2007'!N45</f>
        <v>3</v>
      </c>
      <c r="O11" s="119">
        <f>'2007'!O45</f>
        <v>2</v>
      </c>
      <c r="P11" s="119">
        <f>'2007'!P45</f>
        <v>3</v>
      </c>
      <c r="Q11" s="119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1</v>
      </c>
      <c r="AC11" s="66">
        <f t="shared" si="2"/>
        <v>5</v>
      </c>
      <c r="AD11" s="67">
        <f>IF($AA$6-Table1[[#This Row],[Missed Games]]=0, 0,Table1[[#This Row],[Finishes]]/($AA$6-Table1[[#This Row],[Missed Games]]))</f>
        <v>1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30" t="s">
        <v>3</v>
      </c>
      <c r="AM11" s="129">
        <f>AVERAGE(Table1[Threes])</f>
        <v>0.76470588235294112</v>
      </c>
      <c r="AN11" s="129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40">
        <f>AP11-Table1[[#This Row],[Points]]</f>
        <v>38</v>
      </c>
      <c r="AS11" s="146">
        <f>Table1[[#This Row],[Points]]/(20-AA$5-Table1[[#This Row],[Missed Games]])</f>
        <v>0.33333333333333331</v>
      </c>
      <c r="AT11" s="156">
        <f>Table1[[#This Row],[Average]]-'[1]Stats Global'!R11</f>
        <v>-1.8125</v>
      </c>
      <c r="AU11" s="27">
        <f>(Table1[[#This Row],[Average]]-'[1]Stats Global'!R11)/'[1]Stats Global'!R11</f>
        <v>-0.64444444444444449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1.6666666666666667</v>
      </c>
      <c r="BB11" s="16">
        <f>Table4[[#This Row],[Total A]]/$AX$6</f>
        <v>0.16666666666666666</v>
      </c>
      <c r="BC11" s="16">
        <f>Table4[[#This Row],[Total S]]/$AX$6</f>
        <v>0.33333333333333331</v>
      </c>
    </row>
    <row r="12" spans="1:55" ht="14.25" customHeight="1" x14ac:dyDescent="0.45">
      <c r="A12" s="73"/>
      <c r="B12" s="119" t="str">
        <f>'2407'!B45</f>
        <v>24-July</v>
      </c>
      <c r="C12" s="119">
        <f>'2407'!C45</f>
        <v>9</v>
      </c>
      <c r="D12" s="119">
        <f>'2407'!D45</f>
        <v>1</v>
      </c>
      <c r="E12" s="119">
        <f>'2407'!E45</f>
        <v>1</v>
      </c>
      <c r="F12" s="119">
        <f>'2407'!F45</f>
        <v>1</v>
      </c>
      <c r="G12" s="119">
        <f>'2407'!G45</f>
        <v>0</v>
      </c>
      <c r="H12" s="119">
        <f>'2407'!H45</f>
        <v>5</v>
      </c>
      <c r="I12" s="119">
        <f>'2407'!I45</f>
        <v>1</v>
      </c>
      <c r="J12" s="119">
        <f>'2407'!J45</f>
        <v>1</v>
      </c>
      <c r="K12" s="119">
        <f>'2407'!K45</f>
        <v>4</v>
      </c>
      <c r="L12" s="119">
        <f>'2407'!L45</f>
        <v>9</v>
      </c>
      <c r="M12" s="119">
        <f>'2407'!M45</f>
        <v>0</v>
      </c>
      <c r="N12" s="119">
        <f>'2407'!N45</f>
        <v>1</v>
      </c>
      <c r="O12" s="119">
        <f>'2407'!O45</f>
        <v>2</v>
      </c>
      <c r="P12" s="119">
        <f>'2407'!P45</f>
        <v>1</v>
      </c>
      <c r="Q12" s="119">
        <f>'2407'!Q45</f>
        <v>3</v>
      </c>
      <c r="Z12" s="63" t="s">
        <v>57</v>
      </c>
      <c r="AA12" s="64">
        <f t="shared" si="1"/>
        <v>6</v>
      </c>
      <c r="AB12" s="65">
        <f>IF($AA$6-Table1[[#This Row],[Missed Games]]=0, 0,Table1[[#This Row],[Points]]/($AA$6-Table1[[#This Row],[Missed Games]]))</f>
        <v>0.8571428571428571</v>
      </c>
      <c r="AC12" s="66">
        <f t="shared" si="2"/>
        <v>1</v>
      </c>
      <c r="AD12" s="67">
        <f>IF($AA$6-Table1[[#This Row],[Missed Games]]=0, 0,Table1[[#This Row],[Finishes]]/($AA$6-Table1[[#This Row],[Missed Games]]))</f>
        <v>0.14285714285714285</v>
      </c>
      <c r="AE12" s="66">
        <f t="shared" si="3"/>
        <v>3</v>
      </c>
      <c r="AF12" s="67">
        <f>IF($AA$6-Table1[[#This Row],[Missed Games]]=0, 0,Table1[[#This Row],[Midranges]]/($AA$6-Table1[[#This Row],[Missed Games]]))</f>
        <v>0.42857142857142855</v>
      </c>
      <c r="AG12" s="66">
        <f t="shared" si="4"/>
        <v>1</v>
      </c>
      <c r="AH12" s="67">
        <f>IF($AA$6-Table1[[#This Row],[Missed Games]]=0, 0,Table1[[#This Row],[Threes]]/($AA$6-Table1[[#This Row],[Missed Games]]))</f>
        <v>0.14285714285714285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0.17142857142857143</v>
      </c>
      <c r="AR12" s="140">
        <f>AP12-Table1[[#This Row],[Points]]</f>
        <v>29</v>
      </c>
      <c r="AS12" s="146">
        <f>Table1[[#This Row],[Points]]/(20-AA$5-Table1[[#This Row],[Missed Games]])</f>
        <v>0.35294117647058826</v>
      </c>
      <c r="AT12" s="156">
        <f>Table1[[#This Row],[Average]]-'[1]Stats Global'!R12</f>
        <v>-1.2016806722689073</v>
      </c>
      <c r="AU12" s="27">
        <f>(Table1[[#This Row],[Average]]-'[1]Stats Global'!R12)/'[1]Stats Global'!R12</f>
        <v>-0.583673469387755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1</v>
      </c>
      <c r="BB12" s="16">
        <f>Table4[[#This Row],[Total A]]/$AX$6</f>
        <v>0.16666666666666666</v>
      </c>
      <c r="BC12" s="16">
        <f>Table4[[#This Row],[Total S]]/$AX$6</f>
        <v>0.16666666666666666</v>
      </c>
    </row>
    <row r="13" spans="1:55" ht="14.25" customHeight="1" x14ac:dyDescent="0.45">
      <c r="A13" s="73"/>
      <c r="B13" s="119" t="str">
        <f>'2607'!B45</f>
        <v>26-July</v>
      </c>
      <c r="C13" s="119">
        <f>'2607'!C45</f>
        <v>8</v>
      </c>
      <c r="D13" s="119">
        <f>'2607'!D45</f>
        <v>6</v>
      </c>
      <c r="E13" s="119">
        <f>'2607'!E45</f>
        <v>3</v>
      </c>
      <c r="F13" s="119">
        <f>'2607'!F45</f>
        <v>6</v>
      </c>
      <c r="G13" s="119">
        <f>'2607'!G45</f>
        <v>2</v>
      </c>
      <c r="H13" s="119">
        <f>'2607'!H45</f>
        <v>3</v>
      </c>
      <c r="I13" s="119">
        <f>'2607'!I45</f>
        <v>3</v>
      </c>
      <c r="J13" s="119">
        <f>'2607'!J45</f>
        <v>2</v>
      </c>
      <c r="K13" s="119">
        <f>'2607'!K45</f>
        <v>5</v>
      </c>
      <c r="L13" s="119">
        <f>'2607'!L45</f>
        <v>8</v>
      </c>
      <c r="M13" s="119">
        <f>'2607'!M45</f>
        <v>4</v>
      </c>
      <c r="N13" s="119">
        <f>'2607'!N45</f>
        <v>1</v>
      </c>
      <c r="O13" s="119">
        <f>'2607'!O45</f>
        <v>2</v>
      </c>
      <c r="P13" s="119">
        <f>'2607'!P45</f>
        <v>1</v>
      </c>
      <c r="Q13" s="119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0.42857142857142855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0.2857142857142857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0.14285714285714285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40">
        <f>AP13-Table1[[#This Row],[Points]]</f>
        <v>17</v>
      </c>
      <c r="AS13" s="146">
        <f>Table1[[#This Row],[Points]]/(20-AA$5-Table1[[#This Row],[Missed Games]])</f>
        <v>0.17647058823529413</v>
      </c>
      <c r="AT13" s="156">
        <f>Table1[[#This Row],[Average]]-'[1]Stats Global'!R13</f>
        <v>-0.71428571428571419</v>
      </c>
      <c r="AU13" s="27">
        <f>(Table1[[#This Row],[Average]]-'[1]Stats Global'!R13)/'[1]Stats Global'!R13</f>
        <v>-0.625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1</v>
      </c>
      <c r="BB13" s="16">
        <f>Table4[[#This Row],[Total A]]/$AX$6</f>
        <v>0.33333333333333331</v>
      </c>
      <c r="BC13" s="16">
        <f>Table4[[#This Row],[Total S]]/$AX$6</f>
        <v>0.16666666666666666</v>
      </c>
    </row>
    <row r="14" spans="1:55" ht="14.25" customHeight="1" x14ac:dyDescent="0.45">
      <c r="A14" s="73"/>
      <c r="B14" s="119" t="str">
        <f>'2707'!B45</f>
        <v>27-July</v>
      </c>
      <c r="C14" s="119">
        <f>'2707'!C45</f>
        <v>8</v>
      </c>
      <c r="D14" s="119">
        <f>'2707'!D45</f>
        <v>3</v>
      </c>
      <c r="E14" s="119">
        <f>'2707'!E45</f>
        <v>3</v>
      </c>
      <c r="F14" s="119">
        <f>'2707'!F45</f>
        <v>3</v>
      </c>
      <c r="G14" s="119">
        <f>'2707'!G45</f>
        <v>1</v>
      </c>
      <c r="H14" s="119">
        <f>'2707'!H45</f>
        <v>4</v>
      </c>
      <c r="I14" s="119">
        <f>'2707'!I45</f>
        <v>3</v>
      </c>
      <c r="J14" s="119">
        <f>'2707'!J45</f>
        <v>2</v>
      </c>
      <c r="K14" s="119">
        <f>'2707'!K45</f>
        <v>4</v>
      </c>
      <c r="L14" s="119">
        <f>'2707'!L45</f>
        <v>8</v>
      </c>
      <c r="M14" s="119">
        <f>'2707'!M45</f>
        <v>1</v>
      </c>
      <c r="N14" s="119">
        <f>'2707'!N45</f>
        <v>2</v>
      </c>
      <c r="O14" s="119">
        <f>'2707'!O45</f>
        <v>2</v>
      </c>
      <c r="P14" s="119">
        <f>'2707'!P45</f>
        <v>1</v>
      </c>
      <c r="Q14" s="119">
        <f>'2707'!Q45</f>
        <v>3</v>
      </c>
      <c r="Z14" s="72" t="s">
        <v>93</v>
      </c>
      <c r="AA14" s="64">
        <f t="shared" si="1"/>
        <v>4</v>
      </c>
      <c r="AB14" s="65">
        <f>IF($AA$6-Table1[[#This Row],[Missed Games]]=0, 0,Table1[[#This Row],[Points]]/($AA$6-Table1[[#This Row],[Missed Games]]))</f>
        <v>0.44444444444444442</v>
      </c>
      <c r="AC14" s="66">
        <f t="shared" si="2"/>
        <v>3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1</v>
      </c>
      <c r="AF14" s="67">
        <f>IF($AA$6-Table1[[#This Row],[Missed Games]]=0, 0,Table1[[#This Row],[Midranges]]/($AA$6-Table1[[#This Row],[Missed Games]]))</f>
        <v>0.1111111111111111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0.66666666666666663</v>
      </c>
      <c r="AR14" s="140">
        <f>AP14-Table1[[#This Row],[Points]]</f>
        <v>2</v>
      </c>
      <c r="AS14" s="146">
        <f>Table1[[#This Row],[Points]]/(20-AA$5-Table1[[#This Row],[Missed Games]])</f>
        <v>0.21052631578947367</v>
      </c>
      <c r="AT14" s="156">
        <f>Table1[[#This Row],[Average]]-'[1]Stats Global'!R23</f>
        <v>0.13194444444444442</v>
      </c>
      <c r="AU14" s="27">
        <f>(Table1[[#This Row],[Average]]-'[1]Stats Global'!R23)/'[1]Stats Global'!R23</f>
        <v>0.42222222222222217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1.5</v>
      </c>
      <c r="BB14" s="16">
        <f>Table4[[#This Row],[Total A]]/$AX$6</f>
        <v>0</v>
      </c>
      <c r="BC14" s="16">
        <f>Table4[[#This Row],[Total S]]/$AX$6</f>
        <v>0.33333333333333331</v>
      </c>
    </row>
    <row r="15" spans="1:55" ht="14.25" customHeight="1" x14ac:dyDescent="0.45">
      <c r="A15" s="73"/>
      <c r="B15" s="119" t="str">
        <f>'3107'!B45</f>
        <v>31-July</v>
      </c>
      <c r="C15" s="119">
        <f>'3107'!C45</f>
        <v>9</v>
      </c>
      <c r="D15" s="119">
        <f>'3107'!D45</f>
        <v>4</v>
      </c>
      <c r="E15" s="119">
        <f>'3107'!E45</f>
        <v>3</v>
      </c>
      <c r="F15" s="119">
        <f>'3107'!F45</f>
        <v>9</v>
      </c>
      <c r="G15" s="119">
        <f>'3107'!G45</f>
        <v>2</v>
      </c>
      <c r="H15" s="119">
        <f>'3107'!H45</f>
        <v>1</v>
      </c>
      <c r="I15" s="119">
        <f>'3107'!I45</f>
        <v>4</v>
      </c>
      <c r="J15" s="119">
        <f>'3107'!J45</f>
        <v>4</v>
      </c>
      <c r="K15" s="119">
        <f>'3107'!K45</f>
        <v>2</v>
      </c>
      <c r="L15" s="119">
        <f>'3107'!L45</f>
        <v>3</v>
      </c>
      <c r="M15" s="119">
        <f>'3107'!M45</f>
        <v>5</v>
      </c>
      <c r="N15" s="119">
        <f>'3107'!N45</f>
        <v>2</v>
      </c>
      <c r="O15" s="119">
        <f>'3107'!O45</f>
        <v>3</v>
      </c>
      <c r="P15" s="119">
        <f>'3107'!P45</f>
        <v>2</v>
      </c>
      <c r="Q15" s="119">
        <f>'3107'!Q45</f>
        <v>1</v>
      </c>
      <c r="Z15" s="72" t="s">
        <v>63</v>
      </c>
      <c r="AA15" s="64">
        <f t="shared" si="1"/>
        <v>2</v>
      </c>
      <c r="AB15" s="65">
        <f>IF($AA$6-Table1[[#This Row],[Missed Games]]=0, 0,Table1[[#This Row],[Points]]/($AA$6-Table1[[#This Row],[Missed Games]]))</f>
        <v>0.66666666666666663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1</v>
      </c>
      <c r="AH15" s="67">
        <f>IF($AA$6-Table1[[#This Row],[Missed Games]]=0, 0,Table1[[#This Row],[Threes]]/($AA$6-Table1[[#This Row],[Missed Games]]))</f>
        <v>0.33333333333333331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9.5238095238095233E-2</v>
      </c>
      <c r="AR15" s="140">
        <f>AP15-Table1[[#This Row],[Points]]</f>
        <v>19</v>
      </c>
      <c r="AS15" s="146">
        <f>Table1[[#This Row],[Points]]/(20-AA$5-Table1[[#This Row],[Missed Games]])</f>
        <v>0.15384615384615385</v>
      </c>
      <c r="AT15" s="156">
        <f>Table1[[#This Row],[Average]]-'[1]Stats Global'!R14</f>
        <v>-0.92156862745098034</v>
      </c>
      <c r="AU15" s="27">
        <f>(Table1[[#This Row],[Average]]-'[1]Stats Global'!R14)/'[1]Stats Global'!R14</f>
        <v>-0.58024691358024694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9" t="str">
        <f>'0108'!B45</f>
        <v>1-August</v>
      </c>
      <c r="C16" s="119">
        <f>'0108'!C45</f>
        <v>6</v>
      </c>
      <c r="D16" s="119">
        <f>'0108'!D45</f>
        <v>6</v>
      </c>
      <c r="E16" s="119">
        <f>'0108'!E45</f>
        <v>3</v>
      </c>
      <c r="F16" s="119">
        <f>'0108'!F45</f>
        <v>3</v>
      </c>
      <c r="G16" s="119">
        <f>'0108'!G45</f>
        <v>3</v>
      </c>
      <c r="H16" s="119">
        <f>'0108'!H45</f>
        <v>3</v>
      </c>
      <c r="I16" s="119">
        <f>'0108'!I45</f>
        <v>6</v>
      </c>
      <c r="J16" s="119">
        <f>'0108'!J45</f>
        <v>1</v>
      </c>
      <c r="K16" s="119">
        <f>'0108'!K45</f>
        <v>3</v>
      </c>
      <c r="L16" s="119">
        <f>'0108'!L45</f>
        <v>6</v>
      </c>
      <c r="M16" s="119">
        <f>'0108'!M45</f>
        <v>2</v>
      </c>
      <c r="N16" s="119">
        <f>'0108'!N45</f>
        <v>3</v>
      </c>
      <c r="O16" s="119">
        <f>'0108'!O45</f>
        <v>1</v>
      </c>
      <c r="P16" s="119">
        <f>'0108'!P45</f>
        <v>3</v>
      </c>
      <c r="Q16" s="119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2.125</v>
      </c>
      <c r="AC16" s="66">
        <f t="shared" si="2"/>
        <v>7</v>
      </c>
      <c r="AD16" s="67">
        <f>IF($AA$6-Table1[[#This Row],[Missed Games]]=0, 0,Table1[[#This Row],[Finishes]]/($AA$6-Table1[[#This Row],[Missed Games]]))</f>
        <v>0.875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0.75</v>
      </c>
      <c r="AG16" s="66">
        <f t="shared" si="4"/>
        <v>2</v>
      </c>
      <c r="AH16" s="67">
        <f>IF($AA$6-Table1[[#This Row],[Missed Games]]=0, 0,Table1[[#This Row],[Threes]]/($AA$6-Table1[[#This Row],[Missed Games]]))</f>
        <v>0.25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40">
        <f>AP16-Table1[[#This Row],[Points]]</f>
        <v>9</v>
      </c>
      <c r="AS16" s="146">
        <f>Table1[[#This Row],[Points]]/(20-AA$5-Table1[[#This Row],[Missed Games]])</f>
        <v>0.94444444444444442</v>
      </c>
      <c r="AT16" s="156">
        <f>Table1[[#This Row],[Average]]-'[1]Stats Global'!R15</f>
        <v>0.71323529411764697</v>
      </c>
      <c r="AU16" s="27">
        <f>(Table1[[#This Row],[Average]]-'[1]Stats Global'!R15)/'[1]Stats Global'!R15</f>
        <v>0.50520833333333326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2.3333333333333335</v>
      </c>
      <c r="BB16" s="16">
        <f>Table4[[#This Row],[Total A]]/$AX$6</f>
        <v>0.5</v>
      </c>
      <c r="BC16" s="16">
        <f>Table4[[#This Row],[Total S]]/$AX$6</f>
        <v>0.33333333333333331</v>
      </c>
    </row>
    <row r="17" spans="2:55" ht="14.25" customHeight="1" x14ac:dyDescent="0.45">
      <c r="B17" s="119" t="str">
        <f>'0208'!B45</f>
        <v>2-August</v>
      </c>
      <c r="C17" s="119">
        <f>'0208'!C45</f>
        <v>12</v>
      </c>
      <c r="D17" s="119">
        <f>'0208'!D45</f>
        <v>10</v>
      </c>
      <c r="E17" s="119">
        <f>'0208'!E45</f>
        <v>4</v>
      </c>
      <c r="F17" s="119">
        <f>'0208'!F45</f>
        <v>4</v>
      </c>
      <c r="G17" s="119">
        <f>'0208'!G45</f>
        <v>3</v>
      </c>
      <c r="H17" s="119">
        <f>'0208'!H45</f>
        <v>8</v>
      </c>
      <c r="I17" s="119">
        <f>'0208'!I45</f>
        <v>10</v>
      </c>
      <c r="J17" s="119">
        <f>'0208'!J45</f>
        <v>4</v>
      </c>
      <c r="K17" s="119">
        <f>'0208'!K45</f>
        <v>4</v>
      </c>
      <c r="L17" s="119">
        <f>'0208'!L45</f>
        <v>12</v>
      </c>
      <c r="M17" s="119">
        <f>'0208'!M45</f>
        <v>0</v>
      </c>
      <c r="N17" s="119">
        <f>'0208'!N45</f>
        <v>7</v>
      </c>
      <c r="O17" s="119">
        <f>'0208'!O45</f>
        <v>1</v>
      </c>
      <c r="P17" s="119">
        <f>'0208'!P45</f>
        <v>2</v>
      </c>
      <c r="Q17" s="119">
        <f>'0208'!Q45</f>
        <v>3</v>
      </c>
      <c r="Z17" s="72" t="s">
        <v>68</v>
      </c>
      <c r="AA17" s="64">
        <f t="shared" si="1"/>
        <v>25</v>
      </c>
      <c r="AB17" s="65">
        <f>IF($AA$6-Table1[[#This Row],[Missed Games]]=0, 0,Table1[[#This Row],[Points]]/($AA$6-Table1[[#This Row],[Missed Games]]))</f>
        <v>2.7777777777777777</v>
      </c>
      <c r="AC17" s="66">
        <f t="shared" si="2"/>
        <v>2</v>
      </c>
      <c r="AD17" s="67">
        <f>IF($AA$6-Table1[[#This Row],[Missed Games]]=0, 0,Table1[[#This Row],[Finishes]]/($AA$6-Table1[[#This Row],[Missed Games]]))</f>
        <v>0.22222222222222221</v>
      </c>
      <c r="AE17" s="66">
        <f t="shared" si="3"/>
        <v>15</v>
      </c>
      <c r="AF17" s="67">
        <f>IF($AA$6-Table1[[#This Row],[Missed Games]]=0, 0,Table1[[#This Row],[Midranges]]/($AA$6-Table1[[#This Row],[Missed Games]]))</f>
        <v>1.6666666666666667</v>
      </c>
      <c r="AG17" s="66">
        <f t="shared" si="4"/>
        <v>4</v>
      </c>
      <c r="AH17" s="67">
        <f>IF($AA$6-Table1[[#This Row],[Missed Games]]=0, 0,Table1[[#This Row],[Threes]]/($AA$6-Table1[[#This Row],[Missed Games]]))</f>
        <v>0.44444444444444442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0.51020408163265307</v>
      </c>
      <c r="AR17" s="140">
        <f>AP17-Table1[[#This Row],[Points]]</f>
        <v>24</v>
      </c>
      <c r="AS17" s="146">
        <f>Table1[[#This Row],[Points]]/(20-AA$5-Table1[[#This Row],[Missed Games]])</f>
        <v>1.3157894736842106</v>
      </c>
      <c r="AT17" s="156">
        <f>Table1[[#This Row],[Average]]-'[1]Stats Global'!R16</f>
        <v>0.24444444444444446</v>
      </c>
      <c r="AU17" s="27">
        <f>(Table1[[#This Row],[Average]]-'[1]Stats Global'!R16)/'[1]Stats Global'!R16</f>
        <v>9.6491228070175447E-2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2.3333333333333335</v>
      </c>
      <c r="BB17" s="16">
        <f>Table4[[#This Row],[Total A]]/$AX$6</f>
        <v>0.33333333333333331</v>
      </c>
      <c r="BC17" s="16">
        <f>Table4[[#This Row],[Total S]]/$AX$6</f>
        <v>0</v>
      </c>
    </row>
    <row r="18" spans="2:55" ht="14.25" customHeight="1" x14ac:dyDescent="0.45">
      <c r="B18" s="137"/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Z18" s="72" t="s">
        <v>69</v>
      </c>
      <c r="AA18" s="64">
        <f t="shared" si="1"/>
        <v>6</v>
      </c>
      <c r="AB18" s="65">
        <f>IF($AA$6-Table1[[#This Row],[Missed Games]]=0, 0,Table1[[#This Row],[Points]]/($AA$6-Table1[[#This Row],[Missed Games]]))</f>
        <v>0.66666666666666663</v>
      </c>
      <c r="AC18" s="66">
        <f t="shared" si="2"/>
        <v>1</v>
      </c>
      <c r="AD18" s="67">
        <f>IF($AA$6-Table1[[#This Row],[Missed Games]]=0, 0,Table1[[#This Row],[Finishes]]/($AA$6-Table1[[#This Row],[Missed Games]]))</f>
        <v>0.1111111111111111</v>
      </c>
      <c r="AE18" s="66">
        <f t="shared" si="3"/>
        <v>5</v>
      </c>
      <c r="AF18" s="67">
        <f>IF($AA$6-Table1[[#This Row],[Missed Games]]=0, 0,Table1[[#This Row],[Midranges]]/($AA$6-Table1[[#This Row],[Missed Games]]))</f>
        <v>0.55555555555555558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0.35294117647058826</v>
      </c>
      <c r="AR18" s="140">
        <f>AP18-Table1[[#This Row],[Points]]</f>
        <v>11</v>
      </c>
      <c r="AS18" s="146">
        <f>Table1[[#This Row],[Points]]/(20-AA$5-Table1[[#This Row],[Missed Games]])</f>
        <v>0.31578947368421051</v>
      </c>
      <c r="AT18" s="156">
        <f>Table1[[#This Row],[Average]]-'[1]Stats Global'!R17</f>
        <v>-0.20833333333333337</v>
      </c>
      <c r="AU18" s="27">
        <f>(Table1[[#This Row],[Average]]-'[1]Stats Global'!R17)/'[1]Stats Global'!R17</f>
        <v>-0.23809523809523814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0.16666666666666666</v>
      </c>
      <c r="BB18" s="16">
        <f>Table4[[#This Row],[Total A]]/$AX$6</f>
        <v>0</v>
      </c>
      <c r="BC18" s="16">
        <f>Table4[[#This Row],[Total S]]/$AX$6</f>
        <v>0.83333333333333337</v>
      </c>
    </row>
    <row r="19" spans="2:55" ht="14.25" customHeight="1" x14ac:dyDescent="0.45">
      <c r="B19" s="139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Z19" s="113" t="s">
        <v>201</v>
      </c>
      <c r="AA19" s="64">
        <f t="shared" si="1"/>
        <v>0</v>
      </c>
      <c r="AB19" s="65">
        <f>IF($AA$6-Table1[[#This Row],[Missed Games]]=0, 0,Table1[[#This Row],[Points]]/($AA$6-Table1[[#This Row],[Missed Games]]))</f>
        <v>0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0</v>
      </c>
      <c r="AF19" s="67">
        <f>IF($AA$6-Table1[[#This Row],[Missed Games]]=0, 0,Table1[[#This Row],[Midranges]]/($AA$6-Table1[[#This Row],[Missed Games]]))</f>
        <v>0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40">
        <f>AP19-Table1[[#This Row],[Points]]</f>
        <v>0</v>
      </c>
      <c r="AS19" s="146">
        <f>Table1[[#This Row],[Points]]/(20-AA$5-Table1[[#This Row],[Missed Games]])</f>
        <v>0</v>
      </c>
      <c r="AT19" s="156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0.5</v>
      </c>
      <c r="BB19" s="16">
        <f>Table4[[#This Row],[Total A]]/$AX$6</f>
        <v>0.16666666666666666</v>
      </c>
      <c r="BC19" s="16">
        <f>Table4[[#This Row],[Total S]]/$AX$6</f>
        <v>0</v>
      </c>
    </row>
    <row r="20" spans="2:55" ht="14.25" customHeight="1" x14ac:dyDescent="0.45">
      <c r="B20" s="139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Z20" s="113" t="s">
        <v>128</v>
      </c>
      <c r="AA20" s="64">
        <f t="shared" si="1"/>
        <v>7</v>
      </c>
      <c r="AB20" s="65">
        <f>IF($AA$6-Table1[[#This Row],[Missed Games]]=0, 0,Table1[[#This Row],[Points]]/($AA$6-Table1[[#This Row],[Missed Games]]))</f>
        <v>0.77777777777777779</v>
      </c>
      <c r="AC20" s="66">
        <f t="shared" si="2"/>
        <v>6</v>
      </c>
      <c r="AD20" s="116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6">
        <f>IF($AA$6-Table1[[#This Row],[Missed Games]]=0, 0,Table1[[#This Row],[Midranges]]/($AA$6-Table1[[#This Row],[Missed Games]]))</f>
        <v>0.1111111111111111</v>
      </c>
      <c r="AG20" s="66">
        <f t="shared" si="4"/>
        <v>0</v>
      </c>
      <c r="AH20" s="116">
        <f>IF($AA$6-Table1[[#This Row],[Missed Games]]=0, 0,Table1[[#This Row],[Threes]]/($AA$6-Table1[[#This Row],[Missed Games]]))</f>
        <v>0</v>
      </c>
      <c r="AI20" s="113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0.33333333333333331</v>
      </c>
      <c r="AR20" s="140">
        <f>AP20-Table1[[#This Row],[Points]]</f>
        <v>14</v>
      </c>
      <c r="AS20" s="146">
        <f>Table1[[#This Row],[Points]]/(20-AA$5-Table1[[#This Row],[Missed Games]])</f>
        <v>0.36842105263157893</v>
      </c>
      <c r="AT20" s="156">
        <f>Table1[[#This Row],[Average]]-'[1]Stats Global'!R18</f>
        <v>-0.28888888888888886</v>
      </c>
      <c r="AU20" s="27">
        <f>(Table1[[#This Row],[Average]]-'[1]Stats Global'!R18)/'[1]Stats Global'!R18</f>
        <v>-0.27083333333333331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1.3333333333333333</v>
      </c>
      <c r="BB20" s="16">
        <f>Table4[[#This Row],[Total A]]/$AX$6</f>
        <v>0.16666666666666666</v>
      </c>
      <c r="BC20" s="16">
        <f>Table4[[#This Row],[Total S]]/$AX$6</f>
        <v>0.5</v>
      </c>
    </row>
    <row r="21" spans="2:55" ht="14.25" customHeight="1" x14ac:dyDescent="0.45">
      <c r="B21" s="139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Z21" s="113" t="s">
        <v>127</v>
      </c>
      <c r="AA21" s="64">
        <f t="shared" si="1"/>
        <v>10</v>
      </c>
      <c r="AB21" s="65">
        <f>IF($AA$6-Table1[[#This Row],[Missed Games]]=0, 0,Table1[[#This Row],[Points]]/($AA$6-Table1[[#This Row],[Missed Games]]))</f>
        <v>1.1111111111111112</v>
      </c>
      <c r="AC21" s="66">
        <f t="shared" si="2"/>
        <v>6</v>
      </c>
      <c r="AD21" s="116">
        <f>IF($AA$6-Table1[[#This Row],[Missed Games]]=0, 0,Table1[[#This Row],[Finishes]]/($AA$6-Table1[[#This Row],[Missed Games]]))</f>
        <v>0.66666666666666663</v>
      </c>
      <c r="AE21" s="66">
        <f t="shared" si="3"/>
        <v>2</v>
      </c>
      <c r="AF21" s="116">
        <f>IF($AA$6-Table1[[#This Row],[Missed Games]]=0, 0,Table1[[#This Row],[Midranges]]/($AA$6-Table1[[#This Row],[Missed Games]]))</f>
        <v>0.22222222222222221</v>
      </c>
      <c r="AG21" s="66">
        <f t="shared" si="4"/>
        <v>1</v>
      </c>
      <c r="AH21" s="116">
        <f>IF($AA$6-Table1[[#This Row],[Missed Games]]=0, 0,Table1[[#This Row],[Threes]]/($AA$6-Table1[[#This Row],[Missed Games]]))</f>
        <v>0.1111111111111111</v>
      </c>
      <c r="AI21" s="113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0.47619047619047616</v>
      </c>
      <c r="AR21" s="140">
        <f>AP21-Table1[[#This Row],[Points]]</f>
        <v>11</v>
      </c>
      <c r="AS21" s="146">
        <f>Table1[[#This Row],[Points]]/(20-AA$5-Table1[[#This Row],[Missed Games]])</f>
        <v>0.52631578947368418</v>
      </c>
      <c r="AT21" s="156">
        <f>Table1[[#This Row],[Average]]-'[1]Stats Global'!R19</f>
        <v>5.2287581699346442E-2</v>
      </c>
      <c r="AU21" s="27">
        <f>(Table1[[#This Row],[Average]]-'[1]Stats Global'!R19)/'[1]Stats Global'!R19</f>
        <v>4.9382716049382748E-2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2</v>
      </c>
      <c r="BB21" s="16">
        <f>Table4[[#This Row],[Total A]]/$AX$6</f>
        <v>0.33333333333333331</v>
      </c>
      <c r="BC21" s="16">
        <f>Table4[[#This Row],[Total S]]/$AX$6</f>
        <v>0.33333333333333331</v>
      </c>
    </row>
    <row r="22" spans="2:55" ht="14.25" customHeight="1" x14ac:dyDescent="0.45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Z22" s="113" t="s">
        <v>73</v>
      </c>
      <c r="AA22" s="64">
        <f t="shared" si="1"/>
        <v>27</v>
      </c>
      <c r="AB22" s="65">
        <f>IF($AA$6-Table1[[#This Row],[Missed Games]]=0, 0,Table1[[#This Row],[Points]]/($AA$6-Table1[[#This Row],[Missed Games]]))</f>
        <v>3</v>
      </c>
      <c r="AC22" s="66">
        <f t="shared" si="2"/>
        <v>14</v>
      </c>
      <c r="AD22" s="116">
        <f>IF($AA$6-Table1[[#This Row],[Missed Games]]=0, 0,Table1[[#This Row],[Finishes]]/($AA$6-Table1[[#This Row],[Missed Games]]))</f>
        <v>1.5555555555555556</v>
      </c>
      <c r="AE22" s="66">
        <f t="shared" si="3"/>
        <v>7</v>
      </c>
      <c r="AF22" s="116">
        <f>IF($AA$6-Table1[[#This Row],[Missed Games]]=0, 0,Table1[[#This Row],[Midranges]]/($AA$6-Table1[[#This Row],[Missed Games]]))</f>
        <v>0.77777777777777779</v>
      </c>
      <c r="AG22" s="66">
        <f t="shared" si="4"/>
        <v>3</v>
      </c>
      <c r="AH22" s="116">
        <f>IF($AA$6-Table1[[#This Row],[Missed Games]]=0, 0,Table1[[#This Row],[Threes]]/($AA$6-Table1[[#This Row],[Missed Games]]))</f>
        <v>0.33333333333333331</v>
      </c>
      <c r="AI22" s="113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0.57446808510638303</v>
      </c>
      <c r="AR22" s="140">
        <f>AP22-Table1[[#This Row],[Points]]</f>
        <v>20</v>
      </c>
      <c r="AS22" s="146">
        <f>Table1[[#This Row],[Points]]/(20-AA$5-Table1[[#This Row],[Missed Games]])</f>
        <v>1.4210526315789473</v>
      </c>
      <c r="AT22" s="156">
        <f>Table1[[#This Row],[Average]]-'[1]Stats Global'!R20</f>
        <v>0.57142857142857162</v>
      </c>
      <c r="AU22" s="27">
        <f>(Table1[[#This Row],[Average]]-'[1]Stats Global'!R20)/'[1]Stats Global'!R20</f>
        <v>0.23529411764705893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1.8333333333333333</v>
      </c>
      <c r="BB22" s="16">
        <f>Table4[[#This Row],[Total A]]/$AX$6</f>
        <v>1.1666666666666667</v>
      </c>
      <c r="BC22" s="16">
        <f>Table4[[#This Row],[Total S]]/$AX$6</f>
        <v>0.5</v>
      </c>
    </row>
    <row r="23" spans="2:55" ht="14.25" customHeight="1" x14ac:dyDescent="0.45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Z23" s="114" t="s">
        <v>74</v>
      </c>
      <c r="AA23" s="64">
        <f t="shared" si="1"/>
        <v>1</v>
      </c>
      <c r="AB23" s="115">
        <f>IF($AA$6-Table1[[#This Row],[Missed Games]]=0, 0,Table1[[#This Row],[Points]]/($AA$6-Table1[[#This Row],[Missed Games]]))</f>
        <v>0.1111111111111111</v>
      </c>
      <c r="AC23" s="66">
        <f t="shared" si="2"/>
        <v>0</v>
      </c>
      <c r="AD23" s="117">
        <f>IF($AA$6-Table1[[#This Row],[Missed Games]]=0, 0,Table1[[#This Row],[Finishes]]/($AA$6-Table1[[#This Row],[Missed Games]]))</f>
        <v>0</v>
      </c>
      <c r="AE23" s="66">
        <f t="shared" si="3"/>
        <v>1</v>
      </c>
      <c r="AF23" s="117">
        <f>IF($AA$6-Table1[[#This Row],[Missed Games]]=0, 0,Table1[[#This Row],[Midranges]]/($AA$6-Table1[[#This Row],[Missed Games]]))</f>
        <v>0.1111111111111111</v>
      </c>
      <c r="AG23" s="66">
        <f t="shared" si="4"/>
        <v>0</v>
      </c>
      <c r="AH23" s="117">
        <f>IF($AA$6-Table1[[#This Row],[Missed Games]]=0, 0,Table1[[#This Row],[Threes]]/($AA$6-Table1[[#This Row],[Missed Games]]))</f>
        <v>0</v>
      </c>
      <c r="AI23" s="114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40">
        <f>AP23-Table1[[#This Row],[Points]]</f>
        <v>2</v>
      </c>
      <c r="AS23" s="146">
        <f>Table1[[#This Row],[Points]]/(20-AA$5-Table1[[#This Row],[Missed Games]])</f>
        <v>5.2631578947368418E-2</v>
      </c>
      <c r="AT23" s="156">
        <f>Table1[[#This Row],[Average]]-'[1]Stats Global'!R21</f>
        <v>-6.5359477124183052E-3</v>
      </c>
      <c r="AU23" s="27">
        <f>(Table1[[#This Row],[Average]]-'[1]Stats Global'!R21)/'[1]Stats Global'!R21</f>
        <v>-5.5555555555555594E-2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0.66666666666666663</v>
      </c>
      <c r="BB23" s="16">
        <f>Table4[[#This Row],[Total A]]/$AX$6</f>
        <v>0.16666666666666666</v>
      </c>
      <c r="BC23" s="16">
        <f>Table4[[#This Row],[Total S]]/$AX$6</f>
        <v>0.33333333333333331</v>
      </c>
    </row>
    <row r="24" spans="2:55" ht="14.25" customHeight="1" x14ac:dyDescent="0.45"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Z24" s="63" t="s">
        <v>75</v>
      </c>
      <c r="AA24" s="64">
        <f t="shared" si="1"/>
        <v>1</v>
      </c>
      <c r="AB24" s="65">
        <f>IF($AA$6-Table1[[#This Row],[Missed Games]]=0, 0,Table1[[#This Row],[Points]]/($AA$6-Table1[[#This Row],[Missed Games]]))</f>
        <v>0.25</v>
      </c>
      <c r="AC24" s="66">
        <f t="shared" si="2"/>
        <v>1</v>
      </c>
      <c r="AD24" s="67">
        <f>IF($AA$6-Table1[[#This Row],[Missed Games]]=0, 0,Table1[[#This Row],[Finishes]]/($AA$6-Table1[[#This Row],[Missed Games]]))</f>
        <v>0.25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0.1</v>
      </c>
      <c r="AR24" s="140">
        <f>AP24-Table1[[#This Row],[Points]]</f>
        <v>9</v>
      </c>
      <c r="AS24" s="146">
        <f>Table1[[#This Row],[Points]]/(20-AA$5-Table1[[#This Row],[Missed Games]])</f>
        <v>7.1428571428571425E-2</v>
      </c>
      <c r="AT24" s="156">
        <f>Table1[[#This Row],[Average]]-'[1]Stats Global'!R22</f>
        <v>-0.3970588235294118</v>
      </c>
      <c r="AU24" s="27">
        <f>(Table1[[#This Row],[Average]]-'[1]Stats Global'!R22)/'[1]Stats Global'!R22</f>
        <v>-0.61363636363636365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0.16666666666666666</v>
      </c>
    </row>
    <row r="25" spans="2:55" ht="14.25" customHeight="1" x14ac:dyDescent="0.45"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AB25" s="17"/>
      <c r="AP25" s="17"/>
      <c r="AQ25" s="27"/>
    </row>
    <row r="26" spans="2:55" ht="14.25" customHeight="1" x14ac:dyDescent="0.45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3"/>
      <c r="S30" s="100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8">
        <f>AB30/($AA$27-Table2[[#This Row],[Missed Games]])</f>
        <v>0.33333333333333331</v>
      </c>
      <c r="AG30" s="33">
        <f>AC30/($AA$27-Table2[[#This Row],[Missed Games]])</f>
        <v>0.33333333333333331</v>
      </c>
      <c r="AH30" s="128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3"/>
      <c r="S31" s="100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8">
        <f>AB31/($AA$27-Table2[[#This Row],[Missed Games]])</f>
        <v>5</v>
      </c>
      <c r="AG31" s="33">
        <f>AC31/($AA$27-Table2[[#This Row],[Missed Games]])</f>
        <v>0</v>
      </c>
      <c r="AH31" s="128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S32" s="100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8" t="e">
        <f>AB32/($AA$27-Table2[[#This Row],[Missed Games]])</f>
        <v>#DIV/0!</v>
      </c>
      <c r="AG32" s="33" t="e">
        <f>AC32/($AA$27-Table2[[#This Row],[Missed Games]])</f>
        <v>#DIV/0!</v>
      </c>
      <c r="AH32" s="128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S33" s="100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8">
        <f>AB33/($AA$27-Table2[[#This Row],[Missed Games]])</f>
        <v>0</v>
      </c>
      <c r="AG33" s="33">
        <f>AC33/($AA$27-Table2[[#This Row],[Missed Games]])</f>
        <v>0.33333333333333331</v>
      </c>
      <c r="AH33" s="128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00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8">
        <f>AB34/($AA$27-Table2[[#This Row],[Missed Games]])</f>
        <v>0.33333333333333331</v>
      </c>
      <c r="AG34" s="33">
        <f>AC34/($AA$27-Table2[[#This Row],[Missed Games]])</f>
        <v>0</v>
      </c>
      <c r="AH34" s="128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S35" s="100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8">
        <f>AB35/($AA$27-Table2[[#This Row],[Missed Games]])</f>
        <v>0.33333333333333331</v>
      </c>
      <c r="AG35" s="33">
        <f>AC35/($AA$27-Table2[[#This Row],[Missed Games]])</f>
        <v>0.33333333333333331</v>
      </c>
      <c r="AH35" s="128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S36" s="100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8">
        <f>AB36/($AA$27-Table2[[#This Row],[Missed Games]])</f>
        <v>0</v>
      </c>
      <c r="AG36" s="33">
        <f>AC36/($AA$27-Table2[[#This Row],[Missed Games]])</f>
        <v>0</v>
      </c>
      <c r="AH36" s="128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8">
        <f>AB37/($AA$27-Table2[[#This Row],[Missed Games]])</f>
        <v>0.33333333333333331</v>
      </c>
      <c r="AG37" s="33">
        <f>AC37/($AA$27-Table2[[#This Row],[Missed Games]])</f>
        <v>0.66666666666666663</v>
      </c>
      <c r="AH37" s="128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8">
        <f>AB38/($AA$27-Table2[[#This Row],[Missed Games]])</f>
        <v>0.33333333333333331</v>
      </c>
      <c r="AG38" s="33">
        <f>AC38/($AA$27-Table2[[#This Row],[Missed Games]])</f>
        <v>3</v>
      </c>
      <c r="AH38" s="128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8">
        <f>AB39/($AA$27-Table2[[#This Row],[Missed Games]])</f>
        <v>0</v>
      </c>
      <c r="AG39" s="33">
        <f>AC39/($AA$27-Table2[[#This Row],[Missed Games]])</f>
        <v>0</v>
      </c>
      <c r="AH39" s="128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8">
        <f>AB40/($AA$27-Table2[[#This Row],[Missed Games]])</f>
        <v>0.5</v>
      </c>
      <c r="AG40" s="33">
        <f>AC40/($AA$27-Table2[[#This Row],[Missed Games]])</f>
        <v>0</v>
      </c>
      <c r="AH40" s="128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22</v>
      </c>
      <c r="T41" s="136">
        <f>S41/SUM(S41:S43)</f>
        <v>0.36666666666666664</v>
      </c>
      <c r="U41" s="142">
        <v>0.32188841201716739</v>
      </c>
      <c r="V41" s="43">
        <v>0.36899999999999999</v>
      </c>
      <c r="W41">
        <f>T41*(6*(20-AA$5))</f>
        <v>41.8</v>
      </c>
      <c r="X41" s="18">
        <f>((MAX(U41:U43)+MAX(V41:V43))/2)*6*(20-AA5)</f>
        <v>41.093085836909864</v>
      </c>
      <c r="Y41" s="143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8">
        <f>AB41/($AA$27-Table2[[#This Row],[Missed Games]])</f>
        <v>1</v>
      </c>
      <c r="AG41" s="33">
        <f>AC41/($AA$27-Table2[[#This Row],[Missed Games]])</f>
        <v>0</v>
      </c>
      <c r="AH41" s="128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16</v>
      </c>
      <c r="T42" s="142">
        <f>S42/SUM(S41:S43)</f>
        <v>0.26666666666666666</v>
      </c>
      <c r="U42" s="142">
        <v>0.35193133047210301</v>
      </c>
      <c r="V42" s="43">
        <v>0.26200000000000001</v>
      </c>
      <c r="W42" s="16">
        <f t="shared" ref="W42:W43" si="6">T42*(6*(20-AA$5))</f>
        <v>30.4</v>
      </c>
      <c r="X42" s="18">
        <f>6*(20-AA5)-X41-X43</f>
        <v>39.625274678111587</v>
      </c>
      <c r="Y42" s="143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8">
        <f>AB42/($AA$27-Table2[[#This Row],[Missed Games]])</f>
        <v>1</v>
      </c>
      <c r="AG42" s="33">
        <f>AC42/($AA$27-Table2[[#This Row],[Missed Games]])</f>
        <v>0.66666666666666663</v>
      </c>
      <c r="AH42" s="128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22</v>
      </c>
      <c r="T43" s="142">
        <f>S43/SUM(S41:S43)</f>
        <v>0.36666666666666664</v>
      </c>
      <c r="U43" s="142">
        <v>0.3261802575107296</v>
      </c>
      <c r="V43" s="43">
        <v>0.36899999999999999</v>
      </c>
      <c r="W43" s="16">
        <f t="shared" si="6"/>
        <v>41.8</v>
      </c>
      <c r="X43" s="18">
        <f>((MIN(U41:U43)+MIN(V41:V43))/2)*6*(20-AA5)</f>
        <v>33.281639484978548</v>
      </c>
      <c r="Y43" s="143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8">
        <f>AB43/($AA$27-Table2[[#This Row],[Missed Games]])</f>
        <v>2</v>
      </c>
      <c r="AG43" s="33">
        <f>AC43/($AA$27-Table2[[#This Row],[Missed Games]])</f>
        <v>0.66666666666666663</v>
      </c>
      <c r="AH43" s="128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8">
        <f>AB44/($AA$27-Table2[[#This Row],[Missed Games]])</f>
        <v>0</v>
      </c>
      <c r="AG44" s="33">
        <f>AC44/($AA$27-Table2[[#This Row],[Missed Games]])</f>
        <v>0</v>
      </c>
      <c r="AH44" s="128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8">
        <f>AB45/($AA$27-Table2[[#This Row],[Missed Games]])</f>
        <v>0</v>
      </c>
      <c r="AG45" s="33">
        <f>AC45/($AA$27-Table2[[#This Row],[Missed Games]])</f>
        <v>0</v>
      </c>
      <c r="AH45" s="128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2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67</v>
      </c>
      <c r="V49" s="17">
        <f>U49/AA6</f>
        <v>7.4444444444444446</v>
      </c>
      <c r="W49" s="27">
        <f>U49/SUM($U$49:$U$51)</f>
        <v>0.53600000000000003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51">
        <f>Table21123[[#This Row],[Points]]/($AA$47-Table21123[[#This Row],[Missed Games]])</f>
        <v>0.33333333333333331</v>
      </c>
      <c r="AF49" s="151">
        <f>Table21123[[#This Row],[Finishes]]/($AA$47-Table21123[[#This Row],[Missed Games]])</f>
        <v>0</v>
      </c>
      <c r="AG49" s="151">
        <f>Table21123[[#This Row],[Midranges]]/($AA$47-Table21123[[#This Row],[Missed Games]])</f>
        <v>0.33333333333333331</v>
      </c>
      <c r="AH49" s="151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</f>
        <v>0</v>
      </c>
      <c r="AM49" s="31">
        <f>'3107'!S3+'0108'!S3</f>
        <v>0</v>
      </c>
      <c r="AN49" s="31">
        <f>'3107'!T3+'0108'!T3</f>
        <v>0</v>
      </c>
      <c r="AO49" s="31">
        <f>'3107'!U3+'0108'!U3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45</v>
      </c>
      <c r="V50" s="17">
        <f>U50/AA6</f>
        <v>5</v>
      </c>
      <c r="W50" s="27">
        <f>U50/SUM($U$49:$U$51)</f>
        <v>0.36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51">
        <f>Table21123[[#This Row],[Points]]/($AA$47-Table21123[[#This Row],[Missed Games]])</f>
        <v>0.33333333333333331</v>
      </c>
      <c r="AF50" s="151">
        <f>Table21123[[#This Row],[Finishes]]/($AA$47-Table21123[[#This Row],[Missed Games]])</f>
        <v>0.33333333333333331</v>
      </c>
      <c r="AG50" s="151">
        <f>Table21123[[#This Row],[Midranges]]/($AA$47-Table21123[[#This Row],[Missed Games]])</f>
        <v>0</v>
      </c>
      <c r="AH50" s="151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</f>
        <v>2</v>
      </c>
      <c r="AM50" s="31">
        <f>'3107'!S4+'0108'!S4</f>
        <v>2</v>
      </c>
      <c r="AN50" s="31">
        <f>'3107'!T4+'0108'!T4</f>
        <v>0</v>
      </c>
      <c r="AO50" s="31">
        <f>'3107'!U4+'0108'!U4</f>
        <v>0</v>
      </c>
      <c r="AP50" s="31">
        <f>AL50/($AL$47-Table21124[[#This Row],[Missed Games]])</f>
        <v>1</v>
      </c>
      <c r="AQ50" s="31">
        <f>AM50/($AL$47-Table21124[[#This Row],[Missed Games]])</f>
        <v>1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13</v>
      </c>
      <c r="V51" s="17">
        <f>U51/AA6</f>
        <v>1.4444444444444444</v>
      </c>
      <c r="W51" s="27">
        <f>U51/SUM($U$49:$U$51)</f>
        <v>0.104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51">
        <f>Table21123[[#This Row],[Points]]/($AA$47-Table21123[[#This Row],[Missed Games]])</f>
        <v>4</v>
      </c>
      <c r="AF51" s="151">
        <f>Table21123[[#This Row],[Finishes]]/($AA$47-Table21123[[#This Row],[Missed Games]])</f>
        <v>3.3333333333333335</v>
      </c>
      <c r="AG51" s="151">
        <f>Table21123[[#This Row],[Midranges]]/($AA$47-Table21123[[#This Row],[Missed Games]])</f>
        <v>0</v>
      </c>
      <c r="AH51" s="151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</f>
        <v>0</v>
      </c>
      <c r="AM51" s="31">
        <f>'3107'!S5+'0108'!S5</f>
        <v>0</v>
      </c>
      <c r="AN51" s="31">
        <f>'3107'!T5+'0108'!T5</f>
        <v>0</v>
      </c>
      <c r="AO51" s="31">
        <f>'3107'!U5+'0108'!U5</f>
        <v>0</v>
      </c>
      <c r="AP51" s="31" t="e">
        <f>AL51/($AL$47-Table21124[[#This Row],[Missed Games]])</f>
        <v>#DIV/0!</v>
      </c>
      <c r="AQ51" s="31" t="e">
        <f>AM51/($AL$47-Table21124[[#This Row],[Missed Games]])</f>
        <v>#DIV/0!</v>
      </c>
      <c r="AR51" s="31" t="e">
        <f>AN51/($AL$47-Table21124[[#This Row],[Missed Games]])</f>
        <v>#DIV/0!</v>
      </c>
      <c r="AS51" s="31" t="e">
        <f>AO51/($AL$47-Table21124[[#This Row],[Missed Games]])</f>
        <v>#DIV/0!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51">
        <f>Table21123[[#This Row],[Points]]/($AA$47-Table21123[[#This Row],[Missed Games]])</f>
        <v>0.66666666666666663</v>
      </c>
      <c r="AF52" s="151">
        <f>Table21123[[#This Row],[Finishes]]/($AA$47-Table21123[[#This Row],[Missed Games]])</f>
        <v>0.66666666666666663</v>
      </c>
      <c r="AG52" s="151">
        <f>Table21123[[#This Row],[Midranges]]/($AA$47-Table21123[[#This Row],[Missed Games]])</f>
        <v>0</v>
      </c>
      <c r="AH52" s="151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</f>
        <v>0</v>
      </c>
      <c r="AM52" s="31">
        <f>'3107'!S6+'0108'!S6</f>
        <v>0</v>
      </c>
      <c r="AN52" s="31">
        <f>'3107'!T6+'0108'!T6</f>
        <v>0</v>
      </c>
      <c r="AO52" s="31">
        <f>'3107'!U6+'0108'!U6</f>
        <v>0</v>
      </c>
      <c r="AP52" s="31" t="e">
        <f>AL52/($AL$47-Table21124[[#This Row],[Missed Games]])</f>
        <v>#DIV/0!</v>
      </c>
      <c r="AQ52" s="31" t="e">
        <f>AM52/($AL$47-Table21124[[#This Row],[Missed Games]])</f>
        <v>#DIV/0!</v>
      </c>
      <c r="AR52" s="31" t="e">
        <f>AN52/($AL$47-Table21124[[#This Row],[Missed Games]])</f>
        <v>#DIV/0!</v>
      </c>
      <c r="AS52" s="31" t="e">
        <f>AO52/($AL$47-Table21124[[#This Row],[Missed Games]])</f>
        <v>#DIV/0!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51">
        <f>Table21123[[#This Row],[Points]]/($AA$47-Table21123[[#This Row],[Missed Games]])</f>
        <v>1</v>
      </c>
      <c r="AF53" s="151">
        <f>Table21123[[#This Row],[Finishes]]/($AA$47-Table21123[[#This Row],[Missed Games]])</f>
        <v>0</v>
      </c>
      <c r="AG53" s="151">
        <f>Table21123[[#This Row],[Midranges]]/($AA$47-Table21123[[#This Row],[Missed Games]])</f>
        <v>1</v>
      </c>
      <c r="AH53" s="151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</f>
        <v>5</v>
      </c>
      <c r="AM53" s="31">
        <f>'3107'!S7+'0108'!S7</f>
        <v>1</v>
      </c>
      <c r="AN53" s="31">
        <f>'3107'!T7+'0108'!T7</f>
        <v>2</v>
      </c>
      <c r="AO53" s="31">
        <f>'3107'!U7+'0108'!U7</f>
        <v>1</v>
      </c>
      <c r="AP53" s="31">
        <f>AL53/($AL$47-Table21124[[#This Row],[Missed Games]])</f>
        <v>2.5</v>
      </c>
      <c r="AQ53" s="31">
        <f>AM53/($AL$47-Table21124[[#This Row],[Missed Games]])</f>
        <v>0.5</v>
      </c>
      <c r="AR53" s="31">
        <f>AN53/($AL$47-Table21124[[#This Row],[Missed Games]])</f>
        <v>1</v>
      </c>
      <c r="AS53" s="31">
        <f>AO53/($AL$47-Table21124[[#This Row],[Missed Games]])</f>
        <v>0.5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51">
        <f>Table21123[[#This Row],[Points]]/($AA$47-Table21123[[#This Row],[Missed Games]])</f>
        <v>0.33333333333333331</v>
      </c>
      <c r="AF54" s="151">
        <f>Table21123[[#This Row],[Finishes]]/($AA$47-Table21123[[#This Row],[Missed Games]])</f>
        <v>0.33333333333333331</v>
      </c>
      <c r="AG54" s="151">
        <f>Table21123[[#This Row],[Midranges]]/($AA$47-Table21123[[#This Row],[Missed Games]])</f>
        <v>0</v>
      </c>
      <c r="AH54" s="151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</f>
        <v>0</v>
      </c>
      <c r="AM54" s="31">
        <f>'3107'!S8+'0108'!S8</f>
        <v>0</v>
      </c>
      <c r="AN54" s="31">
        <f>'3107'!T8+'0108'!T8</f>
        <v>0</v>
      </c>
      <c r="AO54" s="31">
        <f>'3107'!U8+'0108'!U8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0.7</v>
      </c>
      <c r="V55" s="38">
        <f>'Statistics LG'!O42</f>
        <v>0.50877192982456143</v>
      </c>
      <c r="W55" s="38">
        <f>AVERAGE(U55:V55)</f>
        <v>0.60438596491228069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51">
        <f>Table21123[[#This Row],[Points]]/($AA$47-Table21123[[#This Row],[Missed Games]])</f>
        <v>1.3333333333333333</v>
      </c>
      <c r="AF55" s="151">
        <f>Table21123[[#This Row],[Finishes]]/($AA$47-Table21123[[#This Row],[Missed Games]])</f>
        <v>1</v>
      </c>
      <c r="AG55" s="151">
        <f>Table21123[[#This Row],[Midranges]]/($AA$47-Table21123[[#This Row],[Missed Games]])</f>
        <v>0.33333333333333331</v>
      </c>
      <c r="AH55" s="151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</f>
        <v>0</v>
      </c>
      <c r="AM55" s="31">
        <f>'3107'!S9+'0108'!S9</f>
        <v>0</v>
      </c>
      <c r="AN55" s="31">
        <f>'3107'!T9+'0108'!T9</f>
        <v>0</v>
      </c>
      <c r="AO55" s="31">
        <f>'3107'!U9+'0108'!U9</f>
        <v>0</v>
      </c>
      <c r="AP55" s="31">
        <f>AL55/($AL$47-Table21124[[#This Row],[Missed Games]])</f>
        <v>0</v>
      </c>
      <c r="AQ55" s="31">
        <f>AM55/($AL$47-Table21124[[#This Row],[Missed Games]])</f>
        <v>0</v>
      </c>
      <c r="AR55" s="31">
        <f>AN55/($AL$47-Table21124[[#This Row],[Missed Games]])</f>
        <v>0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0.30000000000000004</v>
      </c>
      <c r="U56" s="40" t="s">
        <v>131</v>
      </c>
      <c r="V56" s="38">
        <f>'Statistics WW'!L42</f>
        <v>0.46666666666666667</v>
      </c>
      <c r="W56" s="38">
        <f>AVERAGE(T56:V56)</f>
        <v>0.38333333333333336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51">
        <f>Table21123[[#This Row],[Points]]/($AA$47-Table21123[[#This Row],[Missed Games]])</f>
        <v>0</v>
      </c>
      <c r="AF56" s="151">
        <f>Table21123[[#This Row],[Finishes]]/($AA$47-Table21123[[#This Row],[Missed Games]])</f>
        <v>0</v>
      </c>
      <c r="AG56" s="151">
        <f>Table21123[[#This Row],[Midranges]]/($AA$47-Table21123[[#This Row],[Missed Games]])</f>
        <v>0</v>
      </c>
      <c r="AH56" s="151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</f>
        <v>2</v>
      </c>
      <c r="AM56" s="31">
        <f>'3107'!S10+'0108'!S10</f>
        <v>0</v>
      </c>
      <c r="AN56" s="31">
        <f>'3107'!T10+'0108'!T10</f>
        <v>0</v>
      </c>
      <c r="AO56" s="31">
        <f>'3107'!U10+'0108'!U10</f>
        <v>1</v>
      </c>
      <c r="AP56" s="31">
        <f>AL56/($AL$47-Table21124[[#This Row],[Missed Games]])</f>
        <v>1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0.5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0.49122807017543857</v>
      </c>
      <c r="U57" s="38">
        <f>1-V56</f>
        <v>0.53333333333333333</v>
      </c>
      <c r="V57" s="40" t="s">
        <v>131</v>
      </c>
      <c r="W57" s="38">
        <f>AVERAGE(T57:V57)</f>
        <v>0.512280701754386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51">
        <f>Table21123[[#This Row],[Points]]/($AA$47-Table21123[[#This Row],[Missed Games]])</f>
        <v>0.66666666666666663</v>
      </c>
      <c r="AF57" s="151">
        <f>Table21123[[#This Row],[Finishes]]/($AA$47-Table21123[[#This Row],[Missed Games]])</f>
        <v>0</v>
      </c>
      <c r="AG57" s="151">
        <f>Table21123[[#This Row],[Midranges]]/($AA$47-Table21123[[#This Row],[Missed Games]])</f>
        <v>0.66666666666666663</v>
      </c>
      <c r="AH57" s="151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</f>
        <v>4</v>
      </c>
      <c r="AM57" s="31">
        <f>'3107'!S11+'0108'!S11</f>
        <v>3</v>
      </c>
      <c r="AN57" s="31">
        <f>'3107'!T11+'0108'!T11</f>
        <v>1</v>
      </c>
      <c r="AO57" s="31">
        <f>'3107'!U11+'0108'!U11</f>
        <v>0</v>
      </c>
      <c r="AP57" s="31">
        <f>AL57/($AL$47-Table21124[[#This Row],[Missed Games]])</f>
        <v>4</v>
      </c>
      <c r="AQ57" s="31">
        <f>AM57/($AL$47-Table21124[[#This Row],[Missed Games]])</f>
        <v>3</v>
      </c>
      <c r="AR57" s="31">
        <f>AN57/($AL$47-Table21124[[#This Row],[Missed Games]])</f>
        <v>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20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51">
        <f>Table21123[[#This Row],[Points]]/($AA$47-Table21123[[#This Row],[Missed Games]])</f>
        <v>2.6666666666666665</v>
      </c>
      <c r="AF58" s="151">
        <f>Table21123[[#This Row],[Finishes]]/($AA$47-Table21123[[#This Row],[Missed Games]])</f>
        <v>0.66666666666666663</v>
      </c>
      <c r="AG58" s="151">
        <f>Table21123[[#This Row],[Midranges]]/($AA$47-Table21123[[#This Row],[Missed Games]])</f>
        <v>2</v>
      </c>
      <c r="AH58" s="151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</f>
        <v>11</v>
      </c>
      <c r="AM58" s="31">
        <f>'3107'!S12+'0108'!S12</f>
        <v>0</v>
      </c>
      <c r="AN58" s="31">
        <f>'3107'!T12+'0108'!T12</f>
        <v>5</v>
      </c>
      <c r="AO58" s="31">
        <f>'3107'!U12+'0108'!U12</f>
        <v>3</v>
      </c>
      <c r="AP58" s="31">
        <f>AL58/($AL$47-Table21124[[#This Row],[Missed Games]])</f>
        <v>5.5</v>
      </c>
      <c r="AQ58" s="31">
        <f>AM58/($AL$47-Table21124[[#This Row],[Missed Games]])</f>
        <v>0</v>
      </c>
      <c r="AR58" s="31">
        <f>AN58/($AL$47-Table21124[[#This Row],[Missed Games]])</f>
        <v>2.5</v>
      </c>
      <c r="AS58" s="31">
        <f>AO58/($AL$47-Table21124[[#This Row],[Missed Games]])</f>
        <v>1.5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51">
        <f>Table21123[[#This Row],[Points]]/($AA$47-Table21123[[#This Row],[Missed Games]])</f>
        <v>0.66666666666666663</v>
      </c>
      <c r="AF59" s="151">
        <f>Table21123[[#This Row],[Finishes]]/($AA$47-Table21123[[#This Row],[Missed Games]])</f>
        <v>0</v>
      </c>
      <c r="AG59" s="151">
        <f>Table21123[[#This Row],[Midranges]]/($AA$47-Table21123[[#This Row],[Missed Games]])</f>
        <v>0.66666666666666663</v>
      </c>
      <c r="AH59" s="151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</f>
        <v>0</v>
      </c>
      <c r="AM59" s="31">
        <f>'3107'!S13+'0108'!S13</f>
        <v>0</v>
      </c>
      <c r="AN59" s="31">
        <f>'3107'!T13+'0108'!T13</f>
        <v>0</v>
      </c>
      <c r="AO59" s="31">
        <f>'3107'!U13+'0108'!U13</f>
        <v>0</v>
      </c>
      <c r="AP59" s="31">
        <f>AL59/($AL$47-Table21124[[#This Row],[Missed Games]])</f>
        <v>0</v>
      </c>
      <c r="AQ59" s="31">
        <f>AM59/($AL$47-Table21124[[#This Row],[Missed Games]])</f>
        <v>0</v>
      </c>
      <c r="AR59" s="31">
        <f>AN59/($AL$47-Table21124[[#This Row],[Missed Games]])</f>
        <v>0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51">
        <f>Table21123[[#This Row],[Points]]/($AA$47-Table21123[[#This Row],[Missed Games]])</f>
        <v>0</v>
      </c>
      <c r="AF60" s="151">
        <f>Table21123[[#This Row],[Finishes]]/($AA$47-Table21123[[#This Row],[Missed Games]])</f>
        <v>0</v>
      </c>
      <c r="AG60" s="151">
        <f>Table21123[[#This Row],[Midranges]]/($AA$47-Table21123[[#This Row],[Missed Games]])</f>
        <v>0</v>
      </c>
      <c r="AH60" s="151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</f>
        <v>0</v>
      </c>
      <c r="AM60" s="31">
        <f>'3107'!S14+'0108'!S14</f>
        <v>0</v>
      </c>
      <c r="AN60" s="31">
        <f>'3107'!T14+'0108'!T14</f>
        <v>0</v>
      </c>
      <c r="AO60" s="31">
        <f>'3107'!U14+'0108'!U14</f>
        <v>0</v>
      </c>
      <c r="AP60" s="31" t="e">
        <f>AL60/($AL$47-Table21124[[#This Row],[Missed Games]])</f>
        <v>#DIV/0!</v>
      </c>
      <c r="AQ60" s="31" t="e">
        <f>AM60/($AL$47-Table21124[[#This Row],[Missed Games]])</f>
        <v>#DIV/0!</v>
      </c>
      <c r="AR60" s="31" t="e">
        <f>AN60/($AL$47-Table21124[[#This Row],[Missed Games]])</f>
        <v>#DIV/0!</v>
      </c>
      <c r="AS60" s="31" t="e">
        <f>AO60/($AL$47-Table21124[[#This Row],[Missed Games]])</f>
        <v>#DIV/0!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51">
        <f>Table21123[[#This Row],[Points]]/($AA$47-Table21123[[#This Row],[Missed Games]])</f>
        <v>0.66666666666666663</v>
      </c>
      <c r="AF61" s="151">
        <f>Table21123[[#This Row],[Finishes]]/($AA$47-Table21123[[#This Row],[Missed Games]])</f>
        <v>0.33333333333333331</v>
      </c>
      <c r="AG61" s="151">
        <f>Table21123[[#This Row],[Midranges]]/($AA$47-Table21123[[#This Row],[Missed Games]])</f>
        <v>0.33333333333333331</v>
      </c>
      <c r="AH61" s="151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</f>
        <v>4</v>
      </c>
      <c r="AM61" s="31">
        <f>'3107'!S15+'0108'!S15</f>
        <v>4</v>
      </c>
      <c r="AN61" s="31">
        <f>'3107'!T15+'0108'!T15</f>
        <v>0</v>
      </c>
      <c r="AO61" s="31">
        <f>'3107'!U15+'0108'!U15</f>
        <v>0</v>
      </c>
      <c r="AP61" s="31">
        <f>AL61/($AL$47-Table21124[[#This Row],[Missed Games]])</f>
        <v>2</v>
      </c>
      <c r="AQ61" s="31">
        <f>AM61/($AL$47-Table21124[[#This Row],[Missed Games]])</f>
        <v>2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51">
        <f>Table21123[[#This Row],[Points]]/($AA$47-Table21123[[#This Row],[Missed Games]])</f>
        <v>0.33333333333333331</v>
      </c>
      <c r="AF62" s="151">
        <f>Table21123[[#This Row],[Finishes]]/($AA$47-Table21123[[#This Row],[Missed Games]])</f>
        <v>0.33333333333333331</v>
      </c>
      <c r="AG62" s="151">
        <f>Table21123[[#This Row],[Midranges]]/($AA$47-Table21123[[#This Row],[Missed Games]])</f>
        <v>0</v>
      </c>
      <c r="AH62" s="151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</f>
        <v>1</v>
      </c>
      <c r="AM62" s="31">
        <f>'3107'!S16+'0108'!S16</f>
        <v>1</v>
      </c>
      <c r="AN62" s="31">
        <f>'3107'!T16+'0108'!T16</f>
        <v>0</v>
      </c>
      <c r="AO62" s="31">
        <f>'3107'!U16+'0108'!U16</f>
        <v>0</v>
      </c>
      <c r="AP62" s="31">
        <f>AL62/($AL$47-Table21124[[#This Row],[Missed Games]])</f>
        <v>0.5</v>
      </c>
      <c r="AQ62" s="31">
        <f>AM62/($AL$47-Table21124[[#This Row],[Missed Games]])</f>
        <v>0.5</v>
      </c>
      <c r="AR62" s="31">
        <f>AN62/($AL$47-Table21124[[#This Row],[Missed Games]])</f>
        <v>0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51">
        <f>Table21123[[#This Row],[Points]]/($AA$47-Table21123[[#This Row],[Missed Games]])</f>
        <v>1.6666666666666667</v>
      </c>
      <c r="AF63" s="151">
        <f>Table21123[[#This Row],[Finishes]]/($AA$47-Table21123[[#This Row],[Missed Games]])</f>
        <v>1</v>
      </c>
      <c r="AG63" s="151">
        <f>Table21123[[#This Row],[Midranges]]/($AA$47-Table21123[[#This Row],[Missed Games]])</f>
        <v>0.66666666666666663</v>
      </c>
      <c r="AH63" s="151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</f>
        <v>6</v>
      </c>
      <c r="AM63" s="31">
        <f>'3107'!S17+'0108'!S17</f>
        <v>3</v>
      </c>
      <c r="AN63" s="31">
        <f>'3107'!T17+'0108'!T17</f>
        <v>1</v>
      </c>
      <c r="AO63" s="31">
        <f>'3107'!U17+'0108'!U17</f>
        <v>1</v>
      </c>
      <c r="AP63" s="31">
        <f>AL63/($AL$47-Table21124[[#This Row],[Missed Games]])</f>
        <v>3</v>
      </c>
      <c r="AQ63" s="31">
        <f>AM63/($AL$47-Table21124[[#This Row],[Missed Games]])</f>
        <v>1.5</v>
      </c>
      <c r="AR63" s="31">
        <f>AN63/($AL$47-Table21124[[#This Row],[Missed Games]])</f>
        <v>0.5</v>
      </c>
      <c r="AS63" s="31">
        <f>AO63/($AL$47-Table21124[[#This Row],[Missed Games]])</f>
        <v>0.5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51">
        <f>Table21123[[#This Row],[Points]]/($AA$47-Table21123[[#This Row],[Missed Games]])</f>
        <v>0.33333333333333331</v>
      </c>
      <c r="AF64" s="151">
        <f>Table21123[[#This Row],[Finishes]]/($AA$47-Table21123[[#This Row],[Missed Games]])</f>
        <v>0</v>
      </c>
      <c r="AG64" s="151">
        <f>Table21123[[#This Row],[Midranges]]/($AA$47-Table21123[[#This Row],[Missed Games]])</f>
        <v>0.33333333333333331</v>
      </c>
      <c r="AH64" s="151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</f>
        <v>0</v>
      </c>
      <c r="AM64" s="31">
        <f>'3107'!S18+'0108'!S18</f>
        <v>0</v>
      </c>
      <c r="AN64" s="31">
        <f>'3107'!T18+'0108'!T18</f>
        <v>0</v>
      </c>
      <c r="AO64" s="31">
        <f>'3107'!U18+'0108'!U18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51">
        <f>Table21123[[#This Row],[Points]]/($AA$47-Table21123[[#This Row],[Missed Games]])</f>
        <v>0</v>
      </c>
      <c r="AF65" s="151">
        <f>Table21123[[#This Row],[Finishes]]/($AA$47-Table21123[[#This Row],[Missed Games]])</f>
        <v>0</v>
      </c>
      <c r="AG65" s="151">
        <f>Table21123[[#This Row],[Midranges]]/($AA$47-Table21123[[#This Row],[Missed Games]])</f>
        <v>0</v>
      </c>
      <c r="AH65" s="151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</f>
        <v>1</v>
      </c>
      <c r="AM65" s="31">
        <f>'3107'!S19+'0108'!S19</f>
        <v>1</v>
      </c>
      <c r="AN65" s="31">
        <f>'3107'!T19+'0108'!T19</f>
        <v>0</v>
      </c>
      <c r="AO65" s="31">
        <f>'3107'!U19+'0108'!U19</f>
        <v>0</v>
      </c>
      <c r="AP65" s="31">
        <f>AL65/($AL$47-Table21124[[#This Row],[Missed Games]])</f>
        <v>0.5</v>
      </c>
      <c r="AQ65" s="31">
        <f>AM65/($AL$47-Table21124[[#This Row],[Missed Games]])</f>
        <v>0.5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22</v>
      </c>
      <c r="U88" s="16">
        <f>U87+'Statistics WW'!D17</f>
        <v>16</v>
      </c>
      <c r="V88" s="16">
        <f>V87+'Statistics 5M'!D17</f>
        <v>22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22</v>
      </c>
      <c r="U89" s="16">
        <f>U88+'Statistics WW'!D18</f>
        <v>16</v>
      </c>
      <c r="V89" s="16">
        <f>V88+'Statistics 5M'!D18</f>
        <v>22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22</v>
      </c>
      <c r="U90" s="16">
        <f>U89+'Statistics WW'!D19</f>
        <v>16</v>
      </c>
      <c r="V90" s="16">
        <f>V89+'Statistics 5M'!D19</f>
        <v>22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LG'!A17</f>
        <v>0</v>
      </c>
      <c r="T91" s="16">
        <f>T90+'Statistics LG'!D20</f>
        <v>22</v>
      </c>
      <c r="U91" s="16">
        <f>U90+'Statistics WW'!D20</f>
        <v>16</v>
      </c>
      <c r="V91" s="16">
        <f>V90+'Statistics 5M'!D20</f>
        <v>22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22</v>
      </c>
      <c r="U92" s="16">
        <f>U91+'Statistics WW'!D21</f>
        <v>16</v>
      </c>
      <c r="V92" s="16">
        <f>V91+'Statistics 5M'!D21</f>
        <v>22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8" priority="11" operator="greaterThan">
      <formula>0</formula>
    </cfRule>
  </conditionalFormatting>
  <conditionalFormatting sqref="U109:U118 W103:W108">
    <cfRule type="cellIs" dxfId="7" priority="10" operator="lessThan">
      <formula>0</formula>
    </cfRule>
  </conditionalFormatting>
  <conditionalFormatting sqref="AQ8:AQ24">
    <cfRule type="cellIs" dxfId="6" priority="5" operator="equal">
      <formula>$AA$4</formula>
    </cfRule>
    <cfRule type="cellIs" dxfId="5" priority="6" operator="lessThan">
      <formula>$AA$4</formula>
    </cfRule>
    <cfRule type="cellIs" dxfId="4" priority="7" operator="greaterThan">
      <formula>$AA$4</formula>
    </cfRule>
  </conditionalFormatting>
  <conditionalFormatting sqref="AT8:AT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U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3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64</v>
      </c>
      <c r="I3" s="81">
        <f>SUM(C7:C40)</f>
        <v>43</v>
      </c>
      <c r="J3" s="78">
        <f>SUM(D7:D40)</f>
        <v>22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4" t="s">
        <v>4</v>
      </c>
      <c r="S3" s="105" t="s">
        <v>0</v>
      </c>
      <c r="T3" s="105" t="s">
        <v>85</v>
      </c>
      <c r="U3" s="106" t="s">
        <v>1</v>
      </c>
      <c r="V3" s="107" t="s">
        <v>80</v>
      </c>
      <c r="W3" s="107" t="s">
        <v>2</v>
      </c>
      <c r="X3" s="107" t="s">
        <v>117</v>
      </c>
      <c r="Y3" s="106" t="s">
        <v>3</v>
      </c>
      <c r="Z3" s="107" t="s">
        <v>118</v>
      </c>
      <c r="AA3" s="107" t="s">
        <v>120</v>
      </c>
      <c r="AD3" s="82"/>
    </row>
    <row r="4" spans="1:30" ht="14.35" customHeight="1" x14ac:dyDescent="0.45">
      <c r="A4" s="124" t="str">
        <f>'Stats Global'!B5</f>
        <v>11-July</v>
      </c>
      <c r="B4" s="125">
        <f>'Stats Global'!F5</f>
        <v>5</v>
      </c>
      <c r="C4" s="125">
        <f>'Stats Global'!G5+'Stats Global'!H5</f>
        <v>6</v>
      </c>
      <c r="D4" s="125">
        <f>'Stats Global'!O5</f>
        <v>2</v>
      </c>
      <c r="E4" s="126" t="s">
        <v>46</v>
      </c>
      <c r="F4" s="126" t="s">
        <v>207</v>
      </c>
      <c r="J4" s="84"/>
      <c r="L4" s="127">
        <f>'Stats Global'!J5</f>
        <v>2</v>
      </c>
      <c r="M4" s="127">
        <f>'Stats Global'!G5</f>
        <v>0</v>
      </c>
      <c r="N4" s="86"/>
      <c r="O4" s="127">
        <f>'Stats Global'!M5</f>
        <v>3</v>
      </c>
      <c r="P4" s="127">
        <f>'Stats Global'!H5</f>
        <v>6</v>
      </c>
      <c r="R4" s="108" t="s">
        <v>61</v>
      </c>
      <c r="S4" s="98">
        <f>'Stats Global'!AA22</f>
        <v>27</v>
      </c>
      <c r="T4" s="98">
        <f>'Stats Global'!AB22</f>
        <v>3</v>
      </c>
      <c r="U4" s="98">
        <f>'Stats Global'!AC22</f>
        <v>14</v>
      </c>
      <c r="V4" s="98">
        <f>'Stats Global'!AD22</f>
        <v>1.5555555555555556</v>
      </c>
      <c r="W4" s="98">
        <f>'Stats Global'!AE22</f>
        <v>7</v>
      </c>
      <c r="X4" s="98">
        <f>'Stats Global'!AF22</f>
        <v>0.77777777777777779</v>
      </c>
      <c r="Y4" s="98">
        <f>'Stats Global'!AG22</f>
        <v>3</v>
      </c>
      <c r="Z4" s="98">
        <f>'Stats Global'!AH22</f>
        <v>0.33333333333333331</v>
      </c>
      <c r="AA4" s="98">
        <f>'Stats Global'!AJ22</f>
        <v>0</v>
      </c>
    </row>
    <row r="5" spans="1:30" ht="14.35" customHeight="1" x14ac:dyDescent="0.45">
      <c r="A5" s="124" t="str">
        <f>'Stats Global'!B6</f>
        <v>12-July</v>
      </c>
      <c r="B5" s="125">
        <f>'Stats Global'!F6</f>
        <v>9</v>
      </c>
      <c r="C5" s="125">
        <f>'Stats Global'!G6+'Stats Global'!H6</f>
        <v>8</v>
      </c>
      <c r="D5" s="125">
        <f>'Stats Global'!O6</f>
        <v>2</v>
      </c>
      <c r="E5" s="126" t="s">
        <v>61</v>
      </c>
      <c r="F5" s="126" t="s">
        <v>210</v>
      </c>
      <c r="I5" s="81"/>
      <c r="J5" s="84"/>
      <c r="L5" s="127">
        <f>'Stats Global'!J6</f>
        <v>4</v>
      </c>
      <c r="M5" s="127">
        <f>'Stats Global'!G6</f>
        <v>1</v>
      </c>
      <c r="N5" s="86"/>
      <c r="O5" s="127">
        <f>'Stats Global'!M6</f>
        <v>5</v>
      </c>
      <c r="P5" s="127">
        <f>'Stats Global'!H6</f>
        <v>7</v>
      </c>
      <c r="R5" s="84" t="s">
        <v>46</v>
      </c>
      <c r="S5" s="98">
        <f>'Stats Global'!AA16</f>
        <v>17</v>
      </c>
      <c r="T5" s="98">
        <f>'Stats Global'!AB16</f>
        <v>2.125</v>
      </c>
      <c r="U5" s="98">
        <f>'Stats Global'!AC16</f>
        <v>7</v>
      </c>
      <c r="V5" s="98">
        <f>'Stats Global'!AD16</f>
        <v>0.875</v>
      </c>
      <c r="W5" s="98">
        <f>'Stats Global'!AE16</f>
        <v>6</v>
      </c>
      <c r="X5" s="98">
        <f>'Stats Global'!AF16</f>
        <v>0.75</v>
      </c>
      <c r="Y5" s="98">
        <f>'Stats Global'!AG16</f>
        <v>2</v>
      </c>
      <c r="Z5" s="98">
        <f>'Stats Global'!AH16</f>
        <v>0.25</v>
      </c>
      <c r="AA5" s="98">
        <f>'Stats Global'!AJ16</f>
        <v>1</v>
      </c>
    </row>
    <row r="6" spans="1:30" ht="14.35" customHeight="1" x14ac:dyDescent="0.45">
      <c r="A6" s="124" t="str">
        <f>'Stats Global'!B7</f>
        <v>13-July</v>
      </c>
      <c r="B6" s="125">
        <f>'Stats Global'!F7</f>
        <v>8</v>
      </c>
      <c r="C6" s="125">
        <f>'Stats Global'!G7+'Stats Global'!H7</f>
        <v>2</v>
      </c>
      <c r="D6" s="125">
        <f>'Stats Global'!O7</f>
        <v>3</v>
      </c>
      <c r="E6" s="126" t="s">
        <v>61</v>
      </c>
      <c r="F6" s="126" t="s">
        <v>61</v>
      </c>
      <c r="I6" s="81"/>
      <c r="J6" s="84"/>
      <c r="L6" s="127">
        <f>'Stats Global'!J7</f>
        <v>4</v>
      </c>
      <c r="M6" s="127">
        <f>'Stats Global'!G7</f>
        <v>2</v>
      </c>
      <c r="N6" s="86"/>
      <c r="O6" s="127">
        <f>'Stats Global'!M7</f>
        <v>4</v>
      </c>
      <c r="P6" s="127">
        <f>'Stats Global'!H7</f>
        <v>0</v>
      </c>
      <c r="R6" s="84" t="s">
        <v>58</v>
      </c>
      <c r="S6" s="98">
        <f>'Stats Global'!AA21</f>
        <v>10</v>
      </c>
      <c r="T6" s="98">
        <f>'Stats Global'!AB21</f>
        <v>1.1111111111111112</v>
      </c>
      <c r="U6" s="98">
        <f>'Stats Global'!AC21</f>
        <v>6</v>
      </c>
      <c r="V6" s="98">
        <f>'Stats Global'!AD21</f>
        <v>0.66666666666666663</v>
      </c>
      <c r="W6" s="98">
        <f>'Stats Global'!AE21</f>
        <v>2</v>
      </c>
      <c r="X6" s="98">
        <f>'Stats Global'!AF21</f>
        <v>0.22222222222222221</v>
      </c>
      <c r="Y6" s="98">
        <f>'Stats Global'!AG21</f>
        <v>1</v>
      </c>
      <c r="Z6" s="98">
        <f>'Stats Global'!AH21</f>
        <v>0.1111111111111111</v>
      </c>
      <c r="AA6" s="98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8">
        <f>'Stats Global'!AA8</f>
        <v>3</v>
      </c>
      <c r="T7" s="98">
        <f>'Stats Global'!AB8</f>
        <v>0.33333333333333331</v>
      </c>
      <c r="U7" s="98">
        <f>'Stats Global'!AC8</f>
        <v>0</v>
      </c>
      <c r="V7" s="98">
        <f>'Stats Global'!AD8</f>
        <v>0</v>
      </c>
      <c r="W7" s="98">
        <f>'Stats Global'!AE8</f>
        <v>3</v>
      </c>
      <c r="X7" s="98">
        <f>'Stats Global'!AF8</f>
        <v>0.33333333333333331</v>
      </c>
      <c r="Y7" s="98">
        <f>'Stats Global'!AG8</f>
        <v>0</v>
      </c>
      <c r="Z7" s="98">
        <f>'Stats Global'!AH8</f>
        <v>0</v>
      </c>
      <c r="AA7" s="98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8">
        <f>'Stats Global'!AA9</f>
        <v>9</v>
      </c>
      <c r="T8" s="98">
        <f>'Stats Global'!AB9</f>
        <v>1.125</v>
      </c>
      <c r="U8" s="98">
        <f>'Stats Global'!AC9</f>
        <v>9</v>
      </c>
      <c r="V8" s="98">
        <f>'Stats Global'!AD9</f>
        <v>1.125</v>
      </c>
      <c r="W8" s="98">
        <f>'Stats Global'!AE9</f>
        <v>0</v>
      </c>
      <c r="X8" s="98">
        <f>'Stats Global'!AF9</f>
        <v>0</v>
      </c>
      <c r="Y8" s="98">
        <f>'Stats Global'!AG9</f>
        <v>0</v>
      </c>
      <c r="Z8" s="98">
        <f>'Stats Global'!AH9</f>
        <v>0</v>
      </c>
      <c r="AA8" s="98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>
        <f>'Stats Global'!B18</f>
        <v>0</v>
      </c>
      <c r="B17" s="83">
        <f>'Stats Global'!F18</f>
        <v>0</v>
      </c>
      <c r="C17" s="83">
        <f>'Stats Global'!G18+'Stats Global'!H18</f>
        <v>0</v>
      </c>
      <c r="D17" s="83">
        <f>'Stats Global'!O18</f>
        <v>0</v>
      </c>
      <c r="E17" s="87"/>
      <c r="F17" s="87"/>
      <c r="J17" s="84"/>
      <c r="L17" s="85">
        <f>'Stats Global'!J18</f>
        <v>0</v>
      </c>
      <c r="M17" s="85">
        <f>'Stats Global'!G18</f>
        <v>0</v>
      </c>
      <c r="N17" s="86"/>
      <c r="O17" s="85">
        <f>'Stats Global'!M18</f>
        <v>0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8"/>
      <c r="F18" s="88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9"/>
      <c r="F19" s="89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90"/>
      <c r="F20" s="90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2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1"/>
      <c r="F23" s="80"/>
      <c r="H23" s="92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1"/>
      <c r="F24" s="80"/>
      <c r="H24" s="92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1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1">
        <f>SUM(B7:B40)/SUM(B7:C40)</f>
        <v>0.59813084112149528</v>
      </c>
      <c r="J41" s="84"/>
      <c r="K41" s="81" t="s">
        <v>94</v>
      </c>
      <c r="L41" s="102">
        <f>SUM(L7:L40)</f>
        <v>35</v>
      </c>
      <c r="M41" s="102">
        <f>SUM(M7:M40)</f>
        <v>15</v>
      </c>
      <c r="N41" s="84"/>
      <c r="O41" s="102">
        <f>SUM(O7:O40)</f>
        <v>29</v>
      </c>
      <c r="P41" s="102">
        <f>SUM(P7:P40)</f>
        <v>28</v>
      </c>
    </row>
    <row r="42" spans="1:16" ht="14.25" customHeight="1" x14ac:dyDescent="0.45">
      <c r="L42" s="93">
        <f>L41/(M41+L41)</f>
        <v>0.7</v>
      </c>
      <c r="O42" s="93">
        <f>O41/(P41+O41)</f>
        <v>0.50877192982456143</v>
      </c>
    </row>
    <row r="43" spans="1:16" ht="14.25" customHeight="1" x14ac:dyDescent="0.45">
      <c r="I43" s="94" t="str">
        <f>K43&amp;H3&amp;","&amp;I3&amp;"],"</f>
        <v>"PartA":[64,43],</v>
      </c>
      <c r="K43" s="76" t="s">
        <v>135</v>
      </c>
      <c r="M43" s="76" t="s">
        <v>139</v>
      </c>
      <c r="O43" s="95">
        <f>ROUND((SUM('Stats Global'!AA8,'Stats Global'!AA9,'Stats Global'!AA16,'Stats Global'!AA21,'Stats Global'!AA22))/'Stats Global'!AA6,1)</f>
        <v>7.3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"PartB":[27,"Angus Walker",14,"Angus Walker",7,"Angus Walker",3,"Angus Walker"],</v>
      </c>
      <c r="K44" s="76" t="s">
        <v>136</v>
      </c>
      <c r="M44" s="96">
        <f>MAX(Table1114[Points])</f>
        <v>27</v>
      </c>
      <c r="N44" s="76" t="str">
        <f>IF(M44&lt;&gt;0,IF(M44=S4,R4,IF(M44=S5,R5,IF(S6=M44,R6,IF(S7=M44,R7,R8)))),"N/A")</f>
        <v>Angus Walker</v>
      </c>
      <c r="O44" s="95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"PartC":[7.3,4,2,0.7,7.1,4.8],</v>
      </c>
      <c r="K45" s="76" t="s">
        <v>137</v>
      </c>
      <c r="M45" s="96">
        <f>MAX(Table1114[Finishes])</f>
        <v>14</v>
      </c>
      <c r="N45" s="103" t="str">
        <f>IF(M45&lt;&gt;0,IF(M45=U4,R4,IF(M45=U5,R5,IF(U6=M45,R6,IF(U7=M45,R7,R8)))),"N/A")</f>
        <v>Angus Walker</v>
      </c>
      <c r="O45" s="95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"PartD":[35,15,70,29,28,50.9],</v>
      </c>
      <c r="K46" s="76" t="s">
        <v>138</v>
      </c>
      <c r="M46" s="96">
        <f>MAX(Table1114[Midranges])</f>
        <v>7</v>
      </c>
      <c r="N46" s="103" t="str">
        <f>IF(M46&lt;&gt;0,IF(M46=W4,R4,IF(M46=W5,R5,IF(W6=M46,R6,IF(W7=M46,R7,R8)))),"N/A")</f>
        <v>Angus Walker</v>
      </c>
      <c r="O46" s="95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6">
        <f>MAX(Table1114[Threes])</f>
        <v>3</v>
      </c>
      <c r="N47" s="76" t="str">
        <f>IF(M47&lt;&gt;0,IF(M47=Y4,R4,IF(M47=Y5,R5,IF(Y6=M47,R6,IF(Y7=M47,R7,R8)))),"N/A")</f>
        <v>Angus Walker</v>
      </c>
      <c r="O47" s="76">
        <f>ROUND(H3/'Stats Global'!AA6,1)</f>
        <v>7.1</v>
      </c>
    </row>
    <row r="48" spans="1:16" ht="14.25" customHeight="1" x14ac:dyDescent="0.45">
      <c r="O48" s="76">
        <f>ROUND(I3/'Stats Global'!AA6,1)</f>
        <v>4.8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3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4" t="s">
        <v>4</v>
      </c>
      <c r="P3" s="105" t="s">
        <v>0</v>
      </c>
      <c r="Q3" s="105" t="s">
        <v>85</v>
      </c>
      <c r="R3" s="106" t="s">
        <v>1</v>
      </c>
      <c r="S3" s="107" t="s">
        <v>80</v>
      </c>
      <c r="T3" s="107" t="s">
        <v>2</v>
      </c>
      <c r="U3" s="107" t="s">
        <v>117</v>
      </c>
      <c r="V3" s="106" t="s">
        <v>3</v>
      </c>
      <c r="W3" s="107" t="s">
        <v>118</v>
      </c>
      <c r="X3" s="107" t="s">
        <v>120</v>
      </c>
    </row>
    <row r="4" spans="1:24" ht="14.25" customHeight="1" x14ac:dyDescent="0.45">
      <c r="A4" s="124" t="str">
        <f>'Stats Global'!B5</f>
        <v>11-July</v>
      </c>
      <c r="B4" s="125">
        <f>'Stats Global'!I5</f>
        <v>0</v>
      </c>
      <c r="C4" s="125">
        <f>'Stats Global'!J5+'Stats Global'!K5</f>
        <v>8</v>
      </c>
      <c r="D4" s="125">
        <f>'Stats Global'!P5</f>
        <v>1</v>
      </c>
      <c r="E4" s="126" t="s">
        <v>208</v>
      </c>
      <c r="F4" s="126" t="s">
        <v>208</v>
      </c>
      <c r="H4" s="81">
        <f>SUM(B7:B40)</f>
        <v>36</v>
      </c>
      <c r="I4" s="81">
        <f>SUM(C7:C40)</f>
        <v>59</v>
      </c>
      <c r="J4" s="78">
        <f>SUM(D7:D40)</f>
        <v>16</v>
      </c>
      <c r="L4" s="127">
        <f>'Stats Global'!N5</f>
        <v>0</v>
      </c>
      <c r="M4" s="127">
        <f>'Stats Global'!K5</f>
        <v>6</v>
      </c>
      <c r="N4" s="86"/>
      <c r="O4" s="84" t="s">
        <v>35</v>
      </c>
      <c r="P4" s="98">
        <f>'Stats Global'!AA11</f>
        <v>5</v>
      </c>
      <c r="Q4" s="98">
        <f>'Stats Global'!AB11</f>
        <v>1</v>
      </c>
      <c r="R4" s="98">
        <f>'Stats Global'!AC11</f>
        <v>5</v>
      </c>
      <c r="S4" s="98">
        <f>'Stats Global'!AD11</f>
        <v>1</v>
      </c>
      <c r="T4" s="98">
        <f>'Stats Global'!AE11</f>
        <v>0</v>
      </c>
      <c r="U4" s="98">
        <f>'Stats Global'!AF11</f>
        <v>0</v>
      </c>
      <c r="V4" s="98">
        <f>'Stats Global'!AG11</f>
        <v>0</v>
      </c>
      <c r="W4" s="98">
        <f>'Stats Global'!AH11</f>
        <v>0</v>
      </c>
      <c r="X4" s="98">
        <f>'Stats Global'!AJ11</f>
        <v>4</v>
      </c>
    </row>
    <row r="5" spans="1:24" ht="14.25" customHeight="1" x14ac:dyDescent="0.45">
      <c r="A5" s="124" t="str">
        <f>'Stats Global'!B6</f>
        <v>12-July</v>
      </c>
      <c r="B5" s="125">
        <f>'Stats Global'!I6</f>
        <v>2</v>
      </c>
      <c r="C5" s="125">
        <f>'Stats Global'!J6+'Stats Global'!K6</f>
        <v>12</v>
      </c>
      <c r="D5" s="125">
        <f>'Stats Global'!P6</f>
        <v>1</v>
      </c>
      <c r="E5" s="126" t="s">
        <v>42</v>
      </c>
      <c r="F5" s="126" t="s">
        <v>52</v>
      </c>
      <c r="J5" s="84"/>
      <c r="L5" s="127">
        <f>'Stats Global'!N6</f>
        <v>1</v>
      </c>
      <c r="M5" s="127">
        <f>'Stats Global'!K6</f>
        <v>8</v>
      </c>
      <c r="N5" s="86"/>
      <c r="O5" s="84" t="s">
        <v>37</v>
      </c>
      <c r="P5" s="98">
        <f>'Stats Global'!AA12</f>
        <v>6</v>
      </c>
      <c r="Q5" s="98">
        <f>'Stats Global'!AB12</f>
        <v>0.8571428571428571</v>
      </c>
      <c r="R5" s="98">
        <f>'Stats Global'!AC12</f>
        <v>1</v>
      </c>
      <c r="S5" s="98">
        <f>'Stats Global'!AD12</f>
        <v>0.14285714285714285</v>
      </c>
      <c r="T5" s="98">
        <f>'Stats Global'!AE12</f>
        <v>3</v>
      </c>
      <c r="U5" s="98">
        <f>'Stats Global'!AF12</f>
        <v>0.42857142857142855</v>
      </c>
      <c r="V5" s="98">
        <f>'Stats Global'!AG12</f>
        <v>1</v>
      </c>
      <c r="W5" s="98">
        <f>'Stats Global'!AH12</f>
        <v>0.14285714285714285</v>
      </c>
      <c r="X5" s="98">
        <f>'Stats Global'!AJ12</f>
        <v>2</v>
      </c>
    </row>
    <row r="6" spans="1:24" ht="14.25" customHeight="1" x14ac:dyDescent="0.45">
      <c r="A6" s="124" t="str">
        <f>'Stats Global'!B7</f>
        <v>13-July</v>
      </c>
      <c r="B6" s="125">
        <f>'Stats Global'!I7</f>
        <v>4</v>
      </c>
      <c r="C6" s="125">
        <f>'Stats Global'!J7+'Stats Global'!K7</f>
        <v>5</v>
      </c>
      <c r="D6" s="125">
        <f>'Stats Global'!P7</f>
        <v>2</v>
      </c>
      <c r="E6" s="126" t="s">
        <v>215</v>
      </c>
      <c r="F6" s="126" t="s">
        <v>216</v>
      </c>
      <c r="I6" s="81"/>
      <c r="J6" s="84"/>
      <c r="L6" s="127">
        <f>'Stats Global'!N7</f>
        <v>2</v>
      </c>
      <c r="M6" s="127">
        <f>'Stats Global'!K7</f>
        <v>1</v>
      </c>
      <c r="N6" s="86"/>
      <c r="O6" s="84" t="s">
        <v>55</v>
      </c>
      <c r="P6" s="98">
        <f>'Stats Global'!AA20</f>
        <v>7</v>
      </c>
      <c r="Q6" s="98">
        <f>'Stats Global'!AB20</f>
        <v>0.77777777777777779</v>
      </c>
      <c r="R6" s="98">
        <f>'Stats Global'!AC20</f>
        <v>6</v>
      </c>
      <c r="S6" s="98">
        <f>'Stats Global'!AD20</f>
        <v>0.66666666666666663</v>
      </c>
      <c r="T6" s="98">
        <f>'Stats Global'!AE20</f>
        <v>1</v>
      </c>
      <c r="U6" s="98">
        <f>'Stats Global'!AF20</f>
        <v>0.1111111111111111</v>
      </c>
      <c r="V6" s="98">
        <f>'Stats Global'!AG20</f>
        <v>0</v>
      </c>
      <c r="W6" s="98">
        <f>'Stats Global'!AH20</f>
        <v>0</v>
      </c>
      <c r="X6" s="98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8">
        <f>'Stats Global'!AA18</f>
        <v>6</v>
      </c>
      <c r="Q7" s="98">
        <f>'Stats Global'!AB18</f>
        <v>0.66666666666666663</v>
      </c>
      <c r="R7" s="98">
        <f>'Stats Global'!AC18</f>
        <v>1</v>
      </c>
      <c r="S7" s="98">
        <f>'Stats Global'!AD18</f>
        <v>0.1111111111111111</v>
      </c>
      <c r="T7" s="98">
        <f>'Stats Global'!AE18</f>
        <v>5</v>
      </c>
      <c r="U7" s="98">
        <f>'Stats Global'!AF18</f>
        <v>0.55555555555555558</v>
      </c>
      <c r="V7" s="98">
        <f>'Stats Global'!AG18</f>
        <v>0</v>
      </c>
      <c r="W7" s="98">
        <f>'Stats Global'!AH18</f>
        <v>0</v>
      </c>
      <c r="X7" s="98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8">
        <f>'Stats Global'!AA23</f>
        <v>1</v>
      </c>
      <c r="Q8" s="98">
        <f>'Stats Global'!AB23</f>
        <v>0.1111111111111111</v>
      </c>
      <c r="R8" s="98">
        <f>'Stats Global'!AC23</f>
        <v>0</v>
      </c>
      <c r="S8" s="98">
        <f>'Stats Global'!AD23</f>
        <v>0</v>
      </c>
      <c r="T8" s="98">
        <f>'Stats Global'!AE23</f>
        <v>1</v>
      </c>
      <c r="U8" s="98">
        <f>'Stats Global'!AF23</f>
        <v>0.1111111111111111</v>
      </c>
      <c r="V8" s="98">
        <f>'Stats Global'!AG23</f>
        <v>0</v>
      </c>
      <c r="W8" s="98">
        <f>'Stats Global'!AH23</f>
        <v>0</v>
      </c>
      <c r="X8" s="98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8">
        <f>'Stats Global'!AA15</f>
        <v>2</v>
      </c>
      <c r="Q9" s="118">
        <f>'Stats Global'!AB15</f>
        <v>0.66666666666666663</v>
      </c>
      <c r="R9" s="118">
        <f>'Stats Global'!AC15</f>
        <v>0</v>
      </c>
      <c r="S9" s="118">
        <f>'Stats Global'!AD15</f>
        <v>0</v>
      </c>
      <c r="T9" s="118">
        <f>'Stats Global'!AE15</f>
        <v>0</v>
      </c>
      <c r="U9" s="118">
        <f>'Stats Global'!AF15</f>
        <v>0</v>
      </c>
      <c r="V9" s="118">
        <f>'Stats Global'!AG15</f>
        <v>1</v>
      </c>
      <c r="W9" s="118">
        <f>'Stats Global'!AH15</f>
        <v>0.33333333333333331</v>
      </c>
      <c r="X9" s="118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8">
        <f>'Stats Global'!AA24</f>
        <v>1</v>
      </c>
      <c r="Q10" s="118">
        <f>'Stats Global'!AB24</f>
        <v>0.25</v>
      </c>
      <c r="R10" s="118">
        <f>'Stats Global'!AC24</f>
        <v>1</v>
      </c>
      <c r="S10" s="118">
        <f>'Stats Global'!AD24</f>
        <v>0.25</v>
      </c>
      <c r="T10" s="118">
        <f>'Stats Global'!AE24</f>
        <v>0</v>
      </c>
      <c r="U10" s="118">
        <f>'Stats Global'!AF24</f>
        <v>0</v>
      </c>
      <c r="V10" s="118">
        <f>'Stats Global'!AG24</f>
        <v>0</v>
      </c>
      <c r="W10" s="118">
        <f>'Stats Global'!AH24</f>
        <v>0</v>
      </c>
      <c r="X10" s="118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Global'!I18</f>
        <v>0</v>
      </c>
      <c r="C17" s="83">
        <f>'Stats Global'!J18+'Stats Global'!K18</f>
        <v>0</v>
      </c>
      <c r="D17" s="83">
        <f>'Stats Global'!P18</f>
        <v>0</v>
      </c>
      <c r="E17" s="87"/>
      <c r="F17" s="87"/>
      <c r="J17" s="84"/>
      <c r="L17" s="85">
        <f>'Stats Global'!N18</f>
        <v>0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8"/>
      <c r="F18" s="88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9"/>
      <c r="F19" s="89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90"/>
      <c r="F20" s="90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1"/>
      <c r="F23" s="80"/>
      <c r="H23" s="92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1"/>
      <c r="F24" s="80"/>
      <c r="H24" s="92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1"/>
      <c r="F25" s="80"/>
      <c r="H25" s="92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1">
        <f>SUM(B7:B40)/SUM(B7:C40)</f>
        <v>0.37894736842105264</v>
      </c>
      <c r="J41" s="84"/>
      <c r="K41" s="76" t="s">
        <v>94</v>
      </c>
      <c r="L41" s="102">
        <f>SUM(L7:L40)</f>
        <v>21</v>
      </c>
      <c r="M41" s="102">
        <f>SUM(M7:M40)</f>
        <v>24</v>
      </c>
      <c r="N41" s="84"/>
      <c r="O41" s="84"/>
      <c r="P41" s="56"/>
    </row>
    <row r="42" spans="1:16" ht="14.25" customHeight="1" x14ac:dyDescent="0.45">
      <c r="L42" s="93">
        <f>L41/(M41+L41)</f>
        <v>0.46666666666666667</v>
      </c>
      <c r="P42" s="56"/>
    </row>
    <row r="43" spans="1:16" ht="14.25" customHeight="1" x14ac:dyDescent="0.45">
      <c r="J43" s="94" t="str">
        <f>L43&amp;H4&amp;","&amp;I4&amp;"],"</f>
        <v>"PartA":[36,59],</v>
      </c>
      <c r="K43" s="81"/>
      <c r="L43" s="76" t="s">
        <v>135</v>
      </c>
      <c r="N43" s="76" t="s">
        <v>139</v>
      </c>
      <c r="P43" s="95">
        <f>ROUND(SUM('Stats Global'!AA11,'Stats Global'!AA12,'Stats Global'!AA20,'Stats Global'!AA15,'Stats Global'!AA19,'Stats Global'!AA18,'Stats Global'!AA23)/'Stats Global'!AA6,1)</f>
        <v>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"PartB":[7,"Nicholas Szogi",6,"Nicholas Szogi",5,"Ryan Pattemore",1,"Michael Iffland"],</v>
      </c>
      <c r="L44" s="76" t="s">
        <v>136</v>
      </c>
      <c r="N44" s="96">
        <f>MAX(Table1113[Points])</f>
        <v>7</v>
      </c>
      <c r="O44" s="76" t="str">
        <f>IF(N44&lt;&gt;0,IF(N44=P4,O4,IF(N44=P5,O5,IF(P6=N44,O6,IF(P7=N44,O7,IF(P8=N44,O8,IF(P9=N44,O9,O10)))))),"N/A")</f>
        <v>Nicholas Szogi</v>
      </c>
      <c r="P44" s="95">
        <f>ROUND(SUM('Stats Global'!AC11,'Stats Global'!AC12,'Stats Global'!AC20,'Stats Global'!AC15,'Stats Global'!AC19,'Stats Global'!AC18,'Stats Global'!AC23)/'Stats Global'!AA6,1)</f>
        <v>1.4</v>
      </c>
    </row>
    <row r="45" spans="1:16" ht="14.25" customHeight="1" x14ac:dyDescent="0.45">
      <c r="J45" s="76" t="str">
        <f>L45&amp;P43&amp;","&amp;P44&amp;","&amp;P45&amp;","&amp;P46&amp;","&amp;P47&amp;","&amp;P48&amp;"],"</f>
        <v>"PartC":[3,1.4,1.1,0.2,4,6.6],</v>
      </c>
      <c r="L45" s="76" t="s">
        <v>137</v>
      </c>
      <c r="N45" s="96">
        <f>MAX(Table1113[Finishes])</f>
        <v>6</v>
      </c>
      <c r="O45" s="76" t="str">
        <f>IF(N45&lt;&gt;0,IF(N45=R4,O4,IF(N45=R5,O5,IF(R6=N45,O6,IF(R7=N45,O7,IF(R8=N45,O8,IF(R9=N45,O9,O10)))))),"N/A")</f>
        <v>Nicholas Szogi</v>
      </c>
      <c r="P45" s="95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"PartD":[15,35,30,21,24,46.7],</v>
      </c>
      <c r="L46" s="76" t="s">
        <v>138</v>
      </c>
      <c r="N46" s="96">
        <f>MAX(Table1113[Midranges])</f>
        <v>5</v>
      </c>
      <c r="O46" s="76" t="str">
        <f>IF(N46&lt;&gt;0,IF(N46=T4,O4,IF(N46=T5,O5,IF(T6=N46,O6,IF(T7=N46,O7,IF(T8=N46,O8,IF(T9=N46,O9,O10)))))),"N/A")</f>
        <v>Ryan Pattemore</v>
      </c>
      <c r="P46" s="95">
        <f>ROUND(SUM('Stats Global'!AG11,'Stats Global'!AG12,'Stats Global'!AG20,'Stats Global'!AG15,'Stats Global'!AG19,'Stats Global'!AG18,'Stats Global'!AG23)/'Stats Global'!AA6,1)</f>
        <v>0.2</v>
      </c>
    </row>
    <row r="47" spans="1:16" ht="14.25" customHeight="1" x14ac:dyDescent="0.45">
      <c r="N47" s="96">
        <f>MAX(Table1113[Threes])</f>
        <v>1</v>
      </c>
      <c r="O47" s="103" t="str">
        <f>IF(N47&lt;&gt;0,IF(N47=V4,O4,IF(N47=V5,O5,IF(V6=N47,O6,IF(V7=N47,O7,IF(V8=N47,O8,IF(V9=N47,O9,O10)))))),"N/A")</f>
        <v>Michael Iffland</v>
      </c>
      <c r="P47" s="76">
        <f>ROUND(H4/'Stats Global'!AA6,1)</f>
        <v>4</v>
      </c>
    </row>
    <row r="48" spans="1:16" ht="14.25" customHeight="1" x14ac:dyDescent="0.45">
      <c r="P48" s="76">
        <f>ROUND(I4/'Stats Global'!AA6,1)</f>
        <v>6.6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6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3" t="s">
        <v>193</v>
      </c>
      <c r="U3" s="56"/>
      <c r="V3" s="78"/>
      <c r="W3" s="78"/>
      <c r="X3" s="78"/>
    </row>
    <row r="4" spans="1:24" ht="14.25" customHeight="1" x14ac:dyDescent="0.45">
      <c r="A4" s="124" t="str">
        <f>'Stats Global'!B5</f>
        <v>11-July</v>
      </c>
      <c r="B4" s="125">
        <f>'Stats Global'!L5</f>
        <v>12</v>
      </c>
      <c r="C4" s="125">
        <f>'Stats Global'!M5+'Stats Global'!N5</f>
        <v>3</v>
      </c>
      <c r="D4" s="125">
        <f>'Stats Global'!Q5</f>
        <v>3</v>
      </c>
      <c r="E4" s="126" t="s">
        <v>30</v>
      </c>
      <c r="F4" s="126" t="s">
        <v>50</v>
      </c>
      <c r="H4" s="81">
        <f>SUM(B7:B40)</f>
        <v>52</v>
      </c>
      <c r="I4" s="81">
        <f>SUM(C7:C40)</f>
        <v>50</v>
      </c>
      <c r="J4" s="78">
        <f>SUM(D7:D40)</f>
        <v>22</v>
      </c>
      <c r="K4" s="84"/>
      <c r="L4" s="104" t="s">
        <v>4</v>
      </c>
      <c r="M4" s="105" t="s">
        <v>0</v>
      </c>
      <c r="N4" s="105" t="s">
        <v>85</v>
      </c>
      <c r="O4" s="106" t="s">
        <v>1</v>
      </c>
      <c r="P4" s="107" t="s">
        <v>80</v>
      </c>
      <c r="Q4" s="107" t="s">
        <v>2</v>
      </c>
      <c r="R4" s="107" t="s">
        <v>117</v>
      </c>
      <c r="S4" s="106" t="s">
        <v>3</v>
      </c>
      <c r="T4" s="107" t="s">
        <v>118</v>
      </c>
      <c r="U4" s="107" t="s">
        <v>120</v>
      </c>
      <c r="V4" s="84"/>
      <c r="W4" s="84"/>
      <c r="X4" s="84"/>
    </row>
    <row r="5" spans="1:24" ht="14.25" customHeight="1" x14ac:dyDescent="0.45">
      <c r="A5" s="124" t="str">
        <f>'Stats Global'!B6</f>
        <v>12-July</v>
      </c>
      <c r="B5" s="125">
        <f>'Stats Global'!L6</f>
        <v>15</v>
      </c>
      <c r="C5" s="125">
        <f>'Stats Global'!M6+'Stats Global'!N6</f>
        <v>6</v>
      </c>
      <c r="D5" s="125">
        <f>'Stats Global'!Q6</f>
        <v>3</v>
      </c>
      <c r="E5" s="126" t="s">
        <v>30</v>
      </c>
      <c r="F5" s="126" t="s">
        <v>50</v>
      </c>
      <c r="K5" s="84"/>
      <c r="L5" s="84" t="s">
        <v>50</v>
      </c>
      <c r="M5" s="98">
        <f>'Stats Global'!AA17</f>
        <v>25</v>
      </c>
      <c r="N5" s="98">
        <f>'Stats Global'!AB17</f>
        <v>2.7777777777777777</v>
      </c>
      <c r="O5" s="98">
        <f>'Stats Global'!AC17</f>
        <v>2</v>
      </c>
      <c r="P5" s="98">
        <f>'Stats Global'!AD17</f>
        <v>0.22222222222222221</v>
      </c>
      <c r="Q5" s="98">
        <f>'Stats Global'!AE17</f>
        <v>15</v>
      </c>
      <c r="R5" s="98">
        <f>'Stats Global'!AF17</f>
        <v>1.6666666666666667</v>
      </c>
      <c r="S5" s="98">
        <f>'Stats Global'!AG17</f>
        <v>4</v>
      </c>
      <c r="T5" s="98">
        <f>'Stats Global'!AH17</f>
        <v>0.44444444444444442</v>
      </c>
      <c r="U5" s="98">
        <f>'Stats Global'!AJ17</f>
        <v>0</v>
      </c>
      <c r="V5" s="84"/>
      <c r="W5" s="84"/>
      <c r="X5" s="84"/>
    </row>
    <row r="6" spans="1:24" ht="14.25" customHeight="1" x14ac:dyDescent="0.45">
      <c r="A6" s="124" t="str">
        <f>'Stats Global'!B7</f>
        <v>13-July</v>
      </c>
      <c r="B6" s="125">
        <f>'Stats Global'!L7</f>
        <v>1</v>
      </c>
      <c r="C6" s="125">
        <f>'Stats Global'!M7+'Stats Global'!N7</f>
        <v>6</v>
      </c>
      <c r="D6" s="125">
        <f>'Stats Global'!Q7</f>
        <v>1</v>
      </c>
      <c r="E6" s="126" t="s">
        <v>208</v>
      </c>
      <c r="F6" s="126" t="s">
        <v>55</v>
      </c>
      <c r="H6" s="81"/>
      <c r="I6" s="97"/>
      <c r="K6" s="84"/>
      <c r="L6" s="84" t="s">
        <v>30</v>
      </c>
      <c r="M6" s="98">
        <f>'Stats Global'!AA10</f>
        <v>12</v>
      </c>
      <c r="N6" s="98">
        <f>'Stats Global'!AB10</f>
        <v>4</v>
      </c>
      <c r="O6" s="98">
        <f>'Stats Global'!AC10</f>
        <v>10</v>
      </c>
      <c r="P6" s="98">
        <f>'Stats Global'!AD10</f>
        <v>3.3333333333333335</v>
      </c>
      <c r="Q6" s="98">
        <f>'Stats Global'!AE10</f>
        <v>0</v>
      </c>
      <c r="R6" s="98">
        <f>'Stats Global'!AF10</f>
        <v>0</v>
      </c>
      <c r="S6" s="98">
        <f>'Stats Global'!AG10</f>
        <v>1</v>
      </c>
      <c r="T6" s="98">
        <f>'Stats Global'!AH10</f>
        <v>0.33333333333333331</v>
      </c>
      <c r="U6" s="98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7"/>
      <c r="K7" s="84"/>
      <c r="L7" s="84" t="s">
        <v>42</v>
      </c>
      <c r="M7" s="98">
        <f>'Stats Global'!AA13</f>
        <v>3</v>
      </c>
      <c r="N7" s="98">
        <f>'Stats Global'!AB13</f>
        <v>0.42857142857142855</v>
      </c>
      <c r="O7" s="98">
        <f>'Stats Global'!AC13</f>
        <v>2</v>
      </c>
      <c r="P7" s="98">
        <f>'Stats Global'!AD13</f>
        <v>0.2857142857142857</v>
      </c>
      <c r="Q7" s="98">
        <f>'Stats Global'!AE13</f>
        <v>1</v>
      </c>
      <c r="R7" s="98">
        <f>'Stats Global'!AF13</f>
        <v>0.14285714285714285</v>
      </c>
      <c r="S7" s="98">
        <f>'Stats Global'!AG13</f>
        <v>0</v>
      </c>
      <c r="T7" s="98">
        <f>'Stats Global'!AH13</f>
        <v>0</v>
      </c>
      <c r="U7" s="98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7"/>
      <c r="K8" s="84"/>
      <c r="L8" s="84" t="s">
        <v>115</v>
      </c>
      <c r="M8" s="98">
        <f>'Stats Global'!AA14</f>
        <v>4</v>
      </c>
      <c r="N8" s="98">
        <f>'Stats Global'!AB14</f>
        <v>0.44444444444444442</v>
      </c>
      <c r="O8" s="98">
        <f>'Stats Global'!AC14</f>
        <v>3</v>
      </c>
      <c r="P8" s="98">
        <f>'Stats Global'!AD14</f>
        <v>0.33333333333333331</v>
      </c>
      <c r="Q8" s="98">
        <f>'Stats Global'!AE14</f>
        <v>1</v>
      </c>
      <c r="R8" s="98">
        <f>'Stats Global'!AF14</f>
        <v>0.1111111111111111</v>
      </c>
      <c r="S8" s="98">
        <f>'Stats Global'!AG14</f>
        <v>0</v>
      </c>
      <c r="T8" s="98">
        <f>'Stats Global'!AH14</f>
        <v>0</v>
      </c>
      <c r="U8" s="98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7"/>
      <c r="K9" s="84"/>
      <c r="L9" s="84" t="s">
        <v>201</v>
      </c>
      <c r="M9" s="98">
        <f>'Stats Global'!AA19</f>
        <v>0</v>
      </c>
      <c r="N9" s="98">
        <f>'Stats Global'!AB19</f>
        <v>0</v>
      </c>
      <c r="O9" s="98">
        <f>'Stats Global'!AC19</f>
        <v>0</v>
      </c>
      <c r="P9" s="98">
        <f>'Stats Global'!AD19</f>
        <v>0</v>
      </c>
      <c r="Q9" s="98">
        <f>'Stats Global'!AE19</f>
        <v>0</v>
      </c>
      <c r="R9" s="98">
        <f>'Stats Global'!AF19</f>
        <v>0</v>
      </c>
      <c r="S9" s="98">
        <f>'Stats Global'!AG19</f>
        <v>0</v>
      </c>
      <c r="T9" s="98">
        <f>'Stats Global'!AH19</f>
        <v>0</v>
      </c>
      <c r="U9" s="98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7"/>
      <c r="K10" s="56"/>
      <c r="L10" s="149"/>
      <c r="M10" s="149"/>
      <c r="N10" s="149"/>
      <c r="O10" s="149"/>
      <c r="Q10" s="149"/>
      <c r="R10" s="149"/>
      <c r="S10" s="149"/>
      <c r="T10" s="149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7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7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7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Global'!L18</f>
        <v>0</v>
      </c>
      <c r="C17" s="83">
        <f>'Stats Global'!M18+'Stats Global'!N18</f>
        <v>0</v>
      </c>
      <c r="D17" s="83">
        <f>'Stats Global'!Q18</f>
        <v>0</v>
      </c>
      <c r="E17" s="87"/>
      <c r="F17" s="87"/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8"/>
      <c r="F18" s="88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9"/>
      <c r="F19" s="89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90"/>
      <c r="F20" s="90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1"/>
      <c r="F23" s="80"/>
      <c r="G23" s="92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1"/>
      <c r="F24" s="80"/>
      <c r="G24" s="92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1"/>
      <c r="F25" s="80"/>
      <c r="G25" s="92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8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3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4" t="str">
        <f>M32&amp;H4&amp;","&amp;I4&amp;"],"</f>
        <v>"PartA":[52,50],</v>
      </c>
      <c r="L32" s="81"/>
      <c r="M32" s="76" t="s">
        <v>135</v>
      </c>
      <c r="O32" s="76" t="s">
        <v>139</v>
      </c>
      <c r="Q32" s="95">
        <f>ROUND(SUM('Stats Global'!AA10,'Stats Global'!AA14,'Stats Global'!AA17,'Stats Global'!AA13,'Stats Global'!AA24)/'Stats Global'!AA6,1)</f>
        <v>5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"PartB":[25,"Samuel McConaghy",10,"Alexander Galt",15,"Samuel McConaghy",4,"Samuel McConaghy"],</v>
      </c>
      <c r="M33" s="76" t="s">
        <v>136</v>
      </c>
      <c r="O33" s="96">
        <f>MAX(Table11[Points])</f>
        <v>25</v>
      </c>
      <c r="P33" s="76" t="str">
        <f>IF(O33&lt;&gt;0,IF(O33=M5,L5,IF(O33=M6,L6,IF(M7=O33,L7,IF(M8=O33,L8,L9)))),"N/A")</f>
        <v>Samuel McConaghy</v>
      </c>
      <c r="Q33" s="95">
        <f>ROUND(SUM('Stats Global'!AC10,'Stats Global'!AC14,'Stats Global'!AC17,'Stats Global'!AC13,'Stats Global'!AC24)/'Stats Global'!AA6,1)</f>
        <v>2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"PartC":[5,2,1.9,0.6,5.8,5.6],</v>
      </c>
      <c r="M34" s="76" t="s">
        <v>137</v>
      </c>
      <c r="O34" s="96">
        <f>MAX(Table11[Finishes])</f>
        <v>10</v>
      </c>
      <c r="P34" s="76" t="str">
        <f>IF(O34&lt;&gt;0,IF(O34=O5,L5,IF(O34=O6,L6,IF(O7=O34,L7,IF(O8=O34,L8,L9)))),"N/A")</f>
        <v>Alexander Galt</v>
      </c>
      <c r="Q34" s="95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"PartD":[28,29,49.1,24,21,53.3],</v>
      </c>
      <c r="M35" s="76" t="s">
        <v>138</v>
      </c>
      <c r="O35" s="96">
        <f>MAX(Table11[Midranges])</f>
        <v>15</v>
      </c>
      <c r="P35" s="76" t="str">
        <f>IF(O35&lt;&gt;0,IF(O35=Q5,L5,IF(O35=Q6,L6,IF(Q7=O35,L7,IF(Q8=O35,L8,L9)))),"N/A")</f>
        <v>Samuel McConaghy</v>
      </c>
      <c r="Q35" s="95">
        <f>ROUND(SUM('Stats Global'!AG10,'Stats Global'!AG14,'Stats Global'!AG17,'Stats Global'!AG13,'Stats Global'!AG24)/'Stats Global'!AA6,1)</f>
        <v>0.6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6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5.8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5.6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1">
        <f>SUM(B7:B40)/SUM(B7:C40)</f>
        <v>0.50980392156862742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>IF(AND(C23="Loose Gooses",D23="Wet Willies"),"LG/WW", IF(AND(C23="Loose Gooses",D23="5 Musketeers"),"LG/5M", ""))</f>
        <v/>
      </c>
      <c r="Y27" s="52" t="str">
        <f>IF(AND(C23="Wet Willies",D23="Loose Gooses"),"WW/LG", IF(AND(C23="Wet Willies",D23="5 Musketeers"),"WW/5M", ""))</f>
        <v/>
      </c>
      <c r="Z27" s="52" t="str">
        <f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>IF(AND(C24="Loose Gooses",D24="Wet Willies"),"LG/WW", IF(AND(C24="Loose Gooses",D24="5 Musketeers"),"LG/5M", ""))</f>
        <v/>
      </c>
      <c r="Y28" s="52" t="str">
        <f>IF(AND(C24="Wet Willies",D24="Loose Gooses"),"WW/LG", IF(AND(C24="Wet Willies",D24="5 Musketeers"),"WW/5M", ""))</f>
        <v/>
      </c>
      <c r="Z28" s="52" t="str">
        <f>IF(AND(C24="5 Musketeers",D24="Loose Gooses"),"5M/LG", IF(AND($C24="5 Musketeers",$D24="Wet Willies"),"5M/WW", ""))</f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>IF(AND(C25="Loose Gooses",D25="Wet Willies"),"LG/WW", IF(AND(C25="Loose Gooses",D25="5 Musketeers"),"LG/5M", ""))</f>
        <v/>
      </c>
      <c r="Y29" s="52" t="str">
        <f>IF(AND(C25="Wet Willies",D25="Loose Gooses"),"WW/LG", IF(AND(C25="Wet Willies",D25="5 Musketeers"),"WW/5M", ""))</f>
        <v/>
      </c>
      <c r="Z29" s="52" t="str">
        <f>IF(AND(C25="5 Musketeers",D25="Loose Gooses"),"5M/LG", IF(AND($C25="5 Musketeers",$D25="Wet Willies"),"5M/WW", ""))</f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>IF(AND(C26="Loose Gooses",D26="Wet Willies"),"LG/WW", IF(AND(C26="Loose Gooses",D26="5 Musketeers"),"LG/5M", ""))</f>
        <v/>
      </c>
      <c r="Y30" s="52" t="str">
        <f>IF(AND(C26="Wet Willies",D26="Loose Gooses"),"WW/LG", IF(AND(C26="Wet Willies",D26="5 Musketeers"),"WW/5M", ""))</f>
        <v>WW/5M</v>
      </c>
      <c r="Z30" s="52" t="str">
        <f>IF(AND(C26="5 Musketeers",D26="Loose Gooses"),"5M/LG", IF(AND($C26="5 Musketeers",$D26="Wet Willies"),"5M/WW", ""))</f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>IF(AND(C27="Loose Gooses",D27="Wet Willies"),"LG/WW", IF(AND(C27="Loose Gooses",D27="5 Musketeers"),"LG/5M", ""))</f>
        <v>LG/WW</v>
      </c>
      <c r="Y31" s="52" t="str">
        <f>IF(AND(C27="Wet Willies",D27="Loose Gooses"),"WW/LG", IF(AND(C27="Wet Willies",D27="5 Musketeers"),"WW/5M", ""))</f>
        <v/>
      </c>
      <c r="Z31" s="52" t="str">
        <f>IF(AND(C27="5 Musketeers",D27="Loose Gooses"),"5M/LG", IF(AND($C27="5 Musketeers",$D27="Wet Willies"),"5M/WW", ""))</f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>IF(AND(C28="Loose Gooses",D28="Wet Willies"),"LG/WW", IF(AND(C28="Loose Gooses",D28="5 Musketeers"),"LG/5M", ""))</f>
        <v/>
      </c>
      <c r="Y32" s="52" t="str">
        <f>IF(AND(C28="Wet Willies",D28="Loose Gooses"),"WW/LG", IF(AND(C28="Wet Willies",D28="5 Musketeers"),"WW/5M", ""))</f>
        <v/>
      </c>
      <c r="Z32" s="52" t="str">
        <f>IF(AND(C28="5 Musketeers",D28="Loose Gooses"),"5M/LG", IF(AND($C28="5 Musketeers",$D28="Wet Willies"),"5M/WW", ""))</f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>IF(AND(C29="Loose Gooses",D29="Wet Willies"),"LG/WW", IF(AND(C29="Loose Gooses",D29="5 Musketeers"),"LG/5M", ""))</f>
        <v/>
      </c>
      <c r="Y33" s="52" t="str">
        <f>IF(AND(C29="Wet Willies",D29="Loose Gooses"),"WW/LG", IF(AND(C29="Wet Willies",D29="5 Musketeers"),"WW/5M", ""))</f>
        <v>WW/5M</v>
      </c>
      <c r="Z33" s="52" t="str">
        <f>IF(AND(C29="5 Musketeers",D29="Loose Gooses"),"5M/LG", IF(AND($C29="5 Musketeers",$D29="Wet Willies"),"5M/WW", ""))</f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SfW</vt:lpstr>
      <vt:lpstr>Stats Global</vt:lpstr>
      <vt:lpstr>Statistics LG</vt:lpstr>
      <vt:lpstr>Statistics WW</vt:lpstr>
      <vt:lpstr>Statistics 5M</vt:lpstr>
      <vt:lpstr>Template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2023-08-02T04:17:55Z</dcterms:modified>
</cp:coreProperties>
</file>