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E9C4B5A6-662B-4249-A3F9-2E25129A4574}" xr6:coauthVersionLast="47" xr6:coauthVersionMax="47" xr10:uidLastSave="{00000000-0000-0000-0000-000000000000}"/>
  <bookViews>
    <workbookView xWindow="-98" yWindow="-98" windowWidth="22695" windowHeight="14595" firstSheet="4" activeTab="6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Finals 1" sheetId="28" r:id="rId7"/>
    <sheet name="1708" sheetId="27" r:id="rId8"/>
    <sheet name="1508" sheetId="26" r:id="rId9"/>
    <sheet name="1408" sheetId="25" r:id="rId10"/>
    <sheet name="1008" sheetId="24" r:id="rId11"/>
    <sheet name="0908" sheetId="23" r:id="rId12"/>
    <sheet name="0808" sheetId="22" r:id="rId13"/>
    <sheet name="0308" sheetId="21" r:id="rId14"/>
    <sheet name="0208" sheetId="20" r:id="rId15"/>
    <sheet name="0108" sheetId="19" r:id="rId16"/>
    <sheet name="3107" sheetId="18" r:id="rId17"/>
    <sheet name="2707" sheetId="17" r:id="rId18"/>
    <sheet name="2607" sheetId="16" r:id="rId19"/>
    <sheet name="2407" sheetId="15" r:id="rId20"/>
    <sheet name="2007" sheetId="14" r:id="rId21"/>
    <sheet name="1907" sheetId="13" r:id="rId22"/>
    <sheet name="1807" sheetId="12" r:id="rId23"/>
    <sheet name="1707" sheetId="11" r:id="rId24"/>
    <sheet name="Preseason 3" sheetId="10" r:id="rId25"/>
    <sheet name="Preseason 2" sheetId="9" r:id="rId26"/>
    <sheet name="Preseason 1" sheetId="8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B25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A90" i="3"/>
  <c r="AB90" i="3"/>
  <c r="AC90" i="3"/>
  <c r="AD90" i="3"/>
  <c r="AA91" i="3"/>
  <c r="AB91" i="3"/>
  <c r="AC91" i="3"/>
  <c r="AD91" i="3"/>
  <c r="AA92" i="3"/>
  <c r="AB92" i="3"/>
  <c r="AC92" i="3"/>
  <c r="AD92" i="3"/>
  <c r="AA93" i="3"/>
  <c r="AB93" i="3"/>
  <c r="AC93" i="3"/>
  <c r="AD93" i="3"/>
  <c r="AA94" i="3"/>
  <c r="AB94" i="3"/>
  <c r="AC94" i="3"/>
  <c r="AD94" i="3"/>
  <c r="AA95" i="3"/>
  <c r="AB95" i="3"/>
  <c r="AC95" i="3"/>
  <c r="AD95" i="3"/>
  <c r="AA96" i="3"/>
  <c r="AB96" i="3"/>
  <c r="AC96" i="3"/>
  <c r="AD96" i="3"/>
  <c r="AA97" i="3"/>
  <c r="AB97" i="3"/>
  <c r="AC97" i="3"/>
  <c r="AD97" i="3"/>
  <c r="AA98" i="3"/>
  <c r="AB98" i="3"/>
  <c r="AC98" i="3"/>
  <c r="AD98" i="3"/>
  <c r="AA99" i="3"/>
  <c r="AB99" i="3"/>
  <c r="AC99" i="3"/>
  <c r="AD99" i="3"/>
  <c r="AA100" i="3"/>
  <c r="AB100" i="3"/>
  <c r="AC100" i="3"/>
  <c r="AD100" i="3"/>
  <c r="AA101" i="3"/>
  <c r="AB101" i="3"/>
  <c r="AC101" i="3"/>
  <c r="AD101" i="3"/>
  <c r="AA102" i="3"/>
  <c r="AB102" i="3"/>
  <c r="AC102" i="3"/>
  <c r="AD102" i="3"/>
  <c r="AA103" i="3"/>
  <c r="AB103" i="3"/>
  <c r="AC103" i="3"/>
  <c r="AD103" i="3"/>
  <c r="AA104" i="3"/>
  <c r="AB104" i="3"/>
  <c r="AC104" i="3"/>
  <c r="AD104" i="3"/>
  <c r="AA105" i="3"/>
  <c r="AB105" i="3"/>
  <c r="AC105" i="3"/>
  <c r="AD105" i="3"/>
  <c r="AB89" i="3"/>
  <c r="AC89" i="3"/>
  <c r="AD89" i="3"/>
  <c r="AA89" i="3"/>
  <c r="B45" i="28"/>
  <c r="T44" i="28"/>
  <c r="Z39" i="28"/>
  <c r="Y39" i="28"/>
  <c r="X39" i="28"/>
  <c r="Z38" i="28"/>
  <c r="Y38" i="28"/>
  <c r="X38" i="28"/>
  <c r="Z37" i="28"/>
  <c r="Y37" i="28"/>
  <c r="X37" i="28"/>
  <c r="Z36" i="28"/>
  <c r="Y36" i="28"/>
  <c r="X36" i="28"/>
  <c r="AF35" i="28"/>
  <c r="AE35" i="28"/>
  <c r="AD35" i="28"/>
  <c r="AC35" i="28"/>
  <c r="Z35" i="28"/>
  <c r="Y35" i="28"/>
  <c r="X35" i="28"/>
  <c r="AF34" i="28"/>
  <c r="AE34" i="28"/>
  <c r="AD34" i="28"/>
  <c r="AC34" i="28" s="1"/>
  <c r="Z34" i="28"/>
  <c r="Y34" i="28"/>
  <c r="X34" i="28"/>
  <c r="AF33" i="28"/>
  <c r="AE33" i="28"/>
  <c r="AD33" i="28"/>
  <c r="AC33" i="28"/>
  <c r="Z33" i="28"/>
  <c r="Y33" i="28"/>
  <c r="X33" i="28"/>
  <c r="AF32" i="28"/>
  <c r="AE32" i="28"/>
  <c r="AD32" i="28"/>
  <c r="AC32" i="28" s="1"/>
  <c r="Z32" i="28"/>
  <c r="Y32" i="28"/>
  <c r="X32" i="28"/>
  <c r="AF31" i="28"/>
  <c r="AE31" i="28"/>
  <c r="AD31" i="28"/>
  <c r="AC31" i="28" s="1"/>
  <c r="Z31" i="28"/>
  <c r="Y31" i="28"/>
  <c r="X31" i="28"/>
  <c r="AF30" i="28"/>
  <c r="AE30" i="28"/>
  <c r="AD30" i="28"/>
  <c r="AC30" i="28" s="1"/>
  <c r="Z30" i="28"/>
  <c r="Y30" i="28"/>
  <c r="X30" i="28"/>
  <c r="AF29" i="28"/>
  <c r="AE29" i="28"/>
  <c r="AD29" i="28"/>
  <c r="AC29" i="28" s="1"/>
  <c r="Z29" i="28"/>
  <c r="Y29" i="28"/>
  <c r="X29" i="28"/>
  <c r="AF28" i="28"/>
  <c r="AE28" i="28"/>
  <c r="AD28" i="28"/>
  <c r="AC28" i="28" s="1"/>
  <c r="Z28" i="28"/>
  <c r="Y28" i="28"/>
  <c r="X28" i="28"/>
  <c r="AF27" i="28"/>
  <c r="AE27" i="28"/>
  <c r="AD27" i="28"/>
  <c r="AC27" i="28"/>
  <c r="Z27" i="28"/>
  <c r="Y27" i="28"/>
  <c r="X27" i="28"/>
  <c r="AF26" i="28"/>
  <c r="AE26" i="28"/>
  <c r="AD26" i="28"/>
  <c r="AC26" i="28" s="1"/>
  <c r="Z26" i="28"/>
  <c r="Y26" i="28"/>
  <c r="X26" i="28"/>
  <c r="AF25" i="28"/>
  <c r="AE25" i="28"/>
  <c r="AD25" i="28"/>
  <c r="AC25" i="28"/>
  <c r="Z25" i="28"/>
  <c r="Y25" i="28"/>
  <c r="X25" i="28"/>
  <c r="AF24" i="28"/>
  <c r="AE24" i="28"/>
  <c r="AD24" i="28"/>
  <c r="AC24" i="28" s="1"/>
  <c r="Z24" i="28"/>
  <c r="Y24" i="28"/>
  <c r="X24" i="28"/>
  <c r="Z23" i="28"/>
  <c r="Y23" i="28"/>
  <c r="X23" i="28"/>
  <c r="Z22" i="28"/>
  <c r="Y22" i="28"/>
  <c r="X22" i="28"/>
  <c r="Z21" i="28"/>
  <c r="Y21" i="28"/>
  <c r="X21" i="28"/>
  <c r="Z20" i="28"/>
  <c r="Y20" i="28"/>
  <c r="X20" i="28"/>
  <c r="Z19" i="28"/>
  <c r="Y19" i="28"/>
  <c r="X19" i="28"/>
  <c r="U19" i="28"/>
  <c r="U39" i="28" s="1"/>
  <c r="T19" i="28"/>
  <c r="T39" i="28" s="1"/>
  <c r="S19" i="28"/>
  <c r="S39" i="28" s="1"/>
  <c r="Z18" i="28"/>
  <c r="Y18" i="28"/>
  <c r="X18" i="28"/>
  <c r="U18" i="28"/>
  <c r="R18" i="28" s="1"/>
  <c r="R38" i="28" s="1"/>
  <c r="T18" i="28"/>
  <c r="T38" i="28" s="1"/>
  <c r="S18" i="28"/>
  <c r="S38" i="28" s="1"/>
  <c r="Z17" i="28"/>
  <c r="Y17" i="28"/>
  <c r="X17" i="28"/>
  <c r="U17" i="28"/>
  <c r="U37" i="28" s="1"/>
  <c r="T17" i="28"/>
  <c r="T37" i="28" s="1"/>
  <c r="S17" i="28"/>
  <c r="S37" i="28" s="1"/>
  <c r="R17" i="28"/>
  <c r="R37" i="28" s="1"/>
  <c r="Z16" i="28"/>
  <c r="Y16" i="28"/>
  <c r="X16" i="28"/>
  <c r="U16" i="28"/>
  <c r="U36" i="28" s="1"/>
  <c r="T16" i="28"/>
  <c r="T36" i="28" s="1"/>
  <c r="S16" i="28"/>
  <c r="S36" i="28" s="1"/>
  <c r="R16" i="28"/>
  <c r="R36" i="28" s="1"/>
  <c r="Z15" i="28"/>
  <c r="Y15" i="28"/>
  <c r="X15" i="28"/>
  <c r="U15" i="28"/>
  <c r="U35" i="28" s="1"/>
  <c r="T15" i="28"/>
  <c r="T35" i="28" s="1"/>
  <c r="S15" i="28"/>
  <c r="S35" i="28" s="1"/>
  <c r="Z14" i="28"/>
  <c r="Y14" i="28"/>
  <c r="X14" i="28"/>
  <c r="U14" i="28"/>
  <c r="U34" i="28" s="1"/>
  <c r="T14" i="28"/>
  <c r="T34" i="28" s="1"/>
  <c r="S14" i="28"/>
  <c r="S34" i="28" s="1"/>
  <c r="R14" i="28"/>
  <c r="R34" i="28" s="1"/>
  <c r="Z13" i="28"/>
  <c r="Y13" i="28"/>
  <c r="X13" i="28"/>
  <c r="U13" i="28"/>
  <c r="U33" i="28" s="1"/>
  <c r="T13" i="28"/>
  <c r="T33" i="28" s="1"/>
  <c r="S13" i="28"/>
  <c r="S33" i="28" s="1"/>
  <c r="R13" i="28"/>
  <c r="R33" i="28" s="1"/>
  <c r="Z12" i="28"/>
  <c r="Y12" i="28"/>
  <c r="X12" i="28"/>
  <c r="U12" i="28"/>
  <c r="U32" i="28" s="1"/>
  <c r="T12" i="28"/>
  <c r="T32" i="28" s="1"/>
  <c r="S12" i="28"/>
  <c r="S32" i="28" s="1"/>
  <c r="R12" i="28"/>
  <c r="R32" i="28" s="1"/>
  <c r="Z11" i="28"/>
  <c r="Y11" i="28"/>
  <c r="X11" i="28"/>
  <c r="U11" i="28"/>
  <c r="R11" i="28" s="1"/>
  <c r="R31" i="28" s="1"/>
  <c r="T11" i="28"/>
  <c r="T31" i="28" s="1"/>
  <c r="S11" i="28"/>
  <c r="S31" i="28" s="1"/>
  <c r="Z10" i="28"/>
  <c r="Y10" i="28"/>
  <c r="X10" i="28"/>
  <c r="U10" i="28"/>
  <c r="R10" i="28" s="1"/>
  <c r="R30" i="28" s="1"/>
  <c r="T10" i="28"/>
  <c r="T30" i="28" s="1"/>
  <c r="S10" i="28"/>
  <c r="S30" i="28" s="1"/>
  <c r="Z9" i="28"/>
  <c r="Y9" i="28"/>
  <c r="X9" i="28"/>
  <c r="U9" i="28"/>
  <c r="U29" i="28" s="1"/>
  <c r="T9" i="28"/>
  <c r="T29" i="28" s="1"/>
  <c r="S9" i="28"/>
  <c r="S29" i="28" s="1"/>
  <c r="R9" i="28"/>
  <c r="R29" i="28" s="1"/>
  <c r="Z8" i="28"/>
  <c r="Y8" i="28"/>
  <c r="X8" i="28"/>
  <c r="U8" i="28"/>
  <c r="U28" i="28" s="1"/>
  <c r="T8" i="28"/>
  <c r="T28" i="28" s="1"/>
  <c r="S8" i="28"/>
  <c r="S28" i="28" s="1"/>
  <c r="R8" i="28"/>
  <c r="R28" i="28" s="1"/>
  <c r="Z7" i="28"/>
  <c r="Y7" i="28"/>
  <c r="X7" i="28"/>
  <c r="U7" i="28"/>
  <c r="U27" i="28" s="1"/>
  <c r="T7" i="28"/>
  <c r="T27" i="28" s="1"/>
  <c r="S7" i="28"/>
  <c r="S27" i="28" s="1"/>
  <c r="Z6" i="28"/>
  <c r="Y6" i="28"/>
  <c r="X6" i="28"/>
  <c r="U6" i="28"/>
  <c r="U26" i="28" s="1"/>
  <c r="T6" i="28"/>
  <c r="T26" i="28" s="1"/>
  <c r="S6" i="28"/>
  <c r="S26" i="28" s="1"/>
  <c r="R6" i="28"/>
  <c r="R26" i="28" s="1"/>
  <c r="Z5" i="28"/>
  <c r="Y5" i="28"/>
  <c r="X5" i="28"/>
  <c r="U5" i="28"/>
  <c r="U25" i="28" s="1"/>
  <c r="T5" i="28"/>
  <c r="T25" i="28" s="1"/>
  <c r="S5" i="28"/>
  <c r="S25" i="28" s="1"/>
  <c r="R5" i="28"/>
  <c r="R25" i="28" s="1"/>
  <c r="M5" i="28"/>
  <c r="O5" i="28" s="1"/>
  <c r="P45" i="28" s="1"/>
  <c r="L5" i="28"/>
  <c r="I45" i="28" s="1"/>
  <c r="Z4" i="28"/>
  <c r="K45" i="28" s="1"/>
  <c r="Y4" i="28"/>
  <c r="G45" i="28" s="1"/>
  <c r="X4" i="28"/>
  <c r="M45" i="28" s="1"/>
  <c r="U4" i="28"/>
  <c r="R4" i="28" s="1"/>
  <c r="R24" i="28" s="1"/>
  <c r="T4" i="28"/>
  <c r="T24" i="28" s="1"/>
  <c r="S4" i="28"/>
  <c r="S24" i="28" s="1"/>
  <c r="O4" i="28"/>
  <c r="Q45" i="28" s="1"/>
  <c r="M4" i="28"/>
  <c r="L4" i="28"/>
  <c r="L45" i="28" s="1"/>
  <c r="U3" i="28"/>
  <c r="U23" i="28" s="1"/>
  <c r="T3" i="28"/>
  <c r="T23" i="28" s="1"/>
  <c r="T47" i="28" s="1"/>
  <c r="S3" i="28"/>
  <c r="S23" i="28" s="1"/>
  <c r="M3" i="28"/>
  <c r="O3" i="28" s="1"/>
  <c r="O45" i="28" s="1"/>
  <c r="L3" i="28"/>
  <c r="E45" i="28" s="1"/>
  <c r="L49" i="2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B24" i="3"/>
  <c r="B45" i="27"/>
  <c r="T44" i="27"/>
  <c r="Z39" i="27"/>
  <c r="Y39" i="27"/>
  <c r="X39" i="27"/>
  <c r="Z38" i="27"/>
  <c r="Y38" i="27"/>
  <c r="X38" i="27"/>
  <c r="Z37" i="27"/>
  <c r="Y37" i="27"/>
  <c r="X37" i="27"/>
  <c r="Z36" i="27"/>
  <c r="Y36" i="27"/>
  <c r="X36" i="27"/>
  <c r="AF35" i="27"/>
  <c r="AE35" i="27"/>
  <c r="AD35" i="27"/>
  <c r="AC35" i="27" s="1"/>
  <c r="Z35" i="27"/>
  <c r="Y35" i="27"/>
  <c r="X35" i="27"/>
  <c r="AF34" i="27"/>
  <c r="AE34" i="27"/>
  <c r="AD34" i="27"/>
  <c r="AC34" i="27" s="1"/>
  <c r="Z34" i="27"/>
  <c r="Y34" i="27"/>
  <c r="X34" i="27"/>
  <c r="AF33" i="27"/>
  <c r="AC33" i="27" s="1"/>
  <c r="AE33" i="27"/>
  <c r="AD33" i="27"/>
  <c r="Z33" i="27"/>
  <c r="Y33" i="27"/>
  <c r="X33" i="27"/>
  <c r="AF32" i="27"/>
  <c r="AE32" i="27"/>
  <c r="AD32" i="27"/>
  <c r="AC32" i="27" s="1"/>
  <c r="Z32" i="27"/>
  <c r="Y32" i="27"/>
  <c r="X32" i="27"/>
  <c r="AF31" i="27"/>
  <c r="AE31" i="27"/>
  <c r="AD31" i="27"/>
  <c r="Z31" i="27"/>
  <c r="Y31" i="27"/>
  <c r="X31" i="27"/>
  <c r="AF30" i="27"/>
  <c r="AE30" i="27"/>
  <c r="AD30" i="27"/>
  <c r="AC30" i="27" s="1"/>
  <c r="Z30" i="27"/>
  <c r="Y30" i="27"/>
  <c r="X30" i="27"/>
  <c r="AF29" i="27"/>
  <c r="AE29" i="27"/>
  <c r="AD29" i="27"/>
  <c r="Z29" i="27"/>
  <c r="Y29" i="27"/>
  <c r="X29" i="27"/>
  <c r="AF28" i="27"/>
  <c r="AE28" i="27"/>
  <c r="AD28" i="27"/>
  <c r="AC28" i="27" s="1"/>
  <c r="Z28" i="27"/>
  <c r="Y28" i="27"/>
  <c r="X28" i="27"/>
  <c r="AF27" i="27"/>
  <c r="AE27" i="27"/>
  <c r="AD27" i="27"/>
  <c r="Z27" i="27"/>
  <c r="Y27" i="27"/>
  <c r="X27" i="27"/>
  <c r="AF26" i="27"/>
  <c r="AE26" i="27"/>
  <c r="AD26" i="27"/>
  <c r="Z26" i="27"/>
  <c r="Y26" i="27"/>
  <c r="X26" i="27"/>
  <c r="AF25" i="27"/>
  <c r="AC25" i="27" s="1"/>
  <c r="AE25" i="27"/>
  <c r="AD25" i="27"/>
  <c r="Z25" i="27"/>
  <c r="Y25" i="27"/>
  <c r="X25" i="27"/>
  <c r="AF24" i="27"/>
  <c r="AE24" i="27"/>
  <c r="AD24" i="27"/>
  <c r="AC24" i="27" s="1"/>
  <c r="Z24" i="27"/>
  <c r="Y24" i="27"/>
  <c r="X24" i="27"/>
  <c r="Z23" i="27"/>
  <c r="Y23" i="27"/>
  <c r="X23" i="27"/>
  <c r="Z22" i="27"/>
  <c r="Y22" i="27"/>
  <c r="X22" i="27"/>
  <c r="Z21" i="27"/>
  <c r="Y21" i="27"/>
  <c r="X21" i="27"/>
  <c r="Z20" i="27"/>
  <c r="Y20" i="27"/>
  <c r="X20" i="27"/>
  <c r="Z19" i="27"/>
  <c r="Y19" i="27"/>
  <c r="X19" i="27"/>
  <c r="U19" i="27"/>
  <c r="U39" i="27" s="1"/>
  <c r="T19" i="27"/>
  <c r="T39" i="27" s="1"/>
  <c r="S19" i="27"/>
  <c r="S39" i="27" s="1"/>
  <c r="Z18" i="27"/>
  <c r="Y18" i="27"/>
  <c r="X18" i="27"/>
  <c r="U18" i="27"/>
  <c r="U38" i="27" s="1"/>
  <c r="T18" i="27"/>
  <c r="T38" i="27" s="1"/>
  <c r="S18" i="27"/>
  <c r="S38" i="27" s="1"/>
  <c r="R18" i="27"/>
  <c r="R38" i="27" s="1"/>
  <c r="Z17" i="27"/>
  <c r="Y17" i="27"/>
  <c r="X17" i="27"/>
  <c r="U17" i="27"/>
  <c r="R17" i="27" s="1"/>
  <c r="R37" i="27" s="1"/>
  <c r="T17" i="27"/>
  <c r="T37" i="27" s="1"/>
  <c r="S17" i="27"/>
  <c r="S37" i="27" s="1"/>
  <c r="Z16" i="27"/>
  <c r="Y16" i="27"/>
  <c r="X16" i="27"/>
  <c r="U16" i="27"/>
  <c r="U36" i="27" s="1"/>
  <c r="T16" i="27"/>
  <c r="T36" i="27" s="1"/>
  <c r="S16" i="27"/>
  <c r="S36" i="27" s="1"/>
  <c r="R16" i="27"/>
  <c r="R36" i="27" s="1"/>
  <c r="Z15" i="27"/>
  <c r="Y15" i="27"/>
  <c r="X15" i="27"/>
  <c r="U15" i="27"/>
  <c r="U35" i="27" s="1"/>
  <c r="T15" i="27"/>
  <c r="T35" i="27" s="1"/>
  <c r="S15" i="27"/>
  <c r="S35" i="27" s="1"/>
  <c r="Z14" i="27"/>
  <c r="Y14" i="27"/>
  <c r="X14" i="27"/>
  <c r="U14" i="27"/>
  <c r="U34" i="27" s="1"/>
  <c r="T14" i="27"/>
  <c r="T34" i="27" s="1"/>
  <c r="S14" i="27"/>
  <c r="S34" i="27" s="1"/>
  <c r="R14" i="27"/>
  <c r="R34" i="27" s="1"/>
  <c r="Z13" i="27"/>
  <c r="Y13" i="27"/>
  <c r="X13" i="27"/>
  <c r="U13" i="27"/>
  <c r="R13" i="27" s="1"/>
  <c r="R33" i="27" s="1"/>
  <c r="T13" i="27"/>
  <c r="T33" i="27" s="1"/>
  <c r="S13" i="27"/>
  <c r="S33" i="27" s="1"/>
  <c r="Z12" i="27"/>
  <c r="Y12" i="27"/>
  <c r="X12" i="27"/>
  <c r="U12" i="27"/>
  <c r="U32" i="27" s="1"/>
  <c r="T12" i="27"/>
  <c r="T32" i="27" s="1"/>
  <c r="S12" i="27"/>
  <c r="S32" i="27" s="1"/>
  <c r="Z11" i="27"/>
  <c r="Y11" i="27"/>
  <c r="X11" i="27"/>
  <c r="U11" i="27"/>
  <c r="R11" i="27" s="1"/>
  <c r="R31" i="27" s="1"/>
  <c r="T11" i="27"/>
  <c r="T31" i="27" s="1"/>
  <c r="S11" i="27"/>
  <c r="S31" i="27" s="1"/>
  <c r="Z10" i="27"/>
  <c r="Y10" i="27"/>
  <c r="X10" i="27"/>
  <c r="U10" i="27"/>
  <c r="U30" i="27" s="1"/>
  <c r="T10" i="27"/>
  <c r="T30" i="27" s="1"/>
  <c r="S10" i="27"/>
  <c r="S30" i="27" s="1"/>
  <c r="Z9" i="27"/>
  <c r="Y9" i="27"/>
  <c r="X9" i="27"/>
  <c r="U9" i="27"/>
  <c r="R9" i="27" s="1"/>
  <c r="R29" i="27" s="1"/>
  <c r="T9" i="27"/>
  <c r="T29" i="27" s="1"/>
  <c r="S9" i="27"/>
  <c r="S29" i="27" s="1"/>
  <c r="Z8" i="27"/>
  <c r="Y8" i="27"/>
  <c r="X8" i="27"/>
  <c r="U8" i="27"/>
  <c r="U28" i="27" s="1"/>
  <c r="T8" i="27"/>
  <c r="T28" i="27" s="1"/>
  <c r="S8" i="27"/>
  <c r="S28" i="27" s="1"/>
  <c r="R8" i="27"/>
  <c r="R28" i="27" s="1"/>
  <c r="Z7" i="27"/>
  <c r="Y7" i="27"/>
  <c r="X7" i="27"/>
  <c r="U7" i="27"/>
  <c r="U27" i="27" s="1"/>
  <c r="T7" i="27"/>
  <c r="T27" i="27" s="1"/>
  <c r="S7" i="27"/>
  <c r="S27" i="27" s="1"/>
  <c r="R7" i="27"/>
  <c r="R27" i="27" s="1"/>
  <c r="Z6" i="27"/>
  <c r="Y6" i="27"/>
  <c r="X6" i="27"/>
  <c r="U6" i="27"/>
  <c r="U26" i="27" s="1"/>
  <c r="T6" i="27"/>
  <c r="T26" i="27" s="1"/>
  <c r="S6" i="27"/>
  <c r="S26" i="27" s="1"/>
  <c r="R6" i="27"/>
  <c r="R26" i="27" s="1"/>
  <c r="Z5" i="27"/>
  <c r="Y5" i="27"/>
  <c r="X5" i="27"/>
  <c r="U5" i="27"/>
  <c r="R5" i="27" s="1"/>
  <c r="R25" i="27" s="1"/>
  <c r="T5" i="27"/>
  <c r="T25" i="27" s="1"/>
  <c r="S5" i="27"/>
  <c r="S25" i="27" s="1"/>
  <c r="M5" i="27"/>
  <c r="N5" i="27" s="1"/>
  <c r="L5" i="27"/>
  <c r="I45" i="27" s="1"/>
  <c r="I24" i="3" s="1"/>
  <c r="Z4" i="27"/>
  <c r="Y4" i="27"/>
  <c r="X4" i="27"/>
  <c r="M45" i="27" s="1"/>
  <c r="M24" i="3" s="1"/>
  <c r="U4" i="27"/>
  <c r="U24" i="27" s="1"/>
  <c r="T4" i="27"/>
  <c r="T24" i="27" s="1"/>
  <c r="S4" i="27"/>
  <c r="S24" i="27" s="1"/>
  <c r="R4" i="27"/>
  <c r="R24" i="27" s="1"/>
  <c r="M4" i="27"/>
  <c r="L4" i="27"/>
  <c r="L45" i="27" s="1"/>
  <c r="L24" i="3" s="1"/>
  <c r="U3" i="27"/>
  <c r="U23" i="27" s="1"/>
  <c r="T3" i="27"/>
  <c r="T23" i="27" s="1"/>
  <c r="S3" i="27"/>
  <c r="S23" i="27" s="1"/>
  <c r="M3" i="27"/>
  <c r="L3" i="27"/>
  <c r="E45" i="27" s="1"/>
  <c r="E24" i="3" s="1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B23" i="3"/>
  <c r="B45" i="26"/>
  <c r="T44" i="26"/>
  <c r="Z39" i="26"/>
  <c r="Y39" i="26"/>
  <c r="X39" i="26"/>
  <c r="Z38" i="26"/>
  <c r="Y38" i="26"/>
  <c r="X38" i="26"/>
  <c r="Z37" i="26"/>
  <c r="Y37" i="26"/>
  <c r="X37" i="26"/>
  <c r="Z36" i="26"/>
  <c r="Y36" i="26"/>
  <c r="X36" i="26"/>
  <c r="AF35" i="26"/>
  <c r="AE35" i="26"/>
  <c r="AD35" i="26"/>
  <c r="Z35" i="26"/>
  <c r="Y35" i="26"/>
  <c r="X35" i="26"/>
  <c r="AF34" i="26"/>
  <c r="AE34" i="26"/>
  <c r="AD34" i="26"/>
  <c r="Z34" i="26"/>
  <c r="Y34" i="26"/>
  <c r="X34" i="26"/>
  <c r="AF33" i="26"/>
  <c r="AE33" i="26"/>
  <c r="AD33" i="26"/>
  <c r="AC33" i="26"/>
  <c r="Z33" i="26"/>
  <c r="Y33" i="26"/>
  <c r="X33" i="26"/>
  <c r="AF32" i="26"/>
  <c r="AE32" i="26"/>
  <c r="AD32" i="26"/>
  <c r="AC32" i="26" s="1"/>
  <c r="Z32" i="26"/>
  <c r="Y32" i="26"/>
  <c r="X32" i="26"/>
  <c r="AF31" i="26"/>
  <c r="AE31" i="26"/>
  <c r="AD31" i="26"/>
  <c r="Z31" i="26"/>
  <c r="Y31" i="26"/>
  <c r="X31" i="26"/>
  <c r="AF30" i="26"/>
  <c r="AE30" i="26"/>
  <c r="AD30" i="26"/>
  <c r="AC30" i="26" s="1"/>
  <c r="Z30" i="26"/>
  <c r="Y30" i="26"/>
  <c r="X30" i="26"/>
  <c r="AF29" i="26"/>
  <c r="AE29" i="26"/>
  <c r="AD29" i="26"/>
  <c r="Z29" i="26"/>
  <c r="Y29" i="26"/>
  <c r="X29" i="26"/>
  <c r="AF28" i="26"/>
  <c r="AE28" i="26"/>
  <c r="AD28" i="26"/>
  <c r="AC28" i="26" s="1"/>
  <c r="Z28" i="26"/>
  <c r="Y28" i="26"/>
  <c r="X28" i="26"/>
  <c r="AF27" i="26"/>
  <c r="AE27" i="26"/>
  <c r="AD27" i="26"/>
  <c r="Z27" i="26"/>
  <c r="Y27" i="26"/>
  <c r="X27" i="26"/>
  <c r="AF26" i="26"/>
  <c r="AE26" i="26"/>
  <c r="AD26" i="26"/>
  <c r="Z26" i="26"/>
  <c r="Y26" i="26"/>
  <c r="X26" i="26"/>
  <c r="AF25" i="26"/>
  <c r="AE25" i="26"/>
  <c r="AC25" i="26" s="1"/>
  <c r="AD25" i="26"/>
  <c r="Z25" i="26"/>
  <c r="Y25" i="26"/>
  <c r="X25" i="26"/>
  <c r="AF24" i="26"/>
  <c r="AE24" i="26"/>
  <c r="AD24" i="26"/>
  <c r="AC24" i="26" s="1"/>
  <c r="Z24" i="26"/>
  <c r="Y24" i="26"/>
  <c r="X24" i="26"/>
  <c r="Z23" i="26"/>
  <c r="Y23" i="26"/>
  <c r="X23" i="26"/>
  <c r="Z22" i="26"/>
  <c r="Y22" i="26"/>
  <c r="X22" i="26"/>
  <c r="Z21" i="26"/>
  <c r="Y21" i="26"/>
  <c r="X21" i="26"/>
  <c r="Z20" i="26"/>
  <c r="Y20" i="26"/>
  <c r="X20" i="26"/>
  <c r="Z19" i="26"/>
  <c r="Y19" i="26"/>
  <c r="X19" i="26"/>
  <c r="U19" i="26"/>
  <c r="U39" i="26" s="1"/>
  <c r="T19" i="26"/>
  <c r="T39" i="26" s="1"/>
  <c r="S19" i="26"/>
  <c r="S39" i="26" s="1"/>
  <c r="Z18" i="26"/>
  <c r="Y18" i="26"/>
  <c r="X18" i="26"/>
  <c r="U18" i="26"/>
  <c r="R18" i="26" s="1"/>
  <c r="R38" i="26" s="1"/>
  <c r="T18" i="26"/>
  <c r="T38" i="26" s="1"/>
  <c r="S18" i="26"/>
  <c r="S38" i="26" s="1"/>
  <c r="Z17" i="26"/>
  <c r="Y17" i="26"/>
  <c r="X17" i="26"/>
  <c r="U17" i="26"/>
  <c r="U37" i="26" s="1"/>
  <c r="T17" i="26"/>
  <c r="T37" i="26" s="1"/>
  <c r="S17" i="26"/>
  <c r="S37" i="26" s="1"/>
  <c r="R17" i="26"/>
  <c r="R37" i="26" s="1"/>
  <c r="Z16" i="26"/>
  <c r="Y16" i="26"/>
  <c r="X16" i="26"/>
  <c r="U16" i="26"/>
  <c r="U36" i="26" s="1"/>
  <c r="T16" i="26"/>
  <c r="T36" i="26" s="1"/>
  <c r="S16" i="26"/>
  <c r="S36" i="26" s="1"/>
  <c r="R16" i="26"/>
  <c r="R36" i="26" s="1"/>
  <c r="Z15" i="26"/>
  <c r="Y15" i="26"/>
  <c r="X15" i="26"/>
  <c r="U15" i="26"/>
  <c r="U35" i="26" s="1"/>
  <c r="T15" i="26"/>
  <c r="T35" i="26" s="1"/>
  <c r="S15" i="26"/>
  <c r="S35" i="26" s="1"/>
  <c r="R15" i="26"/>
  <c r="R35" i="26" s="1"/>
  <c r="Z14" i="26"/>
  <c r="Y14" i="26"/>
  <c r="X14" i="26"/>
  <c r="U14" i="26"/>
  <c r="U34" i="26" s="1"/>
  <c r="T14" i="26"/>
  <c r="T34" i="26" s="1"/>
  <c r="S14" i="26"/>
  <c r="S34" i="26" s="1"/>
  <c r="R14" i="26"/>
  <c r="R34" i="26" s="1"/>
  <c r="Z13" i="26"/>
  <c r="Y13" i="26"/>
  <c r="X13" i="26"/>
  <c r="U13" i="26"/>
  <c r="R13" i="26" s="1"/>
  <c r="R33" i="26" s="1"/>
  <c r="T13" i="26"/>
  <c r="T33" i="26" s="1"/>
  <c r="S13" i="26"/>
  <c r="S33" i="26" s="1"/>
  <c r="Z12" i="26"/>
  <c r="Y12" i="26"/>
  <c r="X12" i="26"/>
  <c r="U12" i="26"/>
  <c r="U32" i="26" s="1"/>
  <c r="T12" i="26"/>
  <c r="T32" i="26" s="1"/>
  <c r="S12" i="26"/>
  <c r="S32" i="26" s="1"/>
  <c r="Z11" i="26"/>
  <c r="Y11" i="26"/>
  <c r="X11" i="26"/>
  <c r="U11" i="26"/>
  <c r="R11" i="26" s="1"/>
  <c r="R31" i="26" s="1"/>
  <c r="T11" i="26"/>
  <c r="T31" i="26" s="1"/>
  <c r="S11" i="26"/>
  <c r="S31" i="26" s="1"/>
  <c r="Z10" i="26"/>
  <c r="Y10" i="26"/>
  <c r="X10" i="26"/>
  <c r="U10" i="26"/>
  <c r="R10" i="26" s="1"/>
  <c r="R30" i="26" s="1"/>
  <c r="T10" i="26"/>
  <c r="T30" i="26" s="1"/>
  <c r="S10" i="26"/>
  <c r="S30" i="26" s="1"/>
  <c r="Z9" i="26"/>
  <c r="Y9" i="26"/>
  <c r="X9" i="26"/>
  <c r="U9" i="26"/>
  <c r="U29" i="26" s="1"/>
  <c r="T9" i="26"/>
  <c r="T29" i="26" s="1"/>
  <c r="S9" i="26"/>
  <c r="S29" i="26" s="1"/>
  <c r="Z8" i="26"/>
  <c r="Y8" i="26"/>
  <c r="X8" i="26"/>
  <c r="U8" i="26"/>
  <c r="U28" i="26" s="1"/>
  <c r="T8" i="26"/>
  <c r="T28" i="26" s="1"/>
  <c r="S8" i="26"/>
  <c r="S28" i="26" s="1"/>
  <c r="Z7" i="26"/>
  <c r="Y7" i="26"/>
  <c r="X7" i="26"/>
  <c r="U7" i="26"/>
  <c r="U27" i="26" s="1"/>
  <c r="T7" i="26"/>
  <c r="T27" i="26" s="1"/>
  <c r="S7" i="26"/>
  <c r="S27" i="26" s="1"/>
  <c r="Z6" i="26"/>
  <c r="Y6" i="26"/>
  <c r="X6" i="26"/>
  <c r="U6" i="26"/>
  <c r="U26" i="26" s="1"/>
  <c r="T6" i="26"/>
  <c r="T26" i="26" s="1"/>
  <c r="S6" i="26"/>
  <c r="S26" i="26" s="1"/>
  <c r="Z5" i="26"/>
  <c r="Y5" i="26"/>
  <c r="X5" i="26"/>
  <c r="U5" i="26"/>
  <c r="U25" i="26" s="1"/>
  <c r="T5" i="26"/>
  <c r="T25" i="26" s="1"/>
  <c r="S5" i="26"/>
  <c r="S25" i="26" s="1"/>
  <c r="R5" i="26"/>
  <c r="R25" i="26" s="1"/>
  <c r="M5" i="26"/>
  <c r="L5" i="26"/>
  <c r="I45" i="26" s="1"/>
  <c r="Z4" i="26"/>
  <c r="Y4" i="26"/>
  <c r="X4" i="26"/>
  <c r="U4" i="26"/>
  <c r="R4" i="26" s="1"/>
  <c r="R24" i="26" s="1"/>
  <c r="T4" i="26"/>
  <c r="T24" i="26" s="1"/>
  <c r="S4" i="26"/>
  <c r="S24" i="26" s="1"/>
  <c r="M4" i="26"/>
  <c r="L4" i="26"/>
  <c r="L45" i="26" s="1"/>
  <c r="U3" i="26"/>
  <c r="U23" i="26" s="1"/>
  <c r="T3" i="26"/>
  <c r="T23" i="26" s="1"/>
  <c r="S3" i="26"/>
  <c r="S23" i="26" s="1"/>
  <c r="M3" i="26"/>
  <c r="L3" i="26"/>
  <c r="B22" i="3"/>
  <c r="B45" i="25"/>
  <c r="T44" i="25"/>
  <c r="Z39" i="25"/>
  <c r="Y39" i="25"/>
  <c r="X39" i="25"/>
  <c r="Z38" i="25"/>
  <c r="Y38" i="25"/>
  <c r="X38" i="25"/>
  <c r="Z37" i="25"/>
  <c r="Y37" i="25"/>
  <c r="X37" i="25"/>
  <c r="Z36" i="25"/>
  <c r="Y36" i="25"/>
  <c r="X36" i="25"/>
  <c r="AF35" i="25"/>
  <c r="AE35" i="25"/>
  <c r="AD35" i="25"/>
  <c r="Z35" i="25"/>
  <c r="Y35" i="25"/>
  <c r="X35" i="25"/>
  <c r="AF34" i="25"/>
  <c r="AE34" i="25"/>
  <c r="AD34" i="25"/>
  <c r="AC34" i="25"/>
  <c r="Z34" i="25"/>
  <c r="Y34" i="25"/>
  <c r="X34" i="25"/>
  <c r="AF33" i="25"/>
  <c r="AC33" i="25" s="1"/>
  <c r="AE33" i="25"/>
  <c r="AD33" i="25"/>
  <c r="Z33" i="25"/>
  <c r="Y33" i="25"/>
  <c r="X33" i="25"/>
  <c r="AF32" i="25"/>
  <c r="AE32" i="25"/>
  <c r="AD32" i="25"/>
  <c r="AC32" i="25" s="1"/>
  <c r="Z32" i="25"/>
  <c r="Y32" i="25"/>
  <c r="X32" i="25"/>
  <c r="AF31" i="25"/>
  <c r="AE31" i="25"/>
  <c r="AD31" i="25"/>
  <c r="Z31" i="25"/>
  <c r="Y31" i="25"/>
  <c r="X31" i="25"/>
  <c r="AF30" i="25"/>
  <c r="AE30" i="25"/>
  <c r="AD30" i="25"/>
  <c r="AC30" i="25" s="1"/>
  <c r="Z30" i="25"/>
  <c r="Y30" i="25"/>
  <c r="X30" i="25"/>
  <c r="AF29" i="25"/>
  <c r="AE29" i="25"/>
  <c r="AD29" i="25"/>
  <c r="AC29" i="25" s="1"/>
  <c r="Z29" i="25"/>
  <c r="Y29" i="25"/>
  <c r="X29" i="25"/>
  <c r="AF28" i="25"/>
  <c r="AE28" i="25"/>
  <c r="AD28" i="25"/>
  <c r="Z28" i="25"/>
  <c r="Y28" i="25"/>
  <c r="X28" i="25"/>
  <c r="AF27" i="25"/>
  <c r="AE27" i="25"/>
  <c r="AD27" i="25"/>
  <c r="Z27" i="25"/>
  <c r="Y27" i="25"/>
  <c r="X27" i="25"/>
  <c r="AF26" i="25"/>
  <c r="AE26" i="25"/>
  <c r="AD26" i="25"/>
  <c r="AC26" i="25" s="1"/>
  <c r="Z26" i="25"/>
  <c r="Y26" i="25"/>
  <c r="X26" i="25"/>
  <c r="AF25" i="25"/>
  <c r="AE25" i="25"/>
  <c r="AD25" i="25"/>
  <c r="AC25" i="25" s="1"/>
  <c r="Z25" i="25"/>
  <c r="Y25" i="25"/>
  <c r="X25" i="25"/>
  <c r="AF24" i="25"/>
  <c r="AE24" i="25"/>
  <c r="AD24" i="25"/>
  <c r="AC24" i="25" s="1"/>
  <c r="Z24" i="25"/>
  <c r="Y24" i="25"/>
  <c r="X24" i="25"/>
  <c r="Z23" i="25"/>
  <c r="Y23" i="25"/>
  <c r="X23" i="25"/>
  <c r="Z22" i="25"/>
  <c r="Y22" i="25"/>
  <c r="X22" i="25"/>
  <c r="Z21" i="25"/>
  <c r="Y21" i="25"/>
  <c r="X21" i="25"/>
  <c r="Z20" i="25"/>
  <c r="Y20" i="25"/>
  <c r="X20" i="25"/>
  <c r="Z19" i="25"/>
  <c r="Y19" i="25"/>
  <c r="X19" i="25"/>
  <c r="U19" i="25"/>
  <c r="U39" i="25" s="1"/>
  <c r="T19" i="25"/>
  <c r="T39" i="25" s="1"/>
  <c r="S19" i="25"/>
  <c r="S39" i="25" s="1"/>
  <c r="Z18" i="25"/>
  <c r="Y18" i="25"/>
  <c r="X18" i="25"/>
  <c r="U18" i="25"/>
  <c r="U38" i="25" s="1"/>
  <c r="T18" i="25"/>
  <c r="T38" i="25" s="1"/>
  <c r="S18" i="25"/>
  <c r="S38" i="25" s="1"/>
  <c r="Z17" i="25"/>
  <c r="Y17" i="25"/>
  <c r="X17" i="25"/>
  <c r="U17" i="25"/>
  <c r="R17" i="25" s="1"/>
  <c r="R37" i="25" s="1"/>
  <c r="T17" i="25"/>
  <c r="T37" i="25" s="1"/>
  <c r="S17" i="25"/>
  <c r="S37" i="25" s="1"/>
  <c r="Z16" i="25"/>
  <c r="Y16" i="25"/>
  <c r="X16" i="25"/>
  <c r="U16" i="25"/>
  <c r="U36" i="25" s="1"/>
  <c r="T16" i="25"/>
  <c r="T36" i="25" s="1"/>
  <c r="S16" i="25"/>
  <c r="S36" i="25" s="1"/>
  <c r="R16" i="25"/>
  <c r="R36" i="25" s="1"/>
  <c r="Z15" i="25"/>
  <c r="Y15" i="25"/>
  <c r="X15" i="25"/>
  <c r="U15" i="25"/>
  <c r="U35" i="25" s="1"/>
  <c r="T15" i="25"/>
  <c r="T35" i="25" s="1"/>
  <c r="S15" i="25"/>
  <c r="S35" i="25" s="1"/>
  <c r="Z14" i="25"/>
  <c r="Y14" i="25"/>
  <c r="X14" i="25"/>
  <c r="U14" i="25"/>
  <c r="U34" i="25" s="1"/>
  <c r="T14" i="25"/>
  <c r="T34" i="25" s="1"/>
  <c r="S14" i="25"/>
  <c r="S34" i="25" s="1"/>
  <c r="Z13" i="25"/>
  <c r="Y13" i="25"/>
  <c r="X13" i="25"/>
  <c r="U13" i="25"/>
  <c r="R13" i="25" s="1"/>
  <c r="R33" i="25" s="1"/>
  <c r="T13" i="25"/>
  <c r="T33" i="25" s="1"/>
  <c r="S13" i="25"/>
  <c r="S33" i="25" s="1"/>
  <c r="Z12" i="25"/>
  <c r="Y12" i="25"/>
  <c r="X12" i="25"/>
  <c r="U12" i="25"/>
  <c r="U32" i="25" s="1"/>
  <c r="T12" i="25"/>
  <c r="T32" i="25" s="1"/>
  <c r="S12" i="25"/>
  <c r="S32" i="25" s="1"/>
  <c r="Z11" i="25"/>
  <c r="Y11" i="25"/>
  <c r="X11" i="25"/>
  <c r="U11" i="25"/>
  <c r="R11" i="25" s="1"/>
  <c r="R31" i="25" s="1"/>
  <c r="T11" i="25"/>
  <c r="T31" i="25" s="1"/>
  <c r="S11" i="25"/>
  <c r="S31" i="25" s="1"/>
  <c r="Z10" i="25"/>
  <c r="Y10" i="25"/>
  <c r="X10" i="25"/>
  <c r="U10" i="25"/>
  <c r="U30" i="25" s="1"/>
  <c r="T10" i="25"/>
  <c r="T30" i="25" s="1"/>
  <c r="S10" i="25"/>
  <c r="S30" i="25" s="1"/>
  <c r="Z9" i="25"/>
  <c r="Y9" i="25"/>
  <c r="X9" i="25"/>
  <c r="U9" i="25"/>
  <c r="R9" i="25" s="1"/>
  <c r="R29" i="25" s="1"/>
  <c r="T9" i="25"/>
  <c r="T29" i="25" s="1"/>
  <c r="S9" i="25"/>
  <c r="S29" i="25" s="1"/>
  <c r="Z8" i="25"/>
  <c r="Y8" i="25"/>
  <c r="X8" i="25"/>
  <c r="U8" i="25"/>
  <c r="U28" i="25" s="1"/>
  <c r="T8" i="25"/>
  <c r="T28" i="25" s="1"/>
  <c r="S8" i="25"/>
  <c r="S28" i="25" s="1"/>
  <c r="Z7" i="25"/>
  <c r="Y7" i="25"/>
  <c r="X7" i="25"/>
  <c r="U7" i="25"/>
  <c r="U27" i="25" s="1"/>
  <c r="T7" i="25"/>
  <c r="T27" i="25" s="1"/>
  <c r="S7" i="25"/>
  <c r="S27" i="25" s="1"/>
  <c r="R7" i="25"/>
  <c r="R27" i="25" s="1"/>
  <c r="Z6" i="25"/>
  <c r="Y6" i="25"/>
  <c r="X6" i="25"/>
  <c r="U6" i="25"/>
  <c r="U26" i="25" s="1"/>
  <c r="T6" i="25"/>
  <c r="T26" i="25" s="1"/>
  <c r="S6" i="25"/>
  <c r="S26" i="25" s="1"/>
  <c r="R6" i="25"/>
  <c r="R26" i="25" s="1"/>
  <c r="Z5" i="25"/>
  <c r="Y5" i="25"/>
  <c r="X5" i="25"/>
  <c r="U5" i="25"/>
  <c r="R5" i="25" s="1"/>
  <c r="R25" i="25" s="1"/>
  <c r="T5" i="25"/>
  <c r="T25" i="25" s="1"/>
  <c r="S5" i="25"/>
  <c r="S25" i="25" s="1"/>
  <c r="M5" i="25"/>
  <c r="L5" i="25"/>
  <c r="I45" i="25" s="1"/>
  <c r="I22" i="3" s="1"/>
  <c r="Z4" i="25"/>
  <c r="Y4" i="25"/>
  <c r="X4" i="25"/>
  <c r="M45" i="25" s="1"/>
  <c r="M22" i="3" s="1"/>
  <c r="U4" i="25"/>
  <c r="U24" i="25" s="1"/>
  <c r="T4" i="25"/>
  <c r="T24" i="25" s="1"/>
  <c r="S4" i="25"/>
  <c r="S24" i="25" s="1"/>
  <c r="R4" i="25"/>
  <c r="R24" i="25" s="1"/>
  <c r="M4" i="25"/>
  <c r="L4" i="25"/>
  <c r="L45" i="25" s="1"/>
  <c r="L22" i="3" s="1"/>
  <c r="U3" i="25"/>
  <c r="U23" i="25" s="1"/>
  <c r="T3" i="25"/>
  <c r="T23" i="25" s="1"/>
  <c r="S3" i="25"/>
  <c r="S23" i="25" s="1"/>
  <c r="N3" i="25"/>
  <c r="M3" i="25"/>
  <c r="L3" i="25"/>
  <c r="E45" i="25" s="1"/>
  <c r="E22" i="3" s="1"/>
  <c r="AF35" i="11"/>
  <c r="AE35" i="11"/>
  <c r="AD35" i="11"/>
  <c r="AF34" i="11"/>
  <c r="AE34" i="11"/>
  <c r="AD34" i="11"/>
  <c r="AF33" i="11"/>
  <c r="AE33" i="11"/>
  <c r="AC33" i="11" s="1"/>
  <c r="AD33" i="11"/>
  <c r="AF32" i="11"/>
  <c r="AE32" i="11"/>
  <c r="AD32" i="11"/>
  <c r="AF31" i="11"/>
  <c r="AE31" i="11"/>
  <c r="AD31" i="11"/>
  <c r="AC31" i="11" s="1"/>
  <c r="AF30" i="11"/>
  <c r="AE30" i="11"/>
  <c r="AD30" i="11"/>
  <c r="AF29" i="11"/>
  <c r="AE29" i="11"/>
  <c r="AD29" i="11"/>
  <c r="AF28" i="11"/>
  <c r="AE28" i="11"/>
  <c r="AD28" i="11"/>
  <c r="AC28" i="11" s="1"/>
  <c r="AF27" i="11"/>
  <c r="AE27" i="11"/>
  <c r="AD27" i="11"/>
  <c r="AF26" i="11"/>
  <c r="AE26" i="11"/>
  <c r="AD26" i="11"/>
  <c r="AF25" i="11"/>
  <c r="AE25" i="11"/>
  <c r="AC25" i="11" s="1"/>
  <c r="AD25" i="11"/>
  <c r="AF24" i="11"/>
  <c r="AE24" i="11"/>
  <c r="AD24" i="11"/>
  <c r="AF35" i="12"/>
  <c r="AE35" i="12"/>
  <c r="AD35" i="12"/>
  <c r="AF34" i="12"/>
  <c r="AC34" i="12" s="1"/>
  <c r="AE34" i="12"/>
  <c r="AD34" i="12"/>
  <c r="AF33" i="12"/>
  <c r="AE33" i="12"/>
  <c r="AD33" i="12"/>
  <c r="AF32" i="12"/>
  <c r="AE32" i="12"/>
  <c r="AD32" i="12"/>
  <c r="AC32" i="12" s="1"/>
  <c r="AF31" i="12"/>
  <c r="AE31" i="12"/>
  <c r="AD31" i="12"/>
  <c r="AF30" i="12"/>
  <c r="AE30" i="12"/>
  <c r="AD30" i="12"/>
  <c r="AF29" i="12"/>
  <c r="AE29" i="12"/>
  <c r="AC29" i="12" s="1"/>
  <c r="AD29" i="12"/>
  <c r="AF28" i="12"/>
  <c r="AE28" i="12"/>
  <c r="AD28" i="12"/>
  <c r="AF27" i="12"/>
  <c r="AE27" i="12"/>
  <c r="AD27" i="12"/>
  <c r="AF26" i="12"/>
  <c r="AC26" i="12" s="1"/>
  <c r="AE26" i="12"/>
  <c r="AD26" i="12"/>
  <c r="AF25" i="12"/>
  <c r="AE25" i="12"/>
  <c r="AD25" i="12"/>
  <c r="AF24" i="12"/>
  <c r="AE24" i="12"/>
  <c r="AD24" i="12"/>
  <c r="AF35" i="13"/>
  <c r="AE35" i="13"/>
  <c r="AD35" i="13"/>
  <c r="AF34" i="13"/>
  <c r="AE34" i="13"/>
  <c r="AD34" i="13"/>
  <c r="AF33" i="13"/>
  <c r="AE33" i="13"/>
  <c r="AC33" i="13" s="1"/>
  <c r="AD33" i="13"/>
  <c r="AF32" i="13"/>
  <c r="AE32" i="13"/>
  <c r="AD32" i="13"/>
  <c r="AF31" i="13"/>
  <c r="AE31" i="13"/>
  <c r="AD31" i="13"/>
  <c r="AC31" i="13" s="1"/>
  <c r="AF30" i="13"/>
  <c r="AC30" i="13" s="1"/>
  <c r="AE30" i="13"/>
  <c r="AD30" i="13"/>
  <c r="AF29" i="13"/>
  <c r="AE29" i="13"/>
  <c r="AD29" i="13"/>
  <c r="AF28" i="13"/>
  <c r="AE28" i="13"/>
  <c r="AD28" i="13"/>
  <c r="AC28" i="13" s="1"/>
  <c r="AF27" i="13"/>
  <c r="AE27" i="13"/>
  <c r="AD27" i="13"/>
  <c r="AF26" i="13"/>
  <c r="AE26" i="13"/>
  <c r="AD26" i="13"/>
  <c r="AF25" i="13"/>
  <c r="AE25" i="13"/>
  <c r="AC25" i="13" s="1"/>
  <c r="AD25" i="13"/>
  <c r="AF24" i="13"/>
  <c r="AE24" i="13"/>
  <c r="AD24" i="13"/>
  <c r="AF35" i="14"/>
  <c r="AE35" i="14"/>
  <c r="AD35" i="14"/>
  <c r="AC35" i="14" s="1"/>
  <c r="AF34" i="14"/>
  <c r="AC34" i="14" s="1"/>
  <c r="AE34" i="14"/>
  <c r="AD34" i="14"/>
  <c r="AF33" i="14"/>
  <c r="AE33" i="14"/>
  <c r="AD33" i="14"/>
  <c r="AF32" i="14"/>
  <c r="AE32" i="14"/>
  <c r="AD32" i="14"/>
  <c r="AC32" i="14" s="1"/>
  <c r="AF31" i="14"/>
  <c r="AE31" i="14"/>
  <c r="AD31" i="14"/>
  <c r="AF30" i="14"/>
  <c r="AE30" i="14"/>
  <c r="AD30" i="14"/>
  <c r="AF29" i="14"/>
  <c r="AE29" i="14"/>
  <c r="AC29" i="14" s="1"/>
  <c r="AD29" i="14"/>
  <c r="AF28" i="14"/>
  <c r="AE28" i="14"/>
  <c r="AD28" i="14"/>
  <c r="AF27" i="14"/>
  <c r="AE27" i="14"/>
  <c r="AD27" i="14"/>
  <c r="AC27" i="14" s="1"/>
  <c r="AF26" i="14"/>
  <c r="AC26" i="14" s="1"/>
  <c r="AE26" i="14"/>
  <c r="AD26" i="14"/>
  <c r="AF25" i="14"/>
  <c r="AE25" i="14"/>
  <c r="AD25" i="14"/>
  <c r="AF24" i="14"/>
  <c r="AE24" i="14"/>
  <c r="AD24" i="14"/>
  <c r="AC24" i="14" s="1"/>
  <c r="AF35" i="15"/>
  <c r="AE35" i="15"/>
  <c r="AD35" i="15"/>
  <c r="AF34" i="15"/>
  <c r="AE34" i="15"/>
  <c r="AD34" i="15"/>
  <c r="AF33" i="15"/>
  <c r="AE33" i="15"/>
  <c r="AC33" i="15" s="1"/>
  <c r="AD33" i="15"/>
  <c r="AF32" i="15"/>
  <c r="AE32" i="15"/>
  <c r="AD32" i="15"/>
  <c r="AF31" i="15"/>
  <c r="AE31" i="15"/>
  <c r="AD31" i="15"/>
  <c r="AC31" i="15" s="1"/>
  <c r="AF30" i="15"/>
  <c r="AC30" i="15" s="1"/>
  <c r="AE30" i="15"/>
  <c r="AD30" i="15"/>
  <c r="AF29" i="15"/>
  <c r="AE29" i="15"/>
  <c r="AD29" i="15"/>
  <c r="AF28" i="15"/>
  <c r="AE28" i="15"/>
  <c r="AD28" i="15"/>
  <c r="AC28" i="15" s="1"/>
  <c r="AF27" i="15"/>
  <c r="AE27" i="15"/>
  <c r="AD27" i="15"/>
  <c r="AF26" i="15"/>
  <c r="AE26" i="15"/>
  <c r="AD26" i="15"/>
  <c r="AF25" i="15"/>
  <c r="AE25" i="15"/>
  <c r="AC25" i="15" s="1"/>
  <c r="AD25" i="15"/>
  <c r="AF24" i="15"/>
  <c r="AE24" i="15"/>
  <c r="AD24" i="15"/>
  <c r="AF35" i="16"/>
  <c r="AE35" i="16"/>
  <c r="AD35" i="16"/>
  <c r="AC35" i="16" s="1"/>
  <c r="AF34" i="16"/>
  <c r="AC34" i="16" s="1"/>
  <c r="AE34" i="16"/>
  <c r="AD34" i="16"/>
  <c r="AF33" i="16"/>
  <c r="AE33" i="16"/>
  <c r="AD33" i="16"/>
  <c r="AF32" i="16"/>
  <c r="AE32" i="16"/>
  <c r="AD32" i="16"/>
  <c r="AC32" i="16" s="1"/>
  <c r="AF31" i="16"/>
  <c r="AE31" i="16"/>
  <c r="AD31" i="16"/>
  <c r="AF30" i="16"/>
  <c r="AE30" i="16"/>
  <c r="AD30" i="16"/>
  <c r="AF29" i="16"/>
  <c r="AE29" i="16"/>
  <c r="AC29" i="16" s="1"/>
  <c r="AD29" i="16"/>
  <c r="AF28" i="16"/>
  <c r="AE28" i="16"/>
  <c r="AD28" i="16"/>
  <c r="AF27" i="16"/>
  <c r="AE27" i="16"/>
  <c r="AD27" i="16"/>
  <c r="AC27" i="16" s="1"/>
  <c r="AF26" i="16"/>
  <c r="AC26" i="16" s="1"/>
  <c r="AE26" i="16"/>
  <c r="AD26" i="16"/>
  <c r="AF25" i="16"/>
  <c r="AE25" i="16"/>
  <c r="AD25" i="16"/>
  <c r="AF24" i="16"/>
  <c r="AE24" i="16"/>
  <c r="AD24" i="16"/>
  <c r="AC24" i="16" s="1"/>
  <c r="AF35" i="17"/>
  <c r="AE35" i="17"/>
  <c r="AD35" i="17"/>
  <c r="AF34" i="17"/>
  <c r="AE34" i="17"/>
  <c r="AD34" i="17"/>
  <c r="AF33" i="17"/>
  <c r="AE33" i="17"/>
  <c r="AC33" i="17" s="1"/>
  <c r="AD33" i="17"/>
  <c r="AF32" i="17"/>
  <c r="AE32" i="17"/>
  <c r="AD32" i="17"/>
  <c r="AF31" i="17"/>
  <c r="AE31" i="17"/>
  <c r="AD31" i="17"/>
  <c r="AC31" i="17" s="1"/>
  <c r="AF30" i="17"/>
  <c r="AC30" i="17" s="1"/>
  <c r="AE30" i="17"/>
  <c r="AD30" i="17"/>
  <c r="AF29" i="17"/>
  <c r="AE29" i="17"/>
  <c r="AD29" i="17"/>
  <c r="AF28" i="17"/>
  <c r="AE28" i="17"/>
  <c r="AD28" i="17"/>
  <c r="AC28" i="17" s="1"/>
  <c r="AF27" i="17"/>
  <c r="AE27" i="17"/>
  <c r="AD27" i="17"/>
  <c r="AF26" i="17"/>
  <c r="AE26" i="17"/>
  <c r="AD26" i="17"/>
  <c r="AF25" i="17"/>
  <c r="AE25" i="17"/>
  <c r="AC25" i="17" s="1"/>
  <c r="AD25" i="17"/>
  <c r="AF24" i="17"/>
  <c r="AE24" i="17"/>
  <c r="AD24" i="17"/>
  <c r="AF35" i="18"/>
  <c r="AE35" i="18"/>
  <c r="AD35" i="18"/>
  <c r="AC35" i="18" s="1"/>
  <c r="AF34" i="18"/>
  <c r="AC34" i="18" s="1"/>
  <c r="AE34" i="18"/>
  <c r="AD34" i="18"/>
  <c r="AF33" i="18"/>
  <c r="AE33" i="18"/>
  <c r="AD33" i="18"/>
  <c r="AF32" i="18"/>
  <c r="AE32" i="18"/>
  <c r="AD32" i="18"/>
  <c r="AC32" i="18" s="1"/>
  <c r="AF31" i="18"/>
  <c r="AE31" i="18"/>
  <c r="AD31" i="18"/>
  <c r="AF30" i="18"/>
  <c r="AE30" i="18"/>
  <c r="AD30" i="18"/>
  <c r="AF29" i="18"/>
  <c r="AE29" i="18"/>
  <c r="AC29" i="18" s="1"/>
  <c r="AD29" i="18"/>
  <c r="AF28" i="18"/>
  <c r="AE28" i="18"/>
  <c r="AD28" i="18"/>
  <c r="AF27" i="18"/>
  <c r="AE27" i="18"/>
  <c r="AD27" i="18"/>
  <c r="AC27" i="18" s="1"/>
  <c r="AF26" i="18"/>
  <c r="AC26" i="18" s="1"/>
  <c r="AE26" i="18"/>
  <c r="AD26" i="18"/>
  <c r="AF25" i="18"/>
  <c r="AE25" i="18"/>
  <c r="AD25" i="18"/>
  <c r="AF24" i="18"/>
  <c r="AE24" i="18"/>
  <c r="AD24" i="18"/>
  <c r="AC24" i="18" s="1"/>
  <c r="AF35" i="19"/>
  <c r="AE35" i="19"/>
  <c r="AD35" i="19"/>
  <c r="AF34" i="19"/>
  <c r="AE34" i="19"/>
  <c r="AD34" i="19"/>
  <c r="AF33" i="19"/>
  <c r="AE33" i="19"/>
  <c r="AC33" i="19" s="1"/>
  <c r="AD33" i="19"/>
  <c r="AF32" i="19"/>
  <c r="AE32" i="19"/>
  <c r="AD32" i="19"/>
  <c r="AF31" i="19"/>
  <c r="AE31" i="19"/>
  <c r="AD31" i="19"/>
  <c r="AC31" i="19" s="1"/>
  <c r="AF30" i="19"/>
  <c r="AC30" i="19" s="1"/>
  <c r="AE30" i="19"/>
  <c r="AD30" i="19"/>
  <c r="AF29" i="19"/>
  <c r="AE29" i="19"/>
  <c r="AD29" i="19"/>
  <c r="AF28" i="19"/>
  <c r="AE28" i="19"/>
  <c r="AD28" i="19"/>
  <c r="AC28" i="19" s="1"/>
  <c r="AF27" i="19"/>
  <c r="AE27" i="19"/>
  <c r="AD27" i="19"/>
  <c r="AF26" i="19"/>
  <c r="AE26" i="19"/>
  <c r="AD26" i="19"/>
  <c r="AF25" i="19"/>
  <c r="AE25" i="19"/>
  <c r="AC25" i="19" s="1"/>
  <c r="AD25" i="19"/>
  <c r="AF24" i="19"/>
  <c r="AE24" i="19"/>
  <c r="AD24" i="19"/>
  <c r="AF35" i="20"/>
  <c r="AE35" i="20"/>
  <c r="AD35" i="20"/>
  <c r="AC35" i="20" s="1"/>
  <c r="AF34" i="20"/>
  <c r="AC34" i="20" s="1"/>
  <c r="AE34" i="20"/>
  <c r="AD34" i="20"/>
  <c r="AF33" i="20"/>
  <c r="AE33" i="20"/>
  <c r="AD33" i="20"/>
  <c r="AF32" i="20"/>
  <c r="AE32" i="20"/>
  <c r="AD32" i="20"/>
  <c r="AC32" i="20" s="1"/>
  <c r="AF31" i="20"/>
  <c r="AE31" i="20"/>
  <c r="AD31" i="20"/>
  <c r="AF30" i="20"/>
  <c r="AE30" i="20"/>
  <c r="AD30" i="20"/>
  <c r="AF29" i="20"/>
  <c r="AE29" i="20"/>
  <c r="AC29" i="20" s="1"/>
  <c r="AD29" i="20"/>
  <c r="AF28" i="20"/>
  <c r="AE28" i="20"/>
  <c r="AD28" i="20"/>
  <c r="AF27" i="20"/>
  <c r="AE27" i="20"/>
  <c r="AD27" i="20"/>
  <c r="AC27" i="20" s="1"/>
  <c r="AF26" i="20"/>
  <c r="AC26" i="20" s="1"/>
  <c r="AE26" i="20"/>
  <c r="AD26" i="20"/>
  <c r="AF25" i="20"/>
  <c r="AE25" i="20"/>
  <c r="AD25" i="20"/>
  <c r="AF24" i="20"/>
  <c r="AE24" i="20"/>
  <c r="AD24" i="20"/>
  <c r="AC24" i="20" s="1"/>
  <c r="AF35" i="23"/>
  <c r="AE35" i="23"/>
  <c r="AD35" i="23"/>
  <c r="AF34" i="23"/>
  <c r="AE34" i="23"/>
  <c r="AD34" i="23"/>
  <c r="AF33" i="23"/>
  <c r="AE33" i="23"/>
  <c r="AC33" i="23" s="1"/>
  <c r="AD33" i="23"/>
  <c r="AF32" i="23"/>
  <c r="AE32" i="23"/>
  <c r="AD32" i="23"/>
  <c r="AF31" i="23"/>
  <c r="AE31" i="23"/>
  <c r="AD31" i="23"/>
  <c r="AF30" i="23"/>
  <c r="AC30" i="23" s="1"/>
  <c r="AE30" i="23"/>
  <c r="AD30" i="23"/>
  <c r="AF29" i="23"/>
  <c r="AE29" i="23"/>
  <c r="AD29" i="23"/>
  <c r="AF28" i="23"/>
  <c r="AE28" i="23"/>
  <c r="AD28" i="23"/>
  <c r="AC28" i="23" s="1"/>
  <c r="AF27" i="23"/>
  <c r="AE27" i="23"/>
  <c r="AD27" i="23"/>
  <c r="AF26" i="23"/>
  <c r="AE26" i="23"/>
  <c r="AD26" i="23"/>
  <c r="AF25" i="23"/>
  <c r="AE25" i="23"/>
  <c r="AC25" i="23" s="1"/>
  <c r="AD25" i="23"/>
  <c r="AF24" i="23"/>
  <c r="AE24" i="23"/>
  <c r="AD24" i="23"/>
  <c r="AF35" i="24"/>
  <c r="AG14" i="4" s="1"/>
  <c r="AE35" i="24"/>
  <c r="AF14" i="4" s="1"/>
  <c r="AD35" i="24"/>
  <c r="AF34" i="24"/>
  <c r="AE34" i="24"/>
  <c r="AD34" i="24"/>
  <c r="AF33" i="24"/>
  <c r="AE33" i="24"/>
  <c r="AD33" i="24"/>
  <c r="AF32" i="24"/>
  <c r="AE32" i="24"/>
  <c r="AF11" i="4" s="1"/>
  <c r="AD32" i="24"/>
  <c r="AF31" i="24"/>
  <c r="AE31" i="24"/>
  <c r="AD31" i="24"/>
  <c r="AF30" i="24"/>
  <c r="AE30" i="24"/>
  <c r="AD30" i="24"/>
  <c r="AF29" i="24"/>
  <c r="AE29" i="24"/>
  <c r="AD29" i="24"/>
  <c r="AF28" i="24"/>
  <c r="AE28" i="24"/>
  <c r="AD28" i="24"/>
  <c r="AF27" i="24"/>
  <c r="AG6" i="4" s="1"/>
  <c r="AE27" i="24"/>
  <c r="AD27" i="24"/>
  <c r="AF26" i="24"/>
  <c r="AE26" i="24"/>
  <c r="AD26" i="24"/>
  <c r="AE5" i="4" s="1"/>
  <c r="AF25" i="24"/>
  <c r="AE25" i="24"/>
  <c r="AD25" i="24"/>
  <c r="AE4" i="4" s="1"/>
  <c r="AF24" i="24"/>
  <c r="AE24" i="24"/>
  <c r="AD24" i="24"/>
  <c r="AF35" i="7"/>
  <c r="AE35" i="7"/>
  <c r="AD35" i="7"/>
  <c r="AF34" i="7"/>
  <c r="AE34" i="7"/>
  <c r="AD34" i="7"/>
  <c r="AF33" i="7"/>
  <c r="AE33" i="7"/>
  <c r="AC33" i="7" s="1"/>
  <c r="AD33" i="7"/>
  <c r="AF32" i="7"/>
  <c r="AE32" i="7"/>
  <c r="AD32" i="7"/>
  <c r="AF31" i="7"/>
  <c r="AE31" i="7"/>
  <c r="AD31" i="7"/>
  <c r="AF30" i="7"/>
  <c r="AC30" i="7" s="1"/>
  <c r="AE30" i="7"/>
  <c r="AD30" i="7"/>
  <c r="AF29" i="7"/>
  <c r="AE29" i="7"/>
  <c r="AD29" i="7"/>
  <c r="AF28" i="7"/>
  <c r="AE28" i="7"/>
  <c r="AD28" i="7"/>
  <c r="AC28" i="7" s="1"/>
  <c r="AF27" i="7"/>
  <c r="AE27" i="7"/>
  <c r="AD27" i="7"/>
  <c r="AF26" i="7"/>
  <c r="AE26" i="7"/>
  <c r="AD26" i="7"/>
  <c r="AC26" i="7" s="1"/>
  <c r="AF25" i="7"/>
  <c r="AE25" i="7"/>
  <c r="AC25" i="7" s="1"/>
  <c r="AD25" i="7"/>
  <c r="AF24" i="7"/>
  <c r="AE24" i="7"/>
  <c r="AD24" i="7"/>
  <c r="AF35" i="21"/>
  <c r="AE35" i="21"/>
  <c r="AD35" i="21"/>
  <c r="AF34" i="21"/>
  <c r="AE34" i="21"/>
  <c r="AF13" i="4" s="1"/>
  <c r="AD34" i="21"/>
  <c r="AF33" i="21"/>
  <c r="AE33" i="21"/>
  <c r="AC33" i="21" s="1"/>
  <c r="AD33" i="21"/>
  <c r="AF32" i="21"/>
  <c r="AE32" i="21"/>
  <c r="AD32" i="21"/>
  <c r="AF31" i="21"/>
  <c r="AE31" i="21"/>
  <c r="AD31" i="21"/>
  <c r="AC31" i="21" s="1"/>
  <c r="AF30" i="21"/>
  <c r="AC30" i="21" s="1"/>
  <c r="AE30" i="21"/>
  <c r="AD30" i="21"/>
  <c r="AF29" i="21"/>
  <c r="AE29" i="21"/>
  <c r="AD29" i="21"/>
  <c r="AF28" i="21"/>
  <c r="AE28" i="21"/>
  <c r="AD28" i="21"/>
  <c r="AC28" i="21" s="1"/>
  <c r="AF27" i="21"/>
  <c r="AE27" i="21"/>
  <c r="AC27" i="21" s="1"/>
  <c r="AD27" i="21"/>
  <c r="AF26" i="21"/>
  <c r="AE26" i="21"/>
  <c r="AD26" i="21"/>
  <c r="AF25" i="21"/>
  <c r="AE25" i="21"/>
  <c r="AC25" i="21" s="1"/>
  <c r="AD25" i="21"/>
  <c r="AF24" i="21"/>
  <c r="AE24" i="21"/>
  <c r="AD24" i="21"/>
  <c r="AD30" i="22"/>
  <c r="AC30" i="22"/>
  <c r="AF35" i="22"/>
  <c r="AE35" i="22"/>
  <c r="AD35" i="22"/>
  <c r="AF34" i="22"/>
  <c r="AE34" i="22"/>
  <c r="AC34" i="22" s="1"/>
  <c r="AD34" i="22"/>
  <c r="AF33" i="22"/>
  <c r="AE33" i="22"/>
  <c r="AD33" i="22"/>
  <c r="AF32" i="22"/>
  <c r="AE32" i="22"/>
  <c r="AD32" i="22"/>
  <c r="AF31" i="22"/>
  <c r="AE31" i="22"/>
  <c r="AD31" i="22"/>
  <c r="AC31" i="22" s="1"/>
  <c r="AF30" i="22"/>
  <c r="AE30" i="22"/>
  <c r="AF29" i="22"/>
  <c r="AE29" i="22"/>
  <c r="AD29" i="22"/>
  <c r="AF28" i="22"/>
  <c r="AE28" i="22"/>
  <c r="AD28" i="22"/>
  <c r="AC28" i="22" s="1"/>
  <c r="AF27" i="22"/>
  <c r="AE27" i="22"/>
  <c r="AD27" i="22"/>
  <c r="AF26" i="22"/>
  <c r="AE26" i="22"/>
  <c r="AD26" i="22"/>
  <c r="AF25" i="22"/>
  <c r="AE25" i="22"/>
  <c r="AD25" i="22"/>
  <c r="AF24" i="22"/>
  <c r="AE24" i="22"/>
  <c r="AD24" i="22"/>
  <c r="AE8" i="4"/>
  <c r="AF10" i="4"/>
  <c r="AG7" i="4"/>
  <c r="AC32" i="22"/>
  <c r="AC26" i="22"/>
  <c r="AC35" i="22"/>
  <c r="AC35" i="7"/>
  <c r="AC34" i="7"/>
  <c r="AC32" i="7"/>
  <c r="AC31" i="7"/>
  <c r="AC29" i="7"/>
  <c r="AC27" i="7"/>
  <c r="AC24" i="7"/>
  <c r="AC31" i="24"/>
  <c r="AC35" i="23"/>
  <c r="AC34" i="23"/>
  <c r="AC32" i="23"/>
  <c r="AC31" i="23"/>
  <c r="AC29" i="23"/>
  <c r="AC27" i="23"/>
  <c r="AC26" i="23"/>
  <c r="AC24" i="23"/>
  <c r="AC35" i="21"/>
  <c r="AC34" i="21"/>
  <c r="AC32" i="21"/>
  <c r="AC29" i="21"/>
  <c r="AC26" i="21"/>
  <c r="AC24" i="21"/>
  <c r="AC33" i="20"/>
  <c r="AC31" i="20"/>
  <c r="AC30" i="20"/>
  <c r="AC28" i="20"/>
  <c r="AC25" i="20"/>
  <c r="AC35" i="19"/>
  <c r="AC34" i="19"/>
  <c r="AC32" i="19"/>
  <c r="AC29" i="19"/>
  <c r="AC27" i="19"/>
  <c r="AC26" i="19"/>
  <c r="AC24" i="19"/>
  <c r="AC33" i="18"/>
  <c r="AC31" i="18"/>
  <c r="AC30" i="18"/>
  <c r="AC28" i="18"/>
  <c r="AC25" i="18"/>
  <c r="AC35" i="17"/>
  <c r="AC34" i="17"/>
  <c r="AC32" i="17"/>
  <c r="AC29" i="17"/>
  <c r="AC27" i="17"/>
  <c r="AC26" i="17"/>
  <c r="AC24" i="17"/>
  <c r="AC33" i="16"/>
  <c r="AC31" i="16"/>
  <c r="AC30" i="16"/>
  <c r="AC28" i="16"/>
  <c r="AC25" i="16"/>
  <c r="AC35" i="15"/>
  <c r="AC34" i="15"/>
  <c r="AC32" i="15"/>
  <c r="AC29" i="15"/>
  <c r="AC27" i="15"/>
  <c r="AC26" i="15"/>
  <c r="AC24" i="15"/>
  <c r="AC33" i="14"/>
  <c r="AC31" i="14"/>
  <c r="AC30" i="14"/>
  <c r="AC28" i="14"/>
  <c r="AC25" i="14"/>
  <c r="AC35" i="13"/>
  <c r="AC34" i="13"/>
  <c r="AC32" i="13"/>
  <c r="AC29" i="13"/>
  <c r="AC27" i="13"/>
  <c r="AC26" i="13"/>
  <c r="AC24" i="13"/>
  <c r="AC33" i="12"/>
  <c r="AC31" i="12"/>
  <c r="AC30" i="12"/>
  <c r="AC28" i="12"/>
  <c r="AC25" i="12"/>
  <c r="AC24" i="11"/>
  <c r="AC26" i="11"/>
  <c r="AC27" i="11"/>
  <c r="AC29" i="11"/>
  <c r="AC30" i="11"/>
  <c r="AC32" i="11"/>
  <c r="AC34" i="11"/>
  <c r="AC35" i="11"/>
  <c r="B21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B45" i="24"/>
  <c r="T44" i="24"/>
  <c r="Z39" i="24"/>
  <c r="Y39" i="24"/>
  <c r="X39" i="24"/>
  <c r="Z38" i="24"/>
  <c r="Y38" i="24"/>
  <c r="X38" i="24"/>
  <c r="Z37" i="24"/>
  <c r="Y37" i="24"/>
  <c r="X37" i="24"/>
  <c r="Z36" i="24"/>
  <c r="Y36" i="24"/>
  <c r="X36" i="24"/>
  <c r="Z35" i="24"/>
  <c r="Y35" i="24"/>
  <c r="X35" i="24"/>
  <c r="Z34" i="24"/>
  <c r="Y34" i="24"/>
  <c r="X34" i="24"/>
  <c r="Z33" i="24"/>
  <c r="Y33" i="24"/>
  <c r="X33" i="24"/>
  <c r="Z32" i="24"/>
  <c r="Y32" i="24"/>
  <c r="X32" i="24"/>
  <c r="Z31" i="24"/>
  <c r="Y31" i="24"/>
  <c r="X31" i="24"/>
  <c r="Z30" i="24"/>
  <c r="Y30" i="24"/>
  <c r="X30" i="24"/>
  <c r="Z29" i="24"/>
  <c r="Y29" i="24"/>
  <c r="X29" i="24"/>
  <c r="Z28" i="24"/>
  <c r="Y28" i="24"/>
  <c r="X28" i="24"/>
  <c r="Z27" i="24"/>
  <c r="Y27" i="24"/>
  <c r="X27" i="24"/>
  <c r="Z26" i="24"/>
  <c r="Y26" i="24"/>
  <c r="X26" i="24"/>
  <c r="Z25" i="24"/>
  <c r="Y25" i="24"/>
  <c r="X25" i="24"/>
  <c r="Z24" i="24"/>
  <c r="Y24" i="24"/>
  <c r="X24" i="24"/>
  <c r="Z23" i="24"/>
  <c r="Y23" i="24"/>
  <c r="X23" i="24"/>
  <c r="Z22" i="24"/>
  <c r="Y22" i="24"/>
  <c r="X22" i="24"/>
  <c r="Z21" i="24"/>
  <c r="Y21" i="24"/>
  <c r="X21" i="24"/>
  <c r="Z20" i="24"/>
  <c r="Y20" i="24"/>
  <c r="X20" i="24"/>
  <c r="Z19" i="24"/>
  <c r="Y19" i="24"/>
  <c r="X19" i="24"/>
  <c r="U19" i="24"/>
  <c r="U39" i="24" s="1"/>
  <c r="T19" i="24"/>
  <c r="T39" i="24" s="1"/>
  <c r="S19" i="24"/>
  <c r="S39" i="24" s="1"/>
  <c r="Z18" i="24"/>
  <c r="Y18" i="24"/>
  <c r="X18" i="24"/>
  <c r="U18" i="24"/>
  <c r="R18" i="24" s="1"/>
  <c r="R38" i="24" s="1"/>
  <c r="T18" i="24"/>
  <c r="T38" i="24" s="1"/>
  <c r="S18" i="24"/>
  <c r="S38" i="24" s="1"/>
  <c r="Z17" i="24"/>
  <c r="Y17" i="24"/>
  <c r="X17" i="24"/>
  <c r="U17" i="24"/>
  <c r="U37" i="24" s="1"/>
  <c r="T17" i="24"/>
  <c r="T37" i="24" s="1"/>
  <c r="S17" i="24"/>
  <c r="S37" i="24" s="1"/>
  <c r="Z16" i="24"/>
  <c r="Y16" i="24"/>
  <c r="X16" i="24"/>
  <c r="U16" i="24"/>
  <c r="R16" i="24" s="1"/>
  <c r="R36" i="24" s="1"/>
  <c r="T16" i="24"/>
  <c r="T36" i="24" s="1"/>
  <c r="S16" i="24"/>
  <c r="S36" i="24" s="1"/>
  <c r="Z15" i="24"/>
  <c r="Y15" i="24"/>
  <c r="X15" i="24"/>
  <c r="U15" i="24"/>
  <c r="U35" i="24" s="1"/>
  <c r="T15" i="24"/>
  <c r="T35" i="24" s="1"/>
  <c r="S15" i="24"/>
  <c r="S35" i="24" s="1"/>
  <c r="Z14" i="24"/>
  <c r="Y14" i="24"/>
  <c r="X14" i="24"/>
  <c r="U14" i="24"/>
  <c r="U34" i="24" s="1"/>
  <c r="T14" i="24"/>
  <c r="T34" i="24" s="1"/>
  <c r="S14" i="24"/>
  <c r="S34" i="24" s="1"/>
  <c r="Z13" i="24"/>
  <c r="Y13" i="24"/>
  <c r="X13" i="24"/>
  <c r="U13" i="24"/>
  <c r="U33" i="24" s="1"/>
  <c r="T13" i="24"/>
  <c r="T33" i="24" s="1"/>
  <c r="S13" i="24"/>
  <c r="S33" i="24" s="1"/>
  <c r="Z12" i="24"/>
  <c r="Y12" i="24"/>
  <c r="X12" i="24"/>
  <c r="U12" i="24"/>
  <c r="U32" i="24" s="1"/>
  <c r="T12" i="24"/>
  <c r="T32" i="24" s="1"/>
  <c r="S12" i="24"/>
  <c r="S32" i="24" s="1"/>
  <c r="Z11" i="24"/>
  <c r="Y11" i="24"/>
  <c r="X11" i="24"/>
  <c r="U11" i="24"/>
  <c r="U31" i="24" s="1"/>
  <c r="T11" i="24"/>
  <c r="T31" i="24" s="1"/>
  <c r="S11" i="24"/>
  <c r="S31" i="24" s="1"/>
  <c r="Z10" i="24"/>
  <c r="Y10" i="24"/>
  <c r="X10" i="24"/>
  <c r="U10" i="24"/>
  <c r="R10" i="24" s="1"/>
  <c r="R30" i="24" s="1"/>
  <c r="T10" i="24"/>
  <c r="T30" i="24" s="1"/>
  <c r="S10" i="24"/>
  <c r="S30" i="24" s="1"/>
  <c r="Z9" i="24"/>
  <c r="Y9" i="24"/>
  <c r="X9" i="24"/>
  <c r="U9" i="24"/>
  <c r="U29" i="24" s="1"/>
  <c r="T9" i="24"/>
  <c r="T29" i="24" s="1"/>
  <c r="S9" i="24"/>
  <c r="S29" i="24" s="1"/>
  <c r="Z8" i="24"/>
  <c r="Y8" i="24"/>
  <c r="X8" i="24"/>
  <c r="U8" i="24"/>
  <c r="R8" i="24" s="1"/>
  <c r="R28" i="24" s="1"/>
  <c r="T8" i="24"/>
  <c r="T28" i="24" s="1"/>
  <c r="S8" i="24"/>
  <c r="S28" i="24" s="1"/>
  <c r="Z7" i="24"/>
  <c r="Y7" i="24"/>
  <c r="X7" i="24"/>
  <c r="U7" i="24"/>
  <c r="U27" i="24" s="1"/>
  <c r="T7" i="24"/>
  <c r="T27" i="24" s="1"/>
  <c r="S7" i="24"/>
  <c r="S27" i="24" s="1"/>
  <c r="Z6" i="24"/>
  <c r="Y6" i="24"/>
  <c r="X6" i="24"/>
  <c r="U6" i="24"/>
  <c r="U26" i="24" s="1"/>
  <c r="T6" i="24"/>
  <c r="T26" i="24" s="1"/>
  <c r="S6" i="24"/>
  <c r="S26" i="24" s="1"/>
  <c r="Z5" i="24"/>
  <c r="Y5" i="24"/>
  <c r="X5" i="24"/>
  <c r="U5" i="24"/>
  <c r="U25" i="24" s="1"/>
  <c r="T5" i="24"/>
  <c r="T25" i="24" s="1"/>
  <c r="S5" i="24"/>
  <c r="S25" i="24" s="1"/>
  <c r="M5" i="24"/>
  <c r="L5" i="24"/>
  <c r="I45" i="24" s="1"/>
  <c r="I21" i="3" s="1"/>
  <c r="Z4" i="24"/>
  <c r="Y4" i="24"/>
  <c r="X4" i="24"/>
  <c r="M45" i="24" s="1"/>
  <c r="M21" i="3" s="1"/>
  <c r="U4" i="24"/>
  <c r="R4" i="24" s="1"/>
  <c r="R24" i="24" s="1"/>
  <c r="T4" i="24"/>
  <c r="T24" i="24" s="1"/>
  <c r="S4" i="24"/>
  <c r="S24" i="24" s="1"/>
  <c r="M4" i="24"/>
  <c r="L4" i="24"/>
  <c r="L45" i="24" s="1"/>
  <c r="L21" i="3" s="1"/>
  <c r="U3" i="24"/>
  <c r="U23" i="24" s="1"/>
  <c r="T3" i="24"/>
  <c r="T23" i="24" s="1"/>
  <c r="S3" i="24"/>
  <c r="S23" i="24" s="1"/>
  <c r="M3" i="24"/>
  <c r="L3" i="24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B20" i="3"/>
  <c r="B45" i="23"/>
  <c r="T44" i="23"/>
  <c r="Z39" i="23"/>
  <c r="Y39" i="23"/>
  <c r="X39" i="23"/>
  <c r="Z38" i="23"/>
  <c r="Y38" i="23"/>
  <c r="X38" i="23"/>
  <c r="Z37" i="23"/>
  <c r="Y37" i="23"/>
  <c r="X37" i="23"/>
  <c r="Z36" i="23"/>
  <c r="Y36" i="23"/>
  <c r="X36" i="23"/>
  <c r="Z35" i="23"/>
  <c r="Y35" i="23"/>
  <c r="X35" i="23"/>
  <c r="Z34" i="23"/>
  <c r="Y34" i="23"/>
  <c r="X34" i="23"/>
  <c r="Z33" i="23"/>
  <c r="Y33" i="23"/>
  <c r="X33" i="23"/>
  <c r="Z32" i="23"/>
  <c r="Y32" i="23"/>
  <c r="X32" i="23"/>
  <c r="Z31" i="23"/>
  <c r="Y31" i="23"/>
  <c r="X31" i="23"/>
  <c r="Z30" i="23"/>
  <c r="Y30" i="23"/>
  <c r="X30" i="23"/>
  <c r="Z29" i="23"/>
  <c r="Y29" i="23"/>
  <c r="X29" i="23"/>
  <c r="Z28" i="23"/>
  <c r="Y28" i="23"/>
  <c r="X28" i="23"/>
  <c r="Z27" i="23"/>
  <c r="Y27" i="23"/>
  <c r="X27" i="23"/>
  <c r="Z26" i="23"/>
  <c r="Y26" i="23"/>
  <c r="X26" i="23"/>
  <c r="Z25" i="23"/>
  <c r="Y25" i="23"/>
  <c r="X25" i="23"/>
  <c r="Z24" i="23"/>
  <c r="Y24" i="23"/>
  <c r="X24" i="23"/>
  <c r="Z23" i="23"/>
  <c r="Y23" i="23"/>
  <c r="X23" i="23"/>
  <c r="Z22" i="23"/>
  <c r="Y22" i="23"/>
  <c r="X22" i="23"/>
  <c r="Z21" i="23"/>
  <c r="Y21" i="23"/>
  <c r="X21" i="23"/>
  <c r="Z20" i="23"/>
  <c r="Y20" i="23"/>
  <c r="X20" i="23"/>
  <c r="Z19" i="23"/>
  <c r="Y19" i="23"/>
  <c r="X19" i="23"/>
  <c r="U19" i="23"/>
  <c r="U39" i="23" s="1"/>
  <c r="T19" i="23"/>
  <c r="T39" i="23" s="1"/>
  <c r="S19" i="23"/>
  <c r="S39" i="23" s="1"/>
  <c r="Z18" i="23"/>
  <c r="Y18" i="23"/>
  <c r="X18" i="23"/>
  <c r="U18" i="23"/>
  <c r="U38" i="23" s="1"/>
  <c r="T18" i="23"/>
  <c r="T38" i="23" s="1"/>
  <c r="S18" i="23"/>
  <c r="S38" i="23" s="1"/>
  <c r="Z17" i="23"/>
  <c r="Y17" i="23"/>
  <c r="X17" i="23"/>
  <c r="U17" i="23"/>
  <c r="R17" i="23" s="1"/>
  <c r="R37" i="23" s="1"/>
  <c r="T17" i="23"/>
  <c r="T37" i="23" s="1"/>
  <c r="S17" i="23"/>
  <c r="S37" i="23" s="1"/>
  <c r="Z16" i="23"/>
  <c r="Y16" i="23"/>
  <c r="X16" i="23"/>
  <c r="U16" i="23"/>
  <c r="R16" i="23" s="1"/>
  <c r="R36" i="23" s="1"/>
  <c r="T16" i="23"/>
  <c r="T36" i="23" s="1"/>
  <c r="S16" i="23"/>
  <c r="S36" i="23" s="1"/>
  <c r="Z15" i="23"/>
  <c r="Y15" i="23"/>
  <c r="X15" i="23"/>
  <c r="U15" i="23"/>
  <c r="U35" i="23" s="1"/>
  <c r="T15" i="23"/>
  <c r="T35" i="23" s="1"/>
  <c r="S15" i="23"/>
  <c r="S35" i="23" s="1"/>
  <c r="Z14" i="23"/>
  <c r="Y14" i="23"/>
  <c r="X14" i="23"/>
  <c r="U14" i="23"/>
  <c r="U34" i="23" s="1"/>
  <c r="T14" i="23"/>
  <c r="T34" i="23" s="1"/>
  <c r="S14" i="23"/>
  <c r="S34" i="23" s="1"/>
  <c r="Z13" i="23"/>
  <c r="Y13" i="23"/>
  <c r="X13" i="23"/>
  <c r="U13" i="23"/>
  <c r="U33" i="23" s="1"/>
  <c r="T13" i="23"/>
  <c r="T33" i="23" s="1"/>
  <c r="S13" i="23"/>
  <c r="S33" i="23" s="1"/>
  <c r="R13" i="23"/>
  <c r="R33" i="23" s="1"/>
  <c r="Z12" i="23"/>
  <c r="Y12" i="23"/>
  <c r="X12" i="23"/>
  <c r="U12" i="23"/>
  <c r="U32" i="23" s="1"/>
  <c r="T12" i="23"/>
  <c r="T32" i="23" s="1"/>
  <c r="S12" i="23"/>
  <c r="S32" i="23" s="1"/>
  <c r="Z11" i="23"/>
  <c r="Y11" i="23"/>
  <c r="X11" i="23"/>
  <c r="U11" i="23"/>
  <c r="U31" i="23" s="1"/>
  <c r="T11" i="23"/>
  <c r="T31" i="23" s="1"/>
  <c r="S11" i="23"/>
  <c r="S31" i="23" s="1"/>
  <c r="R11" i="23"/>
  <c r="R31" i="23" s="1"/>
  <c r="Z10" i="23"/>
  <c r="Y10" i="23"/>
  <c r="X10" i="23"/>
  <c r="U10" i="23"/>
  <c r="U30" i="23" s="1"/>
  <c r="T10" i="23"/>
  <c r="T30" i="23" s="1"/>
  <c r="S10" i="23"/>
  <c r="S30" i="23" s="1"/>
  <c r="R10" i="23"/>
  <c r="R30" i="23" s="1"/>
  <c r="Z9" i="23"/>
  <c r="Y9" i="23"/>
  <c r="X9" i="23"/>
  <c r="U9" i="23"/>
  <c r="U29" i="23" s="1"/>
  <c r="T9" i="23"/>
  <c r="T29" i="23" s="1"/>
  <c r="S9" i="23"/>
  <c r="S29" i="23" s="1"/>
  <c r="Z8" i="23"/>
  <c r="Y8" i="23"/>
  <c r="X8" i="23"/>
  <c r="U8" i="23"/>
  <c r="R8" i="23" s="1"/>
  <c r="R28" i="23" s="1"/>
  <c r="T8" i="23"/>
  <c r="T28" i="23" s="1"/>
  <c r="S8" i="23"/>
  <c r="S28" i="23" s="1"/>
  <c r="Z7" i="23"/>
  <c r="Y7" i="23"/>
  <c r="X7" i="23"/>
  <c r="U7" i="23"/>
  <c r="U27" i="23" s="1"/>
  <c r="T7" i="23"/>
  <c r="T27" i="23" s="1"/>
  <c r="S7" i="23"/>
  <c r="S27" i="23" s="1"/>
  <c r="R7" i="23"/>
  <c r="R27" i="23" s="1"/>
  <c r="Z6" i="23"/>
  <c r="Y6" i="23"/>
  <c r="X6" i="23"/>
  <c r="U6" i="23"/>
  <c r="U26" i="23" s="1"/>
  <c r="T6" i="23"/>
  <c r="T26" i="23" s="1"/>
  <c r="S6" i="23"/>
  <c r="S26" i="23" s="1"/>
  <c r="Z5" i="23"/>
  <c r="Y5" i="23"/>
  <c r="X5" i="23"/>
  <c r="U5" i="23"/>
  <c r="U25" i="23" s="1"/>
  <c r="T5" i="23"/>
  <c r="T25" i="23" s="1"/>
  <c r="S5" i="23"/>
  <c r="S25" i="23" s="1"/>
  <c r="R5" i="23"/>
  <c r="R25" i="23" s="1"/>
  <c r="M5" i="23"/>
  <c r="L5" i="23"/>
  <c r="I45" i="23" s="1"/>
  <c r="Z4" i="23"/>
  <c r="Y4" i="23"/>
  <c r="X4" i="23"/>
  <c r="U4" i="23"/>
  <c r="R4" i="23" s="1"/>
  <c r="R24" i="23" s="1"/>
  <c r="T4" i="23"/>
  <c r="T24" i="23" s="1"/>
  <c r="S4" i="23"/>
  <c r="S24" i="23" s="1"/>
  <c r="M4" i="23"/>
  <c r="L4" i="23"/>
  <c r="L45" i="23" s="1"/>
  <c r="U3" i="23"/>
  <c r="U23" i="23" s="1"/>
  <c r="T3" i="23"/>
  <c r="T23" i="23" s="1"/>
  <c r="S3" i="23"/>
  <c r="S23" i="23" s="1"/>
  <c r="M3" i="23"/>
  <c r="L3" i="23"/>
  <c r="E45" i="23" s="1"/>
  <c r="B19" i="3"/>
  <c r="B45" i="22"/>
  <c r="T44" i="22"/>
  <c r="Z39" i="22"/>
  <c r="Y39" i="22"/>
  <c r="X39" i="22"/>
  <c r="Z38" i="22"/>
  <c r="Y38" i="22"/>
  <c r="X38" i="22"/>
  <c r="Z37" i="22"/>
  <c r="Y37" i="22"/>
  <c r="X37" i="22"/>
  <c r="Z36" i="22"/>
  <c r="Y36" i="22"/>
  <c r="X36" i="22"/>
  <c r="Z35" i="22"/>
  <c r="Y35" i="22"/>
  <c r="X35" i="22"/>
  <c r="Z34" i="22"/>
  <c r="Y34" i="22"/>
  <c r="X34" i="22"/>
  <c r="Z33" i="22"/>
  <c r="Y33" i="22"/>
  <c r="X33" i="22"/>
  <c r="Z32" i="22"/>
  <c r="Y32" i="22"/>
  <c r="X32" i="22"/>
  <c r="Z31" i="22"/>
  <c r="Y31" i="22"/>
  <c r="X31" i="22"/>
  <c r="Z30" i="22"/>
  <c r="Y30" i="22"/>
  <c r="X30" i="22"/>
  <c r="Z29" i="22"/>
  <c r="Y29" i="22"/>
  <c r="X29" i="22"/>
  <c r="Z28" i="22"/>
  <c r="Y28" i="22"/>
  <c r="X28" i="22"/>
  <c r="Z27" i="22"/>
  <c r="Y27" i="22"/>
  <c r="X27" i="22"/>
  <c r="Z26" i="22"/>
  <c r="Y26" i="22"/>
  <c r="X26" i="22"/>
  <c r="Z25" i="22"/>
  <c r="Y25" i="22"/>
  <c r="X25" i="22"/>
  <c r="Z24" i="22"/>
  <c r="Y24" i="22"/>
  <c r="X24" i="22"/>
  <c r="Z23" i="22"/>
  <c r="Y23" i="22"/>
  <c r="X23" i="22"/>
  <c r="Z22" i="22"/>
  <c r="Y22" i="22"/>
  <c r="X22" i="22"/>
  <c r="Z21" i="22"/>
  <c r="Y21" i="22"/>
  <c r="X21" i="22"/>
  <c r="Z20" i="22"/>
  <c r="Y20" i="22"/>
  <c r="X20" i="22"/>
  <c r="Z19" i="22"/>
  <c r="Y19" i="22"/>
  <c r="X19" i="22"/>
  <c r="U19" i="22"/>
  <c r="U39" i="22" s="1"/>
  <c r="T19" i="22"/>
  <c r="T39" i="22" s="1"/>
  <c r="S19" i="22"/>
  <c r="S39" i="22" s="1"/>
  <c r="Z18" i="22"/>
  <c r="Y18" i="22"/>
  <c r="X18" i="22"/>
  <c r="U18" i="22"/>
  <c r="U38" i="22" s="1"/>
  <c r="T18" i="22"/>
  <c r="T38" i="22" s="1"/>
  <c r="S18" i="22"/>
  <c r="S38" i="22" s="1"/>
  <c r="Z17" i="22"/>
  <c r="Y17" i="22"/>
  <c r="X17" i="22"/>
  <c r="U17" i="22"/>
  <c r="U37" i="22" s="1"/>
  <c r="T17" i="22"/>
  <c r="T37" i="22" s="1"/>
  <c r="S17" i="22"/>
  <c r="S37" i="22" s="1"/>
  <c r="Z16" i="22"/>
  <c r="Y16" i="22"/>
  <c r="X16" i="22"/>
  <c r="U16" i="22"/>
  <c r="U36" i="22" s="1"/>
  <c r="T16" i="22"/>
  <c r="T36" i="22" s="1"/>
  <c r="S16" i="22"/>
  <c r="S36" i="22" s="1"/>
  <c r="Z15" i="22"/>
  <c r="Y15" i="22"/>
  <c r="X15" i="22"/>
  <c r="U15" i="22"/>
  <c r="U35" i="22" s="1"/>
  <c r="T15" i="22"/>
  <c r="T35" i="22" s="1"/>
  <c r="S15" i="22"/>
  <c r="S35" i="22" s="1"/>
  <c r="Z14" i="22"/>
  <c r="Y14" i="22"/>
  <c r="X14" i="22"/>
  <c r="U14" i="22"/>
  <c r="U34" i="22" s="1"/>
  <c r="T14" i="22"/>
  <c r="T34" i="22" s="1"/>
  <c r="S14" i="22"/>
  <c r="S34" i="22" s="1"/>
  <c r="Z13" i="22"/>
  <c r="Y13" i="22"/>
  <c r="X13" i="22"/>
  <c r="U13" i="22"/>
  <c r="U33" i="22" s="1"/>
  <c r="T13" i="22"/>
  <c r="T33" i="22" s="1"/>
  <c r="S13" i="22"/>
  <c r="S33" i="22" s="1"/>
  <c r="Z12" i="22"/>
  <c r="Y12" i="22"/>
  <c r="X12" i="22"/>
  <c r="U12" i="22"/>
  <c r="U32" i="22" s="1"/>
  <c r="T12" i="22"/>
  <c r="T32" i="22" s="1"/>
  <c r="S12" i="22"/>
  <c r="S32" i="22" s="1"/>
  <c r="Z11" i="22"/>
  <c r="Y11" i="22"/>
  <c r="X11" i="22"/>
  <c r="U11" i="22"/>
  <c r="U31" i="22" s="1"/>
  <c r="T11" i="22"/>
  <c r="T31" i="22" s="1"/>
  <c r="S11" i="22"/>
  <c r="S31" i="22" s="1"/>
  <c r="R11" i="22"/>
  <c r="R31" i="22" s="1"/>
  <c r="Z10" i="22"/>
  <c r="Y10" i="22"/>
  <c r="X10" i="22"/>
  <c r="U10" i="22"/>
  <c r="U30" i="22" s="1"/>
  <c r="T10" i="22"/>
  <c r="T30" i="22" s="1"/>
  <c r="S10" i="22"/>
  <c r="S30" i="22" s="1"/>
  <c r="Z9" i="22"/>
  <c r="Y9" i="22"/>
  <c r="X9" i="22"/>
  <c r="U9" i="22"/>
  <c r="U29" i="22" s="1"/>
  <c r="T9" i="22"/>
  <c r="T29" i="22" s="1"/>
  <c r="S9" i="22"/>
  <c r="S29" i="22" s="1"/>
  <c r="R9" i="22"/>
  <c r="R29" i="22" s="1"/>
  <c r="Z8" i="22"/>
  <c r="Y8" i="22"/>
  <c r="X8" i="22"/>
  <c r="U8" i="22"/>
  <c r="U28" i="22" s="1"/>
  <c r="T8" i="22"/>
  <c r="T28" i="22" s="1"/>
  <c r="S8" i="22"/>
  <c r="S28" i="22" s="1"/>
  <c r="Z7" i="22"/>
  <c r="Y7" i="22"/>
  <c r="X7" i="22"/>
  <c r="U7" i="22"/>
  <c r="U27" i="22" s="1"/>
  <c r="T7" i="22"/>
  <c r="T27" i="22" s="1"/>
  <c r="S7" i="22"/>
  <c r="S27" i="22" s="1"/>
  <c r="Z6" i="22"/>
  <c r="Y6" i="22"/>
  <c r="X6" i="22"/>
  <c r="U6" i="22"/>
  <c r="U26" i="22" s="1"/>
  <c r="T6" i="22"/>
  <c r="T26" i="22" s="1"/>
  <c r="S6" i="22"/>
  <c r="S26" i="22" s="1"/>
  <c r="Z5" i="22"/>
  <c r="Y5" i="22"/>
  <c r="X5" i="22"/>
  <c r="U5" i="22"/>
  <c r="U25" i="22" s="1"/>
  <c r="T5" i="22"/>
  <c r="T25" i="22" s="1"/>
  <c r="S5" i="22"/>
  <c r="S25" i="22" s="1"/>
  <c r="M5" i="22"/>
  <c r="L5" i="22"/>
  <c r="I45" i="22" s="1"/>
  <c r="I19" i="3" s="1"/>
  <c r="Z4" i="22"/>
  <c r="Y4" i="22"/>
  <c r="X4" i="22"/>
  <c r="M45" i="22" s="1"/>
  <c r="M19" i="3" s="1"/>
  <c r="U4" i="22"/>
  <c r="U24" i="22" s="1"/>
  <c r="T4" i="22"/>
  <c r="T24" i="22" s="1"/>
  <c r="S4" i="22"/>
  <c r="S24" i="22" s="1"/>
  <c r="M4" i="22"/>
  <c r="L4" i="22"/>
  <c r="L45" i="22" s="1"/>
  <c r="L19" i="3" s="1"/>
  <c r="U3" i="22"/>
  <c r="U23" i="22" s="1"/>
  <c r="T3" i="22"/>
  <c r="T23" i="22" s="1"/>
  <c r="S3" i="22"/>
  <c r="S23" i="22" s="1"/>
  <c r="M3" i="22"/>
  <c r="L3" i="22"/>
  <c r="B18" i="3"/>
  <c r="B17" i="3"/>
  <c r="B45" i="21"/>
  <c r="T44" i="21"/>
  <c r="Z39" i="21"/>
  <c r="Y39" i="21"/>
  <c r="X39" i="21"/>
  <c r="Z38" i="21"/>
  <c r="Y38" i="21"/>
  <c r="X38" i="21"/>
  <c r="Z37" i="21"/>
  <c r="Y37" i="21"/>
  <c r="X37" i="21"/>
  <c r="Z36" i="21"/>
  <c r="Y36" i="21"/>
  <c r="X36" i="21"/>
  <c r="Z35" i="21"/>
  <c r="Y35" i="21"/>
  <c r="X35" i="21"/>
  <c r="Z34" i="21"/>
  <c r="Y34" i="21"/>
  <c r="X34" i="21"/>
  <c r="Z33" i="21"/>
  <c r="Y33" i="21"/>
  <c r="X33" i="21"/>
  <c r="Z32" i="21"/>
  <c r="Y32" i="21"/>
  <c r="X32" i="21"/>
  <c r="Z31" i="21"/>
  <c r="Y31" i="21"/>
  <c r="X31" i="21"/>
  <c r="Z30" i="21"/>
  <c r="Y30" i="21"/>
  <c r="X30" i="21"/>
  <c r="Z29" i="21"/>
  <c r="Y29" i="21"/>
  <c r="X29" i="21"/>
  <c r="Z28" i="21"/>
  <c r="Y28" i="21"/>
  <c r="X28" i="21"/>
  <c r="Z27" i="21"/>
  <c r="Y27" i="21"/>
  <c r="X27" i="21"/>
  <c r="Z26" i="21"/>
  <c r="Y26" i="21"/>
  <c r="X26" i="21"/>
  <c r="Z25" i="21"/>
  <c r="Y25" i="21"/>
  <c r="X25" i="21"/>
  <c r="Z24" i="21"/>
  <c r="Y24" i="21"/>
  <c r="X24" i="21"/>
  <c r="Z23" i="21"/>
  <c r="Y23" i="21"/>
  <c r="X23" i="21"/>
  <c r="Z22" i="21"/>
  <c r="Y22" i="21"/>
  <c r="X22" i="21"/>
  <c r="Z21" i="21"/>
  <c r="Y21" i="21"/>
  <c r="X21" i="21"/>
  <c r="Z20" i="21"/>
  <c r="Y20" i="21"/>
  <c r="X20" i="21"/>
  <c r="Z19" i="21"/>
  <c r="Y19" i="21"/>
  <c r="X19" i="21"/>
  <c r="U19" i="21"/>
  <c r="U39" i="21" s="1"/>
  <c r="T19" i="21"/>
  <c r="T39" i="21" s="1"/>
  <c r="S19" i="21"/>
  <c r="S39" i="21" s="1"/>
  <c r="Z18" i="21"/>
  <c r="Y18" i="21"/>
  <c r="X18" i="21"/>
  <c r="U18" i="21"/>
  <c r="U38" i="21" s="1"/>
  <c r="T18" i="21"/>
  <c r="T38" i="21" s="1"/>
  <c r="S18" i="21"/>
  <c r="S38" i="21" s="1"/>
  <c r="R18" i="21"/>
  <c r="R38" i="21" s="1"/>
  <c r="Z17" i="21"/>
  <c r="Y17" i="21"/>
  <c r="X17" i="21"/>
  <c r="U17" i="21"/>
  <c r="R17" i="21" s="1"/>
  <c r="R37" i="21" s="1"/>
  <c r="T17" i="21"/>
  <c r="T37" i="21" s="1"/>
  <c r="S17" i="21"/>
  <c r="S37" i="21" s="1"/>
  <c r="Z16" i="21"/>
  <c r="Y16" i="21"/>
  <c r="X16" i="21"/>
  <c r="U16" i="21"/>
  <c r="R16" i="21" s="1"/>
  <c r="R36" i="21" s="1"/>
  <c r="T16" i="21"/>
  <c r="T36" i="21" s="1"/>
  <c r="S16" i="21"/>
  <c r="S36" i="21" s="1"/>
  <c r="Z15" i="21"/>
  <c r="Y15" i="21"/>
  <c r="X15" i="21"/>
  <c r="U15" i="21"/>
  <c r="U35" i="21" s="1"/>
  <c r="T15" i="21"/>
  <c r="T35" i="21" s="1"/>
  <c r="S15" i="21"/>
  <c r="S35" i="21" s="1"/>
  <c r="Z14" i="21"/>
  <c r="Y14" i="21"/>
  <c r="X14" i="21"/>
  <c r="U14" i="21"/>
  <c r="U34" i="21" s="1"/>
  <c r="T14" i="21"/>
  <c r="T34" i="21" s="1"/>
  <c r="S14" i="21"/>
  <c r="S34" i="21" s="1"/>
  <c r="Z13" i="21"/>
  <c r="Y13" i="21"/>
  <c r="X13" i="21"/>
  <c r="U13" i="21"/>
  <c r="U33" i="21" s="1"/>
  <c r="T13" i="21"/>
  <c r="T33" i="21" s="1"/>
  <c r="S13" i="21"/>
  <c r="S33" i="21" s="1"/>
  <c r="Z12" i="21"/>
  <c r="Y12" i="21"/>
  <c r="X12" i="21"/>
  <c r="U12" i="21"/>
  <c r="U32" i="21" s="1"/>
  <c r="T12" i="21"/>
  <c r="T32" i="21" s="1"/>
  <c r="S12" i="21"/>
  <c r="S32" i="21" s="1"/>
  <c r="Z11" i="21"/>
  <c r="Y11" i="21"/>
  <c r="X11" i="21"/>
  <c r="U11" i="21"/>
  <c r="U31" i="21" s="1"/>
  <c r="T11" i="21"/>
  <c r="T31" i="21" s="1"/>
  <c r="S11" i="21"/>
  <c r="S31" i="21" s="1"/>
  <c r="Z10" i="21"/>
  <c r="Y10" i="21"/>
  <c r="X10" i="21"/>
  <c r="U10" i="21"/>
  <c r="U30" i="21" s="1"/>
  <c r="T10" i="21"/>
  <c r="T30" i="21" s="1"/>
  <c r="S10" i="21"/>
  <c r="S30" i="21" s="1"/>
  <c r="R10" i="21"/>
  <c r="R30" i="21" s="1"/>
  <c r="Z9" i="21"/>
  <c r="Y9" i="21"/>
  <c r="X9" i="21"/>
  <c r="U9" i="21"/>
  <c r="R9" i="21" s="1"/>
  <c r="R29" i="21" s="1"/>
  <c r="T9" i="21"/>
  <c r="T29" i="21" s="1"/>
  <c r="S9" i="21"/>
  <c r="S29" i="21" s="1"/>
  <c r="Z8" i="21"/>
  <c r="Y8" i="21"/>
  <c r="X8" i="21"/>
  <c r="U8" i="21"/>
  <c r="R8" i="21" s="1"/>
  <c r="R28" i="21" s="1"/>
  <c r="T8" i="21"/>
  <c r="T28" i="21" s="1"/>
  <c r="S8" i="21"/>
  <c r="S28" i="21" s="1"/>
  <c r="Z7" i="21"/>
  <c r="Y7" i="21"/>
  <c r="X7" i="21"/>
  <c r="U7" i="21"/>
  <c r="U27" i="21" s="1"/>
  <c r="T7" i="21"/>
  <c r="T27" i="21" s="1"/>
  <c r="S7" i="21"/>
  <c r="S27" i="21" s="1"/>
  <c r="R7" i="21"/>
  <c r="R27" i="21" s="1"/>
  <c r="Z6" i="21"/>
  <c r="Y6" i="21"/>
  <c r="X6" i="21"/>
  <c r="U6" i="21"/>
  <c r="U26" i="21" s="1"/>
  <c r="T6" i="21"/>
  <c r="T26" i="21" s="1"/>
  <c r="S6" i="21"/>
  <c r="S26" i="21" s="1"/>
  <c r="Z5" i="21"/>
  <c r="Y5" i="21"/>
  <c r="X5" i="21"/>
  <c r="U5" i="21"/>
  <c r="U25" i="21" s="1"/>
  <c r="T5" i="21"/>
  <c r="T25" i="21" s="1"/>
  <c r="S5" i="21"/>
  <c r="S25" i="21" s="1"/>
  <c r="M5" i="21"/>
  <c r="L5" i="21"/>
  <c r="I45" i="21" s="1"/>
  <c r="I18" i="3" s="1"/>
  <c r="Z4" i="21"/>
  <c r="Y4" i="21"/>
  <c r="X4" i="21"/>
  <c r="U4" i="21"/>
  <c r="R4" i="21" s="1"/>
  <c r="R24" i="21" s="1"/>
  <c r="T4" i="21"/>
  <c r="T24" i="21" s="1"/>
  <c r="S4" i="21"/>
  <c r="S24" i="21" s="1"/>
  <c r="M4" i="21"/>
  <c r="L4" i="21"/>
  <c r="L45" i="21" s="1"/>
  <c r="L18" i="3" s="1"/>
  <c r="U3" i="21"/>
  <c r="U23" i="21" s="1"/>
  <c r="T3" i="21"/>
  <c r="T23" i="21" s="1"/>
  <c r="S3" i="21"/>
  <c r="S23" i="21" s="1"/>
  <c r="M3" i="21"/>
  <c r="L3" i="21"/>
  <c r="B45" i="20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T46" i="28" l="1"/>
  <c r="N5" i="28"/>
  <c r="R7" i="28"/>
  <c r="R27" i="28" s="1"/>
  <c r="R15" i="28"/>
  <c r="R35" i="28" s="1"/>
  <c r="U30" i="28"/>
  <c r="U38" i="28"/>
  <c r="F45" i="28"/>
  <c r="N45" i="28"/>
  <c r="H45" i="28"/>
  <c r="U31" i="28"/>
  <c r="R19" i="28"/>
  <c r="R39" i="28" s="1"/>
  <c r="J45" i="28"/>
  <c r="N3" i="28"/>
  <c r="N4" i="28"/>
  <c r="C45" i="28"/>
  <c r="D45" i="28" s="1"/>
  <c r="U24" i="28"/>
  <c r="T48" i="28" s="1"/>
  <c r="R3" i="28"/>
  <c r="R23" i="28" s="1"/>
  <c r="T45" i="28" s="1"/>
  <c r="T47" i="27"/>
  <c r="R10" i="27"/>
  <c r="R15" i="27"/>
  <c r="AN85" i="3"/>
  <c r="AN83" i="3"/>
  <c r="AN81" i="3"/>
  <c r="AN79" i="3"/>
  <c r="AN77" i="3"/>
  <c r="AN75" i="3"/>
  <c r="AN73" i="3"/>
  <c r="AR73" i="3" s="1"/>
  <c r="AN71" i="3"/>
  <c r="AM85" i="3"/>
  <c r="AM83" i="3"/>
  <c r="AM81" i="3"/>
  <c r="AM79" i="3"/>
  <c r="AM77" i="3"/>
  <c r="AM75" i="3"/>
  <c r="AQ75" i="3" s="1"/>
  <c r="AM73" i="3"/>
  <c r="AQ73" i="3" s="1"/>
  <c r="AM71" i="3"/>
  <c r="G45" i="27"/>
  <c r="G24" i="3" s="1"/>
  <c r="AC31" i="27"/>
  <c r="AL83" i="3"/>
  <c r="AL79" i="3"/>
  <c r="AL77" i="3"/>
  <c r="AL75" i="3"/>
  <c r="AL73" i="3"/>
  <c r="AL71" i="3"/>
  <c r="O4" i="27"/>
  <c r="Q45" i="27" s="1"/>
  <c r="Q24" i="3" s="1"/>
  <c r="K45" i="27"/>
  <c r="K24" i="3" s="1"/>
  <c r="AC27" i="27"/>
  <c r="AO84" i="3"/>
  <c r="AO82" i="3"/>
  <c r="AO80" i="3"/>
  <c r="AO78" i="3"/>
  <c r="AS78" i="3" s="1"/>
  <c r="AO76" i="3"/>
  <c r="AO74" i="3"/>
  <c r="AO72" i="3"/>
  <c r="AO70" i="3"/>
  <c r="N4" i="27"/>
  <c r="AC26" i="27"/>
  <c r="AO69" i="3"/>
  <c r="AS69" i="3" s="1"/>
  <c r="AN84" i="3"/>
  <c r="AN82" i="3"/>
  <c r="AN80" i="3"/>
  <c r="AN78" i="3"/>
  <c r="AN76" i="3"/>
  <c r="AN74" i="3"/>
  <c r="AN72" i="3"/>
  <c r="AR72" i="3" s="1"/>
  <c r="AN70" i="3"/>
  <c r="AR70" i="3" s="1"/>
  <c r="N3" i="27"/>
  <c r="O5" i="27" s="1"/>
  <c r="P45" i="27" s="1"/>
  <c r="P24" i="3" s="1"/>
  <c r="AN69" i="3"/>
  <c r="AR69" i="3" s="1"/>
  <c r="AM84" i="3"/>
  <c r="AM82" i="3"/>
  <c r="AM80" i="3"/>
  <c r="AM78" i="3"/>
  <c r="AM76" i="3"/>
  <c r="AQ76" i="3" s="1"/>
  <c r="AM74" i="3"/>
  <c r="AQ74" i="3" s="1"/>
  <c r="AM72" i="3"/>
  <c r="AM70" i="3"/>
  <c r="AQ70" i="3" s="1"/>
  <c r="R3" i="27"/>
  <c r="AC29" i="27"/>
  <c r="AM69" i="3"/>
  <c r="AL84" i="3"/>
  <c r="AL82" i="3"/>
  <c r="AP82" i="3" s="1"/>
  <c r="AL80" i="3"/>
  <c r="AL74" i="3"/>
  <c r="AL72" i="3"/>
  <c r="AL70" i="3"/>
  <c r="AO85" i="3"/>
  <c r="AO83" i="3"/>
  <c r="AO81" i="3"/>
  <c r="AS81" i="3" s="1"/>
  <c r="AO79" i="3"/>
  <c r="AS79" i="3" s="1"/>
  <c r="AO77" i="3"/>
  <c r="AO75" i="3"/>
  <c r="AS75" i="3" s="1"/>
  <c r="AO73" i="3"/>
  <c r="AO71" i="3"/>
  <c r="T46" i="27"/>
  <c r="F45" i="27"/>
  <c r="F24" i="3" s="1"/>
  <c r="N45" i="27"/>
  <c r="N24" i="3" s="1"/>
  <c r="U25" i="27"/>
  <c r="T48" i="27" s="1"/>
  <c r="U33" i="27"/>
  <c r="U37" i="27"/>
  <c r="H45" i="27"/>
  <c r="H24" i="3" s="1"/>
  <c r="R12" i="27"/>
  <c r="U31" i="27"/>
  <c r="R19" i="27"/>
  <c r="J45" i="27"/>
  <c r="J24" i="3" s="1"/>
  <c r="U29" i="27"/>
  <c r="C45" i="27"/>
  <c r="AC34" i="26"/>
  <c r="M45" i="26"/>
  <c r="AC29" i="26"/>
  <c r="G45" i="26"/>
  <c r="R9" i="26"/>
  <c r="R29" i="26" s="1"/>
  <c r="K45" i="26"/>
  <c r="R8" i="26"/>
  <c r="R28" i="26" s="1"/>
  <c r="AC27" i="26"/>
  <c r="R7" i="26"/>
  <c r="R27" i="26" s="1"/>
  <c r="E45" i="26"/>
  <c r="R6" i="26"/>
  <c r="R26" i="26" s="1"/>
  <c r="AC26" i="26"/>
  <c r="AC31" i="26"/>
  <c r="AC35" i="26"/>
  <c r="T46" i="26"/>
  <c r="T47" i="26"/>
  <c r="U30" i="26"/>
  <c r="U38" i="26"/>
  <c r="F45" i="26"/>
  <c r="N45" i="26"/>
  <c r="U33" i="26"/>
  <c r="N5" i="26"/>
  <c r="O5" i="26" s="1"/>
  <c r="P45" i="26" s="1"/>
  <c r="H45" i="26"/>
  <c r="R12" i="26"/>
  <c r="R32" i="26" s="1"/>
  <c r="U31" i="26"/>
  <c r="R19" i="26"/>
  <c r="R39" i="26" s="1"/>
  <c r="J45" i="26"/>
  <c r="N3" i="26"/>
  <c r="O3" i="26" s="1"/>
  <c r="O45" i="26" s="1"/>
  <c r="N4" i="26"/>
  <c r="C45" i="26"/>
  <c r="D45" i="26" s="1"/>
  <c r="U24" i="26"/>
  <c r="R3" i="26"/>
  <c r="R23" i="26" s="1"/>
  <c r="G45" i="25"/>
  <c r="G22" i="3" s="1"/>
  <c r="R8" i="25"/>
  <c r="AS77" i="3"/>
  <c r="K45" i="25"/>
  <c r="K22" i="3" s="1"/>
  <c r="R18" i="25"/>
  <c r="AC27" i="25"/>
  <c r="AR81" i="3"/>
  <c r="AR77" i="3"/>
  <c r="N4" i="25"/>
  <c r="O4" i="25" s="1"/>
  <c r="Q45" i="25" s="1"/>
  <c r="Q22" i="3" s="1"/>
  <c r="AC31" i="25"/>
  <c r="AQ81" i="3"/>
  <c r="AQ79" i="3"/>
  <c r="AQ77" i="3"/>
  <c r="AC35" i="25"/>
  <c r="AP79" i="3"/>
  <c r="AP77" i="3"/>
  <c r="AP71" i="3"/>
  <c r="R3" i="25"/>
  <c r="AS82" i="3"/>
  <c r="AS80" i="3"/>
  <c r="AS74" i="3"/>
  <c r="R10" i="25"/>
  <c r="R15" i="25"/>
  <c r="AR80" i="3"/>
  <c r="R14" i="25"/>
  <c r="AQ84" i="3"/>
  <c r="AC28" i="25"/>
  <c r="AP70" i="3"/>
  <c r="AQ69" i="3"/>
  <c r="AR82" i="3"/>
  <c r="AQ82" i="3"/>
  <c r="AS76" i="3"/>
  <c r="AR76" i="3"/>
  <c r="AR75" i="3"/>
  <c r="AP75" i="3"/>
  <c r="AR74" i="3"/>
  <c r="AQ80" i="3"/>
  <c r="AR79" i="3"/>
  <c r="AP72" i="3"/>
  <c r="AS72" i="3"/>
  <c r="AQ72" i="3"/>
  <c r="AP73" i="3"/>
  <c r="AS73" i="3"/>
  <c r="AS85" i="3"/>
  <c r="AR85" i="3"/>
  <c r="AQ85" i="3"/>
  <c r="AR78" i="3"/>
  <c r="AQ78" i="3"/>
  <c r="AS71" i="3"/>
  <c r="AR71" i="3"/>
  <c r="AQ71" i="3"/>
  <c r="AS84" i="3"/>
  <c r="AR84" i="3"/>
  <c r="AS70" i="3"/>
  <c r="AS83" i="3"/>
  <c r="AR83" i="3"/>
  <c r="AQ83" i="3"/>
  <c r="AP83" i="3"/>
  <c r="T46" i="25"/>
  <c r="T47" i="25"/>
  <c r="N5" i="25"/>
  <c r="O5" i="25" s="1"/>
  <c r="P45" i="25" s="1"/>
  <c r="P22" i="3" s="1"/>
  <c r="F45" i="25"/>
  <c r="F22" i="3" s="1"/>
  <c r="N45" i="25"/>
  <c r="N22" i="3" s="1"/>
  <c r="U25" i="25"/>
  <c r="T48" i="25" s="1"/>
  <c r="U33" i="25"/>
  <c r="U37" i="25"/>
  <c r="H45" i="25"/>
  <c r="H22" i="3" s="1"/>
  <c r="R12" i="25"/>
  <c r="U31" i="25"/>
  <c r="R19" i="25"/>
  <c r="J45" i="25"/>
  <c r="J22" i="3" s="1"/>
  <c r="U29" i="25"/>
  <c r="C45" i="25"/>
  <c r="AC33" i="24"/>
  <c r="AC26" i="24"/>
  <c r="AD5" i="4" s="1"/>
  <c r="AC34" i="24"/>
  <c r="AD13" i="4" s="1"/>
  <c r="R17" i="24"/>
  <c r="R37" i="24" s="1"/>
  <c r="R15" i="24"/>
  <c r="R35" i="24" s="1"/>
  <c r="AF7" i="4"/>
  <c r="AC27" i="24"/>
  <c r="AC35" i="24"/>
  <c r="AD14" i="4" s="1"/>
  <c r="R7" i="24"/>
  <c r="R27" i="24" s="1"/>
  <c r="AC24" i="24"/>
  <c r="AC29" i="24"/>
  <c r="AC32" i="24"/>
  <c r="AD11" i="4" s="1"/>
  <c r="AC30" i="24"/>
  <c r="AD9" i="4" s="1"/>
  <c r="AC28" i="24"/>
  <c r="AD7" i="4" s="1"/>
  <c r="AE9" i="4"/>
  <c r="N4" i="24"/>
  <c r="R13" i="24"/>
  <c r="R33" i="24" s="1"/>
  <c r="AD69" i="3"/>
  <c r="AH69" i="3" s="1"/>
  <c r="AC84" i="3"/>
  <c r="AG84" i="3" s="1"/>
  <c r="AB82" i="3"/>
  <c r="AF82" i="3" s="1"/>
  <c r="AB80" i="3"/>
  <c r="AB78" i="3"/>
  <c r="AF78" i="3" s="1"/>
  <c r="AB76" i="3"/>
  <c r="AF76" i="3" s="1"/>
  <c r="AB74" i="3"/>
  <c r="AF74" i="3" s="1"/>
  <c r="AB72" i="3"/>
  <c r="AF72" i="3" s="1"/>
  <c r="AB70" i="3"/>
  <c r="AF70" i="3" s="1"/>
  <c r="AE3" i="4"/>
  <c r="AC69" i="3"/>
  <c r="AG69" i="3" s="1"/>
  <c r="AB84" i="3"/>
  <c r="AF84" i="3" s="1"/>
  <c r="AA82" i="3"/>
  <c r="AA76" i="3"/>
  <c r="AA74" i="3"/>
  <c r="AA70" i="3"/>
  <c r="AE12" i="4"/>
  <c r="AF3" i="4"/>
  <c r="AE6" i="4"/>
  <c r="AG8" i="4"/>
  <c r="AE14" i="4"/>
  <c r="AG4" i="4"/>
  <c r="G45" i="24"/>
  <c r="G21" i="3" s="1"/>
  <c r="R9" i="24"/>
  <c r="K45" i="24"/>
  <c r="K21" i="3" s="1"/>
  <c r="R14" i="24"/>
  <c r="AB69" i="3"/>
  <c r="AF69" i="3" s="1"/>
  <c r="AA84" i="3"/>
  <c r="AD81" i="3"/>
  <c r="AH81" i="3" s="1"/>
  <c r="AD79" i="3"/>
  <c r="AH79" i="3" s="1"/>
  <c r="AD77" i="3"/>
  <c r="AH77" i="3" s="1"/>
  <c r="AD75" i="3"/>
  <c r="AH75" i="3" s="1"/>
  <c r="AD73" i="3"/>
  <c r="AH73" i="3" s="1"/>
  <c r="AD71" i="3"/>
  <c r="AH71" i="3" s="1"/>
  <c r="AF8" i="4"/>
  <c r="AD85" i="3"/>
  <c r="AH85" i="3" s="1"/>
  <c r="AD83" i="3"/>
  <c r="AH83" i="3" s="1"/>
  <c r="AC81" i="3"/>
  <c r="AG81" i="3" s="1"/>
  <c r="AC79" i="3"/>
  <c r="AG79" i="3" s="1"/>
  <c r="AC77" i="3"/>
  <c r="AC75" i="3"/>
  <c r="AC73" i="3"/>
  <c r="AG73" i="3" s="1"/>
  <c r="AC71" i="3"/>
  <c r="AG71" i="3" s="1"/>
  <c r="E45" i="24"/>
  <c r="E21" i="3" s="1"/>
  <c r="AC85" i="3"/>
  <c r="AG85" i="3" s="1"/>
  <c r="AC83" i="3"/>
  <c r="AG83" i="3" s="1"/>
  <c r="AB81" i="3"/>
  <c r="AF81" i="3" s="1"/>
  <c r="AB79" i="3"/>
  <c r="AF79" i="3" s="1"/>
  <c r="AB77" i="3"/>
  <c r="AF77" i="3" s="1"/>
  <c r="AB75" i="3"/>
  <c r="AF75" i="3" s="1"/>
  <c r="AB73" i="3"/>
  <c r="AF73" i="3" s="1"/>
  <c r="AB71" i="3"/>
  <c r="AF71" i="3" s="1"/>
  <c r="AB85" i="3"/>
  <c r="AF85" i="3" s="1"/>
  <c r="AB83" i="3"/>
  <c r="AF83" i="3" s="1"/>
  <c r="AA81" i="3"/>
  <c r="AE81" i="3" s="1"/>
  <c r="R6" i="24"/>
  <c r="R11" i="24"/>
  <c r="AD82" i="3"/>
  <c r="AH82" i="3" s="1"/>
  <c r="AD80" i="3"/>
  <c r="AD78" i="3"/>
  <c r="AH78" i="3" s="1"/>
  <c r="AD76" i="3"/>
  <c r="AH76" i="3" s="1"/>
  <c r="AD74" i="3"/>
  <c r="AH74" i="3" s="1"/>
  <c r="AD72" i="3"/>
  <c r="AH72" i="3" s="1"/>
  <c r="AD70" i="3"/>
  <c r="AH70" i="3" s="1"/>
  <c r="AG5" i="4"/>
  <c r="N3" i="24"/>
  <c r="R5" i="24"/>
  <c r="AD84" i="3"/>
  <c r="AH84" i="3" s="1"/>
  <c r="AC82" i="3"/>
  <c r="AG82" i="3" s="1"/>
  <c r="AC80" i="3"/>
  <c r="AG80" i="3" s="1"/>
  <c r="AC78" i="3"/>
  <c r="AG78" i="3" s="1"/>
  <c r="AC76" i="3"/>
  <c r="AG76" i="3" s="1"/>
  <c r="AC74" i="3"/>
  <c r="AG74" i="3" s="1"/>
  <c r="AC72" i="3"/>
  <c r="AG72" i="3" s="1"/>
  <c r="AC70" i="3"/>
  <c r="AC25" i="24"/>
  <c r="AG13" i="4"/>
  <c r="AC27" i="12"/>
  <c r="AC35" i="12"/>
  <c r="AE11" i="4"/>
  <c r="AC24" i="12"/>
  <c r="AG12" i="4"/>
  <c r="AG3" i="4"/>
  <c r="AF12" i="4"/>
  <c r="AF4" i="4"/>
  <c r="AD10" i="4"/>
  <c r="AG10" i="4"/>
  <c r="AE13" i="4"/>
  <c r="AF5" i="4"/>
  <c r="AG11" i="4"/>
  <c r="AG9" i="4"/>
  <c r="AE10" i="4"/>
  <c r="AC24" i="22"/>
  <c r="AC27" i="22"/>
  <c r="AF9" i="4"/>
  <c r="AE7" i="4"/>
  <c r="AC29" i="22"/>
  <c r="AC25" i="22"/>
  <c r="AC33" i="22"/>
  <c r="AF6" i="4"/>
  <c r="T46" i="24"/>
  <c r="T47" i="24"/>
  <c r="N5" i="24"/>
  <c r="U30" i="24"/>
  <c r="U38" i="24"/>
  <c r="F45" i="24"/>
  <c r="F21" i="3" s="1"/>
  <c r="N45" i="24"/>
  <c r="N21" i="3" s="1"/>
  <c r="U28" i="24"/>
  <c r="U36" i="24"/>
  <c r="H45" i="24"/>
  <c r="H21" i="3" s="1"/>
  <c r="R12" i="24"/>
  <c r="R19" i="24"/>
  <c r="J45" i="24"/>
  <c r="J21" i="3" s="1"/>
  <c r="C45" i="24"/>
  <c r="U24" i="24"/>
  <c r="R3" i="24"/>
  <c r="M45" i="23"/>
  <c r="R9" i="23"/>
  <c r="R29" i="23" s="1"/>
  <c r="R15" i="23"/>
  <c r="R35" i="23" s="1"/>
  <c r="G45" i="23"/>
  <c r="K45" i="23"/>
  <c r="R19" i="23"/>
  <c r="R39" i="23" s="1"/>
  <c r="R18" i="23"/>
  <c r="R38" i="23" s="1"/>
  <c r="T46" i="23"/>
  <c r="T47" i="23"/>
  <c r="N5" i="23"/>
  <c r="O5" i="23" s="1"/>
  <c r="P45" i="23" s="1"/>
  <c r="F45" i="23"/>
  <c r="N45" i="23"/>
  <c r="R6" i="23"/>
  <c r="R26" i="23" s="1"/>
  <c r="R14" i="23"/>
  <c r="R34" i="23" s="1"/>
  <c r="U37" i="23"/>
  <c r="U28" i="23"/>
  <c r="U36" i="23"/>
  <c r="H45" i="23"/>
  <c r="R12" i="23"/>
  <c r="R32" i="23" s="1"/>
  <c r="J45" i="23"/>
  <c r="N3" i="23"/>
  <c r="N4" i="23"/>
  <c r="O3" i="23" s="1"/>
  <c r="O45" i="23" s="1"/>
  <c r="C45" i="23"/>
  <c r="D45" i="23" s="1"/>
  <c r="U24" i="23"/>
  <c r="R3" i="23"/>
  <c r="R23" i="23" s="1"/>
  <c r="T46" i="22"/>
  <c r="R15" i="22"/>
  <c r="R35" i="22" s="1"/>
  <c r="R7" i="22"/>
  <c r="R27" i="22" s="1"/>
  <c r="R17" i="22"/>
  <c r="R37" i="22" s="1"/>
  <c r="G45" i="22"/>
  <c r="G19" i="3" s="1"/>
  <c r="AF80" i="3"/>
  <c r="K45" i="22"/>
  <c r="K19" i="3" s="1"/>
  <c r="O4" i="22"/>
  <c r="Q45" i="22" s="1"/>
  <c r="Q19" i="3" s="1"/>
  <c r="E45" i="22"/>
  <c r="E19" i="3" s="1"/>
  <c r="R4" i="22"/>
  <c r="R12" i="22"/>
  <c r="R18" i="22"/>
  <c r="AG77" i="3"/>
  <c r="AG75" i="3"/>
  <c r="R3" i="22"/>
  <c r="R10" i="22"/>
  <c r="R16" i="22"/>
  <c r="AH80" i="3"/>
  <c r="R8" i="22"/>
  <c r="AG70" i="3"/>
  <c r="T47" i="22"/>
  <c r="T48" i="22"/>
  <c r="N5" i="22"/>
  <c r="O3" i="22" s="1"/>
  <c r="O45" i="22" s="1"/>
  <c r="O19" i="3" s="1"/>
  <c r="F45" i="22"/>
  <c r="F19" i="3" s="1"/>
  <c r="N45" i="22"/>
  <c r="N19" i="3" s="1"/>
  <c r="R6" i="22"/>
  <c r="R14" i="22"/>
  <c r="R5" i="22"/>
  <c r="R13" i="22"/>
  <c r="H45" i="22"/>
  <c r="H19" i="3" s="1"/>
  <c r="R19" i="22"/>
  <c r="J45" i="22"/>
  <c r="J19" i="3" s="1"/>
  <c r="C45" i="22"/>
  <c r="N3" i="22"/>
  <c r="N4" i="22"/>
  <c r="T47" i="21"/>
  <c r="G45" i="21"/>
  <c r="G18" i="3" s="1"/>
  <c r="AM65" i="3"/>
  <c r="AM63" i="3"/>
  <c r="AM61" i="3"/>
  <c r="AQ61" i="3" s="1"/>
  <c r="AM59" i="3"/>
  <c r="AM57" i="3"/>
  <c r="AM55" i="3"/>
  <c r="AM53" i="3"/>
  <c r="AQ53" i="3" s="1"/>
  <c r="AM51" i="3"/>
  <c r="K45" i="21"/>
  <c r="K18" i="3" s="1"/>
  <c r="AL63" i="3"/>
  <c r="AL55" i="3"/>
  <c r="AL53" i="3"/>
  <c r="AO64" i="3"/>
  <c r="AO62" i="3"/>
  <c r="AO60" i="3"/>
  <c r="AS60" i="3" s="1"/>
  <c r="AO58" i="3"/>
  <c r="AO56" i="3"/>
  <c r="AO54" i="3"/>
  <c r="AO52" i="3"/>
  <c r="AS52" i="3" s="1"/>
  <c r="AO50" i="3"/>
  <c r="AO49" i="3"/>
  <c r="AN64" i="3"/>
  <c r="AN62" i="3"/>
  <c r="AN60" i="3"/>
  <c r="AN58" i="3"/>
  <c r="AN56" i="3"/>
  <c r="AR56" i="3" s="1"/>
  <c r="AN54" i="3"/>
  <c r="AN52" i="3"/>
  <c r="AN50" i="3"/>
  <c r="N5" i="21"/>
  <c r="O5" i="21" s="1"/>
  <c r="P45" i="21" s="1"/>
  <c r="P18" i="3" s="1"/>
  <c r="R11" i="21"/>
  <c r="AN49" i="3"/>
  <c r="AM64" i="3"/>
  <c r="AM62" i="3"/>
  <c r="AQ62" i="3" s="1"/>
  <c r="AM60" i="3"/>
  <c r="AM58" i="3"/>
  <c r="AM56" i="3"/>
  <c r="AM54" i="3"/>
  <c r="AQ54" i="3" s="1"/>
  <c r="AM52" i="3"/>
  <c r="AM50" i="3"/>
  <c r="E45" i="21"/>
  <c r="E18" i="3" s="1"/>
  <c r="AM49" i="3"/>
  <c r="AL64" i="3"/>
  <c r="AL62" i="3"/>
  <c r="AL56" i="3"/>
  <c r="AP56" i="3" s="1"/>
  <c r="AL54" i="3"/>
  <c r="AL50" i="3"/>
  <c r="AO65" i="3"/>
  <c r="AO63" i="3"/>
  <c r="AS63" i="3" s="1"/>
  <c r="AO61" i="3"/>
  <c r="AO59" i="3"/>
  <c r="AO57" i="3"/>
  <c r="AO55" i="3"/>
  <c r="AO53" i="3"/>
  <c r="AO51" i="3"/>
  <c r="M45" i="21"/>
  <c r="M18" i="3" s="1"/>
  <c r="AN65" i="3"/>
  <c r="AN63" i="3"/>
  <c r="AN61" i="3"/>
  <c r="AN59" i="3"/>
  <c r="AN57" i="3"/>
  <c r="AR57" i="3" s="1"/>
  <c r="AN55" i="3"/>
  <c r="AN53" i="3"/>
  <c r="AN51" i="3"/>
  <c r="T46" i="21"/>
  <c r="R15" i="21"/>
  <c r="F45" i="21"/>
  <c r="F18" i="3" s="1"/>
  <c r="N45" i="21"/>
  <c r="N18" i="3" s="1"/>
  <c r="U29" i="21"/>
  <c r="U37" i="21"/>
  <c r="U28" i="21"/>
  <c r="U36" i="21"/>
  <c r="H45" i="21"/>
  <c r="H18" i="3" s="1"/>
  <c r="N4" i="21"/>
  <c r="O4" i="21" s="1"/>
  <c r="Q45" i="21" s="1"/>
  <c r="Q18" i="3" s="1"/>
  <c r="R6" i="21"/>
  <c r="R14" i="21"/>
  <c r="R5" i="21"/>
  <c r="R13" i="21"/>
  <c r="R12" i="21"/>
  <c r="R19" i="21"/>
  <c r="J45" i="21"/>
  <c r="J18" i="3" s="1"/>
  <c r="C45" i="21"/>
  <c r="U24" i="21"/>
  <c r="N3" i="21"/>
  <c r="O3" i="21" s="1"/>
  <c r="O45" i="21" s="1"/>
  <c r="O18" i="3" s="1"/>
  <c r="R3" i="21"/>
  <c r="N5" i="20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58" i="3"/>
  <c r="AS56" i="3"/>
  <c r="AS54" i="3"/>
  <c r="R15" i="19"/>
  <c r="AS49" i="3"/>
  <c r="AR64" i="3"/>
  <c r="AR60" i="3"/>
  <c r="AR58" i="3"/>
  <c r="AR54" i="3"/>
  <c r="AR50" i="3"/>
  <c r="R14" i="19"/>
  <c r="AR49" i="3"/>
  <c r="AQ64" i="3"/>
  <c r="AQ60" i="3"/>
  <c r="AQ52" i="3"/>
  <c r="AQ50" i="3"/>
  <c r="M45" i="19"/>
  <c r="M16" i="3" s="1"/>
  <c r="G45" i="19"/>
  <c r="G16" i="3" s="1"/>
  <c r="R9" i="19"/>
  <c r="K45" i="19"/>
  <c r="K16" i="3" s="1"/>
  <c r="R8" i="19"/>
  <c r="AS65" i="3"/>
  <c r="AS61" i="3"/>
  <c r="AS57" i="3"/>
  <c r="AS55" i="3"/>
  <c r="AS53" i="3"/>
  <c r="AS51" i="3"/>
  <c r="R7" i="19"/>
  <c r="AR65" i="3"/>
  <c r="AR63" i="3"/>
  <c r="AR59" i="3"/>
  <c r="AR55" i="3"/>
  <c r="AR53" i="3"/>
  <c r="AR51" i="3"/>
  <c r="E45" i="19"/>
  <c r="E16" i="3" s="1"/>
  <c r="R4" i="19"/>
  <c r="R6" i="19"/>
  <c r="AQ63" i="3"/>
  <c r="AQ59" i="3"/>
  <c r="AQ57" i="3"/>
  <c r="AQ55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Q49" i="3"/>
  <c r="AJ8" i="3"/>
  <c r="L3" i="2" s="1"/>
  <c r="L50" i="2" s="1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AP9" i="3" l="1"/>
  <c r="L4" i="2"/>
  <c r="L51" i="2" s="1"/>
  <c r="R39" i="27"/>
  <c r="AL85" i="3"/>
  <c r="O3" i="27"/>
  <c r="O45" i="27" s="1"/>
  <c r="O24" i="3" s="1"/>
  <c r="R32" i="27"/>
  <c r="AL78" i="3"/>
  <c r="R23" i="27"/>
  <c r="AL69" i="3"/>
  <c r="D45" i="27"/>
  <c r="D24" i="3" s="1"/>
  <c r="C24" i="3"/>
  <c r="R35" i="27"/>
  <c r="AL81" i="3"/>
  <c r="R30" i="27"/>
  <c r="AL76" i="3"/>
  <c r="O4" i="26"/>
  <c r="Q45" i="26" s="1"/>
  <c r="T48" i="26"/>
  <c r="T45" i="26"/>
  <c r="O3" i="25"/>
  <c r="O45" i="25" s="1"/>
  <c r="O22" i="3" s="1"/>
  <c r="R39" i="25"/>
  <c r="AP85" i="3"/>
  <c r="R34" i="25"/>
  <c r="AP80" i="3"/>
  <c r="R38" i="25"/>
  <c r="AP84" i="3"/>
  <c r="R32" i="25"/>
  <c r="AP78" i="3"/>
  <c r="R35" i="25"/>
  <c r="AP81" i="3"/>
  <c r="R30" i="25"/>
  <c r="AP76" i="3"/>
  <c r="R23" i="25"/>
  <c r="AP69" i="3"/>
  <c r="R28" i="25"/>
  <c r="AP74" i="3"/>
  <c r="D45" i="25"/>
  <c r="D22" i="3" s="1"/>
  <c r="C22" i="3"/>
  <c r="AD12" i="4"/>
  <c r="AD3" i="4"/>
  <c r="AA83" i="3"/>
  <c r="AE83" i="3" s="1"/>
  <c r="AD6" i="4"/>
  <c r="AA73" i="3"/>
  <c r="AE73" i="3" s="1"/>
  <c r="AD8" i="4"/>
  <c r="O5" i="24"/>
  <c r="P45" i="24" s="1"/>
  <c r="P21" i="3" s="1"/>
  <c r="O3" i="24"/>
  <c r="O45" i="24" s="1"/>
  <c r="O21" i="3" s="1"/>
  <c r="AD4" i="4"/>
  <c r="AA79" i="3"/>
  <c r="AE79" i="3" s="1"/>
  <c r="T48" i="24"/>
  <c r="R26" i="24"/>
  <c r="AA72" i="3"/>
  <c r="AE72" i="3" s="1"/>
  <c r="R39" i="24"/>
  <c r="AA85" i="3"/>
  <c r="AE85" i="3" s="1"/>
  <c r="D45" i="24"/>
  <c r="D21" i="3" s="1"/>
  <c r="C21" i="3"/>
  <c r="R32" i="24"/>
  <c r="AA78" i="3"/>
  <c r="AE78" i="3" s="1"/>
  <c r="R34" i="24"/>
  <c r="AA80" i="3"/>
  <c r="AE80" i="3" s="1"/>
  <c r="R25" i="24"/>
  <c r="AA71" i="3"/>
  <c r="AE71" i="3" s="1"/>
  <c r="R29" i="24"/>
  <c r="AA75" i="3"/>
  <c r="AE75" i="3" s="1"/>
  <c r="O4" i="24"/>
  <c r="Q45" i="24" s="1"/>
  <c r="Q21" i="3" s="1"/>
  <c r="R31" i="24"/>
  <c r="AA77" i="3"/>
  <c r="AE77" i="3" s="1"/>
  <c r="R23" i="24"/>
  <c r="AA69" i="3"/>
  <c r="AE69" i="3" s="1"/>
  <c r="O4" i="23"/>
  <c r="Q45" i="23" s="1"/>
  <c r="T48" i="23"/>
  <c r="T45" i="23"/>
  <c r="R36" i="22"/>
  <c r="AE82" i="3"/>
  <c r="R38" i="22"/>
  <c r="AE84" i="3"/>
  <c r="R32" i="22"/>
  <c r="D45" i="22"/>
  <c r="D19" i="3" s="1"/>
  <c r="C19" i="3"/>
  <c r="R28" i="22"/>
  <c r="AE74" i="3"/>
  <c r="R23" i="22"/>
  <c r="P45" i="22"/>
  <c r="P19" i="3" s="1"/>
  <c r="R25" i="22"/>
  <c r="R24" i="22"/>
  <c r="AE70" i="3"/>
  <c r="R39" i="22"/>
  <c r="R30" i="22"/>
  <c r="AE76" i="3"/>
  <c r="R33" i="22"/>
  <c r="R34" i="22"/>
  <c r="R26" i="22"/>
  <c r="BA10" i="3"/>
  <c r="BC12" i="3"/>
  <c r="BB13" i="3"/>
  <c r="BA21" i="3"/>
  <c r="BC10" i="3"/>
  <c r="BB17" i="3"/>
  <c r="BC13" i="3"/>
  <c r="BC9" i="3"/>
  <c r="BB23" i="3"/>
  <c r="BC14" i="3"/>
  <c r="BB24" i="3"/>
  <c r="BA20" i="3"/>
  <c r="BA24" i="3"/>
  <c r="R23" i="21"/>
  <c r="AL49" i="3"/>
  <c r="AP49" i="3" s="1"/>
  <c r="T48" i="21"/>
  <c r="R26" i="21"/>
  <c r="AL52" i="3"/>
  <c r="R25" i="21"/>
  <c r="AL51" i="3"/>
  <c r="AP51" i="3" s="1"/>
  <c r="D45" i="21"/>
  <c r="D18" i="3" s="1"/>
  <c r="C18" i="3"/>
  <c r="R35" i="21"/>
  <c r="AL61" i="3"/>
  <c r="R39" i="21"/>
  <c r="AL65" i="3"/>
  <c r="R32" i="21"/>
  <c r="AL58" i="3"/>
  <c r="AP58" i="3" s="1"/>
  <c r="R33" i="21"/>
  <c r="AL59" i="3"/>
  <c r="R31" i="21"/>
  <c r="AL57" i="3"/>
  <c r="R34" i="21"/>
  <c r="AL60" i="3"/>
  <c r="O3" i="20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R26" i="19"/>
  <c r="AP52" i="3"/>
  <c r="R35" i="19"/>
  <c r="AP61" i="3"/>
  <c r="R32" i="19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27" l="1"/>
  <c r="T45" i="25"/>
  <c r="T45" i="24"/>
  <c r="T45" i="22"/>
  <c r="T45" i="21"/>
  <c r="T45" i="19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L5" i="2" s="1"/>
  <c r="L52" i="2" s="1"/>
  <c r="AJ11" i="3"/>
  <c r="L6" i="2" s="1"/>
  <c r="L53" i="2" s="1"/>
  <c r="AJ12" i="3"/>
  <c r="L7" i="2" s="1"/>
  <c r="L54" i="2" s="1"/>
  <c r="AJ13" i="3"/>
  <c r="L8" i="2" s="1"/>
  <c r="L55" i="2" s="1"/>
  <c r="AJ14" i="3"/>
  <c r="L9" i="2" s="1"/>
  <c r="L56" i="2" s="1"/>
  <c r="AJ15" i="3"/>
  <c r="L10" i="2" s="1"/>
  <c r="L57" i="2" s="1"/>
  <c r="AJ17" i="3"/>
  <c r="L12" i="2" s="1"/>
  <c r="L59" i="2" s="1"/>
  <c r="AJ19" i="3"/>
  <c r="L14" i="2" s="1"/>
  <c r="L61" i="2" s="1"/>
  <c r="AJ20" i="3"/>
  <c r="L15" i="2" s="1"/>
  <c r="L62" i="2" s="1"/>
  <c r="AJ21" i="3"/>
  <c r="AJ22" i="3"/>
  <c r="AJ23" i="3"/>
  <c r="L18" i="2" s="1"/>
  <c r="L65" i="2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J18" i="3"/>
  <c r="L13" i="2" s="1"/>
  <c r="L60" i="2" s="1"/>
  <c r="AJ24" i="3"/>
  <c r="L19" i="2" s="1"/>
  <c r="L66" i="2" s="1"/>
  <c r="AP21" i="3" l="1"/>
  <c r="L16" i="2"/>
  <c r="L63" i="2" s="1"/>
  <c r="AP22" i="3"/>
  <c r="L17" i="2"/>
  <c r="L64" i="2" s="1"/>
  <c r="AP16" i="3"/>
  <c r="L11" i="2"/>
  <c r="L58" i="2" s="1"/>
  <c r="B35" i="2" s="1"/>
  <c r="AP15" i="3"/>
  <c r="AI8" i="4"/>
  <c r="AK8" i="4"/>
  <c r="AJ8" i="4"/>
  <c r="AH8" i="4"/>
  <c r="AK12" i="4"/>
  <c r="AJ12" i="4"/>
  <c r="AI12" i="4"/>
  <c r="AH12" i="4"/>
  <c r="AP14" i="3"/>
  <c r="AK7" i="4"/>
  <c r="AJ7" i="4"/>
  <c r="AH7" i="4"/>
  <c r="AI7" i="4"/>
  <c r="AJ13" i="4"/>
  <c r="AH13" i="4"/>
  <c r="AI13" i="4"/>
  <c r="AK13" i="4"/>
  <c r="AP12" i="3"/>
  <c r="AH5" i="4"/>
  <c r="AI5" i="4"/>
  <c r="AJ5" i="4"/>
  <c r="AK5" i="4"/>
  <c r="AP18" i="3"/>
  <c r="AJ10" i="4"/>
  <c r="AK10" i="4"/>
  <c r="AH10" i="4"/>
  <c r="AI10" i="4"/>
  <c r="AP11" i="3"/>
  <c r="AI4" i="4"/>
  <c r="AK4" i="4"/>
  <c r="AJ4" i="4"/>
  <c r="AH4" i="4"/>
  <c r="AK14" i="4"/>
  <c r="AJ14" i="4"/>
  <c r="AI14" i="4"/>
  <c r="AH14" i="4"/>
  <c r="U9" i="6"/>
  <c r="AJ11" i="4"/>
  <c r="AK11" i="4"/>
  <c r="AH11" i="4"/>
  <c r="AI11" i="4"/>
  <c r="AP17" i="3"/>
  <c r="AI9" i="4"/>
  <c r="AH9" i="4"/>
  <c r="AK9" i="4"/>
  <c r="AJ9" i="4"/>
  <c r="AK6" i="4"/>
  <c r="AH6" i="4"/>
  <c r="AJ6" i="4"/>
  <c r="AI6" i="4"/>
  <c r="AP10" i="3"/>
  <c r="AK3" i="4"/>
  <c r="AH3" i="4"/>
  <c r="AI3" i="4"/>
  <c r="AJ3" i="4"/>
  <c r="AP23" i="3"/>
  <c r="U10" i="6"/>
  <c r="AP13" i="3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Q10" i="6" s="1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61" i="2"/>
  <c r="C61" i="2"/>
  <c r="M61" i="2"/>
  <c r="N61" i="2"/>
  <c r="O61" i="2"/>
  <c r="P61" i="2"/>
  <c r="Q61" i="2"/>
  <c r="R61" i="2"/>
  <c r="S61" i="2"/>
  <c r="T61" i="2"/>
  <c r="U61" i="2"/>
  <c r="V14" i="2"/>
  <c r="V61" i="2" s="1"/>
  <c r="W14" i="2"/>
  <c r="W61" i="2" s="1"/>
  <c r="V15" i="2"/>
  <c r="W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C8" i="3" l="1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O10" i="6" s="1"/>
  <c r="AG23" i="3"/>
  <c r="S10" i="6" s="1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B4" i="4"/>
  <c r="B6" i="4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N65" i="2"/>
  <c r="O65" i="2"/>
  <c r="P65" i="2"/>
  <c r="Q65" i="2"/>
  <c r="R65" i="2"/>
  <c r="S65" i="2"/>
  <c r="T65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65" i="2"/>
  <c r="M50" i="2"/>
  <c r="P66" i="2"/>
  <c r="Q66" i="2"/>
  <c r="R66" i="2"/>
  <c r="S66" i="2"/>
  <c r="T66" i="2"/>
  <c r="M66" i="2"/>
  <c r="N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S78" i="3" s="1"/>
  <c r="B7" i="4"/>
  <c r="A8" i="4"/>
  <c r="S79" i="3" s="1"/>
  <c r="B8" i="4"/>
  <c r="A9" i="4"/>
  <c r="S80" i="3" s="1"/>
  <c r="B9" i="4"/>
  <c r="A10" i="4"/>
  <c r="S81" i="3" s="1"/>
  <c r="B10" i="4"/>
  <c r="A11" i="4"/>
  <c r="S82" i="3" s="1"/>
  <c r="B11" i="4"/>
  <c r="A12" i="4"/>
  <c r="S83" i="3" s="1"/>
  <c r="B12" i="4"/>
  <c r="A13" i="4"/>
  <c r="S84" i="3" s="1"/>
  <c r="B13" i="4"/>
  <c r="A14" i="4"/>
  <c r="S85" i="3" s="1"/>
  <c r="B14" i="4"/>
  <c r="A15" i="4"/>
  <c r="S86" i="3" s="1"/>
  <c r="B15" i="4"/>
  <c r="A16" i="4"/>
  <c r="S87" i="3" s="1"/>
  <c r="B16" i="4"/>
  <c r="A17" i="4"/>
  <c r="S88" i="3" s="1"/>
  <c r="B17" i="4"/>
  <c r="A18" i="4"/>
  <c r="S89" i="3" s="1"/>
  <c r="B18" i="4"/>
  <c r="A19" i="4"/>
  <c r="S90" i="3" s="1"/>
  <c r="B19" i="4"/>
  <c r="A20" i="4"/>
  <c r="S91" i="3" s="1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U66" i="2"/>
  <c r="O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B41" i="2" s="1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2" i="2"/>
  <c r="U63" i="2"/>
  <c r="U64" i="2"/>
  <c r="U65" i="2"/>
  <c r="M49" i="2"/>
  <c r="W9" i="2"/>
  <c r="W56" i="2" s="1"/>
  <c r="V4" i="2"/>
  <c r="V51" i="2" s="1"/>
  <c r="V5" i="2"/>
  <c r="V52" i="2" s="1"/>
  <c r="V6" i="2"/>
  <c r="V53" i="2" s="1"/>
  <c r="V7" i="2"/>
  <c r="V54" i="2" s="1"/>
  <c r="V8" i="2"/>
  <c r="V55" i="2" s="1"/>
  <c r="V9" i="2"/>
  <c r="V56" i="2" s="1"/>
  <c r="V10" i="2"/>
  <c r="V57" i="2" s="1"/>
  <c r="V11" i="2"/>
  <c r="V58" i="2" s="1"/>
  <c r="V12" i="2"/>
  <c r="V59" i="2" s="1"/>
  <c r="V13" i="2"/>
  <c r="V60" i="2" s="1"/>
  <c r="V62" i="2"/>
  <c r="V16" i="2"/>
  <c r="V63" i="2" s="1"/>
  <c r="V17" i="2"/>
  <c r="V64" i="2" s="1"/>
  <c r="V18" i="2"/>
  <c r="V65" i="2" s="1"/>
  <c r="V19" i="2"/>
  <c r="V66" i="2" s="1"/>
  <c r="V3" i="2"/>
  <c r="V50" i="2" s="1"/>
  <c r="B38" i="2" l="1"/>
  <c r="B25" i="2"/>
  <c r="B43" i="2"/>
  <c r="B42" i="2"/>
  <c r="B40" i="2"/>
  <c r="B39" i="2"/>
  <c r="B36" i="2"/>
  <c r="B37" i="2"/>
  <c r="Q34" i="6"/>
  <c r="P45" i="5"/>
  <c r="Q33" i="6"/>
  <c r="Q35" i="6"/>
  <c r="P44" i="5"/>
  <c r="P46" i="5"/>
  <c r="B45" i="2"/>
  <c r="B44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J3" i="5"/>
  <c r="I3" i="5"/>
  <c r="P41" i="4"/>
  <c r="AN9" i="3"/>
  <c r="AM9" i="3"/>
  <c r="M41" i="4"/>
  <c r="I3" i="4"/>
  <c r="M41" i="5"/>
  <c r="I3" i="6"/>
  <c r="L41" i="5"/>
  <c r="O41" i="4"/>
  <c r="J3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A16" i="3"/>
  <c r="AS16" i="3" s="1"/>
  <c r="AA10" i="3"/>
  <c r="AA19" i="3"/>
  <c r="AA14" i="3"/>
  <c r="AS14" i="3" s="1"/>
  <c r="AA22" i="3"/>
  <c r="AA23" i="3"/>
  <c r="M10" i="6" s="1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3" i="6"/>
  <c r="H3" i="4"/>
  <c r="C41" i="4"/>
  <c r="H3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AN3" i="4" s="1"/>
  <c r="Q8" i="6"/>
  <c r="AF14" i="3"/>
  <c r="AN7" i="4" s="1"/>
  <c r="T5" i="5"/>
  <c r="AF12" i="3"/>
  <c r="AN5" i="4" s="1"/>
  <c r="AF24" i="3"/>
  <c r="AN14" i="4" s="1"/>
  <c r="Q5" i="6"/>
  <c r="AF17" i="3"/>
  <c r="AN9" i="4" s="1"/>
  <c r="U7" i="4"/>
  <c r="AD8" i="3"/>
  <c r="O5" i="8"/>
  <c r="P45" i="8" s="1"/>
  <c r="T45" i="8"/>
  <c r="G17" i="2"/>
  <c r="G18" i="2"/>
  <c r="I17" i="2"/>
  <c r="I16" i="2"/>
  <c r="G16" i="2"/>
  <c r="AD11" i="3"/>
  <c r="AM4" i="4" s="1"/>
  <c r="I15" i="2"/>
  <c r="K16" i="2"/>
  <c r="G15" i="2"/>
  <c r="AH13" i="3"/>
  <c r="P7" i="6" l="1"/>
  <c r="AM6" i="4"/>
  <c r="P9" i="6"/>
  <c r="AM11" i="4"/>
  <c r="T9" i="6"/>
  <c r="AO11" i="4"/>
  <c r="T7" i="6"/>
  <c r="AO6" i="4"/>
  <c r="R7" i="6"/>
  <c r="AN6" i="4"/>
  <c r="R9" i="6"/>
  <c r="AN11" i="4"/>
  <c r="P43" i="5"/>
  <c r="Q32" i="6"/>
  <c r="J43" i="5"/>
  <c r="O47" i="4"/>
  <c r="I43" i="4"/>
  <c r="Q36" i="6"/>
  <c r="K32" i="6"/>
  <c r="AS10" i="3"/>
  <c r="AS11" i="3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L11" i="4" s="1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L5" i="4" s="1"/>
  <c r="AQ12" i="3"/>
  <c r="E18" i="2"/>
  <c r="AQ23" i="3"/>
  <c r="E15" i="2"/>
  <c r="AQ20" i="3"/>
  <c r="AB17" i="3"/>
  <c r="AQ17" i="3"/>
  <c r="E17" i="2"/>
  <c r="AQ22" i="3"/>
  <c r="S42" i="3"/>
  <c r="AB11" i="3"/>
  <c r="AL4" i="4" s="1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AF20" i="3"/>
  <c r="O35" i="6"/>
  <c r="P35" i="6" s="1"/>
  <c r="AB20" i="3"/>
  <c r="T45" i="9"/>
  <c r="T9" i="5"/>
  <c r="AF15" i="3"/>
  <c r="AN8" i="4" s="1"/>
  <c r="V7" i="5"/>
  <c r="AH18" i="3"/>
  <c r="AO10" i="4" s="1"/>
  <c r="U8" i="4"/>
  <c r="AD9" i="3"/>
  <c r="O5" i="6"/>
  <c r="AD17" i="3"/>
  <c r="AM9" i="4" s="1"/>
  <c r="U6" i="4"/>
  <c r="AD21" i="3"/>
  <c r="F16" i="2" s="1"/>
  <c r="S6" i="6"/>
  <c r="AH10" i="3"/>
  <c r="AO3" i="4" s="1"/>
  <c r="W6" i="4"/>
  <c r="AF21" i="3"/>
  <c r="H16" i="2" s="1"/>
  <c r="O8" i="6"/>
  <c r="AD14" i="3"/>
  <c r="AM7" i="4" s="1"/>
  <c r="W8" i="4"/>
  <c r="AF9" i="3"/>
  <c r="O6" i="6"/>
  <c r="AD10" i="3"/>
  <c r="AM3" i="4" s="1"/>
  <c r="V5" i="5"/>
  <c r="AH12" i="3"/>
  <c r="AO5" i="4" s="1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AN10" i="4" s="1"/>
  <c r="Y5" i="4"/>
  <c r="AH16" i="3"/>
  <c r="W5" i="4"/>
  <c r="AF16" i="3"/>
  <c r="R4" i="5"/>
  <c r="AD23" i="3"/>
  <c r="AM13" i="4" s="1"/>
  <c r="Y7" i="4"/>
  <c r="AH8" i="3"/>
  <c r="P9" i="5"/>
  <c r="AB15" i="3"/>
  <c r="S7" i="4"/>
  <c r="AB8" i="3"/>
  <c r="S4" i="4"/>
  <c r="AB22" i="3"/>
  <c r="AU22" i="3" s="1"/>
  <c r="AB24" i="3"/>
  <c r="P4" i="5"/>
  <c r="S8" i="4"/>
  <c r="AB9" i="3"/>
  <c r="AB23" i="3"/>
  <c r="AL13" i="4" s="1"/>
  <c r="I18" i="2"/>
  <c r="O45" i="4"/>
  <c r="K15" i="2"/>
  <c r="K19" i="2"/>
  <c r="K18" i="2"/>
  <c r="K17" i="2"/>
  <c r="E16" i="2"/>
  <c r="G19" i="2"/>
  <c r="O46" i="4"/>
  <c r="U6" i="5" l="1"/>
  <c r="AN12" i="4"/>
  <c r="S6" i="5"/>
  <c r="AM12" i="4"/>
  <c r="AU24" i="3"/>
  <c r="AL14" i="4"/>
  <c r="AU17" i="3"/>
  <c r="AL9" i="4"/>
  <c r="AU15" i="3"/>
  <c r="AL8" i="4"/>
  <c r="AU20" i="3"/>
  <c r="AL12" i="4"/>
  <c r="F18" i="2"/>
  <c r="P10" i="6"/>
  <c r="AU23" i="3"/>
  <c r="N10" i="6"/>
  <c r="Q6" i="5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N4" i="4" s="1"/>
  <c r="AB10" i="3"/>
  <c r="AL3" i="4" s="1"/>
  <c r="M6" i="6"/>
  <c r="AH11" i="3"/>
  <c r="AO4" i="4" s="1"/>
  <c r="O43" i="4"/>
  <c r="F15" i="2"/>
  <c r="D15" i="2"/>
  <c r="H15" i="2"/>
  <c r="AB13" i="3"/>
  <c r="AL6" i="4" s="1"/>
  <c r="AH20" i="3"/>
  <c r="V4" i="5"/>
  <c r="AH23" i="3"/>
  <c r="AO13" i="4" s="1"/>
  <c r="M45" i="4"/>
  <c r="N45" i="4" s="1"/>
  <c r="Y8" i="4"/>
  <c r="AH9" i="3"/>
  <c r="Y4" i="4"/>
  <c r="AH22" i="3"/>
  <c r="J17" i="2" s="1"/>
  <c r="AH24" i="3"/>
  <c r="AO14" i="4" s="1"/>
  <c r="R5" i="5"/>
  <c r="AD12" i="3"/>
  <c r="AM5" i="4" s="1"/>
  <c r="O34" i="6"/>
  <c r="P34" i="6" s="1"/>
  <c r="AD24" i="3"/>
  <c r="AM14" i="4" s="1"/>
  <c r="S8" i="6"/>
  <c r="AH14" i="3"/>
  <c r="AO7" i="4" s="1"/>
  <c r="R9" i="5"/>
  <c r="AD15" i="3"/>
  <c r="AM8" i="4" s="1"/>
  <c r="T4" i="5"/>
  <c r="S5" i="6"/>
  <c r="AH17" i="3"/>
  <c r="AO9" i="4" s="1"/>
  <c r="R7" i="5"/>
  <c r="AD18" i="3"/>
  <c r="AM10" i="4" s="1"/>
  <c r="V9" i="5"/>
  <c r="AH15" i="3"/>
  <c r="AO8" i="4" s="1"/>
  <c r="AF23" i="3"/>
  <c r="AN13" i="4" s="1"/>
  <c r="W7" i="4"/>
  <c r="M46" i="4" s="1"/>
  <c r="N46" i="4" s="1"/>
  <c r="AF8" i="3"/>
  <c r="M8" i="6"/>
  <c r="AB14" i="3"/>
  <c r="M5" i="6"/>
  <c r="S6" i="4"/>
  <c r="M44" i="4" s="1"/>
  <c r="N44" i="4" s="1"/>
  <c r="AB21" i="3"/>
  <c r="AU21" i="3" s="1"/>
  <c r="P7" i="5"/>
  <c r="AB18" i="3"/>
  <c r="W6" i="5" l="1"/>
  <c r="AO12" i="4"/>
  <c r="AU14" i="3"/>
  <c r="AL7" i="4"/>
  <c r="AU18" i="3"/>
  <c r="AL10" i="4"/>
  <c r="J18" i="2"/>
  <c r="T10" i="6"/>
  <c r="H18" i="2"/>
  <c r="R10" i="6"/>
  <c r="D16" i="2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W19" i="2"/>
  <c r="W66" i="2" s="1"/>
  <c r="W18" i="2"/>
  <c r="W65" i="2" s="1"/>
  <c r="W17" i="2"/>
  <c r="W64" i="2" s="1"/>
  <c r="W16" i="2"/>
  <c r="W63" i="2" s="1"/>
  <c r="W62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B46" i="2" l="1"/>
  <c r="K9" i="2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E8" i="2"/>
  <c r="E3" i="2"/>
  <c r="E4" i="2"/>
  <c r="S4" i="5"/>
  <c r="V7" i="4"/>
  <c r="V4" i="4"/>
  <c r="P6" i="6"/>
  <c r="W4" i="5"/>
  <c r="S5" i="5"/>
  <c r="P8" i="6"/>
  <c r="V8" i="4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J13" i="2"/>
  <c r="J60" i="2" s="1"/>
  <c r="W7" i="5"/>
  <c r="H64" i="2"/>
  <c r="X4" i="4"/>
  <c r="J11" i="2"/>
  <c r="J58" i="2" s="1"/>
  <c r="Z5" i="4"/>
  <c r="J9" i="2"/>
  <c r="J56" i="2" s="1"/>
  <c r="T8" i="6"/>
  <c r="H65" i="2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<sst xmlns="http://schemas.openxmlformats.org/spreadsheetml/2006/main" count="3930" uniqueCount="288">
  <si>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</si>
  <si>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</si>
  <si>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</si>
  <si>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</si>
  <si>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</si>
  <si>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</si>
  <si>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</si>
  <si>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</si>
  <si>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</si>
  <si>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</si>
  <si>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</si>
  <si>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</si>
  <si>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</si>
  <si>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</si>
  <si>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</si>
  <si>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</si>
  <si>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</si>
  <si>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</si>
  <si>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</si>
  <si>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</si>
  <si>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</si>
  <si>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</si>
  <si>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</si>
  <si>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</si>
  <si>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</si>
  <si>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</si>
  <si>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</si>
  <si>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</si>
  <si>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</si>
  <si>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</si>
  <si>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</si>
  <si>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</si>
  <si>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</si>
  <si>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</si>
  <si>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</si>
  <si>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</si>
  <si>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</si>
  <si>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</si>
  <si>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</si>
  <si>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</si>
  <si>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</si>
  <si>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</si>
  <si>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</si>
  <si>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</si>
  <si>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</si>
  <si>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</si>
  <si>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</si>
  <si>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</si>
  <si>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</si>
  <si>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</si>
  <si>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</si>
  <si>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</si>
  <si>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</si>
  <si>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</si>
  <si>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</si>
  <si>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</si>
  <si>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</si>
  <si>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</si>
  <si>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</si>
  <si>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</si>
  <si>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</si>
  <si>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</si>
  <si>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</si>
  <si>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</si>
  <si>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</si>
  <si>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</si>
  <si>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</si>
  <si>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</si>
  <si>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</si>
  <si>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</si>
  <si>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</si>
  <si>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</si>
  <si>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</si>
  <si>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</si>
  <si>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</si>
  <si>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</si>
  <si>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</si>
  <si>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</si>
  <si>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</si>
  <si>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</si>
  <si>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</si>
  <si>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</si>
  <si>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</si>
  <si>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</si>
  <si>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</si>
  <si>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</si>
  <si>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</si>
  <si>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</si>
  <si>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</si>
  <si>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</si>
  <si>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</si>
  <si>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</si>
  <si>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</si>
  <si>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</si>
  <si>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</si>
  <si>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</si>
  <si>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</si>
  <si>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</si>
  <si>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</si>
  <si>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</si>
  <si>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</si>
  <si>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</si>
  <si>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</si>
  <si>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</si>
  <si>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</si>
  <si>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</si>
  <si>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</si>
  <si>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</si>
  <si>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</si>
  <si>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</si>
  <si>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</si>
  <si>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</si>
  <si>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</si>
  <si>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</si>
  <si>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</si>
  <si>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</si>
  <si>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</si>
  <si>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</si>
  <si>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</si>
  <si>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</si>
  <si>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</si>
  <si>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</si>
  <si>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</si>
  <si>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</si>
  <si>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</si>
  <si>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</si>
  <si>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</si>
  <si>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</si>
  <si>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</si>
  <si>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</si>
  <si>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</si>
  <si>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</si>
  <si>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</si>
  <si>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</si>
  <si>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</si>
  <si>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</si>
  <si>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</si>
  <si>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</si>
  <si>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</si>
  <si>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</si>
  <si>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</si>
  <si>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</si>
  <si>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</si>
  <si>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</si>
  <si>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</si>
  <si>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</si>
  <si>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</si>
  <si>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</si>
  <si>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</si>
  <si>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</si>
  <si>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</si>
  <si>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</si>
  <si>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</si>
  <si>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</si>
  <si>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</si>
  <si>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</si>
  <si>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</si>
  <si>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</si>
  <si>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</si>
  <si>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</si>
  <si>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</si>
  <si>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</si>
  <si>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</si>
  <si>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</si>
  <si>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</si>
  <si>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</si>
  <si>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</si>
  <si>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</si>
  <si>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</si>
  <si>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</si>
  <si>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</si>
  <si>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</si>
  <si>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</si>
  <si>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</si>
  <si>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</si>
  <si>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</si>
  <si>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</si>
  <si>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</si>
  <si>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</si>
  <si>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</si>
  <si>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</si>
  <si>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</si>
  <si>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</si>
  <si>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</si>
  <si>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</si>
  <si>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</si>
  <si>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</si>
  <si>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</si>
  <si>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</si>
  <si>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</si>
  <si>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</si>
  <si>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</si>
  <si>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</si>
  <si>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</si>
  <si>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</si>
  <si>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</si>
  <si>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</si>
  <si>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</si>
  <si>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</si>
  <si>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</si>
  <si>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</si>
  <si>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</si>
  <si>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</si>
  <si>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</si>
  <si>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</si>
  <si>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</si>
  <si>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</si>
  <si>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</si>
  <si>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</si>
  <si>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</si>
  <si>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</si>
  <si>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</si>
  <si>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</si>
  <si>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</si>
  <si>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</si>
  <si>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</si>
  <si>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</si>
  <si>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</si>
  <si>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</si>
  <si>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</si>
  <si>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</si>
  <si>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</si>
  <si>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</si>
  <si>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</si>
  <si>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</si>
  <si>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</si>
  <si>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</si>
  <si>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</si>
  <si>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</si>
  <si>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</si>
  <si>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</si>
  <si>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</si>
  <si>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</si>
  <si>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</si>
  <si>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</si>
  <si>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</si>
  <si>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</si>
  <si>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</si>
  <si>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</si>
  <si>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</si>
  <si>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</si>
  <si>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</si>
  <si>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</si>
  <si>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</si>
  <si>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</si>
  <si>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</si>
  <si>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</si>
  <si>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</si>
  <si>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</si>
  <si>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</si>
  <si>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</si>
  <si>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</si>
  <si>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</si>
  <si>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</si>
  <si>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</si>
  <si>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</si>
  <si>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</si>
  <si>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</si>
  <si>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</si>
  <si>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</si>
  <si>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</si>
  <si>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</si>
  <si>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</si>
  <si>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</si>
  <si>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</si>
  <si>
    <t>3-August</t>
  </si>
  <si>
    <t>Mitch Yue, Michael Iffland</t>
  </si>
  <si>
    <t>8-August</t>
  </si>
  <si>
    <t>Finals Week</t>
  </si>
  <si>
    <t>Drafted by Wet Willies. Dropped by Wet Willies. Signed by 5 Musketeers</t>
  </si>
  <si>
    <t>9-August</t>
  </si>
  <si>
    <t>Angus Walker, William Kim</t>
  </si>
  <si>
    <t>10-August</t>
  </si>
  <si>
    <t>Against Us</t>
  </si>
  <si>
    <t>AVG P</t>
  </si>
  <si>
    <t>AVG F</t>
  </si>
  <si>
    <t>AVG M</t>
  </si>
  <si>
    <t>AVG T</t>
  </si>
  <si>
    <t>Difference P</t>
  </si>
  <si>
    <t>Difference M</t>
  </si>
  <si>
    <t>Difference T</t>
  </si>
  <si>
    <t>Difference F</t>
  </si>
  <si>
    <t>Against LG</t>
  </si>
  <si>
    <t>14-August</t>
  </si>
  <si>
    <t>Alexander Galt, Samuel McConaghy</t>
  </si>
  <si>
    <t>15-August</t>
  </si>
  <si>
    <t>17-August</t>
  </si>
  <si>
    <t>21-August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</si>
</sst>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8B2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4" fillId="0" borderId="1"/>
    <xf numFmtId="9" fontId="25" fillId="0" borderId="0" applyFont="0" applyFill="0" applyBorder="0" applyAlignment="0" applyProtection="0"/>
  </cellStyleXfs>
  <cellXfs count="189">
    <xf numFmtId="0" fontId="0" fillId="0" borderId="0" xfId="0" applyFont="1" applyAlignment="1"/>
    <xf numFmtId="0" fontId="25" fillId="0" borderId="0" xfId="0" applyFont="1"/>
    <xf numFmtId="0" fontId="25" fillId="0" borderId="0" xfId="0" applyFont="1" applyAlignment="1"/>
    <xf numFmtId="0" fontId="27" fillId="0" borderId="0" xfId="0" applyFont="1"/>
    <xf numFmtId="2" fontId="26" fillId="0" borderId="0" xfId="0" applyNumberFormat="1" applyFont="1"/>
    <xf numFmtId="164" fontId="28" fillId="0" borderId="0" xfId="0" applyNumberFormat="1" applyFont="1"/>
    <xf numFmtId="0" fontId="27" fillId="0" borderId="0" xfId="0" applyFont="1" applyAlignment="1"/>
    <xf numFmtId="2" fontId="25" fillId="0" borderId="0" xfId="0" applyNumberFormat="1" applyFont="1"/>
    <xf numFmtId="1" fontId="25" fillId="0" borderId="0" xfId="0" applyNumberFormat="1" applyFont="1"/>
    <xf numFmtId="1" fontId="26" fillId="0" borderId="0" xfId="0" applyNumberFormat="1" applyFont="1"/>
    <xf numFmtId="10" fontId="26" fillId="0" borderId="0" xfId="0" applyNumberFormat="1" applyFont="1"/>
    <xf numFmtId="0" fontId="25" fillId="0" borderId="0" xfId="0" applyFont="1"/>
    <xf numFmtId="16" fontId="25" fillId="0" borderId="0" xfId="0" applyNumberFormat="1" applyFont="1" applyAlignment="1"/>
    <xf numFmtId="0" fontId="30" fillId="0" borderId="0" xfId="0" applyFont="1" applyAlignment="1"/>
    <xf numFmtId="0" fontId="32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30" fillId="0" borderId="3" xfId="0" applyFont="1" applyFill="1" applyBorder="1"/>
    <xf numFmtId="0" fontId="30" fillId="0" borderId="4" xfId="0" applyFont="1" applyFill="1" applyBorder="1"/>
    <xf numFmtId="0" fontId="30" fillId="0" borderId="4" xfId="0" applyFont="1" applyFill="1" applyBorder="1" applyAlignment="1"/>
    <xf numFmtId="0" fontId="31" fillId="0" borderId="4" xfId="0" applyFont="1" applyFill="1" applyBorder="1" applyAlignment="1"/>
    <xf numFmtId="0" fontId="27" fillId="0" borderId="5" xfId="0" applyFont="1" applyFill="1" applyBorder="1"/>
    <xf numFmtId="0" fontId="0" fillId="0" borderId="0" xfId="0"/>
    <xf numFmtId="0" fontId="36" fillId="0" borderId="0" xfId="0" applyFont="1"/>
    <xf numFmtId="9" fontId="0" fillId="0" borderId="0" xfId="2" applyFont="1" applyAlignment="1"/>
    <xf numFmtId="0" fontId="30" fillId="0" borderId="0" xfId="0" applyFont="1" applyFill="1"/>
    <xf numFmtId="0" fontId="30" fillId="0" borderId="0" xfId="0" applyFont="1" applyFill="1" applyAlignment="1"/>
    <xf numFmtId="0" fontId="31" fillId="0" borderId="0" xfId="0" applyFont="1" applyFill="1" applyAlignment="1"/>
    <xf numFmtId="1" fontId="0" fillId="0" borderId="0" xfId="0" quotePrefix="1" applyNumberFormat="1" applyFont="1" applyFill="1" applyAlignment="1"/>
    <xf numFmtId="2" fontId="26" fillId="0" borderId="0" xfId="0" applyNumberFormat="1" applyFont="1" applyFill="1"/>
    <xf numFmtId="1" fontId="25" fillId="0" borderId="0" xfId="0" applyNumberFormat="1" applyFont="1" applyFill="1" applyAlignment="1"/>
    <xf numFmtId="0" fontId="25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31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30" fillId="0" borderId="0" xfId="0" applyFont="1" applyAlignment="1">
      <alignment horizontal="center"/>
    </xf>
    <xf numFmtId="0" fontId="24" fillId="0" borderId="0" xfId="0" applyFont="1" applyAlignment="1"/>
    <xf numFmtId="165" fontId="36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22" fillId="0" borderId="0" xfId="0" applyFont="1" applyAlignment="1"/>
    <xf numFmtId="16" fontId="23" fillId="0" borderId="0" xfId="0" applyNumberFormat="1" applyFont="1" applyAlignment="1"/>
    <xf numFmtId="0" fontId="25" fillId="0" borderId="0" xfId="0" applyFont="1" applyFill="1" applyAlignment="1"/>
    <xf numFmtId="0" fontId="34" fillId="0" borderId="1" xfId="1" applyNumberFormat="1"/>
    <xf numFmtId="0" fontId="35" fillId="0" borderId="1" xfId="0" applyFont="1" applyBorder="1" applyAlignment="1">
      <alignment horizontal="center"/>
    </xf>
    <xf numFmtId="49" fontId="26" fillId="0" borderId="0" xfId="0" applyNumberFormat="1" applyFont="1"/>
    <xf numFmtId="0" fontId="27" fillId="3" borderId="0" xfId="0" applyFont="1" applyFill="1"/>
    <xf numFmtId="0" fontId="25" fillId="3" borderId="0" xfId="0" applyFont="1" applyFill="1"/>
    <xf numFmtId="0" fontId="30" fillId="0" borderId="0" xfId="0" applyNumberFormat="1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7" fillId="0" borderId="1" xfId="0" applyFont="1" applyFill="1" applyBorder="1" applyAlignment="1">
      <alignment vertical="center"/>
    </xf>
    <xf numFmtId="0" fontId="31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5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6" fillId="0" borderId="2" xfId="0" applyNumberFormat="1" applyFont="1" applyFill="1" applyBorder="1"/>
    <xf numFmtId="1" fontId="25" fillId="0" borderId="2" xfId="0" applyNumberFormat="1" applyFont="1" applyFill="1" applyBorder="1" applyAlignment="1"/>
    <xf numFmtId="0" fontId="25" fillId="0" borderId="2" xfId="0" applyFont="1" applyFill="1" applyBorder="1"/>
    <xf numFmtId="1" fontId="26" fillId="0" borderId="6" xfId="0" applyNumberFormat="1" applyFont="1" applyFill="1" applyBorder="1"/>
    <xf numFmtId="0" fontId="20" fillId="0" borderId="0" xfId="0" applyFont="1" applyAlignment="1"/>
    <xf numFmtId="0" fontId="27" fillId="0" borderId="0" xfId="0" applyFont="1" applyFill="1"/>
    <xf numFmtId="0" fontId="26" fillId="0" borderId="0" xfId="0" applyFont="1" applyFill="1" applyAlignment="1">
      <alignment horizontal="center"/>
    </xf>
    <xf numFmtId="0" fontId="20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6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0" applyFont="1" applyFill="1" applyAlignment="1">
      <alignment vertical="center"/>
    </xf>
    <xf numFmtId="0" fontId="25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3" borderId="0" xfId="0" applyFont="1" applyFill="1" applyAlignment="1">
      <alignment vertical="center"/>
    </xf>
    <xf numFmtId="0" fontId="26" fillId="0" borderId="1" xfId="0" applyFont="1" applyFill="1" applyBorder="1" applyAlignment="1">
      <alignment vertical="center"/>
    </xf>
    <xf numFmtId="0" fontId="26" fillId="2" borderId="1" xfId="0" applyFont="1" applyFill="1" applyBorder="1" applyAlignment="1">
      <alignment vertical="center"/>
    </xf>
    <xf numFmtId="9" fontId="26" fillId="0" borderId="1" xfId="2" applyFont="1" applyFill="1" applyBorder="1" applyAlignment="1">
      <alignment vertical="center"/>
    </xf>
    <xf numFmtId="0" fontId="29" fillId="3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9" fontId="26" fillId="0" borderId="0" xfId="0" applyNumberFormat="1" applyFont="1" applyAlignment="1">
      <alignment vertical="center"/>
    </xf>
    <xf numFmtId="0" fontId="25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1" fontId="26" fillId="0" borderId="1" xfId="0" applyNumberFormat="1" applyFont="1" applyFill="1" applyBorder="1" applyAlignment="1">
      <alignment vertical="center"/>
    </xf>
    <xf numFmtId="0" fontId="35" fillId="0" borderId="1" xfId="0" applyFont="1" applyBorder="1" applyAlignment="1"/>
    <xf numFmtId="0" fontId="19" fillId="0" borderId="0" xfId="0" applyFont="1" applyAlignment="1"/>
    <xf numFmtId="0" fontId="19" fillId="0" borderId="0" xfId="0" applyFont="1"/>
    <xf numFmtId="0" fontId="26" fillId="4" borderId="1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8" fillId="0" borderId="1" xfId="0" applyFont="1" applyFill="1" applyBorder="1"/>
    <xf numFmtId="0" fontId="38" fillId="0" borderId="1" xfId="0" applyFont="1" applyFill="1" applyBorder="1" applyAlignment="1"/>
    <xf numFmtId="0" fontId="39" fillId="0" borderId="1" xfId="0" applyFont="1" applyFill="1" applyBorder="1" applyAlignment="1"/>
    <xf numFmtId="0" fontId="36" fillId="0" borderId="1" xfId="0" applyFont="1" applyFill="1" applyBorder="1" applyAlignment="1">
      <alignment vertical="center"/>
    </xf>
    <xf numFmtId="0" fontId="30" fillId="3" borderId="2" xfId="0" applyFont="1" applyFill="1" applyBorder="1" applyAlignment="1"/>
    <xf numFmtId="0" fontId="18" fillId="0" borderId="0" xfId="0" applyFont="1" applyAlignment="1"/>
    <xf numFmtId="0" fontId="17" fillId="0" borderId="0" xfId="0" applyFont="1" applyAlignment="1"/>
    <xf numFmtId="0" fontId="17" fillId="0" borderId="0" xfId="0" applyFont="1"/>
    <xf numFmtId="0" fontId="0" fillId="0" borderId="2" xfId="0" applyFont="1" applyFill="1" applyBorder="1" applyAlignment="1"/>
    <xf numFmtId="0" fontId="0" fillId="0" borderId="2" xfId="0" applyNumberFormat="1" applyFont="1" applyFill="1" applyBorder="1"/>
    <xf numFmtId="1" fontId="26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4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6" fillId="0" borderId="0" xfId="0" applyNumberFormat="1" applyFont="1"/>
    <xf numFmtId="16" fontId="26" fillId="5" borderId="0" xfId="0" applyNumberFormat="1" applyFont="1" applyFill="1" applyAlignment="1">
      <alignment vertical="center"/>
    </xf>
    <xf numFmtId="0" fontId="26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6" fillId="6" borderId="1" xfId="0" applyFont="1" applyFill="1" applyBorder="1" applyAlignment="1">
      <alignment vertical="center"/>
    </xf>
    <xf numFmtId="1" fontId="25" fillId="0" borderId="0" xfId="0" applyNumberFormat="1" applyFont="1" applyFill="1"/>
    <xf numFmtId="0" fontId="0" fillId="0" borderId="1" xfId="2" applyNumberFormat="1" applyFont="1" applyFill="1" applyBorder="1" applyAlignment="1"/>
    <xf numFmtId="10" fontId="30" fillId="0" borderId="1" xfId="2" applyNumberFormat="1" applyFont="1" applyFill="1" applyBorder="1" applyAlignment="1"/>
    <xf numFmtId="0" fontId="15" fillId="0" borderId="0" xfId="0" applyFont="1" applyAlignment="1"/>
    <xf numFmtId="0" fontId="14" fillId="0" borderId="1" xfId="0" applyFont="1" applyBorder="1" applyAlignment="1">
      <alignment vertical="center" wrapText="1"/>
    </xf>
    <xf numFmtId="0" fontId="40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1" fontId="21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13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12" fillId="0" borderId="0" xfId="0" applyFont="1" applyAlignment="1"/>
    <xf numFmtId="0" fontId="12" fillId="0" borderId="0" xfId="0" applyFont="1"/>
    <xf numFmtId="0" fontId="26" fillId="0" borderId="0" xfId="0" applyFont="1" applyFill="1" applyAlignment="1">
      <alignment vertical="center"/>
    </xf>
    <xf numFmtId="0" fontId="11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10" fillId="0" borderId="0" xfId="0" applyFont="1" applyAlignment="1"/>
    <xf numFmtId="0" fontId="9" fillId="0" borderId="0" xfId="0" applyFont="1" applyAlignment="1"/>
    <xf numFmtId="0" fontId="9" fillId="0" borderId="0" xfId="0" applyFont="1"/>
    <xf numFmtId="0" fontId="36" fillId="0" borderId="1" xfId="0" applyFont="1" applyFill="1" applyBorder="1"/>
    <xf numFmtId="166" fontId="26" fillId="0" borderId="1" xfId="0" applyNumberFormat="1" applyFont="1" applyFill="1" applyBorder="1"/>
    <xf numFmtId="0" fontId="8" fillId="0" borderId="0" xfId="0" applyFont="1" applyAlignment="1"/>
    <xf numFmtId="0" fontId="7" fillId="3" borderId="0" xfId="0" applyFont="1" applyFill="1" applyAlignment="1">
      <alignment vertical="center"/>
    </xf>
    <xf numFmtId="49" fontId="26" fillId="3" borderId="2" xfId="0" applyNumberFormat="1" applyFont="1" applyFill="1" applyBorder="1"/>
    <xf numFmtId="0" fontId="6" fillId="3" borderId="0" xfId="0" applyFont="1" applyFill="1" applyAlignment="1">
      <alignment vertical="center"/>
    </xf>
    <xf numFmtId="0" fontId="5" fillId="0" borderId="0" xfId="0" applyFont="1" applyAlignment="1"/>
    <xf numFmtId="0" fontId="34" fillId="0" borderId="1" xfId="1" applyNumberFormat="1"/>
    <xf numFmtId="0" fontId="4" fillId="3" borderId="0" xfId="0" applyFont="1" applyFill="1" applyAlignment="1">
      <alignment vertical="center"/>
    </xf>
    <xf numFmtId="0" fontId="0" fillId="0" borderId="8" xfId="0" applyFont="1" applyFill="1" applyBorder="1" applyAlignment="1"/>
    <xf numFmtId="0" fontId="0" fillId="0" borderId="1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2" xfId="0" applyFont="1" applyFill="1" applyBorder="1" applyAlignment="1"/>
    <xf numFmtId="0" fontId="3" fillId="7" borderId="8" xfId="0" applyFont="1" applyFill="1" applyBorder="1" applyAlignment="1"/>
    <xf numFmtId="0" fontId="3" fillId="0" borderId="8" xfId="0" applyFont="1" applyBorder="1" applyAlignment="1"/>
    <xf numFmtId="0" fontId="3" fillId="7" borderId="9" xfId="0" applyFont="1" applyFill="1" applyBorder="1" applyAlignment="1"/>
    <xf numFmtId="0" fontId="3" fillId="0" borderId="9" xfId="0" applyFont="1" applyBorder="1" applyAlignment="1"/>
    <xf numFmtId="0" fontId="3" fillId="0" borderId="13" xfId="0" applyFont="1" applyBorder="1" applyAlignment="1"/>
    <xf numFmtId="0" fontId="3" fillId="0" borderId="10" xfId="0" applyFont="1" applyBorder="1" applyAlignment="1"/>
    <xf numFmtId="0" fontId="3" fillId="8" borderId="11" xfId="0" applyFont="1" applyFill="1" applyBorder="1" applyAlignment="1"/>
    <xf numFmtId="9" fontId="3" fillId="8" borderId="12" xfId="0" applyNumberFormat="1" applyFont="1" applyFill="1" applyBorder="1" applyAlignment="1"/>
    <xf numFmtId="0" fontId="3" fillId="8" borderId="12" xfId="0" applyFont="1" applyFill="1" applyBorder="1" applyAlignment="1"/>
    <xf numFmtId="0" fontId="3" fillId="7" borderId="8" xfId="0" applyNumberFormat="1" applyFont="1" applyFill="1" applyBorder="1" applyAlignment="1"/>
    <xf numFmtId="0" fontId="3" fillId="0" borderId="8" xfId="0" applyNumberFormat="1" applyFont="1" applyBorder="1" applyAlignment="1"/>
    <xf numFmtId="0" fontId="3" fillId="0" borderId="10" xfId="0" applyNumberFormat="1" applyFont="1" applyBorder="1" applyAlignment="1"/>
    <xf numFmtId="2" fontId="3" fillId="0" borderId="12" xfId="0" applyNumberFormat="1" applyFont="1" applyFill="1" applyBorder="1" applyAlignment="1"/>
    <xf numFmtId="2" fontId="3" fillId="0" borderId="8" xfId="0" applyNumberFormat="1" applyFont="1" applyFill="1" applyBorder="1" applyAlignment="1"/>
    <xf numFmtId="2" fontId="3" fillId="0" borderId="10" xfId="0" applyNumberFormat="1" applyFont="1" applyFill="1" applyBorder="1" applyAlignment="1"/>
    <xf numFmtId="0" fontId="34" fillId="0" borderId="1" xfId="1" applyNumberFormat="1"/>
    <xf numFmtId="0" fontId="34" fillId="0" borderId="1" xfId="1" applyNumberFormat="1" applyFill="1"/>
    <xf numFmtId="0" fontId="2" fillId="3" borderId="0" xfId="0" applyFont="1" applyFill="1" applyAlignment="1">
      <alignment vertical="center"/>
    </xf>
    <xf numFmtId="0" fontId="41" fillId="0" borderId="2" xfId="0" applyFont="1" applyFill="1" applyBorder="1" applyAlignment="1"/>
    <xf numFmtId="1" fontId="41" fillId="0" borderId="2" xfId="0" quotePrefix="1" applyNumberFormat="1" applyFont="1" applyFill="1" applyBorder="1" applyAlignment="1"/>
    <xf numFmtId="2" fontId="42" fillId="0" borderId="2" xfId="0" applyNumberFormat="1" applyFont="1" applyFill="1" applyBorder="1"/>
    <xf numFmtId="1" fontId="41" fillId="0" borderId="2" xfId="0" applyNumberFormat="1" applyFont="1" applyFill="1" applyBorder="1" applyAlignment="1"/>
    <xf numFmtId="0" fontId="41" fillId="0" borderId="2" xfId="0" applyFont="1" applyFill="1" applyBorder="1"/>
    <xf numFmtId="1" fontId="42" fillId="0" borderId="6" xfId="0" applyNumberFormat="1" applyFont="1" applyFill="1" applyBorder="1"/>
    <xf numFmtId="0" fontId="41" fillId="0" borderId="2" xfId="0" applyNumberFormat="1" applyFont="1" applyFill="1" applyBorder="1"/>
    <xf numFmtId="0" fontId="41" fillId="0" borderId="7" xfId="0" applyFont="1" applyFill="1" applyBorder="1" applyAlignment="1"/>
    <xf numFmtId="2" fontId="42" fillId="0" borderId="7" xfId="0" applyNumberFormat="1" applyFont="1" applyFill="1" applyBorder="1"/>
    <xf numFmtId="0" fontId="41" fillId="0" borderId="7" xfId="0" applyNumberFormat="1" applyFont="1" applyFill="1" applyBorder="1"/>
    <xf numFmtId="0" fontId="34" fillId="0" borderId="1" xfId="1" applyNumberFormat="1"/>
    <xf numFmtId="0" fontId="36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3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3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0.62181818181818183</c:v>
                </c:pt>
                <c:pt idx="1">
                  <c:v>0.24727272727272726</c:v>
                </c:pt>
                <c:pt idx="2">
                  <c:v>0.13090909090909089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Global'!$T$78:$T$91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Global'!$U$78:$U$91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'Stats Global'!$V$78:$V$91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23</c:v>
                </c:pt>
                <c:pt idx="11">
                  <c:v>26</c:v>
                </c:pt>
                <c:pt idx="12">
                  <c:v>29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362" dataDxfId="360" headerRowBorderDxfId="361" tableBorderDxfId="359" totalsRowBorderDxfId="358">
  <autoFilter ref="Z7:AJ24" xr:uid="{598ECA3B-99B4-4CAB-8F81-5D711AA5A7FC}"/>
  <tableColumns count="11">
    <tableColumn id="1" xr3:uid="{9B036617-5450-4894-9268-827D2E0914FF}" name="Scoring" dataDxfId="357"/>
    <tableColumn id="2" xr3:uid="{6662CE93-E9C4-47DE-9476-E46126825B0A}" name="Points" dataDxfId="356">
      <calculatedColumnFormula>SUM(AL29,AA49,AL49,AA69,AL69,AA89,AL89)</calculatedColumnFormula>
    </tableColumn>
    <tableColumn id="3" xr3:uid="{8FDDFCB0-2692-4EB0-948C-7B877263B55B}" name="Average" dataDxfId="355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354">
      <calculatedColumnFormula>SUM(AM29,AB49,AM49,AB69,AM69,AB89,AM89)</calculatedColumnFormula>
    </tableColumn>
    <tableColumn id="5" xr3:uid="{5F324C66-956D-4EDC-870F-8EDE96C328C8}" name="Averages" dataDxfId="353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352">
      <calculatedColumnFormula>SUM(AN29,AC49,AN49,AC69,AN69,AC89,AN89)</calculatedColumnFormula>
    </tableColumn>
    <tableColumn id="7" xr3:uid="{8E7E6B37-23A0-4556-8839-B9D7834E3E68}" name="Averages2" dataDxfId="351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350">
      <calculatedColumnFormula>SUM(AO29,AD49,AO49,AD69,AO69,AD89,AO89)</calculatedColumnFormula>
    </tableColumn>
    <tableColumn id="9" xr3:uid="{E0C0BF1C-40E8-4137-8E0F-BB238D651DAE}" name="Averages3" dataDxfId="349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348">
      <calculatedColumnFormula>SfW!C3</calculatedColumnFormula>
    </tableColumn>
    <tableColumn id="11" xr3:uid="{E167D7FA-56F9-4571-B292-FF3869585F59}" name="Missed Games" dataDxfId="347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256">
  <autoFilter ref="AW7:BC24" xr:uid="{96B06DCA-2A57-491D-9968-278FF3FBD78A}"/>
  <tableColumns count="7">
    <tableColumn id="1" xr3:uid="{FE52DA28-AC9B-4385-A502-8DDB5D1FBA9E}" name="Name" dataDxfId="255"/>
    <tableColumn id="2" xr3:uid="{D93DA907-1A5C-4FC6-A721-6072347E34BF}" name="Total R" dataDxfId="254">
      <calculatedColumnFormula>'1707'!AC4+'1807'!AC4+'2407'!AC4+'2607'!AC4</calculatedColumnFormula>
    </tableColumn>
    <tableColumn id="3" xr3:uid="{EBD2E9CC-2367-4D50-957C-38F9CE276205}" name="Total A" dataDxfId="253">
      <calculatedColumnFormula>'1707'!AD4+'1807'!AD4+'2407'!AD4+'2607'!AD4</calculatedColumnFormula>
    </tableColumn>
    <tableColumn id="4" xr3:uid="{7DF9F4A1-F7D8-44DD-8445-ABFA3454613B}" name="Total S" dataDxfId="252">
      <calculatedColumnFormula>'1707'!AE4+'1807'!AE4+'2407'!AE4+'2607'!AE4</calculatedColumnFormula>
    </tableColumn>
    <tableColumn id="5" xr3:uid="{1AAD62E4-FA3F-4F41-8BD0-85F54409C489}" name="Avg R" dataDxfId="251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247" dataDxfId="246">
  <autoFilter ref="R3:AA8" xr:uid="{744FF78C-74B5-4798-AD3D-741E3ACB43CF}"/>
  <tableColumns count="10">
    <tableColumn id="1" xr3:uid="{B3B5C08C-655A-460A-A171-B3B0C826FF04}" name="Name" dataDxfId="245"/>
    <tableColumn id="2" xr3:uid="{427944B0-44CA-4325-A406-29F83026BA5E}" name="Points" dataDxfId="244">
      <calculatedColumnFormula>'Stats Global'!AA22</calculatedColumnFormula>
    </tableColumn>
    <tableColumn id="3" xr3:uid="{5E06D173-4DBE-4045-9072-0A0A77D19C84}" name="Average" dataDxfId="243"/>
    <tableColumn id="4" xr3:uid="{E74131A4-1DCA-4A89-8989-A4CF80175582}" name="Finishes" dataDxfId="242"/>
    <tableColumn id="5" xr3:uid="{FC3336D4-2CB5-4673-A345-7C9CCED7ADEE}" name="Averages" dataDxfId="241"/>
    <tableColumn id="6" xr3:uid="{BD6313A7-5D92-4B66-9B85-7ABC12DE9691}" name="Midranges" dataDxfId="240"/>
    <tableColumn id="7" xr3:uid="{6D0293BC-7E06-45CE-9D4B-FE4769DF9D9F}" name="Averages2" dataDxfId="239"/>
    <tableColumn id="8" xr3:uid="{89C1C64B-DD66-482C-BCDE-8B912D2676EF}" name="Threes" dataDxfId="238"/>
    <tableColumn id="9" xr3:uid="{7748B87C-1833-4BD6-9162-76373407E655}" name="Averages3" dataDxfId="237"/>
    <tableColumn id="10" xr3:uid="{D870E191-A52F-442E-AA52-A42CFAD05573}" name="Missed Games" dataDxfId="23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FC47C7-DFD7-4A9F-A1A5-1CA685184237}" name="Table3" displayName="Table3" ref="AC2:AO14" totalsRowShown="0" headerRowDxfId="235" dataDxfId="234" tableBorderDxfId="233">
  <autoFilter ref="AC2:AO14" xr:uid="{1FFC47C7-DFD7-4A9F-A1A5-1CA685184237}"/>
  <tableColumns count="13">
    <tableColumn id="1" xr3:uid="{FB71619C-EB39-4988-B4DB-5EDC829403C2}" name="Against Us" dataDxfId="232"/>
    <tableColumn id="2" xr3:uid="{A05D2E0F-7123-4E1F-B29C-F30D2F0BF127}" name="Points" dataDxfId="231">
      <calculatedColumnFormula>'1707'!AC24+'1807'!AC24+'1907'!AC24+'2007'!AC24+'2407'!AC24+'2607'!AC24+'2707'!AC24+'3107'!AC24+'0108'!AC24+'0208'!AC24+'0308'!AC24+'0808'!AC24+'0908'!AC24+'1008'!AC24</calculatedColumnFormula>
    </tableColumn>
    <tableColumn id="3" xr3:uid="{9E27C520-1719-432D-9A55-0688C4455300}" name="Finishes" dataDxfId="230">
      <calculatedColumnFormula>'1707'!AD24+'1807'!AD24+'1907'!AD24+'2007'!AD24+'2407'!AD24+'2607'!AD24+'2707'!AD24+'3107'!AD24+'0108'!AD24+'0208'!AD24+'0308'!AD24+'0808'!AD24+'0908'!AD24+'1008'!AD24</calculatedColumnFormula>
    </tableColumn>
    <tableColumn id="4" xr3:uid="{FE221777-AF13-4647-8B84-5F40FADA84BA}" name="Midranges" dataDxfId="229">
      <calculatedColumnFormula>'1707'!AE24+'1807'!AE24+'1907'!AE24+'2007'!AE24+'2407'!AE24+'2607'!AE24+'2707'!AE24+'3107'!AE24+'0108'!AE24+'0208'!AE24+'0308'!AE24+'0808'!AE24+'0908'!AE24+'1008'!AE24</calculatedColumnFormula>
    </tableColumn>
    <tableColumn id="5" xr3:uid="{6F18A523-C406-4ABC-8DDC-55BC55EFCF8A}" name="Threes" dataDxfId="228">
      <calculatedColumnFormula>'1707'!AF24+'1807'!AF24+'1907'!AF24+'2007'!AF24+'2407'!AF24+'2607'!AF24+'2707'!AF24+'3107'!AF24+'0108'!AF24+'0208'!AF24+'0308'!AF24+'0808'!AF24+'0908'!AF24+'1008'!AF24</calculatedColumnFormula>
    </tableColumn>
    <tableColumn id="6" xr3:uid="{DA844D2F-07B6-48DB-9909-51BADCB119CB}" name="AVG P" dataDxfId="227">
      <calculatedColumnFormula>Table3[[#This Row],[Points]]/('Stats Global'!$AA$6-'Stats Global'!$AJ$10)</calculatedColumnFormula>
    </tableColumn>
    <tableColumn id="7" xr3:uid="{C5F438D0-3649-45D5-96FD-9D3510FBA489}" name="AVG F" dataDxfId="226"/>
    <tableColumn id="8" xr3:uid="{4FE2170E-9694-4785-914B-948DCD739ABA}" name="AVG M" dataDxfId="225"/>
    <tableColumn id="9" xr3:uid="{2E746532-8EE6-4676-8881-EEE8EA96A6B2}" name="AVG T" dataDxfId="224"/>
    <tableColumn id="10" xr3:uid="{12C6BBBE-13C7-4FFC-B357-00756FCC2217}" name="Difference P" dataDxfId="223">
      <calculatedColumnFormula>'Stats Global'!AB10-Table3[[#This Row],[AVG P]]</calculatedColumnFormula>
    </tableColumn>
    <tableColumn id="11" xr3:uid="{B6506F90-A35B-444D-8607-68FB9AC442F9}" name="Difference F" dataDxfId="222"/>
    <tableColumn id="12" xr3:uid="{090A7971-5A51-4381-ADE6-805EDA460DAB}" name="Difference M" dataDxfId="221"/>
    <tableColumn id="13" xr3:uid="{455AB6FD-A12D-42D6-A826-A5BA8E9EE48E}" name="Difference T" dataDxfId="22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19" dataDxfId="218">
  <autoFilter ref="O3:X10" xr:uid="{54759C84-3153-4DC9-9240-E2749AA0D92B}"/>
  <tableColumns count="10">
    <tableColumn id="1" xr3:uid="{7790729E-C8E5-45C1-8784-25212A2654AA}" name="Name" dataDxfId="217"/>
    <tableColumn id="2" xr3:uid="{52A67B2B-967C-4970-8D83-8F8E9CC61522}" name="Points" dataDxfId="216"/>
    <tableColumn id="3" xr3:uid="{BA1FA2C8-AEC0-4644-83DB-5097750D7188}" name="Average" dataDxfId="215"/>
    <tableColumn id="4" xr3:uid="{4CF66F5D-BF10-4CBD-88FF-CCD38730E1CD}" name="Finishes" dataDxfId="214"/>
    <tableColumn id="5" xr3:uid="{BC246D5B-7E78-41A6-B796-C93ED8E53DF9}" name="Averages" dataDxfId="213"/>
    <tableColumn id="6" xr3:uid="{AB819419-CC06-4A40-8DED-E231125129C0}" name="Midranges" dataDxfId="212"/>
    <tableColumn id="7" xr3:uid="{064AA562-C451-4362-805E-D12DC76C3530}" name="Averages2" dataDxfId="211"/>
    <tableColumn id="8" xr3:uid="{BD0D8BAE-15E4-4B38-87FE-B682D7BAEE75}" name="Threes" dataDxfId="210"/>
    <tableColumn id="9" xr3:uid="{541E391B-4B08-4E98-A63F-753C11193269}" name="Averages3" dataDxfId="209"/>
    <tableColumn id="10" xr3:uid="{999BB5D2-D6FB-4EB9-A268-D62EA72F939D}" name="Missed Games" dataDxfId="20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207" dataDxfId="206">
  <autoFilter ref="L4:U10" xr:uid="{C12CFC3F-7D59-4C0F-8D43-3F8ACD58C2BD}"/>
  <tableColumns count="10">
    <tableColumn id="1" xr3:uid="{CE15C23D-9493-4B21-9D40-1A25D210C18E}" name="Name" dataDxfId="205"/>
    <tableColumn id="2" xr3:uid="{6BB170B1-AA38-4699-9B96-400D2947EE9C}" name="Points" dataDxfId="204"/>
    <tableColumn id="3" xr3:uid="{EC8B6CBB-FCC9-416C-AEA6-738419DFE531}" name="Average" dataDxfId="203"/>
    <tableColumn id="4" xr3:uid="{315DA055-9A43-468A-A501-1092626F523F}" name="Finishes" dataDxfId="202"/>
    <tableColumn id="5" xr3:uid="{56B6FF4D-95D4-4550-88E4-C781ABDA83A6}" name="Averages" dataDxfId="201"/>
    <tableColumn id="6" xr3:uid="{F7B5C0B8-FBE2-44B0-A372-112C7776FCCF}" name="Midranges" dataDxfId="200"/>
    <tableColumn id="7" xr3:uid="{1A1C2126-FEB1-408F-8523-049E53028B4E}" name="Averages2" dataDxfId="199"/>
    <tableColumn id="8" xr3:uid="{AE94036B-3777-4C1B-97D5-7BFA1037C0BF}" name="Threes" dataDxfId="198"/>
    <tableColumn id="9" xr3:uid="{448B0903-7F66-40BA-809F-74ADBF397B45}" name="Averages3" dataDxfId="197"/>
    <tableColumn id="10" xr3:uid="{E0CAC55D-8398-4928-A219-C01706996D48}" name="Missed Games" dataDxfId="19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3FD7CD8-C40D-411F-89C3-F53649174B3A}" name="Table631" displayName="Table631" ref="AB23:AF35" totalsRowShown="0" headerRowDxfId="195" dataDxfId="193" headerRowBorderDxfId="194" tableBorderDxfId="192" totalsRowBorderDxfId="191">
  <autoFilter ref="AB23:AF35" xr:uid="{13FD7CD8-C40D-411F-89C3-F53649174B3A}"/>
  <tableColumns count="5">
    <tableColumn id="1" xr3:uid="{55112290-2A71-4FFD-A96D-ED94D1FAD6CA}" name="Name" dataDxfId="190"/>
    <tableColumn id="2" xr3:uid="{92074427-DAC9-482D-B452-A84499E2326C}" name="Points" dataDxfId="189">
      <calculatedColumnFormula>Table631[[#This Row],[Finishes]]+Table631[[#This Row],[Midranges]]+Table631[[#This Row],[Threes]]+Table631[[#This Row],[Threes]]</calculatedColumnFormula>
    </tableColumn>
    <tableColumn id="3" xr3:uid="{14EB9C92-86B6-4F91-A756-8E901645DDF4}" name="Finishes" dataDxfId="188">
      <calculatedColumnFormula>COUNTIFS(E$4:E$35,AB24,F$4:F$35,"Finish")</calculatedColumnFormula>
    </tableColumn>
    <tableColumn id="4" xr3:uid="{F5E1BC98-B8DA-4352-AA36-948EEFB2D6BE}" name="Midranges" dataDxfId="187">
      <calculatedColumnFormula>COUNTIFS(E$4:E$35,AB24,F$4:F$35,"Midrange")</calculatedColumnFormula>
    </tableColumn>
    <tableColumn id="5" xr3:uid="{792FABB2-60F3-4593-AE66-08C16949FD78}" name="Threes" dataDxfId="18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E990EEA-BFE3-4E06-B0FA-752B92E60DBD}" name="Table63134" displayName="Table63134" ref="AB23:AF35" totalsRowShown="0" headerRowDxfId="15" dataDxfId="14" headerRowBorderDxfId="12" tableBorderDxfId="13" totalsRowBorderDxfId="11">
  <autoFilter ref="AB23:AF35" xr:uid="{13FD7CD8-C40D-411F-89C3-F53649174B3A}"/>
  <tableColumns count="5">
    <tableColumn id="1" xr3:uid="{5722898C-8B7C-4F0E-B206-8584C19CF3F0}" name="Name" dataDxfId="10"/>
    <tableColumn id="2" xr3:uid="{0B64D802-5FC2-4AA1-A62E-B6CF28717633}" name="Points" dataDxfId="9">
      <calculatedColumnFormula>Table63134[[#This Row],[Finishes]]+Table63134[[#This Row],[Midranges]]+Table63134[[#This Row],[Threes]]+Table63134[[#This Row],[Threes]]</calculatedColumnFormula>
    </tableColumn>
    <tableColumn id="3" xr3:uid="{B7BF31E5-7B67-4CBC-A36E-37978A20C40F}" name="Finishes" dataDxfId="8">
      <calculatedColumnFormula>COUNTIFS(E$4:E$35,AB24,F$4:F$35,"Finish")</calculatedColumnFormula>
    </tableColumn>
    <tableColumn id="4" xr3:uid="{1EB8037A-001D-4FEE-A67C-37F522BB9F3B}" name="Midranges" dataDxfId="7">
      <calculatedColumnFormula>COUNTIFS(E$4:E$35,AB24,F$4:F$35,"Midrange")</calculatedColumnFormula>
    </tableColumn>
    <tableColumn id="5" xr3:uid="{21DC8F64-C38B-4516-B315-723E408E3841}" name="Threes" dataDxfId="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4460559-EE55-4CF5-85D3-F8A1545DCA0F}" name="Table63133" displayName="Table63133" ref="AB23:AF35" totalsRowShown="0" headerRowDxfId="185" dataDxfId="183" headerRowBorderDxfId="184" tableBorderDxfId="182" totalsRowBorderDxfId="181">
  <autoFilter ref="AB23:AF35" xr:uid="{13FD7CD8-C40D-411F-89C3-F53649174B3A}"/>
  <tableColumns count="5">
    <tableColumn id="1" xr3:uid="{574C6AFA-0DD5-4E48-92F8-1F51665EBF50}" name="Name" dataDxfId="180"/>
    <tableColumn id="2" xr3:uid="{73CC7313-6932-4808-B503-006EA032F725}" name="Points" dataDxfId="179">
      <calculatedColumnFormula>Table63133[[#This Row],[Finishes]]+Table63133[[#This Row],[Midranges]]+Table63133[[#This Row],[Threes]]+Table63133[[#This Row],[Threes]]</calculatedColumnFormula>
    </tableColumn>
    <tableColumn id="3" xr3:uid="{8ED0236E-CA3C-46C1-90EE-E9237B6994E8}" name="Finishes" dataDxfId="178">
      <calculatedColumnFormula>COUNTIFS(E$4:E$35,AB24,F$4:F$35,"Finish")</calculatedColumnFormula>
    </tableColumn>
    <tableColumn id="4" xr3:uid="{5B87B6E1-7107-49A4-83EF-5808FD74997E}" name="Midranges" dataDxfId="177">
      <calculatedColumnFormula>COUNTIFS(E$4:E$35,AB24,F$4:F$35,"Midrange")</calculatedColumnFormula>
    </tableColumn>
    <tableColumn id="5" xr3:uid="{325B3640-0298-4E89-A2F0-E49C7B0A3C4C}" name="Threes" dataDxfId="17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724D180-39C3-4F3D-96E3-77D487A24A65}" name="Table63132" displayName="Table63132" ref="AB23:AF35" totalsRowShown="0" headerRowDxfId="175" dataDxfId="173" headerRowBorderDxfId="174" tableBorderDxfId="172" totalsRowBorderDxfId="171">
  <autoFilter ref="AB23:AF35" xr:uid="{13FD7CD8-C40D-411F-89C3-F53649174B3A}"/>
  <tableColumns count="5">
    <tableColumn id="1" xr3:uid="{91C5C250-A408-4754-A8CE-26D442D6CDAA}" name="Name" dataDxfId="170"/>
    <tableColumn id="2" xr3:uid="{30358CE6-D7D2-4D5C-8B2B-68CC2496D5EE}" name="Points" dataDxfId="169">
      <calculatedColumnFormula>Table63132[[#This Row],[Finishes]]+Table63132[[#This Row],[Midranges]]+Table63132[[#This Row],[Threes]]+Table63132[[#This Row],[Threes]]</calculatedColumnFormula>
    </tableColumn>
    <tableColumn id="3" xr3:uid="{F78A778B-268E-44CD-92E3-050552424A21}" name="Finishes" dataDxfId="168">
      <calculatedColumnFormula>COUNTIFS(E$4:E$35,AB24,F$4:F$35,"Finish")</calculatedColumnFormula>
    </tableColumn>
    <tableColumn id="4" xr3:uid="{A81D1110-5FEE-4844-939E-93EEBD082E97}" name="Midranges" dataDxfId="167">
      <calculatedColumnFormula>COUNTIFS(E$4:E$35,AB24,F$4:F$35,"Midrange")</calculatedColumnFormula>
    </tableColumn>
    <tableColumn id="5" xr3:uid="{21615588-C03B-492D-9E7F-96AAEBF7CCB0}" name="Threes" dataDxfId="16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1E82EA-4698-4EB6-81EF-494FF4C3CF0A}" name="Table6316" displayName="Table6316" ref="AB23:AF35" totalsRowShown="0" headerRowDxfId="165" dataDxfId="163" headerRowBorderDxfId="164" tableBorderDxfId="162" totalsRowBorderDxfId="161">
  <autoFilter ref="AB23:AF35" xr:uid="{13FD7CD8-C40D-411F-89C3-F53649174B3A}"/>
  <tableColumns count="5">
    <tableColumn id="1" xr3:uid="{72B8CB40-987E-41F5-A060-5823CF015223}" name="Name" dataDxfId="160"/>
    <tableColumn id="2" xr3:uid="{33F2A167-F049-4052-A26F-5C3D436136E1}" name="Points" dataDxfId="159">
      <calculatedColumnFormula>Table6316[[#This Row],[Finishes]]+Table6316[[#This Row],[Midranges]]+Table6316[[#This Row],[Threes]]+Table6316[[#This Row],[Threes]]</calculatedColumnFormula>
    </tableColumn>
    <tableColumn id="3" xr3:uid="{1D77F709-F1FC-4693-BA0C-F6322F99B47A}" name="Finishes" dataDxfId="158">
      <calculatedColumnFormula>COUNTIFS(E$4:E$35,AB24,F$4:F$35,"Finish")</calculatedColumnFormula>
    </tableColumn>
    <tableColumn id="4" xr3:uid="{8C55320D-B379-4351-AC73-977A4AAF9956}" name="Midranges" dataDxfId="157">
      <calculatedColumnFormula>COUNTIFS(E$4:E$35,AB24,F$4:F$35,"Midrange")</calculatedColumnFormula>
    </tableColumn>
    <tableColumn id="5" xr3:uid="{9ED51C54-01E7-4718-9C8E-3E59C8E64B2E}" name="Threes" dataDxfId="15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346" dataDxfId="345">
  <autoFilter ref="Z28:AI45" xr:uid="{84D0C431-52CF-4ABD-AA3E-D31975A289B1}"/>
  <tableColumns count="10">
    <tableColumn id="1" xr3:uid="{4DB7A2B8-7BD8-4BD7-8F53-2A7873A4EAAE}" name="Scoring" dataDxfId="344"/>
    <tableColumn id="2" xr3:uid="{BE8EBD49-660A-4C9F-970E-230EBB942EF1}" name="Points" dataDxfId="343">
      <calculatedColumnFormula>'Preseason 1'!R3+'Preseason 2'!R3+'Preseason 3'!R3</calculatedColumnFormula>
    </tableColumn>
    <tableColumn id="3" xr3:uid="{C2C49EF0-4D8C-4F8C-8D19-CDD1481D9568}" name="Finishes" dataDxfId="342">
      <calculatedColumnFormula>'Preseason 1'!S3+'Preseason 2'!S3+'Preseason 3'!S3</calculatedColumnFormula>
    </tableColumn>
    <tableColumn id="4" xr3:uid="{7E789F8C-B8F3-4D6E-AB6C-C9454835B062}" name="Midranges" dataDxfId="341">
      <calculatedColumnFormula>'Preseason 1'!T3+'Preseason 2'!T3+'Preseason 3'!T3</calculatedColumnFormula>
    </tableColumn>
    <tableColumn id="5" xr3:uid="{18C990F2-A6D0-4F57-B96A-D00066DCC8D8}" name="Threes" dataDxfId="340">
      <calculatedColumnFormula>'Preseason 1'!U3+'Preseason 2'!U3+'Preseason 3'!U3</calculatedColumnFormula>
    </tableColumn>
    <tableColumn id="6" xr3:uid="{40526534-76CA-42BA-A8B6-AB092D9CE18F}" name="Avg P" dataDxfId="339">
      <calculatedColumnFormula>AA29/($AA$27-Table2[[#This Row],[Missed Games]])</calculatedColumnFormula>
    </tableColumn>
    <tableColumn id="7" xr3:uid="{693AF117-21F6-4887-B78D-D59235BABA44}" name="Avg F" dataDxfId="338">
      <calculatedColumnFormula>AB29/($AA$27-Table2[[#This Row],[Missed Games]])</calculatedColumnFormula>
    </tableColumn>
    <tableColumn id="8" xr3:uid="{02AC8FBF-EBB3-4AFC-BAC5-B773E33B7279}" name="Avg M" dataDxfId="337">
      <calculatedColumnFormula>AC29/($AA$27-Table2[[#This Row],[Missed Games]])</calculatedColumnFormula>
    </tableColumn>
    <tableColumn id="9" xr3:uid="{CCF75EB4-34C4-4D47-9D51-E8D85C07E38B}" name="Avg T" dataDxfId="336">
      <calculatedColumnFormula>AD29/($AA$27-Table2[[#This Row],[Missed Games]])</calculatedColumnFormula>
    </tableColumn>
    <tableColumn id="10" xr3:uid="{1A786A5C-D0C2-4ABC-904C-983180542D5F}" name="Missed Games" dataDxfId="335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58502EA-6343-4A42-B904-BF5AA09EF1C9}" name="Table630" displayName="Table630" ref="AB23:AF35" totalsRowShown="0" headerRowDxfId="155" dataDxfId="153" headerRowBorderDxfId="154" tableBorderDxfId="152" totalsRowBorderDxfId="151">
  <autoFilter ref="AB23:AF35" xr:uid="{A58502EA-6343-4A42-B904-BF5AA09EF1C9}"/>
  <tableColumns count="5">
    <tableColumn id="1" xr3:uid="{C42AD260-96D1-4BAD-8582-9EB233D448AD}" name="Name" dataDxfId="150"/>
    <tableColumn id="2" xr3:uid="{119BAC15-6DB1-4EED-9491-B9735D1A1CCD}" name="Points" dataDxfId="149">
      <calculatedColumnFormula>Table630[[#This Row],[Finishes]]+Table630[[#This Row],[Midranges]]+Table630[[#This Row],[Threes]]+Table630[[#This Row],[Threes]]</calculatedColumnFormula>
    </tableColumn>
    <tableColumn id="3" xr3:uid="{E755F90B-098B-45BA-B9C8-09B72ACE6E1C}" name="Finishes" dataDxfId="148">
      <calculatedColumnFormula>COUNTIFS(E$4:E$35,AB24,F$4:F$35,"Finish")</calculatedColumnFormula>
    </tableColumn>
    <tableColumn id="4" xr3:uid="{28ADA3B1-482E-43CA-AD2A-02F7A09CACFD}" name="Midranges" dataDxfId="147">
      <calculatedColumnFormula>COUNTIFS(E$4:E$35,AB24,F$4:F$35,"Midrange")</calculatedColumnFormula>
    </tableColumn>
    <tableColumn id="5" xr3:uid="{C9AC02A1-010E-43D2-BDCE-C22B864C549F}" name="Threes" dataDxfId="14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E76429B-169B-468D-824D-A87B796442C0}" name="Table629" displayName="Table629" ref="AB23:AF35" totalsRowShown="0" headerRowDxfId="145" dataDxfId="143" headerRowBorderDxfId="144" tableBorderDxfId="142" totalsRowBorderDxfId="141">
  <autoFilter ref="AB23:AF35" xr:uid="{6E76429B-169B-468D-824D-A87B796442C0}"/>
  <tableColumns count="5">
    <tableColumn id="1" xr3:uid="{702D6C1A-EF35-4C14-A8EC-BBE79BC5BE81}" name="Name" dataDxfId="140"/>
    <tableColumn id="2" xr3:uid="{9BD04D9B-64B3-4165-9C75-3A9A0F304D9A}" name="Points" dataDxfId="139">
      <calculatedColumnFormula>Table629[[#This Row],[Finishes]]+Table629[[#This Row],[Midranges]]+Table629[[#This Row],[Threes]]+Table629[[#This Row],[Threes]]</calculatedColumnFormula>
    </tableColumn>
    <tableColumn id="3" xr3:uid="{AEA5A0D1-9783-4821-B0B2-D45218D76E25}" name="Finishes" dataDxfId="138">
      <calculatedColumnFormula>COUNTIFS(E$4:E$35,AB24,F$4:F$35,"Finish")</calculatedColumnFormula>
    </tableColumn>
    <tableColumn id="4" xr3:uid="{179483FA-F4DC-46F6-9EBD-2B72684FBED5}" name="Midranges" dataDxfId="137">
      <calculatedColumnFormula>COUNTIFS(E$4:E$35,AB24,F$4:F$35,"Midrange")</calculatedColumnFormula>
    </tableColumn>
    <tableColumn id="5" xr3:uid="{82BFCC2E-BA97-42C7-9C9C-9D4A2257CC8D}" name="Threes" dataDxfId="13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1C1840-2FF8-49B4-9F4B-8223C0525289}" name="Table622" displayName="Table622" ref="AB23:AF35" totalsRowShown="0" headerRowDxfId="135" dataDxfId="133" headerRowBorderDxfId="134" tableBorderDxfId="132" totalsRowBorderDxfId="131">
  <autoFilter ref="AB23:AF35" xr:uid="{711C1840-2FF8-49B4-9F4B-8223C0525289}"/>
  <tableColumns count="5">
    <tableColumn id="1" xr3:uid="{0B03E012-9A8E-4767-A04A-C16CD3CCDC33}" name="Name" dataDxfId="130"/>
    <tableColumn id="2" xr3:uid="{A2B7E625-74CD-4FF7-8B9D-7F3ACC55103A}" name="Points" dataDxfId="129">
      <calculatedColumnFormula>Table622[[#This Row],[Finishes]]+Table622[[#This Row],[Midranges]]+Table622[[#This Row],[Threes]]+Table622[[#This Row],[Threes]]</calculatedColumnFormula>
    </tableColumn>
    <tableColumn id="3" xr3:uid="{535825F8-C373-4F79-BA5C-5860758B1DD1}" name="Finishes" dataDxfId="128">
      <calculatedColumnFormula>COUNTIFS(E$4:E$35,AB24,F$4:F$35,"Finish")</calculatedColumnFormula>
    </tableColumn>
    <tableColumn id="4" xr3:uid="{D078A61B-1896-43FA-8563-E4D3FCD6B4DD}" name="Midranges" dataDxfId="127">
      <calculatedColumnFormula>COUNTIFS(E$4:E$35,AB24,F$4:F$35,"Midrange")</calculatedColumnFormula>
    </tableColumn>
    <tableColumn id="5" xr3:uid="{A9701953-19FF-4D79-8455-76372461AB88}" name="Threes" dataDxfId="12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26177D-8CDE-4D62-99F6-2C9B80BCEAD6}" name="Table621" displayName="Table621" ref="AB23:AF35" totalsRowShown="0" headerRowDxfId="125" dataDxfId="123" headerRowBorderDxfId="124" tableBorderDxfId="122" totalsRowBorderDxfId="121">
  <autoFilter ref="AB23:AF35" xr:uid="{AE26177D-8CDE-4D62-99F6-2C9B80BCEAD6}"/>
  <tableColumns count="5">
    <tableColumn id="1" xr3:uid="{4C6C9C10-76EC-4EDA-B740-1EF5587C01D1}" name="Name" dataDxfId="120"/>
    <tableColumn id="2" xr3:uid="{6B881634-AC7D-412B-9F02-D156A1201211}" name="Points" dataDxfId="119">
      <calculatedColumnFormula>Table621[[#This Row],[Finishes]]+Table621[[#This Row],[Midranges]]+Table621[[#This Row],[Threes]]+Table621[[#This Row],[Threes]]</calculatedColumnFormula>
    </tableColumn>
    <tableColumn id="3" xr3:uid="{A31AAFFC-6AE6-40F9-A505-6B3F5D62C04B}" name="Finishes" dataDxfId="118">
      <calculatedColumnFormula>COUNTIFS(E$4:E$35,AB24,F$4:F$35,"Finish")</calculatedColumnFormula>
    </tableColumn>
    <tableColumn id="4" xr3:uid="{B1AB5C9D-3E0B-4B27-ADFF-1DF93EE6CC84}" name="Midranges" dataDxfId="117">
      <calculatedColumnFormula>COUNTIFS(E$4:E$35,AB24,F$4:F$35,"Midrange")</calculatedColumnFormula>
    </tableColumn>
    <tableColumn id="5" xr3:uid="{7C0B5A5A-E056-494F-86B0-CBEB8D1475C9}" name="Threes" dataDxfId="11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35046DB-B0F1-42B0-86FE-D063621EE515}" name="Table620" displayName="Table620" ref="AB23:AF35" totalsRowShown="0" headerRowDxfId="115" dataDxfId="113" headerRowBorderDxfId="114" tableBorderDxfId="112" totalsRowBorderDxfId="111">
  <autoFilter ref="AB23:AF35" xr:uid="{A35046DB-B0F1-42B0-86FE-D063621EE515}"/>
  <tableColumns count="5">
    <tableColumn id="1" xr3:uid="{27893731-032B-4D12-B452-2AA29EA44EC6}" name="Name" dataDxfId="110"/>
    <tableColumn id="2" xr3:uid="{E8C49AAC-F230-4F21-AC21-34B9ED55BD7B}" name="Points" dataDxfId="109">
      <calculatedColumnFormula>Table620[[#This Row],[Finishes]]+Table620[[#This Row],[Midranges]]+Table620[[#This Row],[Threes]]+Table620[[#This Row],[Threes]]</calculatedColumnFormula>
    </tableColumn>
    <tableColumn id="3" xr3:uid="{39EEDED5-431E-407F-8250-66EB4AF17F83}" name="Finishes" dataDxfId="108">
      <calculatedColumnFormula>COUNTIFS(E$4:E$35,AB24,F$4:F$35,"Finish")</calculatedColumnFormula>
    </tableColumn>
    <tableColumn id="4" xr3:uid="{74575A80-2AA7-42B7-B656-A6420844C111}" name="Midranges" dataDxfId="107">
      <calculatedColumnFormula>COUNTIFS(E$4:E$35,AB24,F$4:F$35,"Midrange")</calculatedColumnFormula>
    </tableColumn>
    <tableColumn id="5" xr3:uid="{FF198C28-8745-4B95-8E6C-BFE1083D2908}" name="Threes" dataDxfId="10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714D4D3-70C5-4A24-9A4E-A2AAB9CF35E3}" name="Table619" displayName="Table619" ref="AB23:AF35" totalsRowShown="0" headerRowDxfId="105" dataDxfId="103" headerRowBorderDxfId="104" tableBorderDxfId="102" totalsRowBorderDxfId="101">
  <autoFilter ref="AB23:AF35" xr:uid="{1714D4D3-70C5-4A24-9A4E-A2AAB9CF35E3}"/>
  <tableColumns count="5">
    <tableColumn id="1" xr3:uid="{B8B5BD79-26B0-4FEE-85E2-FC16FA5B1C5A}" name="Name" dataDxfId="100"/>
    <tableColumn id="2" xr3:uid="{34EEB8C6-0E0C-432C-AC65-35959B908E48}" name="Points" dataDxfId="99">
      <calculatedColumnFormula>Table619[[#This Row],[Finishes]]+Table619[[#This Row],[Midranges]]+Table619[[#This Row],[Threes]]+Table619[[#This Row],[Threes]]</calculatedColumnFormula>
    </tableColumn>
    <tableColumn id="3" xr3:uid="{7DA29E21-99D4-48A2-9AFD-8AFB065E3248}" name="Finishes" dataDxfId="98">
      <calculatedColumnFormula>COUNTIFS(E$4:E$35,AB24,F$4:F$35,"Finish")</calculatedColumnFormula>
    </tableColumn>
    <tableColumn id="4" xr3:uid="{8013E110-47EC-40EA-9D63-E2D90CA59A8E}" name="Midranges" dataDxfId="97">
      <calculatedColumnFormula>COUNTIFS(E$4:E$35,AB24,F$4:F$35,"Midrange")</calculatedColumnFormula>
    </tableColumn>
    <tableColumn id="5" xr3:uid="{48311BF4-567F-401E-B8D3-DAB12DC49017}" name="Threes" dataDxfId="9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3E2669-BFE0-4C11-83AB-A66D3AD911D5}" name="Table618" displayName="Table618" ref="AB23:AF35" totalsRowShown="0" headerRowDxfId="95" dataDxfId="93" headerRowBorderDxfId="94" tableBorderDxfId="92" totalsRowBorderDxfId="91">
  <autoFilter ref="AB23:AF35" xr:uid="{303E2669-BFE0-4C11-83AB-A66D3AD911D5}"/>
  <tableColumns count="5">
    <tableColumn id="1" xr3:uid="{0ACC658A-A2E6-4822-B4CF-E42B064307EC}" name="Name" dataDxfId="90"/>
    <tableColumn id="2" xr3:uid="{69E1B66B-C7C3-4733-9803-F7800D41C7AE}" name="Points" dataDxfId="89">
      <calculatedColumnFormula>Table618[[#This Row],[Finishes]]+Table618[[#This Row],[Midranges]]+Table618[[#This Row],[Threes]]+Table618[[#This Row],[Threes]]</calculatedColumnFormula>
    </tableColumn>
    <tableColumn id="3" xr3:uid="{6C1F5B14-3219-42DE-A30D-9BA63C3A6909}" name="Finishes" dataDxfId="88">
      <calculatedColumnFormula>COUNTIFS(E$4:E$35,AB24,F$4:F$35,"Finish")</calculatedColumnFormula>
    </tableColumn>
    <tableColumn id="4" xr3:uid="{ADB45E9B-AC7D-4069-B639-5DC6C0CF2238}" name="Midranges" dataDxfId="87">
      <calculatedColumnFormula>COUNTIFS(E$4:E$35,AB24,F$4:F$35,"Midrange")</calculatedColumnFormula>
    </tableColumn>
    <tableColumn id="5" xr3:uid="{551A75D2-68CD-46CD-B2A5-EA83451074D7}" name="Threes" dataDxfId="8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C607A1D-5CBE-4AF6-B74F-A17EBEC2C394}" name="Table617" displayName="Table617" ref="AB23:AF35" totalsRowShown="0" headerRowDxfId="85" dataDxfId="83" headerRowBorderDxfId="84" tableBorderDxfId="82" totalsRowBorderDxfId="81">
  <autoFilter ref="AB23:AF35" xr:uid="{2C607A1D-5CBE-4AF6-B74F-A17EBEC2C394}"/>
  <tableColumns count="5">
    <tableColumn id="1" xr3:uid="{CA259BF9-3B7B-4C35-8EB0-8FC507F52620}" name="Name" dataDxfId="80"/>
    <tableColumn id="2" xr3:uid="{ACDF4FA4-A3AA-4EBC-A234-FB46076B438E}" name="Points" dataDxfId="79">
      <calculatedColumnFormula>Table617[[#This Row],[Finishes]]+Table617[[#This Row],[Midranges]]+Table617[[#This Row],[Threes]]+Table617[[#This Row],[Threes]]</calculatedColumnFormula>
    </tableColumn>
    <tableColumn id="3" xr3:uid="{64B58B67-DBD5-4B89-9B4B-6AAADDF43822}" name="Finishes" dataDxfId="78">
      <calculatedColumnFormula>COUNTIFS(E$4:E$35,AB24,F$4:F$35,"Finish")</calculatedColumnFormula>
    </tableColumn>
    <tableColumn id="4" xr3:uid="{0A3A77CE-3099-4A7B-981B-6A0F44B14D11}" name="Midranges" dataDxfId="77">
      <calculatedColumnFormula>COUNTIFS(E$4:E$35,AB24,F$4:F$35,"Midrange")</calculatedColumnFormula>
    </tableColumn>
    <tableColumn id="5" xr3:uid="{013E6D90-7B5B-4FB5-B0D3-D87F11C976DB}" name="Threes" dataDxfId="7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118DB3-D0FB-483A-9EB4-32A2F2A95163}" name="Table616" displayName="Table616" ref="AB23:AF35" totalsRowShown="0" headerRowDxfId="75" dataDxfId="73" headerRowBorderDxfId="74" tableBorderDxfId="72" totalsRowBorderDxfId="71">
  <autoFilter ref="AB23:AF35" xr:uid="{68118DB3-D0FB-483A-9EB4-32A2F2A95163}"/>
  <tableColumns count="5">
    <tableColumn id="1" xr3:uid="{CE47220C-0A23-4BEF-BE09-10F142B36862}" name="Name" dataDxfId="70"/>
    <tableColumn id="2" xr3:uid="{DF770B97-23E2-457C-9D37-5E9A3C3679DB}" name="Points" dataDxfId="69">
      <calculatedColumnFormula>Table616[[#This Row],[Finishes]]+Table616[[#This Row],[Midranges]]+Table616[[#This Row],[Threes]]+Table616[[#This Row],[Threes]]</calculatedColumnFormula>
    </tableColumn>
    <tableColumn id="3" xr3:uid="{A8F99EA4-30AD-4E66-BF37-A668A831C791}" name="Finishes" dataDxfId="68">
      <calculatedColumnFormula>COUNTIFS(E$4:E$35,AB24,F$4:F$35,"Finish")</calculatedColumnFormula>
    </tableColumn>
    <tableColumn id="4" xr3:uid="{9D32120F-F6FF-46CE-AE03-4EFA07E2703A}" name="Midranges" dataDxfId="67">
      <calculatedColumnFormula>COUNTIFS(E$4:E$35,AB24,F$4:F$35,"Midrange")</calculatedColumnFormula>
    </tableColumn>
    <tableColumn id="5" xr3:uid="{B0534804-3982-48F8-9692-9B112C42BBA4}" name="Threes" dataDxfId="6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F1906A-B3B3-4BEF-9867-FBF932269708}" name="Table615" displayName="Table615" ref="AB23:AF35" totalsRowShown="0" headerRowDxfId="65" dataDxfId="63" headerRowBorderDxfId="64" tableBorderDxfId="62" totalsRowBorderDxfId="61">
  <autoFilter ref="AB23:AF35" xr:uid="{9EF1906A-B3B3-4BEF-9867-FBF932269708}"/>
  <tableColumns count="5">
    <tableColumn id="1" xr3:uid="{19D780D9-93BA-439D-92CE-5E0011FC94C9}" name="Name" dataDxfId="60"/>
    <tableColumn id="2" xr3:uid="{F8FAB1B7-4D3F-462E-A255-9B298AE0F23D}" name="Points" dataDxfId="59">
      <calculatedColumnFormula>Table615[[#This Row],[Finishes]]+Table615[[#This Row],[Midranges]]+Table615[[#This Row],[Threes]]+Table615[[#This Row],[Threes]]</calculatedColumnFormula>
    </tableColumn>
    <tableColumn id="3" xr3:uid="{E528C7B8-3C64-482B-97B3-C38F2BF27186}" name="Finishes" dataDxfId="58">
      <calculatedColumnFormula>COUNTIFS(E$4:E$35,AB24,F$4:F$35,"Finish")</calculatedColumnFormula>
    </tableColumn>
    <tableColumn id="4" xr3:uid="{B84E09E7-4B7B-46CB-A382-B3A5B718B665}" name="Midranges" dataDxfId="57">
      <calculatedColumnFormula>COUNTIFS(E$4:E$35,AB24,F$4:F$35,"Midrange")</calculatedColumnFormula>
    </tableColumn>
    <tableColumn id="5" xr3:uid="{E05FF50D-26D5-4849-BD53-F8BE653947F2}" name="Threes" dataDxfId="5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334" dataDxfId="333">
  <autoFilter ref="AK28:AT45" xr:uid="{46F39EBA-1E74-46F4-A6E5-473672128124}"/>
  <tableColumns count="10">
    <tableColumn id="1" xr3:uid="{5D003608-C1C2-4694-9447-8632FB8D7348}" name="Scoring" dataDxfId="332"/>
    <tableColumn id="2" xr3:uid="{D15F4085-CED5-4CDD-B43B-BF7EB59B45A3}" name="Points" dataDxfId="331">
      <calculatedColumnFormula>'1707'!R3+'1807'!R3+'1907'!R3+'2007'!R3</calculatedColumnFormula>
    </tableColumn>
    <tableColumn id="3" xr3:uid="{2D436F37-54B6-4820-9145-F48B4EF9B294}" name="Finishes" dataDxfId="330">
      <calculatedColumnFormula>'1707'!S3+'1807'!S3+'1907'!S3+'2007'!S3</calculatedColumnFormula>
    </tableColumn>
    <tableColumn id="4" xr3:uid="{1D9B6A22-B682-47F3-B738-7C138F317A41}" name="Midranges" dataDxfId="329">
      <calculatedColumnFormula>'1707'!T3+'1807'!T3+'1907'!T3+'2007'!T3</calculatedColumnFormula>
    </tableColumn>
    <tableColumn id="5" xr3:uid="{9966C9A0-3872-44E9-BB39-05DE197EAA68}" name="Threes" dataDxfId="328">
      <calculatedColumnFormula>'1707'!U3+'1807'!U3+'1907'!U3+'2007'!U3</calculatedColumnFormula>
    </tableColumn>
    <tableColumn id="6" xr3:uid="{CC4AB646-735F-425F-8528-C5EFE7FE11DC}" name="Avg P" dataDxfId="327">
      <calculatedColumnFormula>AL29/($AL$27-Table211[[#This Row],[Missed Games]])</calculatedColumnFormula>
    </tableColumn>
    <tableColumn id="7" xr3:uid="{F8D0247E-C6F7-467A-9F38-46084D44F8AB}" name="Avg F" dataDxfId="326">
      <calculatedColumnFormula>AM29/($AL$27-Table211[[#This Row],[Missed Games]])</calculatedColumnFormula>
    </tableColumn>
    <tableColumn id="8" xr3:uid="{7CCF1C77-9DB0-4EB2-B7D0-FD0BDBEBFA0E}" name="Avg M" dataDxfId="325">
      <calculatedColumnFormula>AN29/($AL$27-Table211[[#This Row],[Missed Games]])</calculatedColumnFormula>
    </tableColumn>
    <tableColumn id="9" xr3:uid="{582A1A4E-5383-4383-A480-735408867046}" name="Avg T" dataDxfId="324">
      <calculatedColumnFormula>AO29/($AL$27-Table211[[#This Row],[Missed Games]])</calculatedColumnFormula>
    </tableColumn>
    <tableColumn id="10" xr3:uid="{E547AEB5-F9BA-4C5F-8DCE-34B6A8FF303A}" name="Missed Games" dataDxfId="323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DAA49A-970D-45E7-8776-FCD763C64D3D}" name="Table610" displayName="Table610" ref="AB23:AF35" totalsRowShown="0" headerRowDxfId="55" dataDxfId="53" headerRowBorderDxfId="54" tableBorderDxfId="52" totalsRowBorderDxfId="51">
  <autoFilter ref="AB23:AF35" xr:uid="{3CDAA49A-970D-45E7-8776-FCD763C64D3D}"/>
  <tableColumns count="5">
    <tableColumn id="1" xr3:uid="{BE7D80F2-C167-4417-ABD8-DE86C19C3613}" name="Name" dataDxfId="50"/>
    <tableColumn id="2" xr3:uid="{073E7847-0F0B-4218-ADFE-40B8292E2D26}" name="Points" dataDxfId="49">
      <calculatedColumnFormula>Table610[[#This Row],[Finishes]]+Table610[[#This Row],[Midranges]]+Table610[[#This Row],[Threes]]+Table610[[#This Row],[Threes]]</calculatedColumnFormula>
    </tableColumn>
    <tableColumn id="3" xr3:uid="{0385D241-2930-4B13-9640-63D0DB0487EF}" name="Finishes" dataDxfId="48">
      <calculatedColumnFormula>COUNTIFS(E$4:E$35,AB24,F$4:F$35,"Finish")</calculatedColumnFormula>
    </tableColumn>
    <tableColumn id="4" xr3:uid="{64DD9251-F793-4491-85A1-6DBBF9E100BF}" name="Midranges" dataDxfId="47">
      <calculatedColumnFormula>COUNTIFS(E$4:E$35,AB24,F$4:F$35,"Midrange")</calculatedColumnFormula>
    </tableColumn>
    <tableColumn id="5" xr3:uid="{762904B8-CD39-408A-B16D-C23402BF9CDD}" name="Threes" dataDxfId="4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A4DFB5-74A3-4A64-AACD-91CE9502F555}" name="Table69" displayName="Table69" ref="AB23:AF35" totalsRowShown="0" headerRowDxfId="45" dataDxfId="43" headerRowBorderDxfId="44" tableBorderDxfId="42" totalsRowBorderDxfId="41">
  <autoFilter ref="AB23:AF35" xr:uid="{C6A4DFB5-74A3-4A64-AACD-91CE9502F555}"/>
  <tableColumns count="5">
    <tableColumn id="1" xr3:uid="{0299C96A-7BCA-47EB-AD86-241664A4F514}" name="Name" dataDxfId="40"/>
    <tableColumn id="2" xr3:uid="{5098BEB7-25CA-4164-914A-AC4AFA7BF2BC}" name="Points" dataDxfId="39">
      <calculatedColumnFormula>Table69[[#This Row],[Finishes]]+Table69[[#This Row],[Midranges]]+Table69[[#This Row],[Threes]]+Table69[[#This Row],[Threes]]</calculatedColumnFormula>
    </tableColumn>
    <tableColumn id="3" xr3:uid="{0E2A5E1E-5A68-48E5-B12A-1D2CC3EC6A00}" name="Finishes" dataDxfId="38">
      <calculatedColumnFormula>COUNTIFS(E$4:E$35,AB24,F$4:F$35,"Finish")</calculatedColumnFormula>
    </tableColumn>
    <tableColumn id="4" xr3:uid="{AB612CFA-1FA9-4ADE-AE53-130B2B192FB9}" name="Midranges" dataDxfId="37">
      <calculatedColumnFormula>COUNTIFS(E$4:E$35,AB24,F$4:F$35,"Midrange")</calculatedColumnFormula>
    </tableColumn>
    <tableColumn id="5" xr3:uid="{7E81C066-5B3D-4F5F-AA57-F66CFF5F91A1}" name="Threes" dataDxfId="3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350964-0408-4154-ACAC-3710508D9D87}" name="Table68" displayName="Table68" ref="AB23:AF35" totalsRowShown="0" headerRowDxfId="35" dataDxfId="33" headerRowBorderDxfId="34" tableBorderDxfId="32" totalsRowBorderDxfId="31">
  <autoFilter ref="AB23:AF35" xr:uid="{AD350964-0408-4154-ACAC-3710508D9D87}"/>
  <tableColumns count="5">
    <tableColumn id="1" xr3:uid="{16BEA131-6137-4539-A2D9-4DB11B2311B6}" name="Name" dataDxfId="30"/>
    <tableColumn id="2" xr3:uid="{6AEC6A03-BBB8-42C1-A1C9-687F7E0DE182}" name="Points" dataDxfId="29">
      <calculatedColumnFormula>Table68[[#This Row],[Finishes]]+Table68[[#This Row],[Midranges]]+Table68[[#This Row],[Threes]]+Table68[[#This Row],[Threes]]</calculatedColumnFormula>
    </tableColumn>
    <tableColumn id="3" xr3:uid="{AD7A2EA0-C824-4230-8A99-443A7A5F0C10}" name="Finishes" dataDxfId="28">
      <calculatedColumnFormula>COUNTIFS(E$4:E$35,AB24,F$4:F$35,"Finish")</calculatedColumnFormula>
    </tableColumn>
    <tableColumn id="4" xr3:uid="{01AC69BC-B8B8-4D13-9632-3DA4330300C1}" name="Midranges" dataDxfId="27">
      <calculatedColumnFormula>COUNTIFS(E$4:E$35,AB24,F$4:F$35,"Midrange")</calculatedColumnFormula>
    </tableColumn>
    <tableColumn id="5" xr3:uid="{563C2D33-CBB1-4A24-AD12-1F7EB0B8E5B4}" name="Threes" dataDxfId="2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72D610-9C91-48B2-AE6A-0F3391E34A4D}" name="Table6" displayName="Table6" ref="AB23:AF35" totalsRowShown="0" headerRowDxfId="25" dataDxfId="23" headerRowBorderDxfId="24" tableBorderDxfId="22" totalsRowBorderDxfId="21">
  <autoFilter ref="AB23:AF35" xr:uid="{BA72D610-9C91-48B2-AE6A-0F3391E34A4D}"/>
  <tableColumns count="5">
    <tableColumn id="1" xr3:uid="{51F1B0CF-10E2-4194-85E6-583F7CE73389}" name="Name" dataDxfId="20"/>
    <tableColumn id="2" xr3:uid="{45797C8D-217B-47BB-9393-DBE33DBFD489}" name="Points" dataDxfId="19">
      <calculatedColumnFormula>Table6[[#This Row],[Finishes]]+Table6[[#This Row],[Midranges]]+Table6[[#This Row],[Threes]]+Table6[[#This Row],[Threes]]</calculatedColumnFormula>
    </tableColumn>
    <tableColumn id="3" xr3:uid="{4E387F6C-6886-4A03-8286-16B290D4937B}" name="Finishes" dataDxfId="18">
      <calculatedColumnFormula>COUNTIFS(E$4:E$35,AB24,F$4:F$35,"Finish")</calculatedColumnFormula>
    </tableColumn>
    <tableColumn id="4" xr3:uid="{67931CF6-4491-412B-9EC1-E1177336345D}" name="Midranges" dataDxfId="17">
      <calculatedColumnFormula>COUNTIFS(E$4:E$35,AB24,F$4:F$35,"Midrange")</calculatedColumnFormula>
    </tableColumn>
    <tableColumn id="5" xr3:uid="{55B3E858-EE70-46D9-B721-DC47897AA8BB}" name="Threes" dataDxfId="16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322" dataDxfId="321">
  <autoFilter ref="Z48:AI65" xr:uid="{D27C125F-71B2-44D9-9F7A-9BED67755DD3}"/>
  <tableColumns count="10">
    <tableColumn id="1" xr3:uid="{0B0344E8-2677-4FAB-9B03-4745991FB5AE}" name="Scoring" dataDxfId="320"/>
    <tableColumn id="2" xr3:uid="{58CA1107-8BB4-4A5D-BA00-31619C8D3973}" name="Points" dataDxfId="319">
      <calculatedColumnFormula>'2407'!R3+'2607'!R3+'2707'!R3</calculatedColumnFormula>
    </tableColumn>
    <tableColumn id="3" xr3:uid="{8090861E-1FDF-44F4-9DB6-BB814E32C754}" name="Finishes" dataDxfId="318">
      <calculatedColumnFormula>'2407'!S3+'2607'!S3+'2707'!S3</calculatedColumnFormula>
    </tableColumn>
    <tableColumn id="4" xr3:uid="{972D0347-DAB3-4985-A738-E5D78740D498}" name="Midranges" dataDxfId="317">
      <calculatedColumnFormula>'2407'!T3+'2607'!T3+'2707'!T3</calculatedColumnFormula>
    </tableColumn>
    <tableColumn id="5" xr3:uid="{48F5F884-1753-4988-9056-632B5EB6BBCB}" name="Threes" dataDxfId="316">
      <calculatedColumnFormula>'2407'!U3+'2607'!U3+'2707'!U3</calculatedColumnFormula>
    </tableColumn>
    <tableColumn id="6" xr3:uid="{6953B627-EA05-418F-A758-FD59263EA60D}" name="Avg P" dataDxfId="315">
      <calculatedColumnFormula>Table21123[[#This Row],[Points]]/($AA$47-Table21123[[#This Row],[Missed Games]])</calculatedColumnFormula>
    </tableColumn>
    <tableColumn id="7" xr3:uid="{BE057C9C-5ECD-4AC2-A9C0-18C89CFB52BC}" name="Avg F" dataDxfId="314">
      <calculatedColumnFormula>Table21123[[#This Row],[Finishes]]/($AA$47-Table21123[[#This Row],[Missed Games]])</calculatedColumnFormula>
    </tableColumn>
    <tableColumn id="8" xr3:uid="{0FDEBEE7-CD5E-4A44-A0AE-74F044F1FF46}" name="Avg M" dataDxfId="313">
      <calculatedColumnFormula>Table21123[[#This Row],[Midranges]]/($AA$47-Table21123[[#This Row],[Missed Games]])</calculatedColumnFormula>
    </tableColumn>
    <tableColumn id="9" xr3:uid="{76975BB6-3677-41A8-BC24-7536B1D876D3}" name="Avg T" dataDxfId="312">
      <calculatedColumnFormula>Table21123[[#This Row],[Threes]]/($AA$47-Table21123[[#This Row],[Missed Games]])</calculatedColumnFormula>
    </tableColumn>
    <tableColumn id="10" xr3:uid="{E5ADB69B-3BA2-4019-8C83-8B02221F187E}" name="Missed Games" dataDxfId="311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310" dataDxfId="309">
  <autoFilter ref="AK48:AT65" xr:uid="{22B89D2C-1B74-4036-A4ED-A5E61F1B3AAC}"/>
  <tableColumns count="10">
    <tableColumn id="1" xr3:uid="{3D35891E-3654-497A-8DB2-BF0BD916CA29}" name="Scoring" dataDxfId="308"/>
    <tableColumn id="2" xr3:uid="{54B5B6AF-372A-4E07-B4D6-DFC66F7E20C5}" name="Points" dataDxfId="307">
      <calculatedColumnFormula>'3107'!R3+'0108'!R3+'0208'!R3+'0308'!R3</calculatedColumnFormula>
    </tableColumn>
    <tableColumn id="3" xr3:uid="{6CA15B41-F560-4B43-8836-163F5BB5689C}" name="Finishes" dataDxfId="306">
      <calculatedColumnFormula>'3107'!S3+'0108'!S3+'0208'!S3+'0308'!S3</calculatedColumnFormula>
    </tableColumn>
    <tableColumn id="4" xr3:uid="{8FF05262-0051-44F7-966E-8D405318BA69}" name="Midranges" dataDxfId="305">
      <calculatedColumnFormula>'3107'!T3+'0108'!T3+'0208'!T3+'0308'!T3</calculatedColumnFormula>
    </tableColumn>
    <tableColumn id="5" xr3:uid="{F0D843FC-7A93-4C9A-BCCF-E789F7811B3B}" name="Threes" dataDxfId="304">
      <calculatedColumnFormula>'3107'!U3+'0108'!U3+'0208'!U3+'0308'!U3</calculatedColumnFormula>
    </tableColumn>
    <tableColumn id="6" xr3:uid="{F0498F8A-F646-4C1F-A3CF-E89E73750FC1}" name="Avg P" dataDxfId="303">
      <calculatedColumnFormula>AL49/($AL$47-Table21124[[#This Row],[Missed Games]])</calculatedColumnFormula>
    </tableColumn>
    <tableColumn id="7" xr3:uid="{A387BC88-F45C-4386-8503-EFEA33BDAC38}" name="Avg F" dataDxfId="302">
      <calculatedColumnFormula>AM49/($AL$47-Table21124[[#This Row],[Missed Games]])</calculatedColumnFormula>
    </tableColumn>
    <tableColumn id="8" xr3:uid="{BEA82919-0828-4351-A01A-D72E13E63FAB}" name="Avg M" dataDxfId="301">
      <calculatedColumnFormula>AN49/($AL$47-Table21124[[#This Row],[Missed Games]])</calculatedColumnFormula>
    </tableColumn>
    <tableColumn id="9" xr3:uid="{ABEBCE01-BCA4-4342-966C-27301889B607}" name="Avg T" dataDxfId="300">
      <calculatedColumnFormula>AO49/($AL$47-Table21124[[#This Row],[Missed Games]])</calculatedColumnFormula>
    </tableColumn>
    <tableColumn id="10" xr3:uid="{65E7A8E7-4C51-42E4-AB0F-B7FF6099D70A}" name="Missed Games" dataDxfId="299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298" dataDxfId="297">
  <autoFilter ref="AK68:AT85" xr:uid="{18C7D514-96DE-4BA6-B019-3E860ED143EC}"/>
  <tableColumns count="10">
    <tableColumn id="1" xr3:uid="{D144EF14-69FD-4E71-90C7-56F49F45FAE5}" name="Scoring" dataDxfId="296"/>
    <tableColumn id="2" xr3:uid="{34D1D392-F3E0-4C36-9EED-849D5B1149E6}" name="Points" dataDxfId="295">
      <calculatedColumnFormula>'1408'!R3+'1508'!R3+'1708'!R3</calculatedColumnFormula>
    </tableColumn>
    <tableColumn id="3" xr3:uid="{E91D98A2-80BD-4E5C-9036-2FCC8185369F}" name="Finishes" dataDxfId="294">
      <calculatedColumnFormula>'1408'!S3+'1508'!S3+'1708'!S3</calculatedColumnFormula>
    </tableColumn>
    <tableColumn id="4" xr3:uid="{D2E5029E-4811-4E9B-9A2D-5F5F8F322B0D}" name="Midranges" dataDxfId="293">
      <calculatedColumnFormula>'1408'!T3+'1508'!T3+'1708'!T3</calculatedColumnFormula>
    </tableColumn>
    <tableColumn id="5" xr3:uid="{B3E76CEE-33DA-4B18-8DCE-8EBC7EE592D7}" name="Threes" dataDxfId="292">
      <calculatedColumnFormula>'1408'!U3+'1508'!U3+'1708'!U3</calculatedColumnFormula>
    </tableColumn>
    <tableColumn id="6" xr3:uid="{6ABE1879-8018-4498-A9A1-22CF831F0364}" name="Avg P" dataDxfId="291">
      <calculatedColumnFormula>Table21125[[#This Row],[Points]]/($AL$67-Table21125[[#This Row],[Missed Games]])</calculatedColumnFormula>
    </tableColumn>
    <tableColumn id="7" xr3:uid="{8DA4DD79-8A2A-49E4-996F-C1ACCED3C565}" name="Avg F" dataDxfId="290">
      <calculatedColumnFormula>Table21125[[#This Row],[Finishes]]/($AL$67-Table21125[[#This Row],[Missed Games]])</calculatedColumnFormula>
    </tableColumn>
    <tableColumn id="8" xr3:uid="{256EA4BC-BA61-49E2-969F-0786AA9AA6EA}" name="Avg M" dataDxfId="289">
      <calculatedColumnFormula>Table21125[[#This Row],[Midranges]]/($AL$67-Table21125[[#This Row],[Missed Games]])</calculatedColumnFormula>
    </tableColumn>
    <tableColumn id="9" xr3:uid="{0E5566B2-99EC-4B03-A074-8705C4EDA484}" name="Avg T" dataDxfId="288">
      <calculatedColumnFormula>Table21125[[#This Row],[Threes]]/($AL$67-Table21125[[#This Row],[Missed Games]])</calculatedColumnFormula>
    </tableColumn>
    <tableColumn id="10" xr3:uid="{3E2357F0-493E-401D-AC75-9AAB260F684E}" name="Missed Games" dataDxfId="287">
      <calculatedColumnFormula>COUNTIF('1408'!V3, TRUE)+COUNTIF('1508'!V3, TRUE)+COUNTIF('1708'!V3,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286" dataDxfId="285">
  <autoFilter ref="Z68:AI85" xr:uid="{F118BED8-7AAF-4E55-A61F-C75C69A64AAE}"/>
  <tableColumns count="10">
    <tableColumn id="1" xr3:uid="{7723929D-65B3-40BB-8FDD-C4533243706C}" name="Scoring" dataDxfId="284"/>
    <tableColumn id="2" xr3:uid="{EC28DE3D-619E-4930-A3AF-7AD1BE1D4843}" name="Points" dataDxfId="283">
      <calculatedColumnFormula>'0808'!R3+'0908'!R3+'1008'!R3</calculatedColumnFormula>
    </tableColumn>
    <tableColumn id="3" xr3:uid="{9537269D-8C1D-42B5-866F-D03CE61A8512}" name="Finishes" dataDxfId="282">
      <calculatedColumnFormula>'0808'!S3+'0908'!S3+'1008'!S3</calculatedColumnFormula>
    </tableColumn>
    <tableColumn id="4" xr3:uid="{AC590DDB-BE19-4A14-8B98-1E5E2430AA45}" name="Midranges" dataDxfId="281">
      <calculatedColumnFormula>'0808'!T3+'0908'!T3+'1008'!T3</calculatedColumnFormula>
    </tableColumn>
    <tableColumn id="5" xr3:uid="{C96D3ACD-F34D-477E-86DE-4650EE56BC94}" name="Threes" dataDxfId="280">
      <calculatedColumnFormula>'0808'!U3+'0908'!U3+'1008'!U3</calculatedColumnFormula>
    </tableColumn>
    <tableColumn id="6" xr3:uid="{A43DE5E9-BB01-49FA-A204-66EE7BAA2E9F}" name="Avg P" dataDxfId="279">
      <calculatedColumnFormula>Table21126[[#This Row],[Points]]/($AA$67-Table21126[[#This Row],[Missed Games]])</calculatedColumnFormula>
    </tableColumn>
    <tableColumn id="7" xr3:uid="{C75A19FF-6041-45C2-BACB-E347F06B6329}" name="Avg F" dataDxfId="278">
      <calculatedColumnFormula>Table21126[[#This Row],[Finishes]]/($AA$67-Table21126[[#This Row],[Missed Games]])</calculatedColumnFormula>
    </tableColumn>
    <tableColumn id="8" xr3:uid="{00D3FCFC-C9C5-4C96-BE0E-8E1FDC95D07C}" name="Avg M" dataDxfId="277">
      <calculatedColumnFormula>Table21126[[#This Row],[Midranges]]/($AA$67-Table21126[[#This Row],[Missed Games]])</calculatedColumnFormula>
    </tableColumn>
    <tableColumn id="9" xr3:uid="{0448FF4E-9D2D-47F6-89B7-F17D36B05E8A}" name="Avg T" dataDxfId="276">
      <calculatedColumnFormula>Table21126[[#This Row],[Threes]]/($AA$67-Table21126[[#This Row],[Missed Games]])</calculatedColumnFormula>
    </tableColumn>
    <tableColumn id="10" xr3:uid="{D5BDFA2D-095B-44F8-8567-15B3B1520E5A}" name="Missed Games" dataDxfId="275">
      <calculatedColumnFormula>COUNTIF('0808'!V3, TRUE)+COUNTIF('0908'!V3, TRUE)+COUNTIF('1008'!V3,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274" dataDxfId="273">
  <autoFilter ref="Z88:AI105" xr:uid="{BDD2E472-3925-41A7-BECD-3315E6E71ECC}"/>
  <tableColumns count="10">
    <tableColumn id="1" xr3:uid="{9DBD966D-620C-4B97-A502-29D00ABE150B}" name="Scoring" dataDxfId="272"/>
    <tableColumn id="2" xr3:uid="{F8F81F0E-16B3-4472-9D90-A92149C763E4}" name="Points" dataDxfId="5">
      <calculatedColumnFormula>'Finals 1'!R3</calculatedColumnFormula>
    </tableColumn>
    <tableColumn id="3" xr3:uid="{09859CE1-290D-4977-B02C-46F4E5A6FDC2}" name="Finishes" dataDxfId="271">
      <calculatedColumnFormula>'Finals 1'!S3</calculatedColumnFormula>
    </tableColumn>
    <tableColumn id="4" xr3:uid="{7D751A0E-2895-46DF-B5E2-5A8AA5531CD2}" name="Midranges" dataDxfId="270">
      <calculatedColumnFormula>'Finals 1'!T3</calculatedColumnFormula>
    </tableColumn>
    <tableColumn id="5" xr3:uid="{591CDC71-B0EA-413B-B6C1-77884E7E50D4}" name="Threes" dataDxfId="269">
      <calculatedColumnFormula>'Finals 1'!U3</calculatedColumnFormula>
    </tableColumn>
    <tableColumn id="6" xr3:uid="{52ED768C-5557-42DC-9824-7A4D9B547153}" name="Avg P" dataDxfId="3">
      <calculatedColumnFormula>Table21127[[#This Row],[Points]]/($AA$87-Table21127[[#This Row],[Missed Games]])</calculatedColumnFormula>
    </tableColumn>
    <tableColumn id="7" xr3:uid="{FC79BE87-72E2-4F5E-83D6-CDCE645EB943}" name="Avg F" dataDxfId="2">
      <calculatedColumnFormula>Table21127[[#This Row],[Finishes]]/($AA$87-Table21127[[#This Row],[Missed Games]])</calculatedColumnFormula>
    </tableColumn>
    <tableColumn id="8" xr3:uid="{BA012C22-0D65-4C11-98A7-4F958703D04B}" name="Avg M" dataDxfId="1">
      <calculatedColumnFormula>Table21127[[#This Row],[Midranges]]/($AA$87-Table21127[[#This Row],[Missed Games]])</calculatedColumnFormula>
    </tableColumn>
    <tableColumn id="9" xr3:uid="{63344F2B-5D94-417D-85E2-C2BFBACE3E7E}" name="Avg T" dataDxfId="0">
      <calculatedColumnFormula>Table21127[[#This Row],[Threes]]/($AA$87-Table21127[[#This Row],[Missed Games]])</calculatedColumnFormula>
    </tableColumn>
    <tableColumn id="10" xr3:uid="{1AD5A604-8909-45B3-8E43-11D407451CEA}" name="Missed Games" dataDxfId="4">
      <calculatedColumnFormula>COUNTIF('Finals 1'!V3, TRUE)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268" dataDxfId="267">
  <autoFilter ref="AK88:AT105" xr:uid="{F9183685-60DE-4163-AA62-BE4F563EE570}"/>
  <tableColumns count="10">
    <tableColumn id="1" xr3:uid="{E62FBAA0-D6F6-4997-96C9-B6B13FAA9B6E}" name="Scoring" dataDxfId="266"/>
    <tableColumn id="2" xr3:uid="{0A655F6F-9A21-4167-85B6-B9F7DC2070CA}" name="Points" dataDxfId="265">
      <calculatedColumnFormula>Template!AC63</calculatedColumnFormula>
    </tableColumn>
    <tableColumn id="3" xr3:uid="{460771D3-3BD8-4DA3-AF1B-1A0F98EF1499}" name="Finishes" dataDxfId="264">
      <calculatedColumnFormula>Template!AD63</calculatedColumnFormula>
    </tableColumn>
    <tableColumn id="4" xr3:uid="{3C08B2D7-823D-49C3-A627-A5848E664B2F}" name="Midranges" dataDxfId="263">
      <calculatedColumnFormula>Template!AE63</calculatedColumnFormula>
    </tableColumn>
    <tableColumn id="5" xr3:uid="{E88F45FB-4C46-4674-86D5-74808E7E5368}" name="Threes" dataDxfId="262">
      <calculatedColumnFormula>Template!AF63</calculatedColumnFormula>
    </tableColumn>
    <tableColumn id="6" xr3:uid="{0C0E8016-1E6E-4F25-9675-4EE061FFD0F7}" name="Avg P" dataDxfId="261">
      <calculatedColumnFormula>AL89/$AA$27</calculatedColumnFormula>
    </tableColumn>
    <tableColumn id="7" xr3:uid="{F7AC350B-AE4B-4912-B21D-16D99E2AE8BF}" name="Avg F" dataDxfId="260">
      <calculatedColumnFormula>AM89/$AA$27</calculatedColumnFormula>
    </tableColumn>
    <tableColumn id="8" xr3:uid="{F451E5CA-B9C4-4EFA-A647-CEDB2FB39550}" name="Avg M" dataDxfId="259">
      <calculatedColumnFormula>AN89/$AA$27</calculatedColumnFormula>
    </tableColumn>
    <tableColumn id="9" xr3:uid="{ED1D92B5-05F1-40CE-A89F-E6627FAB4A59}" name="Avg T" dataDxfId="258">
      <calculatedColumnFormula>AO89/$AA$27</calculatedColumnFormula>
    </tableColumn>
    <tableColumn id="10" xr3:uid="{48A4808A-3DE6-4644-83F5-C2AEDDFC3E5E}" name="Missed Games" dataDxfId="257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Y1000"/>
  <sheetViews>
    <sheetView zoomScale="40" zoomScaleNormal="40" workbookViewId="0">
      <selection activeCell="B27" sqref="B27:B35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5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5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6" t="s">
        <v>225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25" ht="14.25" customHeight="1" x14ac:dyDescent="0.45">
      <c r="B3" s="2" t="s">
        <v>25</v>
      </c>
      <c r="C3" s="106" t="s">
        <v>47</v>
      </c>
      <c r="D3" s="7">
        <f>'Stats Global'!AB8</f>
        <v>0.16666666666666666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0.16666666666666666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L3" s="18">
        <f>'Stats Global'!AJ8</f>
        <v>0</v>
      </c>
      <c r="U3" s="1" t="s">
        <v>196</v>
      </c>
      <c r="V3" s="1" t="str">
        <f t="shared" ref="V3:V19" si="0">IF(C3="5 Musketeers", $Y$3, IF(C3="Loose Gooses", $Y$4, IF(C3="Wet Willies", $Y$5, $Y$6)))</f>
        <v>../Images/LG_Final.png</v>
      </c>
      <c r="W3" s="1" t="str">
        <f t="shared" ref="W3:W19" si="1">Y$8&amp;Y10&amp;".png"</f>
        <v>../Images/Players/Jasper.png</v>
      </c>
      <c r="Y3" s="2" t="s">
        <v>27</v>
      </c>
    </row>
    <row r="4" spans="2:25" ht="14.25" customHeight="1" x14ac:dyDescent="0.45">
      <c r="B4" s="2" t="s">
        <v>28</v>
      </c>
      <c r="C4" s="106" t="s">
        <v>47</v>
      </c>
      <c r="D4" s="7">
        <f>'Stats Global'!AB9</f>
        <v>0.75</v>
      </c>
      <c r="E4" s="11">
        <f>'Stats Global'!AA9</f>
        <v>12</v>
      </c>
      <c r="F4" s="7">
        <f>'Stats Global'!AD9</f>
        <v>0.75</v>
      </c>
      <c r="G4" s="11">
        <f>'Stats Global'!AC9</f>
        <v>12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L4" s="18">
        <f>'Stats Global'!AJ9</f>
        <v>2</v>
      </c>
      <c r="U4" s="11" t="s">
        <v>196</v>
      </c>
      <c r="V4" s="11" t="str">
        <f t="shared" si="0"/>
        <v>../Images/LG_Final.png</v>
      </c>
      <c r="W4" s="1" t="str">
        <f t="shared" si="1"/>
        <v>../Images/Players/Conor.png</v>
      </c>
      <c r="Y4" s="2" t="s">
        <v>29</v>
      </c>
    </row>
    <row r="5" spans="2:25" ht="14.25" customHeight="1" x14ac:dyDescent="0.45">
      <c r="B5" s="2" t="s">
        <v>30</v>
      </c>
      <c r="C5" s="105" t="s">
        <v>26</v>
      </c>
      <c r="D5" s="7">
        <f>'Stats Global'!AB10</f>
        <v>3</v>
      </c>
      <c r="E5" s="11">
        <f>'Stats Global'!AA10</f>
        <v>30</v>
      </c>
      <c r="F5" s="7">
        <f>'Stats Global'!AD10</f>
        <v>2.8</v>
      </c>
      <c r="G5" s="11">
        <f>'Stats Global'!AC10</f>
        <v>28</v>
      </c>
      <c r="H5" s="7">
        <f>'Stats Global'!AF10</f>
        <v>0</v>
      </c>
      <c r="I5" s="11">
        <f>'Stats Global'!AE10</f>
        <v>0</v>
      </c>
      <c r="J5" s="7">
        <f>'Stats Global'!AH10</f>
        <v>0.1</v>
      </c>
      <c r="K5" s="11">
        <f>'Stats Global'!AG10</f>
        <v>1</v>
      </c>
      <c r="L5" s="18">
        <f>'Stats Global'!AJ10</f>
        <v>8</v>
      </c>
      <c r="M5" s="2" t="s">
        <v>32</v>
      </c>
      <c r="N5" s="2" t="s">
        <v>33</v>
      </c>
      <c r="O5" s="16" t="s">
        <v>153</v>
      </c>
      <c r="P5" s="16" t="s">
        <v>154</v>
      </c>
      <c r="U5" s="1" t="s">
        <v>193</v>
      </c>
      <c r="V5" s="11" t="str">
        <f t="shared" si="0"/>
        <v>../Images/5M_Final.png</v>
      </c>
      <c r="W5" s="1" t="str">
        <f t="shared" si="1"/>
        <v>../Images/Players/Alex.png</v>
      </c>
      <c r="Y5" s="2" t="s">
        <v>34</v>
      </c>
    </row>
    <row r="6" spans="2:25" ht="14.25" customHeight="1" x14ac:dyDescent="0.45">
      <c r="B6" s="2" t="s">
        <v>35</v>
      </c>
      <c r="C6" s="2" t="s">
        <v>31</v>
      </c>
      <c r="D6" s="7">
        <f>'Stats Global'!AB11</f>
        <v>1.2307692307692308</v>
      </c>
      <c r="E6" s="11">
        <f>'Stats Global'!AA11</f>
        <v>16</v>
      </c>
      <c r="F6" s="7">
        <f>'Stats Global'!AD11</f>
        <v>1.2307692307692308</v>
      </c>
      <c r="G6" s="11">
        <f>'Stats Global'!AC11</f>
        <v>16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18">
        <f>'Stats Global'!AJ11</f>
        <v>5</v>
      </c>
      <c r="M6" s="2" t="s">
        <v>36</v>
      </c>
      <c r="N6" s="2" t="s">
        <v>32</v>
      </c>
      <c r="O6" s="2" t="s">
        <v>33</v>
      </c>
      <c r="P6" s="16" t="s">
        <v>153</v>
      </c>
      <c r="Q6" s="16" t="s">
        <v>154</v>
      </c>
      <c r="R6" s="16" t="s">
        <v>157</v>
      </c>
      <c r="S6" s="16" t="s">
        <v>40</v>
      </c>
      <c r="U6" s="95" t="s">
        <v>189</v>
      </c>
      <c r="V6" s="11" t="str">
        <f t="shared" si="0"/>
        <v>../Images/WW_Final.png</v>
      </c>
      <c r="W6" s="1" t="str">
        <f t="shared" si="1"/>
        <v>../Images/Players/Rudy.png</v>
      </c>
      <c r="Y6" s="2" t="s">
        <v>163</v>
      </c>
    </row>
    <row r="7" spans="2:25" ht="14.25" customHeight="1" x14ac:dyDescent="0.45">
      <c r="B7" s="2" t="s">
        <v>37</v>
      </c>
      <c r="C7" s="105" t="s">
        <v>31</v>
      </c>
      <c r="D7" s="7">
        <f>'Stats Global'!AB12</f>
        <v>1.1875</v>
      </c>
      <c r="E7" s="11">
        <f>'Stats Global'!AA12</f>
        <v>19</v>
      </c>
      <c r="F7" s="7">
        <f>'Stats Global'!AD12</f>
        <v>0.5</v>
      </c>
      <c r="G7" s="11">
        <f>'Stats Global'!AC12</f>
        <v>8</v>
      </c>
      <c r="H7" s="7">
        <f>'Stats Global'!AF12</f>
        <v>0.4375</v>
      </c>
      <c r="I7" s="11">
        <f>'Stats Global'!AE12</f>
        <v>7</v>
      </c>
      <c r="J7" s="7">
        <f>'Stats Global'!AH12</f>
        <v>0.125</v>
      </c>
      <c r="K7" s="11">
        <f>'Stats Global'!AG12</f>
        <v>2</v>
      </c>
      <c r="L7" s="18">
        <f>'Stats Global'!AJ12</f>
        <v>2</v>
      </c>
      <c r="M7" s="2" t="s">
        <v>38</v>
      </c>
      <c r="N7" s="2" t="s">
        <v>39</v>
      </c>
      <c r="O7" s="16" t="s">
        <v>153</v>
      </c>
      <c r="P7" s="16" t="s">
        <v>155</v>
      </c>
      <c r="U7" s="105" t="s">
        <v>194</v>
      </c>
      <c r="V7" s="11" t="str">
        <f t="shared" si="0"/>
        <v>../Images/WW_Final.png</v>
      </c>
      <c r="W7" s="1" t="str">
        <f t="shared" si="1"/>
        <v>../Images/Players/Michael.png</v>
      </c>
    </row>
    <row r="8" spans="2:25" ht="14.25" customHeight="1" x14ac:dyDescent="0.45">
      <c r="B8" s="2" t="s">
        <v>42</v>
      </c>
      <c r="C8" s="141" t="s">
        <v>26</v>
      </c>
      <c r="D8" s="7">
        <f>'Stats Global'!AB13</f>
        <v>0.8666666666666667</v>
      </c>
      <c r="E8" s="11">
        <f>'Stats Global'!AA13</f>
        <v>13</v>
      </c>
      <c r="F8" s="7">
        <f>'Stats Global'!AD13</f>
        <v>0.66666666666666663</v>
      </c>
      <c r="G8" s="11">
        <f>'Stats Global'!AC13</f>
        <v>10</v>
      </c>
      <c r="H8" s="7">
        <f>'Stats Global'!AF13</f>
        <v>0.2</v>
      </c>
      <c r="I8" s="11">
        <f>'Stats Global'!AE13</f>
        <v>3</v>
      </c>
      <c r="J8" s="7">
        <f>'Stats Global'!AH13</f>
        <v>0</v>
      </c>
      <c r="K8" s="11">
        <f>'Stats Global'!AG13</f>
        <v>0</v>
      </c>
      <c r="L8" s="18">
        <f>'Stats Global'!AJ13</f>
        <v>3</v>
      </c>
      <c r="M8" s="2" t="s">
        <v>43</v>
      </c>
      <c r="N8" s="2" t="s">
        <v>36</v>
      </c>
      <c r="O8" s="16" t="s">
        <v>156</v>
      </c>
      <c r="U8" s="141" t="s">
        <v>239</v>
      </c>
      <c r="V8" s="11" t="str">
        <f t="shared" si="0"/>
        <v>../Images/5M_Final.png</v>
      </c>
      <c r="W8" s="1" t="str">
        <f t="shared" si="1"/>
        <v>../Images/Players/Lukas.png</v>
      </c>
      <c r="Y8" s="2" t="s">
        <v>41</v>
      </c>
    </row>
    <row r="9" spans="2:25" ht="14.25" customHeight="1" x14ac:dyDescent="0.45">
      <c r="B9" s="16" t="s">
        <v>115</v>
      </c>
      <c r="C9" s="106" t="s">
        <v>26</v>
      </c>
      <c r="D9" s="7">
        <f>'Stats Global'!AB14</f>
        <v>0.61111111111111116</v>
      </c>
      <c r="E9" s="11">
        <f>'Stats Global'!AA14</f>
        <v>11</v>
      </c>
      <c r="F9" s="7">
        <f>'Stats Global'!AD14</f>
        <v>0.33333333333333331</v>
      </c>
      <c r="G9" s="11">
        <f>'Stats Global'!AC14</f>
        <v>6</v>
      </c>
      <c r="H9" s="7">
        <f>'Stats Global'!AF14</f>
        <v>0.16666666666666666</v>
      </c>
      <c r="I9" s="11">
        <f>'Stats Global'!AE14</f>
        <v>3</v>
      </c>
      <c r="J9" s="7">
        <f>'Stats Global'!AH14</f>
        <v>5.5555555555555552E-2</v>
      </c>
      <c r="K9" s="11">
        <f>'Stats Global'!AG14</f>
        <v>1</v>
      </c>
      <c r="L9" s="18">
        <f>'Stats Global'!AJ14</f>
        <v>0</v>
      </c>
      <c r="M9" s="16" t="s">
        <v>212</v>
      </c>
      <c r="N9" s="16" t="s">
        <v>158</v>
      </c>
      <c r="U9" s="106" t="s">
        <v>199</v>
      </c>
      <c r="V9" s="11" t="str">
        <f t="shared" si="0"/>
        <v>../Images/5M_Final.png</v>
      </c>
      <c r="W9" s="11" t="str">
        <f t="shared" si="1"/>
        <v>../Images/Players/SamJ.png</v>
      </c>
    </row>
    <row r="10" spans="2:25" ht="14.25" customHeight="1" x14ac:dyDescent="0.45">
      <c r="B10" s="2" t="s">
        <v>44</v>
      </c>
      <c r="C10" s="106" t="s">
        <v>31</v>
      </c>
      <c r="D10" s="7">
        <f>'Stats Global'!AB15</f>
        <v>1.4166666666666667</v>
      </c>
      <c r="E10" s="11">
        <f>'Stats Global'!AA15</f>
        <v>17</v>
      </c>
      <c r="F10" s="7">
        <f>'Stats Global'!AD15</f>
        <v>8.3333333333333329E-2</v>
      </c>
      <c r="G10" s="11">
        <f>'Stats Global'!AC15</f>
        <v>1</v>
      </c>
      <c r="H10" s="7">
        <f>'Stats Global'!AF15</f>
        <v>0.16666666666666666</v>
      </c>
      <c r="I10" s="11">
        <f>'Stats Global'!AE15</f>
        <v>2</v>
      </c>
      <c r="J10" s="7">
        <f>'Stats Global'!AH15</f>
        <v>0.58333333333333337</v>
      </c>
      <c r="K10" s="11">
        <f>'Stats Global'!AG15</f>
        <v>7</v>
      </c>
      <c r="L10" s="18">
        <f>'Stats Global'!AJ15</f>
        <v>6</v>
      </c>
      <c r="M10" s="16" t="s">
        <v>161</v>
      </c>
      <c r="N10" s="2" t="s">
        <v>33</v>
      </c>
      <c r="O10" s="2" t="s">
        <v>160</v>
      </c>
      <c r="P10" s="16" t="s">
        <v>152</v>
      </c>
      <c r="Q10" s="16" t="s">
        <v>156</v>
      </c>
      <c r="R10" s="16" t="s">
        <v>155</v>
      </c>
      <c r="S10" s="16" t="s">
        <v>158</v>
      </c>
      <c r="U10" s="106" t="s">
        <v>198</v>
      </c>
      <c r="V10" s="11" t="str">
        <f t="shared" si="0"/>
        <v>../Images/WW_Final.png</v>
      </c>
      <c r="W10" s="1" t="str">
        <f t="shared" si="1"/>
        <v>../Images/Players/Clarrie.png</v>
      </c>
      <c r="Y10" s="2" t="s">
        <v>45</v>
      </c>
    </row>
    <row r="11" spans="2:25" ht="14.25" customHeight="1" x14ac:dyDescent="0.45">
      <c r="B11" s="2" t="s">
        <v>46</v>
      </c>
      <c r="C11" s="105" t="s">
        <v>47</v>
      </c>
      <c r="D11" s="7">
        <f>'Stats Global'!AB16</f>
        <v>1.75</v>
      </c>
      <c r="E11" s="11">
        <f>'Stats Global'!AA16</f>
        <v>28</v>
      </c>
      <c r="F11" s="7">
        <f>'Stats Global'!AD16</f>
        <v>0.6875</v>
      </c>
      <c r="G11" s="11">
        <f>'Stats Global'!AC16</f>
        <v>11</v>
      </c>
      <c r="H11" s="7">
        <f>'Stats Global'!AF16</f>
        <v>0.6875</v>
      </c>
      <c r="I11" s="11">
        <f>'Stats Global'!AE16</f>
        <v>11</v>
      </c>
      <c r="J11" s="7">
        <f>'Stats Global'!AH16</f>
        <v>0.1875</v>
      </c>
      <c r="K11" s="11">
        <f>'Stats Global'!AG16</f>
        <v>3</v>
      </c>
      <c r="L11" s="18">
        <f>'Stats Global'!AJ16</f>
        <v>2</v>
      </c>
      <c r="M11" s="2" t="s">
        <v>48</v>
      </c>
      <c r="N11" s="2" t="s">
        <v>36</v>
      </c>
      <c r="O11" s="2" t="s">
        <v>32</v>
      </c>
      <c r="P11" s="16" t="s">
        <v>156</v>
      </c>
      <c r="Q11" s="16" t="s">
        <v>154</v>
      </c>
      <c r="R11" s="16" t="s">
        <v>158</v>
      </c>
      <c r="S11" s="16" t="s">
        <v>159</v>
      </c>
      <c r="U11" s="11" t="s">
        <v>195</v>
      </c>
      <c r="V11" s="11" t="str">
        <f t="shared" si="0"/>
        <v>../Images/LG_Final.png</v>
      </c>
      <c r="W11" s="1" t="str">
        <f t="shared" si="1"/>
        <v>../Images/Players/Kimmy.png</v>
      </c>
      <c r="Y11" s="2" t="s">
        <v>49</v>
      </c>
    </row>
    <row r="12" spans="2:25" ht="14.25" customHeight="1" x14ac:dyDescent="0.45">
      <c r="B12" s="2" t="s">
        <v>50</v>
      </c>
      <c r="C12" s="2" t="s">
        <v>26</v>
      </c>
      <c r="D12" s="7">
        <f>'Stats Global'!AB17</f>
        <v>3.4705882352941178</v>
      </c>
      <c r="E12" s="11">
        <f>'Stats Global'!AA17</f>
        <v>59</v>
      </c>
      <c r="F12" s="7">
        <f>'Stats Global'!AD17</f>
        <v>0.88235294117647056</v>
      </c>
      <c r="G12" s="11">
        <f>'Stats Global'!AC17</f>
        <v>15</v>
      </c>
      <c r="H12" s="7">
        <f>'Stats Global'!AF17</f>
        <v>2</v>
      </c>
      <c r="I12" s="11">
        <f>'Stats Global'!AE17</f>
        <v>34</v>
      </c>
      <c r="J12" s="7">
        <f>'Stats Global'!AH17</f>
        <v>0.29411764705882354</v>
      </c>
      <c r="K12" s="11">
        <f>'Stats Global'!AG17</f>
        <v>5</v>
      </c>
      <c r="L12" s="18">
        <f>'Stats Global'!AJ17</f>
        <v>1</v>
      </c>
      <c r="M12" s="2" t="s">
        <v>40</v>
      </c>
      <c r="N12" s="2" t="s">
        <v>36</v>
      </c>
      <c r="O12" s="2" t="s">
        <v>32</v>
      </c>
      <c r="P12" s="16" t="s">
        <v>153</v>
      </c>
      <c r="Q12" s="16" t="s">
        <v>154</v>
      </c>
      <c r="U12" s="96" t="s">
        <v>190</v>
      </c>
      <c r="V12" s="11" t="str">
        <f t="shared" si="0"/>
        <v>../Images/5M_Final.png</v>
      </c>
      <c r="W12" s="1" t="str">
        <f t="shared" si="1"/>
        <v>../Images/Players/SamM.png</v>
      </c>
      <c r="Y12" s="2" t="s">
        <v>51</v>
      </c>
    </row>
    <row r="13" spans="2:25" ht="14.25" customHeight="1" x14ac:dyDescent="0.45">
      <c r="B13" s="2" t="s">
        <v>52</v>
      </c>
      <c r="C13" s="106" t="s">
        <v>31</v>
      </c>
      <c r="D13" s="7">
        <f>'Stats Global'!AB18</f>
        <v>0.55555555555555558</v>
      </c>
      <c r="E13" s="11">
        <f>'Stats Global'!AA18</f>
        <v>10</v>
      </c>
      <c r="F13" s="7">
        <f>'Stats Global'!AD18</f>
        <v>0.1111111111111111</v>
      </c>
      <c r="G13" s="11">
        <f>'Stats Global'!AC18</f>
        <v>2</v>
      </c>
      <c r="H13" s="7">
        <f>'Stats Global'!AF18</f>
        <v>0.44444444444444442</v>
      </c>
      <c r="I13" s="11">
        <f>'Stats Global'!AE18</f>
        <v>8</v>
      </c>
      <c r="J13" s="7">
        <f>'Stats Global'!AH18</f>
        <v>0</v>
      </c>
      <c r="K13" s="11">
        <f>'Stats Global'!AG18</f>
        <v>0</v>
      </c>
      <c r="L13" s="18">
        <f>'Stats Global'!AJ18</f>
        <v>0</v>
      </c>
      <c r="M13" s="2" t="s">
        <v>53</v>
      </c>
      <c r="N13" s="2" t="s">
        <v>33</v>
      </c>
      <c r="O13" s="16"/>
      <c r="U13" s="107" t="s">
        <v>197</v>
      </c>
      <c r="V13" s="11" t="str">
        <f t="shared" si="0"/>
        <v>../Images/WW_Final.png</v>
      </c>
      <c r="W13" s="1" t="str">
        <f t="shared" si="1"/>
        <v>../Images/Players/Ryan.png</v>
      </c>
      <c r="Y13" s="2" t="s">
        <v>54</v>
      </c>
    </row>
    <row r="14" spans="2:25" ht="14.25" customHeight="1" x14ac:dyDescent="0.45">
      <c r="B14" s="2" t="s">
        <v>200</v>
      </c>
      <c r="C14" s="135" t="s">
        <v>26</v>
      </c>
      <c r="D14" s="7">
        <f>'Stats Global'!AB19</f>
        <v>0.14285714285714285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0.14285714285714285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8">
        <f>'Stats Global'!AJ19</f>
        <v>11</v>
      </c>
      <c r="M14" s="16" t="s">
        <v>211</v>
      </c>
      <c r="N14" s="2"/>
      <c r="O14" s="16"/>
      <c r="P14" s="16"/>
      <c r="Q14" s="16"/>
      <c r="R14" s="16"/>
      <c r="S14" s="16"/>
      <c r="T14" s="16"/>
      <c r="U14" s="136" t="s">
        <v>239</v>
      </c>
      <c r="V14" s="11" t="str">
        <f t="shared" si="0"/>
        <v>../Images/5M_Final.png</v>
      </c>
      <c r="W14" s="11" t="str">
        <f t="shared" si="1"/>
        <v>../Images/Players/Will.png</v>
      </c>
      <c r="Y14" s="2" t="s">
        <v>57</v>
      </c>
    </row>
    <row r="15" spans="2:25" ht="14.25" customHeight="1" x14ac:dyDescent="0.45">
      <c r="B15" s="2" t="s">
        <v>55</v>
      </c>
      <c r="C15" s="141" t="s">
        <v>31</v>
      </c>
      <c r="D15" s="7">
        <f>'Stats Global'!AB20</f>
        <v>0.8</v>
      </c>
      <c r="E15" s="11">
        <f>'Stats Global'!AA20</f>
        <v>12</v>
      </c>
      <c r="F15" s="7">
        <f>'Stats Global'!AD20</f>
        <v>0.6</v>
      </c>
      <c r="G15" s="11">
        <f>'Stats Global'!AC20</f>
        <v>9</v>
      </c>
      <c r="H15" s="7">
        <f>'Stats Global'!AF20</f>
        <v>6.6666666666666666E-2</v>
      </c>
      <c r="I15" s="11">
        <f>'Stats Global'!AE20</f>
        <v>1</v>
      </c>
      <c r="J15" s="7">
        <f>'Stats Global'!AH20</f>
        <v>6.6666666666666666E-2</v>
      </c>
      <c r="K15" s="11">
        <f>'Stats Global'!AG20</f>
        <v>1</v>
      </c>
      <c r="L15" s="18">
        <f>'Stats Global'!AJ20</f>
        <v>3</v>
      </c>
      <c r="M15" s="2" t="s">
        <v>56</v>
      </c>
      <c r="N15" s="2" t="s">
        <v>33</v>
      </c>
      <c r="O15" s="16" t="s">
        <v>150</v>
      </c>
      <c r="P15" s="16" t="s">
        <v>151</v>
      </c>
      <c r="Q15" s="16" t="s">
        <v>156</v>
      </c>
      <c r="R15" s="16" t="s">
        <v>155</v>
      </c>
      <c r="U15" s="142" t="s">
        <v>238</v>
      </c>
      <c r="V15" s="11" t="str">
        <f t="shared" si="0"/>
        <v>../Images/WW_Final.png</v>
      </c>
      <c r="W15" s="1" t="str">
        <f t="shared" si="1"/>
        <v>../Images/Players/Nick.png</v>
      </c>
      <c r="Y15" s="2" t="s">
        <v>60</v>
      </c>
    </row>
    <row r="16" spans="2:25" ht="14.25" customHeight="1" x14ac:dyDescent="0.45">
      <c r="B16" s="2" t="s">
        <v>58</v>
      </c>
      <c r="C16" s="106" t="s">
        <v>47</v>
      </c>
      <c r="D16" s="7">
        <f>'Stats Global'!AB21</f>
        <v>1.1111111111111112</v>
      </c>
      <c r="E16" s="11">
        <f>'Stats Global'!AA21</f>
        <v>20</v>
      </c>
      <c r="F16" s="7">
        <f>'Stats Global'!AD21</f>
        <v>0.72222222222222221</v>
      </c>
      <c r="G16" s="11">
        <f>'Stats Global'!AC21</f>
        <v>13</v>
      </c>
      <c r="H16" s="7">
        <f>'Stats Global'!AF21</f>
        <v>0.27777777777777779</v>
      </c>
      <c r="I16" s="11">
        <f>'Stats Global'!AE21</f>
        <v>5</v>
      </c>
      <c r="J16" s="7">
        <f>'Stats Global'!AH21</f>
        <v>5.5555555555555552E-2</v>
      </c>
      <c r="K16" s="11">
        <f>'Stats Global'!AG21</f>
        <v>1</v>
      </c>
      <c r="L16" s="18">
        <f>'Stats Global'!AJ21</f>
        <v>0</v>
      </c>
      <c r="M16" s="2" t="s">
        <v>59</v>
      </c>
      <c r="N16" s="16" t="s">
        <v>147</v>
      </c>
      <c r="O16" s="16" t="s">
        <v>148</v>
      </c>
      <c r="P16" s="16" t="s">
        <v>156</v>
      </c>
      <c r="Q16" s="16" t="s">
        <v>155</v>
      </c>
      <c r="R16" s="16" t="s">
        <v>158</v>
      </c>
      <c r="U16" s="107" t="s">
        <v>196</v>
      </c>
      <c r="V16" s="11" t="str">
        <f t="shared" si="0"/>
        <v>../Images/LG_Final.png</v>
      </c>
      <c r="W16" s="1" t="str">
        <f t="shared" si="1"/>
        <v>../Images/Players/Chris.png</v>
      </c>
      <c r="Y16" s="16" t="s">
        <v>93</v>
      </c>
    </row>
    <row r="17" spans="2:25" ht="14.25" customHeight="1" x14ac:dyDescent="0.45">
      <c r="B17" s="2" t="s">
        <v>61</v>
      </c>
      <c r="C17" s="2" t="s">
        <v>47</v>
      </c>
      <c r="D17" s="7">
        <f>'Stats Global'!AB22</f>
        <v>2.5882352941176472</v>
      </c>
      <c r="E17" s="11">
        <f>'Stats Global'!AA22</f>
        <v>44</v>
      </c>
      <c r="F17" s="7">
        <f>'Stats Global'!AD22</f>
        <v>1.2941176470588236</v>
      </c>
      <c r="G17" s="11">
        <f>'Stats Global'!AC22</f>
        <v>22</v>
      </c>
      <c r="H17" s="7">
        <f>'Stats Global'!AF22</f>
        <v>0.47058823529411764</v>
      </c>
      <c r="I17" s="11">
        <f>'Stats Global'!AE22</f>
        <v>8</v>
      </c>
      <c r="J17" s="7">
        <f>'Stats Global'!AH22</f>
        <v>0.41176470588235292</v>
      </c>
      <c r="K17" s="11">
        <f>'Stats Global'!AG22</f>
        <v>7</v>
      </c>
      <c r="L17" s="18">
        <f>'Stats Global'!AJ22</f>
        <v>1</v>
      </c>
      <c r="M17" s="2" t="s">
        <v>162</v>
      </c>
      <c r="N17" s="2" t="s">
        <v>40</v>
      </c>
      <c r="O17" s="2" t="s">
        <v>36</v>
      </c>
      <c r="P17" s="2" t="s">
        <v>32</v>
      </c>
      <c r="Q17" s="2" t="s">
        <v>62</v>
      </c>
      <c r="R17" s="16" t="s">
        <v>153</v>
      </c>
      <c r="S17" s="16" t="s">
        <v>154</v>
      </c>
      <c r="T17" s="16" t="s">
        <v>158</v>
      </c>
      <c r="U17" s="95" t="s">
        <v>191</v>
      </c>
      <c r="V17" s="11" t="str">
        <f t="shared" si="0"/>
        <v>../Images/LG_Final.png</v>
      </c>
      <c r="W17" s="1" t="str">
        <f t="shared" si="1"/>
        <v>../Images/Players/Angus.png</v>
      </c>
      <c r="Y17" s="2" t="s">
        <v>63</v>
      </c>
    </row>
    <row r="18" spans="2:25" ht="14.25" customHeight="1" x14ac:dyDescent="0.45">
      <c r="B18" s="2" t="s">
        <v>64</v>
      </c>
      <c r="C18" s="149" t="s">
        <v>26</v>
      </c>
      <c r="D18" s="7">
        <f>'Stats Global'!AB23</f>
        <v>5.5555555555555552E-2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5.5555555555555552E-2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18">
        <f>'Stats Global'!AJ23</f>
        <v>0</v>
      </c>
      <c r="M18" s="2" t="s">
        <v>65</v>
      </c>
      <c r="N18" s="2" t="s">
        <v>33</v>
      </c>
      <c r="O18" s="16" t="s">
        <v>149</v>
      </c>
      <c r="U18" s="149" t="s">
        <v>269</v>
      </c>
      <c r="V18" s="11" t="str">
        <f t="shared" si="0"/>
        <v>../Images/5M_Final.png</v>
      </c>
      <c r="W18" s="1" t="str">
        <f t="shared" si="1"/>
        <v>../Images/Players/Willie.png</v>
      </c>
      <c r="Y18" s="2" t="s">
        <v>66</v>
      </c>
    </row>
    <row r="19" spans="2:25" ht="14.25" customHeight="1" x14ac:dyDescent="0.45">
      <c r="B19" s="2" t="s">
        <v>67</v>
      </c>
      <c r="C19" s="135" t="s">
        <v>31</v>
      </c>
      <c r="D19" s="7">
        <f>'Stats Global'!AB24</f>
        <v>0.5</v>
      </c>
      <c r="E19" s="11">
        <f>'Stats Global'!AA24</f>
        <v>6</v>
      </c>
      <c r="F19" s="7">
        <f>'Stats Global'!AD24</f>
        <v>0.33333333333333331</v>
      </c>
      <c r="G19" s="11">
        <f>'Stats Global'!AC24</f>
        <v>4</v>
      </c>
      <c r="H19" s="7">
        <f>'Stats Global'!AF24</f>
        <v>0</v>
      </c>
      <c r="I19" s="11">
        <f>'Stats Global'!AE24</f>
        <v>0</v>
      </c>
      <c r="J19" s="7">
        <f>'Stats Global'!AH24</f>
        <v>8.3333333333333329E-2</v>
      </c>
      <c r="K19" s="11">
        <f>'Stats Global'!AG24</f>
        <v>1</v>
      </c>
      <c r="L19" s="18">
        <f>'Stats Global'!AJ24</f>
        <v>6</v>
      </c>
      <c r="M19" s="16" t="s">
        <v>155</v>
      </c>
      <c r="N19" s="16" t="s">
        <v>158</v>
      </c>
      <c r="U19" s="135" t="s">
        <v>238</v>
      </c>
      <c r="V19" s="11" t="str">
        <f t="shared" si="0"/>
        <v>../Images/WW_Final.png</v>
      </c>
      <c r="W19" s="1" t="str">
        <f t="shared" si="1"/>
        <v>../Images/Players/Mitch.png</v>
      </c>
      <c r="Y19" s="2" t="s">
        <v>68</v>
      </c>
    </row>
    <row r="20" spans="2:25" ht="14.25" customHeight="1" x14ac:dyDescent="0.45">
      <c r="B20" s="1"/>
      <c r="D20" s="17"/>
      <c r="F20" s="17"/>
      <c r="H20" s="17"/>
      <c r="I20" s="15"/>
      <c r="J20" s="17"/>
      <c r="K20" s="15"/>
      <c r="Y20" s="2" t="s">
        <v>69</v>
      </c>
    </row>
    <row r="21" spans="2:25" ht="14.25" customHeight="1" x14ac:dyDescent="0.45">
      <c r="Y21" s="16" t="s">
        <v>210</v>
      </c>
    </row>
    <row r="22" spans="2:25" ht="14.25" customHeight="1" x14ac:dyDescent="0.9">
      <c r="B22" s="187" t="s">
        <v>119</v>
      </c>
      <c r="C22" s="187"/>
      <c r="D22" s="94"/>
      <c r="Y22" s="2" t="s">
        <v>70</v>
      </c>
    </row>
    <row r="23" spans="2:25" ht="14.25" customHeight="1" x14ac:dyDescent="0.9">
      <c r="B23" s="187"/>
      <c r="C23" s="187"/>
      <c r="D23" s="94"/>
      <c r="Y23" s="2" t="s">
        <v>71</v>
      </c>
    </row>
    <row r="24" spans="2:25" ht="14.25" customHeight="1" x14ac:dyDescent="0.9">
      <c r="B24" s="16"/>
      <c r="C24" s="49"/>
      <c r="D24" s="49"/>
      <c r="X24" s="16"/>
      <c r="Y24" s="2" t="s">
        <v>73</v>
      </c>
    </row>
    <row r="25" spans="2:25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2" t="s">
        <v>74</v>
      </c>
    </row>
    <row r="26" spans="2:25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Gooses","5 Musketeers","Wet Willies"],</v>
      </c>
      <c r="C26" s="16"/>
      <c r="D26" s="16"/>
      <c r="F26" s="49"/>
      <c r="G26" s="16"/>
      <c r="H26" s="16"/>
      <c r="I26" s="16"/>
      <c r="J26" s="16"/>
      <c r="K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2" t="s">
        <v>75</v>
      </c>
    </row>
    <row r="27" spans="2:25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"PPG":[0.17,0.75,3,1.23,1.19,0.87,0.61,1.42,1.75,3.47,0.56,0.14,0.8,1.11,2.59,0.06,0.5],</v>
      </c>
      <c r="C27" s="16"/>
      <c r="D27" s="16"/>
      <c r="F27" s="16"/>
      <c r="G27" s="16"/>
      <c r="H27" s="16"/>
      <c r="I27" s="16"/>
      <c r="J27" s="16"/>
      <c r="K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2:25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"TP":[3,12,30,16,19,13,11,17,28,59,10,1,12,20,44,1,6],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5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"FPG":[0,0.75,2.8,1.23,0.5,0.67,0.33,0.08,0.69,0.88,0.11,0,0.6,0.72,1.29,0,0.33],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5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"TF":[0,12,28,16,8,10,6,1,11,15,2,0,9,13,22,0,4],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5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"MPG":[0.17,0,0,0,0.44,0.2,0.17,0.17,0.69,2,0.44,0.14,0.07,0.28,0.47,0.06,0],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5" ht="14.25" customHeight="1" x14ac:dyDescent="0.45">
      <c r="B32" s="16" t="str">
        <f>I49&amp;":["&amp;I50&amp;I51&amp;I52&amp;I53&amp;I54&amp;I55&amp;I56&amp;I57&amp;I58&amp;I59&amp;I60&amp;I61&amp;I62&amp;I63&amp;I64&amp;I65&amp;I66&amp;"],"</f>
        <v>"TM":[3,0,0,0,7,3,3,2,11,34,8,1,1,5,8,1,0],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"TPG":[0,0,0.1,0,0.13,0,0.06,0.58,0.19,0.29,0,0,0.07,0.06,0.41,0,0.08],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"TT":[0,0,1,0,2,0,1,7,3,5,0,0,1,1,7,0,1],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"Missed":[0,2,8,5,2,3,0,6,2,1,0,11,3,0,1,0,6],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"AccoladesFive":["","","","All-Defence Team T2","","","","All-2nd-Offence Team T2","All-Defence Team T2","All-Defence Team T2","","","All-2nd-Offence Team T2","All-2nd-Defence Team T2","Scoring Champ T1","",""],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"AccoladesSix":["","","","Scoring Champ T2","","","","All-2nd-Defence Team T2","Champion T2","","","","All-2nd-Defence Team T2","Champion T2","All-Offence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"AccoladesSeven":["","","","GM","","","","Champion T2","Finals MVP T2","","","","","","All-Defence Team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"AccoladesEight":["","","","","","","","","","","","","","","Champion T2","",""],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Willies. Dropped by Wet Willies. Signed by 5 Musketeers","Drafted by 5 Musketeers. Traded to Wet Willies"],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5M_Final.png","../Images/WW_Final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 t="str">
        <f>W49&amp;":["&amp;W50&amp;W51&amp;W52&amp;W53&amp;W54&amp;W55&amp;W56&amp;W57&amp;W58&amp;W59&amp;W60&amp;W61&amp;W62&amp;W63&amp;W64&amp;W65&amp;W66&amp;"],"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>CHAR(34)&amp;"Missed"&amp;CHAR(34)</f>
        <v>"Missed"</v>
      </c>
      <c r="M49" s="17" t="str">
        <f t="shared" ref="M49:W49" si="2">CHAR(34)&amp;M2&amp;CHAR(34)</f>
        <v>"AccoladesOne"</v>
      </c>
      <c r="N49" s="17" t="str">
        <f t="shared" si="2"/>
        <v>"AccoladesTwo"</v>
      </c>
      <c r="O49" s="17" t="str">
        <f t="shared" si="2"/>
        <v>"AccoladesThree"</v>
      </c>
      <c r="P49" s="17" t="str">
        <f t="shared" si="2"/>
        <v>"AccoladesFour"</v>
      </c>
      <c r="Q49" s="17" t="str">
        <f t="shared" si="2"/>
        <v>"AccoladesFive"</v>
      </c>
      <c r="R49" s="17" t="str">
        <f t="shared" si="2"/>
        <v>"AccoladesSix"</v>
      </c>
      <c r="S49" s="17" t="str">
        <f t="shared" si="2"/>
        <v>"AccoladesSeven"</v>
      </c>
      <c r="T49" s="17" t="str">
        <f t="shared" si="2"/>
        <v>"AccoladesEight"</v>
      </c>
      <c r="U49" s="17" t="str">
        <f t="shared" si="2"/>
        <v>"History"</v>
      </c>
      <c r="V49" s="17" t="str">
        <f t="shared" si="2"/>
        <v>"TeamImage"</v>
      </c>
      <c r="W49" s="17" t="str">
        <f t="shared" si="2"/>
        <v>"PlayerImage"</v>
      </c>
    </row>
    <row r="50" spans="2:23" ht="14.25" customHeight="1" x14ac:dyDescent="0.45">
      <c r="B50" s="17" t="str">
        <f t="shared" ref="B50:C65" si="3">CHAR(34)&amp;B3&amp;CHAR(34)&amp;","</f>
        <v>"Jasper Collier",</v>
      </c>
      <c r="C50" s="17" t="str">
        <f t="shared" si="3"/>
        <v>"Loose Gooses",</v>
      </c>
      <c r="D50" s="17" t="str">
        <f t="shared" ref="D50:D65" si="4">ROUND(D3,2)&amp;","</f>
        <v>0.17,</v>
      </c>
      <c r="E50" s="17" t="str">
        <f t="shared" ref="E50:E65" si="5">E3&amp;","</f>
        <v>3,</v>
      </c>
      <c r="F50" s="17" t="str">
        <f t="shared" ref="F50:F65" si="6">ROUND(F3,2)&amp;","</f>
        <v>0,</v>
      </c>
      <c r="G50" s="17" t="str">
        <f t="shared" ref="G50:G65" si="7">G3&amp;","</f>
        <v>0,</v>
      </c>
      <c r="H50" s="17" t="str">
        <f t="shared" ref="H50:H65" si="8">ROUND(H3,2)&amp;","</f>
        <v>0.17,</v>
      </c>
      <c r="I50" s="17" t="str">
        <f t="shared" ref="I50:I65" si="9">I3&amp;","</f>
        <v>3,</v>
      </c>
      <c r="J50" s="17" t="str">
        <f t="shared" ref="J50:J65" si="10">ROUND(J3,2)&amp;","</f>
        <v>0,</v>
      </c>
      <c r="K50" s="17" t="str">
        <f t="shared" ref="K50:L65" si="11">K3&amp;","</f>
        <v>0,</v>
      </c>
      <c r="L50" s="17" t="str">
        <f t="shared" si="11"/>
        <v>0,</v>
      </c>
      <c r="M50" s="17" t="str">
        <f t="shared" ref="M50:W50" si="12">CHAR(34)&amp;M3&amp;CHAR(34)&amp;","</f>
        <v>"",</v>
      </c>
      <c r="N50" s="17" t="str">
        <f t="shared" si="12"/>
        <v>"",</v>
      </c>
      <c r="O50" s="17" t="str">
        <f t="shared" si="12"/>
        <v>"",</v>
      </c>
      <c r="P50" s="17" t="str">
        <f t="shared" si="12"/>
        <v>"",</v>
      </c>
      <c r="Q50" s="17" t="str">
        <f t="shared" si="12"/>
        <v>"",</v>
      </c>
      <c r="R50" s="17" t="str">
        <f t="shared" si="12"/>
        <v>"",</v>
      </c>
      <c r="S50" s="17" t="str">
        <f t="shared" si="12"/>
        <v>"",</v>
      </c>
      <c r="T50" s="17" t="str">
        <f t="shared" si="12"/>
        <v>"",</v>
      </c>
      <c r="U50" s="17" t="str">
        <f t="shared" si="12"/>
        <v>"Drafted by Loose Gooses",</v>
      </c>
      <c r="V50" s="17" t="str">
        <f t="shared" si="12"/>
        <v>"../Images/LG_Final.png",</v>
      </c>
      <c r="W50" s="17" t="str">
        <f t="shared" si="12"/>
        <v>"../Images/Players/Jasper.png",</v>
      </c>
    </row>
    <row r="51" spans="2:23" ht="14.25" customHeight="1" x14ac:dyDescent="0.45">
      <c r="B51" s="17" t="str">
        <f t="shared" si="3"/>
        <v>"Conor Farrington",</v>
      </c>
      <c r="C51" s="17" t="str">
        <f t="shared" si="3"/>
        <v>"Loose Gooses",</v>
      </c>
      <c r="D51" s="17" t="str">
        <f t="shared" si="4"/>
        <v>0.75,</v>
      </c>
      <c r="E51" s="17" t="str">
        <f t="shared" si="5"/>
        <v>12,</v>
      </c>
      <c r="F51" s="17" t="str">
        <f t="shared" si="6"/>
        <v>0.75,</v>
      </c>
      <c r="G51" s="17" t="str">
        <f t="shared" si="7"/>
        <v>12,</v>
      </c>
      <c r="H51" s="17" t="str">
        <f t="shared" si="8"/>
        <v>0,</v>
      </c>
      <c r="I51" s="17" t="str">
        <f t="shared" si="9"/>
        <v>0,</v>
      </c>
      <c r="J51" s="17" t="str">
        <f t="shared" si="10"/>
        <v>0,</v>
      </c>
      <c r="K51" s="17" t="str">
        <f t="shared" si="11"/>
        <v>0,</v>
      </c>
      <c r="L51" s="17" t="str">
        <f t="shared" si="11"/>
        <v>2,</v>
      </c>
      <c r="M51" s="17" t="str">
        <f t="shared" ref="M51:W51" si="13">CHAR(34)&amp;M4&amp;CHAR(34)&amp;","</f>
        <v>"",</v>
      </c>
      <c r="N51" s="17" t="str">
        <f t="shared" si="13"/>
        <v>"",</v>
      </c>
      <c r="O51" s="17" t="str">
        <f t="shared" si="13"/>
        <v>"",</v>
      </c>
      <c r="P51" s="17" t="str">
        <f t="shared" si="13"/>
        <v>"",</v>
      </c>
      <c r="Q51" s="17" t="str">
        <f t="shared" si="13"/>
        <v>"",</v>
      </c>
      <c r="R51" s="17" t="str">
        <f t="shared" si="13"/>
        <v>"",</v>
      </c>
      <c r="S51" s="17" t="str">
        <f t="shared" si="13"/>
        <v>"",</v>
      </c>
      <c r="T51" s="17" t="str">
        <f t="shared" si="13"/>
        <v>"",</v>
      </c>
      <c r="U51" s="17" t="str">
        <f t="shared" si="13"/>
        <v>"Drafted by Loose Gooses",</v>
      </c>
      <c r="V51" s="17" t="str">
        <f t="shared" si="13"/>
        <v>"../Images/LG_Final.png",</v>
      </c>
      <c r="W51" s="17" t="str">
        <f t="shared" si="13"/>
        <v>"../Images/Players/Conor.png",</v>
      </c>
    </row>
    <row r="52" spans="2:23" ht="14.25" customHeight="1" x14ac:dyDescent="0.45">
      <c r="B52" s="17" t="str">
        <f t="shared" si="3"/>
        <v>"Alexander Galt",</v>
      </c>
      <c r="C52" s="17" t="str">
        <f t="shared" si="3"/>
        <v>"5 Musketeers",</v>
      </c>
      <c r="D52" s="17" t="str">
        <f t="shared" si="4"/>
        <v>3,</v>
      </c>
      <c r="E52" s="17" t="str">
        <f t="shared" si="5"/>
        <v>30,</v>
      </c>
      <c r="F52" s="17" t="str">
        <f t="shared" si="6"/>
        <v>2.8,</v>
      </c>
      <c r="G52" s="17" t="str">
        <f t="shared" si="7"/>
        <v>28,</v>
      </c>
      <c r="H52" s="17" t="str">
        <f t="shared" si="8"/>
        <v>0,</v>
      </c>
      <c r="I52" s="17" t="str">
        <f t="shared" si="9"/>
        <v>0,</v>
      </c>
      <c r="J52" s="17" t="str">
        <f t="shared" si="10"/>
        <v>0.1,</v>
      </c>
      <c r="K52" s="17" t="str">
        <f t="shared" si="11"/>
        <v>1,</v>
      </c>
      <c r="L52" s="17" t="str">
        <f t="shared" si="11"/>
        <v>8,</v>
      </c>
      <c r="M52" s="17" t="str">
        <f t="shared" ref="M52:W52" si="14">CHAR(34)&amp;M5&amp;CHAR(34)&amp;","</f>
        <v>"All-Defence Team T1",</v>
      </c>
      <c r="N52" s="17" t="str">
        <f t="shared" si="14"/>
        <v>"Champion T1",</v>
      </c>
      <c r="O52" s="17" t="str">
        <f t="shared" si="14"/>
        <v>"All-Offence Team T2",</v>
      </c>
      <c r="P52" s="17" t="str">
        <f t="shared" si="14"/>
        <v>"All-Defence Team T2",</v>
      </c>
      <c r="Q52" s="17" t="str">
        <f t="shared" si="14"/>
        <v>"",</v>
      </c>
      <c r="R52" s="17" t="str">
        <f t="shared" si="14"/>
        <v>"",</v>
      </c>
      <c r="S52" s="17" t="str">
        <f t="shared" si="14"/>
        <v>"",</v>
      </c>
      <c r="T52" s="17" t="str">
        <f t="shared" si="14"/>
        <v>"",</v>
      </c>
      <c r="U52" s="17" t="str">
        <f t="shared" si="14"/>
        <v>"Retained by 5 Musketeers",</v>
      </c>
      <c r="V52" s="17" t="str">
        <f t="shared" si="14"/>
        <v>"../Images/5M_Final.png",</v>
      </c>
      <c r="W52" s="17" t="str">
        <f t="shared" si="14"/>
        <v>"../Images/Players/Alex.png",</v>
      </c>
    </row>
    <row r="53" spans="2:23" ht="14.25" customHeight="1" x14ac:dyDescent="0.45">
      <c r="B53" s="17" t="str">
        <f t="shared" si="3"/>
        <v>"Rudy Hoschke",</v>
      </c>
      <c r="C53" s="17" t="str">
        <f t="shared" si="3"/>
        <v>"Wet Willies",</v>
      </c>
      <c r="D53" s="17" t="str">
        <f t="shared" si="4"/>
        <v>1.23,</v>
      </c>
      <c r="E53" s="17" t="str">
        <f t="shared" si="5"/>
        <v>16,</v>
      </c>
      <c r="F53" s="17" t="str">
        <f t="shared" si="6"/>
        <v>1.23,</v>
      </c>
      <c r="G53" s="17" t="str">
        <f t="shared" si="7"/>
        <v>16,</v>
      </c>
      <c r="H53" s="17" t="str">
        <f t="shared" si="8"/>
        <v>0,</v>
      </c>
      <c r="I53" s="17" t="str">
        <f t="shared" si="9"/>
        <v>0,</v>
      </c>
      <c r="J53" s="17" t="str">
        <f t="shared" si="10"/>
        <v>0,</v>
      </c>
      <c r="K53" s="17" t="str">
        <f t="shared" si="11"/>
        <v>0,</v>
      </c>
      <c r="L53" s="17" t="str">
        <f t="shared" si="11"/>
        <v>5,</v>
      </c>
      <c r="M53" s="17" t="str">
        <f t="shared" ref="M53:W53" si="15">CHAR(34)&amp;M6&amp;CHAR(34)&amp;","</f>
        <v>"All-Offence Team T1",</v>
      </c>
      <c r="N53" s="17" t="str">
        <f t="shared" si="15"/>
        <v>"All-Defence Team T1",</v>
      </c>
      <c r="O53" s="17" t="str">
        <f t="shared" si="15"/>
        <v>"Champion T1",</v>
      </c>
      <c r="P53" s="17" t="str">
        <f t="shared" si="15"/>
        <v>"All-Offence Team T2",</v>
      </c>
      <c r="Q53" s="17" t="str">
        <f t="shared" si="15"/>
        <v>"All-Defence Team T2",</v>
      </c>
      <c r="R53" s="17" t="str">
        <f t="shared" si="15"/>
        <v>"Scoring Champ T2",</v>
      </c>
      <c r="S53" s="17" t="str">
        <f t="shared" si="15"/>
        <v>"GM",</v>
      </c>
      <c r="T53" s="17" t="str">
        <f t="shared" si="15"/>
        <v>"",</v>
      </c>
      <c r="U53" s="17" t="str">
        <f t="shared" si="15"/>
        <v>"GM of Wet Willies",</v>
      </c>
      <c r="V53" s="17" t="str">
        <f t="shared" si="15"/>
        <v>"../Images/WW_Final.png",</v>
      </c>
      <c r="W53" s="17" t="str">
        <f t="shared" si="15"/>
        <v>"../Images/Players/Rudy.png",</v>
      </c>
    </row>
    <row r="54" spans="2:23" ht="14.25" customHeight="1" x14ac:dyDescent="0.45">
      <c r="B54" s="17" t="str">
        <f t="shared" si="3"/>
        <v>"Michael Iffland",</v>
      </c>
      <c r="C54" s="17" t="str">
        <f t="shared" si="3"/>
        <v>"Wet Willies",</v>
      </c>
      <c r="D54" s="17" t="str">
        <f t="shared" si="4"/>
        <v>1.19,</v>
      </c>
      <c r="E54" s="17" t="str">
        <f t="shared" si="5"/>
        <v>19,</v>
      </c>
      <c r="F54" s="17" t="str">
        <f t="shared" si="6"/>
        <v>0.5,</v>
      </c>
      <c r="G54" s="17" t="str">
        <f t="shared" si="7"/>
        <v>8,</v>
      </c>
      <c r="H54" s="17" t="str">
        <f t="shared" si="8"/>
        <v>0.44,</v>
      </c>
      <c r="I54" s="17" t="str">
        <f t="shared" si="9"/>
        <v>7,</v>
      </c>
      <c r="J54" s="17" t="str">
        <f t="shared" si="10"/>
        <v>0.13,</v>
      </c>
      <c r="K54" s="17" t="str">
        <f t="shared" si="11"/>
        <v>2,</v>
      </c>
      <c r="L54" s="17" t="str">
        <f t="shared" si="11"/>
        <v>2,</v>
      </c>
      <c r="M54" s="17" t="str">
        <f t="shared" ref="M54:W54" si="16">CHAR(34)&amp;M7&amp;CHAR(34)&amp;","</f>
        <v>"Playmaker T1",</v>
      </c>
      <c r="N54" s="17" t="str">
        <f t="shared" si="16"/>
        <v>"Thirdman T1",</v>
      </c>
      <c r="O54" s="17" t="str">
        <f t="shared" si="16"/>
        <v>"All-Offence Team T2",</v>
      </c>
      <c r="P54" s="17" t="str">
        <f t="shared" si="16"/>
        <v>"All-2nd-Defence Team T2",</v>
      </c>
      <c r="Q54" s="17" t="str">
        <f t="shared" si="16"/>
        <v>"",</v>
      </c>
      <c r="R54" s="17" t="str">
        <f t="shared" si="16"/>
        <v>"",</v>
      </c>
      <c r="S54" s="17" t="str">
        <f t="shared" si="16"/>
        <v>"",</v>
      </c>
      <c r="T54" s="17" t="str">
        <f t="shared" si="16"/>
        <v>"",</v>
      </c>
      <c r="U54" s="17" t="str">
        <f t="shared" si="16"/>
        <v>"Retained by Wet Willies",</v>
      </c>
      <c r="V54" s="17" t="str">
        <f t="shared" si="16"/>
        <v>"../Images/WW_Final.png",</v>
      </c>
      <c r="W54" s="17" t="str">
        <f t="shared" si="16"/>
        <v>"../Images/Players/Michael.png",</v>
      </c>
    </row>
    <row r="55" spans="2:23" ht="14.25" customHeight="1" x14ac:dyDescent="0.45">
      <c r="B55" s="17" t="str">
        <f t="shared" si="3"/>
        <v>"Lukas Johnston",</v>
      </c>
      <c r="C55" s="17" t="str">
        <f t="shared" si="3"/>
        <v>"5 Musketeers",</v>
      </c>
      <c r="D55" s="17" t="str">
        <f t="shared" si="4"/>
        <v>0.87,</v>
      </c>
      <c r="E55" s="17" t="str">
        <f t="shared" si="5"/>
        <v>13,</v>
      </c>
      <c r="F55" s="17" t="str">
        <f t="shared" si="6"/>
        <v>0.67,</v>
      </c>
      <c r="G55" s="17" t="str">
        <f t="shared" si="7"/>
        <v>10,</v>
      </c>
      <c r="H55" s="17" t="str">
        <f t="shared" si="8"/>
        <v>0.2,</v>
      </c>
      <c r="I55" s="17" t="str">
        <f t="shared" si="9"/>
        <v>3,</v>
      </c>
      <c r="J55" s="17" t="str">
        <f t="shared" si="10"/>
        <v>0,</v>
      </c>
      <c r="K55" s="17" t="str">
        <f t="shared" si="11"/>
        <v>0,</v>
      </c>
      <c r="L55" s="17" t="str">
        <f t="shared" si="11"/>
        <v>3,</v>
      </c>
      <c r="M55" s="17" t="str">
        <f t="shared" ref="M55:W55" si="17">CHAR(34)&amp;M8&amp;CHAR(34)&amp;","</f>
        <v>"MVP Runner Up T1",</v>
      </c>
      <c r="N55" s="17" t="str">
        <f t="shared" si="17"/>
        <v>"All-Offence Team T1",</v>
      </c>
      <c r="O55" s="17" t="str">
        <f t="shared" si="17"/>
        <v>"All-2nd-Offence Team T2",</v>
      </c>
      <c r="P55" s="17" t="str">
        <f t="shared" si="17"/>
        <v>"",</v>
      </c>
      <c r="Q55" s="17" t="str">
        <f t="shared" si="17"/>
        <v>"",</v>
      </c>
      <c r="R55" s="17" t="str">
        <f t="shared" si="17"/>
        <v>"",</v>
      </c>
      <c r="S55" s="17" t="str">
        <f t="shared" si="17"/>
        <v>"",</v>
      </c>
      <c r="T55" s="17" t="str">
        <f t="shared" si="17"/>
        <v>"",</v>
      </c>
      <c r="U55" s="17" t="str">
        <f t="shared" si="17"/>
        <v>"Drafted by Wet Willies. Traded to 5 Musketeers",</v>
      </c>
      <c r="V55" s="17" t="str">
        <f t="shared" si="17"/>
        <v>"../Images/5M_Final.png",</v>
      </c>
      <c r="W55" s="17" t="str">
        <f t="shared" si="17"/>
        <v>"../Images/Players/Lukas.png",</v>
      </c>
    </row>
    <row r="56" spans="2:23" ht="14.25" customHeight="1" x14ac:dyDescent="0.45">
      <c r="B56" s="17" t="str">
        <f t="shared" si="3"/>
        <v>"Sam James",</v>
      </c>
      <c r="C56" s="17" t="str">
        <f t="shared" si="3"/>
        <v>"5 Musketeers",</v>
      </c>
      <c r="D56" s="17" t="str">
        <f t="shared" si="4"/>
        <v>0.61,</v>
      </c>
      <c r="E56" s="17" t="str">
        <f t="shared" si="5"/>
        <v>11,</v>
      </c>
      <c r="F56" s="17" t="str">
        <f t="shared" si="6"/>
        <v>0.33,</v>
      </c>
      <c r="G56" s="17" t="str">
        <f t="shared" si="7"/>
        <v>6,</v>
      </c>
      <c r="H56" s="17" t="str">
        <f t="shared" si="8"/>
        <v>0.17,</v>
      </c>
      <c r="I56" s="17" t="str">
        <f t="shared" si="9"/>
        <v>3,</v>
      </c>
      <c r="J56" s="17" t="str">
        <f t="shared" si="10"/>
        <v>0.06,</v>
      </c>
      <c r="K56" s="17" t="str">
        <f t="shared" si="11"/>
        <v>1,</v>
      </c>
      <c r="L56" s="17" t="str">
        <f t="shared" si="11"/>
        <v>0,</v>
      </c>
      <c r="M56" s="17" t="str">
        <f t="shared" ref="M56:W56" si="18">CHAR(34)&amp;M9&amp;CHAR(34)&amp;","</f>
        <v>"Miles Morales",</v>
      </c>
      <c r="N56" s="17" t="str">
        <f t="shared" si="18"/>
        <v>"Champion T2",</v>
      </c>
      <c r="O56" s="17" t="str">
        <f t="shared" si="18"/>
        <v>"",</v>
      </c>
      <c r="P56" s="17" t="str">
        <f t="shared" si="18"/>
        <v>"",</v>
      </c>
      <c r="Q56" s="17" t="str">
        <f t="shared" si="18"/>
        <v>"",</v>
      </c>
      <c r="R56" s="17" t="str">
        <f t="shared" si="18"/>
        <v>"",</v>
      </c>
      <c r="S56" s="17" t="str">
        <f t="shared" si="18"/>
        <v>"",</v>
      </c>
      <c r="T56" s="17" t="str">
        <f t="shared" si="18"/>
        <v>"",</v>
      </c>
      <c r="U56" s="17" t="str">
        <f t="shared" si="18"/>
        <v>"Drafted by 5 Musketeers",</v>
      </c>
      <c r="V56" s="17" t="str">
        <f t="shared" si="18"/>
        <v>"../Images/5M_Final.png",</v>
      </c>
      <c r="W56" s="17" t="str">
        <f t="shared" si="18"/>
        <v>"../Images/Players/SamJ.png",</v>
      </c>
    </row>
    <row r="57" spans="2:23" ht="14.25" customHeight="1" x14ac:dyDescent="0.45">
      <c r="B57" s="17" t="str">
        <f t="shared" si="3"/>
        <v>"Clarrie Jones",</v>
      </c>
      <c r="C57" s="17" t="str">
        <f t="shared" si="3"/>
        <v>"Wet Willies",</v>
      </c>
      <c r="D57" s="17" t="str">
        <f t="shared" si="4"/>
        <v>1.42,</v>
      </c>
      <c r="E57" s="17" t="str">
        <f t="shared" si="5"/>
        <v>17,</v>
      </c>
      <c r="F57" s="17" t="str">
        <f t="shared" si="6"/>
        <v>0.08,</v>
      </c>
      <c r="G57" s="17" t="str">
        <f t="shared" si="7"/>
        <v>1,</v>
      </c>
      <c r="H57" s="17" t="str">
        <f t="shared" si="8"/>
        <v>0.17,</v>
      </c>
      <c r="I57" s="17" t="str">
        <f t="shared" si="9"/>
        <v>2,</v>
      </c>
      <c r="J57" s="17" t="str">
        <f t="shared" si="10"/>
        <v>0.58,</v>
      </c>
      <c r="K57" s="17" t="str">
        <f t="shared" si="11"/>
        <v>7,</v>
      </c>
      <c r="L57" s="17" t="str">
        <f t="shared" si="11"/>
        <v>6,</v>
      </c>
      <c r="M57" s="17" t="str">
        <f t="shared" ref="M57:W57" si="19">CHAR(34)&amp;M10&amp;CHAR(34)&amp;","</f>
        <v>"LTBO Manager",</v>
      </c>
      <c r="N57" s="17" t="str">
        <f t="shared" si="19"/>
        <v>"Champion T1",</v>
      </c>
      <c r="O57" s="17" t="str">
        <f t="shared" si="19"/>
        <v>"Finals MVP T1",</v>
      </c>
      <c r="P57" s="17" t="str">
        <f t="shared" si="19"/>
        <v>"Fifthman T2",</v>
      </c>
      <c r="Q57" s="17" t="str">
        <f t="shared" si="19"/>
        <v>"All-2nd-Offence Team T2",</v>
      </c>
      <c r="R57" s="17" t="str">
        <f t="shared" si="19"/>
        <v>"All-2nd-Defence Team T2",</v>
      </c>
      <c r="S57" s="17" t="str">
        <f t="shared" si="19"/>
        <v>"Champion T2",</v>
      </c>
      <c r="T57" s="17" t="str">
        <f t="shared" si="19"/>
        <v>"",</v>
      </c>
      <c r="U57" s="17" t="str">
        <f t="shared" si="19"/>
        <v>"Out due to injury. Signed by Wet Willies",</v>
      </c>
      <c r="V57" s="17" t="str">
        <f t="shared" si="19"/>
        <v>"../Images/WW_Final.png",</v>
      </c>
      <c r="W57" s="17" t="str">
        <f t="shared" si="19"/>
        <v>"../Images/Players/Clarrie.png",</v>
      </c>
    </row>
    <row r="58" spans="2:23" ht="14.25" customHeight="1" x14ac:dyDescent="0.45">
      <c r="B58" s="17" t="str">
        <f t="shared" si="3"/>
        <v>"William Kim",</v>
      </c>
      <c r="C58" s="17" t="str">
        <f t="shared" si="3"/>
        <v>"Loose Gooses",</v>
      </c>
      <c r="D58" s="17" t="str">
        <f t="shared" si="4"/>
        <v>1.75,</v>
      </c>
      <c r="E58" s="17" t="str">
        <f t="shared" si="5"/>
        <v>28,</v>
      </c>
      <c r="F58" s="17" t="str">
        <f t="shared" si="6"/>
        <v>0.69,</v>
      </c>
      <c r="G58" s="17" t="str">
        <f t="shared" si="7"/>
        <v>11,</v>
      </c>
      <c r="H58" s="17" t="str">
        <f t="shared" si="8"/>
        <v>0.69,</v>
      </c>
      <c r="I58" s="17" t="str">
        <f t="shared" si="9"/>
        <v>11,</v>
      </c>
      <c r="J58" s="17" t="str">
        <f t="shared" si="10"/>
        <v>0.19,</v>
      </c>
      <c r="K58" s="17" t="str">
        <f t="shared" si="11"/>
        <v>3,</v>
      </c>
      <c r="L58" s="17" t="str">
        <f t="shared" si="11"/>
        <v>2,</v>
      </c>
      <c r="M58" s="17" t="str">
        <f t="shared" ref="M58:W58" si="20">CHAR(34)&amp;M11&amp;CHAR(34)&amp;","</f>
        <v>"MVP T1",</v>
      </c>
      <c r="N58" s="17" t="str">
        <f t="shared" si="20"/>
        <v>"All-Offence Team T1",</v>
      </c>
      <c r="O58" s="17" t="str">
        <f t="shared" si="20"/>
        <v>"All-Defence Team T1",</v>
      </c>
      <c r="P58" s="17" t="str">
        <f t="shared" si="20"/>
        <v>"All-2nd-Offence Team T2",</v>
      </c>
      <c r="Q58" s="17" t="str">
        <f t="shared" si="20"/>
        <v>"All-Defence Team T2",</v>
      </c>
      <c r="R58" s="17" t="str">
        <f t="shared" si="20"/>
        <v>"Champion T2",</v>
      </c>
      <c r="S58" s="17" t="str">
        <f t="shared" si="20"/>
        <v>"Finals MVP T2",</v>
      </c>
      <c r="T58" s="17" t="str">
        <f t="shared" si="20"/>
        <v>"",</v>
      </c>
      <c r="U58" s="17" t="str">
        <f t="shared" si="20"/>
        <v>"Retained by Loose Gooses",</v>
      </c>
      <c r="V58" s="17" t="str">
        <f t="shared" si="20"/>
        <v>"../Images/LG_Final.png",</v>
      </c>
      <c r="W58" s="17" t="str">
        <f t="shared" si="20"/>
        <v>"../Images/Players/Kimmy.png",</v>
      </c>
    </row>
    <row r="59" spans="2:23" ht="14.25" customHeight="1" x14ac:dyDescent="0.45">
      <c r="B59" s="17" t="str">
        <f t="shared" si="3"/>
        <v>"Samuel McConaghy",</v>
      </c>
      <c r="C59" s="17" t="str">
        <f t="shared" si="3"/>
        <v>"5 Musketeers",</v>
      </c>
      <c r="D59" s="17" t="str">
        <f t="shared" si="4"/>
        <v>3.47,</v>
      </c>
      <c r="E59" s="17" t="str">
        <f t="shared" si="5"/>
        <v>59,</v>
      </c>
      <c r="F59" s="17" t="str">
        <f t="shared" si="6"/>
        <v>0.88,</v>
      </c>
      <c r="G59" s="17" t="str">
        <f t="shared" si="7"/>
        <v>15,</v>
      </c>
      <c r="H59" s="17" t="str">
        <f t="shared" si="8"/>
        <v>2,</v>
      </c>
      <c r="I59" s="17" t="str">
        <f t="shared" si="9"/>
        <v>34,</v>
      </c>
      <c r="J59" s="17" t="str">
        <f t="shared" si="10"/>
        <v>0.29,</v>
      </c>
      <c r="K59" s="17" t="str">
        <f t="shared" si="11"/>
        <v>5,</v>
      </c>
      <c r="L59" s="17" t="str">
        <f t="shared" si="11"/>
        <v>1,</v>
      </c>
      <c r="M59" s="17" t="str">
        <f t="shared" ref="M59:W59" si="21">CHAR(34)&amp;M12&amp;CHAR(34)&amp;","</f>
        <v>"GM",</v>
      </c>
      <c r="N59" s="17" t="str">
        <f t="shared" si="21"/>
        <v>"All-Offence Team T1",</v>
      </c>
      <c r="O59" s="17" t="str">
        <f t="shared" si="21"/>
        <v>"All-Defence Team T1",</v>
      </c>
      <c r="P59" s="17" t="str">
        <f t="shared" si="21"/>
        <v>"All-Offence Team T2",</v>
      </c>
      <c r="Q59" s="17" t="str">
        <f t="shared" si="21"/>
        <v>"All-Defence Team T2",</v>
      </c>
      <c r="R59" s="17" t="str">
        <f t="shared" si="21"/>
        <v>"",</v>
      </c>
      <c r="S59" s="17" t="str">
        <f t="shared" si="21"/>
        <v>"",</v>
      </c>
      <c r="T59" s="17" t="str">
        <f t="shared" si="21"/>
        <v>"",</v>
      </c>
      <c r="U59" s="17" t="str">
        <f t="shared" si="21"/>
        <v>"GM of 5 Musketeers",</v>
      </c>
      <c r="V59" s="17" t="str">
        <f t="shared" si="21"/>
        <v>"../Images/5M_Final.png",</v>
      </c>
      <c r="W59" s="17" t="str">
        <f t="shared" si="21"/>
        <v>"../Images/Players/SamM.png",</v>
      </c>
    </row>
    <row r="60" spans="2:23" ht="14.25" customHeight="1" x14ac:dyDescent="0.45">
      <c r="B60" s="17" t="str">
        <f t="shared" si="3"/>
        <v>"Ryan Pattemore",</v>
      </c>
      <c r="C60" s="17" t="str">
        <f t="shared" si="3"/>
        <v>"Wet Willies",</v>
      </c>
      <c r="D60" s="17" t="str">
        <f t="shared" si="4"/>
        <v>0.56,</v>
      </c>
      <c r="E60" s="17" t="str">
        <f t="shared" si="5"/>
        <v>10,</v>
      </c>
      <c r="F60" s="17" t="str">
        <f t="shared" si="6"/>
        <v>0.11,</v>
      </c>
      <c r="G60" s="17" t="str">
        <f t="shared" si="7"/>
        <v>2,</v>
      </c>
      <c r="H60" s="17" t="str">
        <f t="shared" si="8"/>
        <v>0.44,</v>
      </c>
      <c r="I60" s="17" t="str">
        <f t="shared" si="9"/>
        <v>8,</v>
      </c>
      <c r="J60" s="17" t="str">
        <f t="shared" si="10"/>
        <v>0,</v>
      </c>
      <c r="K60" s="17" t="str">
        <f t="shared" si="11"/>
        <v>0,</v>
      </c>
      <c r="L60" s="17" t="str">
        <f t="shared" si="11"/>
        <v>0,</v>
      </c>
      <c r="M60" s="17" t="str">
        <f t="shared" ref="M60:W60" si="22">CHAR(34)&amp;M13&amp;CHAR(34)&amp;","</f>
        <v>"Perimeter T1",</v>
      </c>
      <c r="N60" s="17" t="str">
        <f t="shared" si="22"/>
        <v>"Champion T1",</v>
      </c>
      <c r="O60" s="17" t="str">
        <f t="shared" si="22"/>
        <v>"",</v>
      </c>
      <c r="P60" s="17" t="str">
        <f t="shared" si="22"/>
        <v>"",</v>
      </c>
      <c r="Q60" s="17" t="str">
        <f t="shared" si="22"/>
        <v>"",</v>
      </c>
      <c r="R60" s="17" t="str">
        <f t="shared" si="22"/>
        <v>"",</v>
      </c>
      <c r="S60" s="17" t="str">
        <f t="shared" si="22"/>
        <v>"",</v>
      </c>
      <c r="T60" s="17" t="str">
        <f t="shared" si="22"/>
        <v>"",</v>
      </c>
      <c r="U60" s="17" t="str">
        <f t="shared" si="22"/>
        <v>"Drafted by Wet Willies",</v>
      </c>
      <c r="V60" s="17" t="str">
        <f t="shared" si="22"/>
        <v>"../Images/WW_Final.png",</v>
      </c>
      <c r="W60" s="17" t="str">
        <f t="shared" si="22"/>
        <v>"../Images/Players/Ryan.png",</v>
      </c>
    </row>
    <row r="61" spans="2:23" ht="14.25" customHeight="1" x14ac:dyDescent="0.45">
      <c r="B61" s="17" t="str">
        <f t="shared" si="3"/>
        <v>"William Scott",</v>
      </c>
      <c r="C61" s="17" t="str">
        <f t="shared" si="3"/>
        <v>"5 Musketeers",</v>
      </c>
      <c r="D61" s="17" t="str">
        <f t="shared" si="4"/>
        <v>0.14,</v>
      </c>
      <c r="E61" s="17" t="str">
        <f t="shared" si="5"/>
        <v>1,</v>
      </c>
      <c r="F61" s="17" t="str">
        <f t="shared" si="6"/>
        <v>0,</v>
      </c>
      <c r="G61" s="17" t="str">
        <f t="shared" si="7"/>
        <v>0,</v>
      </c>
      <c r="H61" s="17" t="str">
        <f t="shared" si="8"/>
        <v>0.14,</v>
      </c>
      <c r="I61" s="17" t="str">
        <f t="shared" si="9"/>
        <v>1,</v>
      </c>
      <c r="J61" s="17" t="str">
        <f t="shared" si="10"/>
        <v>0,</v>
      </c>
      <c r="K61" s="17" t="str">
        <f t="shared" si="11"/>
        <v>0,</v>
      </c>
      <c r="L61" s="17" t="str">
        <f t="shared" si="11"/>
        <v>11,</v>
      </c>
      <c r="M61" s="17" t="str">
        <f t="shared" ref="M61:W61" si="23">CHAR(34)&amp;M14&amp;CHAR(34)&amp;","</f>
        <v>"LTBO Photographer",</v>
      </c>
      <c r="N61" s="17" t="str">
        <f t="shared" si="23"/>
        <v>"",</v>
      </c>
      <c r="O61" s="17" t="str">
        <f t="shared" si="23"/>
        <v>"",</v>
      </c>
      <c r="P61" s="17" t="str">
        <f t="shared" si="23"/>
        <v>"",</v>
      </c>
      <c r="Q61" s="17" t="str">
        <f t="shared" si="23"/>
        <v>"",</v>
      </c>
      <c r="R61" s="17" t="str">
        <f t="shared" si="23"/>
        <v>"",</v>
      </c>
      <c r="S61" s="17" t="str">
        <f t="shared" si="23"/>
        <v>"",</v>
      </c>
      <c r="T61" s="17" t="str">
        <f t="shared" si="23"/>
        <v>"",</v>
      </c>
      <c r="U61" s="17" t="str">
        <f t="shared" si="23"/>
        <v>"Drafted by Wet Willies. Traded to 5 Musketeers",</v>
      </c>
      <c r="V61" s="17" t="str">
        <f t="shared" si="23"/>
        <v>"../Images/5M_Final.png",</v>
      </c>
      <c r="W61" s="17" t="str">
        <f t="shared" si="23"/>
        <v>"../Images/Players/Will.png",</v>
      </c>
    </row>
    <row r="62" spans="2:23" ht="14.25" customHeight="1" x14ac:dyDescent="0.45">
      <c r="B62" s="17" t="str">
        <f t="shared" si="3"/>
        <v>"Nicholas Szogi",</v>
      </c>
      <c r="C62" s="17" t="str">
        <f t="shared" si="3"/>
        <v>"Wet Willies",</v>
      </c>
      <c r="D62" s="17" t="str">
        <f t="shared" si="4"/>
        <v>0.8,</v>
      </c>
      <c r="E62" s="17" t="str">
        <f t="shared" si="5"/>
        <v>12,</v>
      </c>
      <c r="F62" s="17" t="str">
        <f t="shared" si="6"/>
        <v>0.6,</v>
      </c>
      <c r="G62" s="17" t="str">
        <f t="shared" si="7"/>
        <v>9,</v>
      </c>
      <c r="H62" s="17" t="str">
        <f t="shared" si="8"/>
        <v>0.07,</v>
      </c>
      <c r="I62" s="17" t="str">
        <f t="shared" si="9"/>
        <v>1,</v>
      </c>
      <c r="J62" s="17" t="str">
        <f t="shared" si="10"/>
        <v>0.07,</v>
      </c>
      <c r="K62" s="17" t="str">
        <f t="shared" si="11"/>
        <v>1,</v>
      </c>
      <c r="L62" s="17" t="str">
        <f t="shared" si="11"/>
        <v>3,</v>
      </c>
      <c r="M62" s="17" t="str">
        <f t="shared" ref="M62:W62" si="24">CHAR(34)&amp;M15&amp;CHAR(34)&amp;","</f>
        <v>"The Biggest Bird",</v>
      </c>
      <c r="N62" s="17" t="str">
        <f t="shared" si="24"/>
        <v>"Champion T1",</v>
      </c>
      <c r="O62" s="17" t="str">
        <f t="shared" si="24"/>
        <v>"MVP Runner Up T2",</v>
      </c>
      <c r="P62" s="17" t="str">
        <f t="shared" si="24"/>
        <v>"X-Factor T2",</v>
      </c>
      <c r="Q62" s="17" t="str">
        <f t="shared" si="24"/>
        <v>"All-2nd-Offence Team T2",</v>
      </c>
      <c r="R62" s="17" t="str">
        <f t="shared" si="24"/>
        <v>"All-2nd-Defence Team T2",</v>
      </c>
      <c r="S62" s="17" t="str">
        <f t="shared" si="24"/>
        <v>"",</v>
      </c>
      <c r="T62" s="17" t="str">
        <f t="shared" si="24"/>
        <v>"",</v>
      </c>
      <c r="U62" s="17" t="str">
        <f t="shared" si="24"/>
        <v>"Drafted by 5 Musketeers. Traded to Wet Willies",</v>
      </c>
      <c r="V62" s="17" t="str">
        <f t="shared" si="24"/>
        <v>"../Images/WW_Final.png",</v>
      </c>
      <c r="W62" s="17" t="str">
        <f t="shared" si="24"/>
        <v>"../Images/Players/Nick.png",</v>
      </c>
    </row>
    <row r="63" spans="2:23" ht="14.25" customHeight="1" x14ac:dyDescent="0.45">
      <c r="B63" s="17" t="str">
        <f t="shared" si="3"/>
        <v>"Christopher Tomkinson",</v>
      </c>
      <c r="C63" s="17" t="str">
        <f t="shared" si="3"/>
        <v>"Loose Gooses",</v>
      </c>
      <c r="D63" s="17" t="str">
        <f t="shared" si="4"/>
        <v>1.11,</v>
      </c>
      <c r="E63" s="17" t="str">
        <f t="shared" si="5"/>
        <v>20,</v>
      </c>
      <c r="F63" s="17" t="str">
        <f t="shared" si="6"/>
        <v>0.72,</v>
      </c>
      <c r="G63" s="17" t="str">
        <f t="shared" si="7"/>
        <v>13,</v>
      </c>
      <c r="H63" s="17" t="str">
        <f t="shared" si="8"/>
        <v>0.28,</v>
      </c>
      <c r="I63" s="17" t="str">
        <f t="shared" si="9"/>
        <v>5,</v>
      </c>
      <c r="J63" s="17" t="str">
        <f t="shared" si="10"/>
        <v>0.06,</v>
      </c>
      <c r="K63" s="17" t="str">
        <f t="shared" si="11"/>
        <v>1,</v>
      </c>
      <c r="L63" s="17" t="str">
        <f t="shared" si="11"/>
        <v>0,</v>
      </c>
      <c r="M63" s="17" t="str">
        <f t="shared" ref="M63:W63" si="25">CHAR(34)&amp;M16&amp;CHAR(34)&amp;","</f>
        <v>"MIP T1",</v>
      </c>
      <c r="N63" s="17" t="str">
        <f t="shared" si="25"/>
        <v>"MIP T2",</v>
      </c>
      <c r="O63" s="17" t="str">
        <f t="shared" si="25"/>
        <v>"MVP T2",</v>
      </c>
      <c r="P63" s="17" t="str">
        <f t="shared" si="25"/>
        <v>"All-2nd-Offence Team T2",</v>
      </c>
      <c r="Q63" s="17" t="str">
        <f t="shared" si="25"/>
        <v>"All-2nd-Defence Team T2",</v>
      </c>
      <c r="R63" s="17" t="str">
        <f t="shared" si="25"/>
        <v>"Champion T2",</v>
      </c>
      <c r="S63" s="17" t="str">
        <f t="shared" si="25"/>
        <v>"",</v>
      </c>
      <c r="T63" s="17" t="str">
        <f t="shared" si="25"/>
        <v>"",</v>
      </c>
      <c r="U63" s="17" t="str">
        <f t="shared" si="25"/>
        <v>"Drafted by Loose Gooses",</v>
      </c>
      <c r="V63" s="17" t="str">
        <f t="shared" si="25"/>
        <v>"../Images/LG_Final.png",</v>
      </c>
      <c r="W63" s="17" t="str">
        <f t="shared" si="25"/>
        <v>"../Images/Players/Chris.png",</v>
      </c>
    </row>
    <row r="64" spans="2:23" ht="14.25" customHeight="1" x14ac:dyDescent="0.45">
      <c r="B64" s="17" t="str">
        <f t="shared" si="3"/>
        <v>"Angus Walker",</v>
      </c>
      <c r="C64" s="17" t="str">
        <f t="shared" si="3"/>
        <v>"Loose Gooses",</v>
      </c>
      <c r="D64" s="17" t="str">
        <f t="shared" si="4"/>
        <v>2.59,</v>
      </c>
      <c r="E64" s="17" t="str">
        <f t="shared" si="5"/>
        <v>44,</v>
      </c>
      <c r="F64" s="17" t="str">
        <f t="shared" si="6"/>
        <v>1.29,</v>
      </c>
      <c r="G64" s="17" t="str">
        <f t="shared" si="7"/>
        <v>22,</v>
      </c>
      <c r="H64" s="17" t="str">
        <f t="shared" si="8"/>
        <v>0.47,</v>
      </c>
      <c r="I64" s="17" t="str">
        <f t="shared" si="9"/>
        <v>8,</v>
      </c>
      <c r="J64" s="17" t="str">
        <f t="shared" si="10"/>
        <v>0.41,</v>
      </c>
      <c r="K64" s="17" t="str">
        <f t="shared" si="11"/>
        <v>7,</v>
      </c>
      <c r="L64" s="17" t="str">
        <f t="shared" si="11"/>
        <v>1,</v>
      </c>
      <c r="M64" s="17" t="str">
        <f t="shared" ref="M64:W64" si="26">CHAR(34)&amp;M17&amp;CHAR(34)&amp;","</f>
        <v>"LTBO CEO",</v>
      </c>
      <c r="N64" s="17" t="str">
        <f t="shared" si="26"/>
        <v>"GM",</v>
      </c>
      <c r="O64" s="17" t="str">
        <f t="shared" si="26"/>
        <v>"All-Offence Team T1",</v>
      </c>
      <c r="P64" s="17" t="str">
        <f t="shared" si="26"/>
        <v>"All-Defence Team T1",</v>
      </c>
      <c r="Q64" s="17" t="str">
        <f t="shared" si="26"/>
        <v>"Scoring Champ T1",</v>
      </c>
      <c r="R64" s="17" t="str">
        <f t="shared" si="26"/>
        <v>"All-Offence Team T2",</v>
      </c>
      <c r="S64" s="17" t="str">
        <f t="shared" si="26"/>
        <v>"All-Defence Team T2",</v>
      </c>
      <c r="T64" s="17" t="str">
        <f t="shared" si="26"/>
        <v>"Champion T2",</v>
      </c>
      <c r="U64" s="17" t="str">
        <f t="shared" si="26"/>
        <v>"GM of Loose Gooses",</v>
      </c>
      <c r="V64" s="17" t="str">
        <f t="shared" si="26"/>
        <v>"../Images/LG_Final.png",</v>
      </c>
      <c r="W64" s="17" t="str">
        <f t="shared" si="26"/>
        <v>"../Images/Players/Angus.png",</v>
      </c>
    </row>
    <row r="65" spans="2:23" ht="14.25" customHeight="1" x14ac:dyDescent="0.45">
      <c r="B65" s="17" t="str">
        <f t="shared" si="3"/>
        <v>"Willie Weekes",</v>
      </c>
      <c r="C65" s="17" t="str">
        <f t="shared" si="3"/>
        <v>"5 Musketeers",</v>
      </c>
      <c r="D65" s="17" t="str">
        <f t="shared" si="4"/>
        <v>0.06,</v>
      </c>
      <c r="E65" s="17" t="str">
        <f t="shared" si="5"/>
        <v>1,</v>
      </c>
      <c r="F65" s="17" t="str">
        <f t="shared" si="6"/>
        <v>0,</v>
      </c>
      <c r="G65" s="17" t="str">
        <f t="shared" si="7"/>
        <v>0,</v>
      </c>
      <c r="H65" s="17" t="str">
        <f t="shared" si="8"/>
        <v>0.06,</v>
      </c>
      <c r="I65" s="17" t="str">
        <f t="shared" si="9"/>
        <v>1,</v>
      </c>
      <c r="J65" s="17" t="str">
        <f t="shared" si="10"/>
        <v>0,</v>
      </c>
      <c r="K65" s="17" t="str">
        <f t="shared" si="11"/>
        <v>0,</v>
      </c>
      <c r="L65" s="17" t="str">
        <f t="shared" si="11"/>
        <v>0,</v>
      </c>
      <c r="M65" s="17" t="str">
        <f t="shared" ref="M65:W65" si="27">CHAR(34)&amp;M18&amp;CHAR(34)&amp;","</f>
        <v>"Teammate T1",</v>
      </c>
      <c r="N65" s="17" t="str">
        <f t="shared" si="27"/>
        <v>"Champion T1",</v>
      </c>
      <c r="O65" s="17" t="str">
        <f t="shared" si="27"/>
        <v>"Teammate T2",</v>
      </c>
      <c r="P65" s="17" t="str">
        <f t="shared" si="27"/>
        <v>"",</v>
      </c>
      <c r="Q65" s="17" t="str">
        <f t="shared" si="27"/>
        <v>"",</v>
      </c>
      <c r="R65" s="17" t="str">
        <f t="shared" si="27"/>
        <v>"",</v>
      </c>
      <c r="S65" s="17" t="str">
        <f t="shared" si="27"/>
        <v>"",</v>
      </c>
      <c r="T65" s="17" t="str">
        <f t="shared" si="27"/>
        <v>"",</v>
      </c>
      <c r="U65" s="17" t="str">
        <f t="shared" si="27"/>
        <v>"Drafted by Wet Willies. Dropped by Wet Willies. Signed by 5 Musketeers",</v>
      </c>
      <c r="V65" s="17" t="str">
        <f t="shared" si="27"/>
        <v>"../Images/5M_Final.png",</v>
      </c>
      <c r="W65" s="17" t="str">
        <f t="shared" si="27"/>
        <v>"../Images/Players/Willie.png",</v>
      </c>
    </row>
    <row r="66" spans="2:23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0.5</v>
      </c>
      <c r="E66" s="17">
        <f>E19</f>
        <v>6</v>
      </c>
      <c r="F66" s="17">
        <f>ROUND(F19,2)</f>
        <v>0.33</v>
      </c>
      <c r="G66" s="17">
        <f>G19</f>
        <v>4</v>
      </c>
      <c r="H66" s="17">
        <f>ROUND(H19,2)</f>
        <v>0</v>
      </c>
      <c r="I66" s="17">
        <f>I19</f>
        <v>0</v>
      </c>
      <c r="J66" s="17">
        <f>ROUND(J19,2)</f>
        <v>0.08</v>
      </c>
      <c r="K66" s="17">
        <f>K19</f>
        <v>1</v>
      </c>
      <c r="L66" s="17">
        <f>L19</f>
        <v>6</v>
      </c>
      <c r="M66" s="17" t="str">
        <f t="shared" ref="M66:W66" si="28">CHAR(34)&amp;M19&amp;CHAR(34)</f>
        <v>"All-2nd-Defence Team T2"</v>
      </c>
      <c r="N66" s="17" t="str">
        <f t="shared" si="28"/>
        <v>"Champion T2"</v>
      </c>
      <c r="O66" s="17" t="str">
        <f t="shared" si="28"/>
        <v>""</v>
      </c>
      <c r="P66" s="17" t="str">
        <f t="shared" si="28"/>
        <v>""</v>
      </c>
      <c r="Q66" s="17" t="str">
        <f t="shared" si="28"/>
        <v>""</v>
      </c>
      <c r="R66" s="17" t="str">
        <f t="shared" si="28"/>
        <v>""</v>
      </c>
      <c r="S66" s="17" t="str">
        <f t="shared" si="28"/>
        <v>""</v>
      </c>
      <c r="T66" s="17" t="str">
        <f t="shared" si="28"/>
        <v>""</v>
      </c>
      <c r="U66" s="17" t="str">
        <f t="shared" si="28"/>
        <v>"Drafted by 5 Musketeers. Traded to Wet Willies"</v>
      </c>
      <c r="V66" s="17" t="str">
        <f t="shared" si="28"/>
        <v>"../Images/WW_Final.png"</v>
      </c>
      <c r="W66" s="17" t="str">
        <f t="shared" si="28"/>
        <v>"../Images/Players/Mitch.png"</v>
      </c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9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3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D223-B3A8-49CE-B54B-366B6423D700}">
  <dimension ref="B1:AF1000"/>
  <sheetViews>
    <sheetView zoomScale="79" workbookViewId="0">
      <selection activeCell="C14" activeCellId="2" sqref="C4:E4 C9:E11 C14:E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2</v>
      </c>
      <c r="M3" s="11">
        <f>COUNTIF(D3:D40, "Loose Gooses")</f>
        <v>5</v>
      </c>
      <c r="N3" s="10">
        <f>L3/(L3+M3)</f>
        <v>0.2857142857142857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7</v>
      </c>
      <c r="M4" s="11">
        <f>COUNTIF(D3:D40, "5 Musketeers")</f>
        <v>3</v>
      </c>
      <c r="N4" s="10">
        <f t="shared" ref="N4:N5" si="4">L4/(L4+M4)</f>
        <v>0.7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61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50</v>
      </c>
      <c r="F10" s="25" t="s">
        <v>204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3</v>
      </c>
      <c r="S10" s="9">
        <f t="shared" si="1"/>
        <v>1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50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44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3</v>
      </c>
      <c r="S12" s="9">
        <f t="shared" si="1"/>
        <v>1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44</v>
      </c>
      <c r="F13" s="25" t="s">
        <v>205</v>
      </c>
      <c r="G13" s="25">
        <v>2</v>
      </c>
      <c r="H13" s="25">
        <v>3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31</v>
      </c>
      <c r="E14" s="25" t="s">
        <v>30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5M/WW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2</v>
      </c>
      <c r="H15" s="25">
        <v>4</v>
      </c>
      <c r="I15" s="25">
        <v>2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30</v>
      </c>
      <c r="F16" s="25" t="s">
        <v>204</v>
      </c>
      <c r="G16" s="25">
        <v>3</v>
      </c>
      <c r="H16" s="25">
        <v>2</v>
      </c>
      <c r="I16" s="25">
        <v>3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Table6316[[#This Row],[Finishes]]+Table6316[[#This Row],[Midranges]]+Table6316[[#This Row],[Threes]]+Table6316[[#This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Table6316[[#This Row],[Finishes]]+Table6316[[#This Row],[Midranges]]+Table6316[[#This Row],[Threes]]+Table6316[[#This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Table6316[[#This Row],[Finishes]]+Table6316[[#This Row],[Midranges]]+Table6316[[#This Row],[Threes]]+Table6316[[#This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Table6316[[#This Row],[Finishes]]+Table6316[[#This Row],[Midranges]]+Table6316[[#This Row],[Threes]]+Table6316[[#This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Table6316[[#This Row],[Finishes]]+Table6316[[#This Row],[Midranges]]+Table6316[[#This Row],[Threes]]+Table6316[[#This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Table6316[[#This Row],[Finishes]]+Table6316[[#This Row],[Midranges]]+Table6316[[#This Row],[Threes]]+Table6316[[#This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3,</v>
      </c>
      <c r="S30" s="16" t="str">
        <f t="shared" si="9"/>
        <v>1,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Table6316[[#This Row],[Finishes]]+Table6316[[#This Row],[Midranges]]+Table6316[[#This Row],[Threes]]+Table6316[[#This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Table6316[[#This Row],[Finishes]]+Table6316[[#This Row],[Midranges]]+Table6316[[#This Row],[Threes]]+Table6316[[#This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1,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Table6316[[#This Row],[Finishes]]+Table6316[[#This Row],[Midranges]]+Table6316[[#This Row],[Threes]]+Table6316[[#This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Table6316[[#This Row],[Finishes]]+Table6316[[#This Row],[Midranges]]+Table6316[[#This Row],[Threes]]+Table6316[[#This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Table6316[[#This Row],[Finishes]]+Table6316[[#This Row],[Midranges]]+Table6316[[#This Row],[Threes]]+Table6316[[#This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0,</v>
      </c>
      <c r="T35" s="16" t="str">
        <f t="shared" si="9"/>
        <v>0,</v>
      </c>
      <c r="U35" s="16" t="str">
        <f t="shared" si="9"/>
        <v>1,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Table6316[[#This Row],[Finishes]]+Table6316[[#This Row],[Midranges]]+Table6316[[#This Row],[Threes]]+Table6316[[#This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"Date":["14-August"],</v>
      </c>
    </row>
    <row r="45" spans="2:32" ht="14.25" customHeight="1" x14ac:dyDescent="0.45">
      <c r="B45" s="74" t="str">
        <f>C2</f>
        <v>14-August</v>
      </c>
      <c r="C45" s="16">
        <f>MAX(L3:L5)</f>
        <v>7</v>
      </c>
      <c r="D45" s="16">
        <f>COUNT(B4:B42)-C45-E45</f>
        <v>4</v>
      </c>
      <c r="E45" s="16">
        <f>MIN(L3:L5)</f>
        <v>2</v>
      </c>
      <c r="F45" s="16">
        <f>L3</f>
        <v>2</v>
      </c>
      <c r="G45" s="16">
        <f>COUNTIF(Y4:Y39, "WW/LG")</f>
        <v>2</v>
      </c>
      <c r="H45" s="16">
        <f>COUNTIF(Z4:Z39, "5M/LG")</f>
        <v>3</v>
      </c>
      <c r="I45" s="16">
        <f>L5</f>
        <v>4</v>
      </c>
      <c r="J45" s="16">
        <f>COUNTIF(X4:X39, "LG/WW")</f>
        <v>1</v>
      </c>
      <c r="K45" s="16">
        <f>COUNTIF(Z4:Z39, "5M/WW")</f>
        <v>4</v>
      </c>
      <c r="L45" s="16">
        <f>L4</f>
        <v>7</v>
      </c>
      <c r="M45" s="16">
        <f>COUNTIF(X4:X39, "LG/5M")</f>
        <v>1</v>
      </c>
      <c r="N45" s="16">
        <f>COUNTIF(Y4:Y39, "WW/5M")</f>
        <v>2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"Points":[0,0,4,0,1,0,0,3,1,3,0,"Did not Play",2,0,1,0,0],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"Finishes":[0,0,4,0,1,0,0,1,0,1,0,"Did not Play",0,0,1,0,0],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"ThreePointers":[0,0,0,0,0,0,0,1,0,0,0,"Did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C0BB-B4E8-4049-9F6C-BFC0658E2C7F}">
  <dimension ref="B1:AF1000"/>
  <sheetViews>
    <sheetView zoomScale="79" workbookViewId="0">
      <selection activeCell="C21" activeCellId="3" sqref="C7:D10 C17:D18 D16 C21:D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10</v>
      </c>
      <c r="M3" s="11">
        <f>COUNTIF(D3:D40, "Loose Gooses")</f>
        <v>6</v>
      </c>
      <c r="N3" s="10">
        <f>L3/(L3+M3)</f>
        <v>0.625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71">
        <v>1</v>
      </c>
      <c r="C4" s="171" t="s">
        <v>31</v>
      </c>
      <c r="D4" s="171" t="s">
        <v>26</v>
      </c>
      <c r="E4" s="171" t="s">
        <v>35</v>
      </c>
      <c r="F4" s="171" t="s">
        <v>204</v>
      </c>
      <c r="G4" s="171">
        <v>1</v>
      </c>
      <c r="H4" s="171">
        <v>1</v>
      </c>
      <c r="I4" s="171">
        <v>1</v>
      </c>
      <c r="K4" s="11" t="s">
        <v>110</v>
      </c>
      <c r="L4" s="11">
        <f>COUNTIF(C3:C40, "5 Musketeers")</f>
        <v>0</v>
      </c>
      <c r="M4" s="11">
        <f>COUNTIF(D3:D40, "5 Musketeers")</f>
        <v>11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71">
        <v>2</v>
      </c>
      <c r="C5" s="171" t="s">
        <v>31</v>
      </c>
      <c r="D5" s="171" t="s">
        <v>47</v>
      </c>
      <c r="E5" s="171" t="s">
        <v>44</v>
      </c>
      <c r="F5" s="171" t="s">
        <v>99</v>
      </c>
      <c r="G5" s="171">
        <v>2</v>
      </c>
      <c r="H5" s="171">
        <v>1</v>
      </c>
      <c r="I5" s="171">
        <v>1</v>
      </c>
      <c r="K5" s="11" t="s">
        <v>109</v>
      </c>
      <c r="L5" s="11">
        <f>COUNTIF(C3:C40, "Wet Willies")</f>
        <v>12</v>
      </c>
      <c r="M5" s="11">
        <f>COUNTIF(D3:D40, "Wet Willies")</f>
        <v>5</v>
      </c>
      <c r="N5" s="10">
        <f t="shared" si="4"/>
        <v>0.70588235294117652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71">
        <v>3</v>
      </c>
      <c r="C6" s="171" t="s">
        <v>31</v>
      </c>
      <c r="D6" s="171" t="s">
        <v>26</v>
      </c>
      <c r="E6" s="171" t="s">
        <v>35</v>
      </c>
      <c r="F6" s="171" t="s">
        <v>204</v>
      </c>
      <c r="G6" s="171">
        <v>3</v>
      </c>
      <c r="H6" s="171">
        <v>2</v>
      </c>
      <c r="I6" s="171">
        <v>1</v>
      </c>
      <c r="Q6" s="2" t="s">
        <v>35</v>
      </c>
      <c r="R6" s="8">
        <f t="shared" si="0"/>
        <v>6</v>
      </c>
      <c r="S6" s="9">
        <f t="shared" si="1"/>
        <v>6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5">
      <c r="B7" s="171">
        <v>4</v>
      </c>
      <c r="C7" s="171" t="s">
        <v>47</v>
      </c>
      <c r="D7" s="171" t="s">
        <v>31</v>
      </c>
      <c r="E7" s="171" t="s">
        <v>61</v>
      </c>
      <c r="F7" s="171" t="s">
        <v>204</v>
      </c>
      <c r="G7" s="171">
        <v>1</v>
      </c>
      <c r="H7" s="171">
        <v>1</v>
      </c>
      <c r="I7" s="171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5">
      <c r="B8" s="171">
        <v>5</v>
      </c>
      <c r="C8" s="171" t="s">
        <v>47</v>
      </c>
      <c r="D8" s="171" t="s">
        <v>26</v>
      </c>
      <c r="E8" s="171" t="s">
        <v>61</v>
      </c>
      <c r="F8" s="171" t="s">
        <v>204</v>
      </c>
      <c r="G8" s="171">
        <v>2</v>
      </c>
      <c r="H8" s="171">
        <v>3</v>
      </c>
      <c r="I8" s="171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5">
      <c r="B9" s="172">
        <v>6</v>
      </c>
      <c r="C9" s="172" t="s">
        <v>47</v>
      </c>
      <c r="D9" s="172" t="s">
        <v>31</v>
      </c>
      <c r="E9" s="172" t="s">
        <v>58</v>
      </c>
      <c r="F9" s="172" t="s">
        <v>204</v>
      </c>
      <c r="G9" s="172">
        <v>3</v>
      </c>
      <c r="H9" s="172">
        <v>2</v>
      </c>
      <c r="I9" s="172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ref="X9:X23" si="8">IF(AND(C11="Loose Gooses",D11="Wet Willies"),"LG/WW", IF(AND(C11="Loose Gooses",D11="5 Musketeers"),"LG/5M", ""))</f>
        <v/>
      </c>
      <c r="Y9" s="52" t="str">
        <f t="shared" ref="Y9:Y23" si="9">IF(AND(C11="Wet Willies",D11="Loose Gooses"),"WW/LG", IF(AND(C11="Wet Willies",D11="5 Musketeers"),"WW/5M", ""))</f>
        <v>WW/LG</v>
      </c>
      <c r="Z9" s="52" t="str">
        <f t="shared" ref="Z9:Z23" si="10">IF(AND(C11="5 Musketeers",D11="Loose Gooses"),"5M/LG", IF(AND($C11="5 Musketeers",$D11="Wet Willies"),"5M/WW", ""))</f>
        <v/>
      </c>
    </row>
    <row r="10" spans="2:31" ht="14.25" customHeight="1" x14ac:dyDescent="0.5">
      <c r="B10" s="172">
        <v>7</v>
      </c>
      <c r="C10" s="172" t="s">
        <v>47</v>
      </c>
      <c r="D10" s="172" t="s">
        <v>26</v>
      </c>
      <c r="E10" s="172" t="s">
        <v>61</v>
      </c>
      <c r="F10" s="172" t="s">
        <v>204</v>
      </c>
      <c r="G10" s="172">
        <v>4</v>
      </c>
      <c r="H10" s="172">
        <v>4</v>
      </c>
      <c r="I10" s="172">
        <v>1</v>
      </c>
      <c r="Q10" s="2" t="s">
        <v>44</v>
      </c>
      <c r="R10" s="8">
        <f t="shared" si="0"/>
        <v>3</v>
      </c>
      <c r="S10" s="9">
        <f t="shared" si="1"/>
        <v>0</v>
      </c>
      <c r="T10" s="9">
        <f t="shared" si="2"/>
        <v>1</v>
      </c>
      <c r="U10" s="9">
        <f t="shared" si="3"/>
        <v>1</v>
      </c>
      <c r="V10" s="26" t="b">
        <v>0</v>
      </c>
      <c r="X10" s="52" t="str">
        <f t="shared" si="8"/>
        <v/>
      </c>
      <c r="Y10" s="52" t="str">
        <f t="shared" si="9"/>
        <v>WW/5M</v>
      </c>
      <c r="Z10" s="52" t="str">
        <f t="shared" si="10"/>
        <v/>
      </c>
      <c r="AB10" s="2"/>
    </row>
    <row r="11" spans="2:31" ht="14.25" customHeight="1" x14ac:dyDescent="0.5">
      <c r="B11" s="172">
        <v>8</v>
      </c>
      <c r="C11" s="171" t="s">
        <v>31</v>
      </c>
      <c r="D11" s="171" t="s">
        <v>47</v>
      </c>
      <c r="E11" s="171" t="s">
        <v>35</v>
      </c>
      <c r="F11" s="171" t="s">
        <v>204</v>
      </c>
      <c r="G11" s="171">
        <v>1</v>
      </c>
      <c r="H11" s="171">
        <v>1</v>
      </c>
      <c r="I11" s="171">
        <v>1</v>
      </c>
      <c r="Q11" s="2" t="s">
        <v>46</v>
      </c>
      <c r="R11" s="8">
        <f t="shared" si="0"/>
        <v>5</v>
      </c>
      <c r="S11" s="9">
        <f t="shared" si="1"/>
        <v>2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8"/>
        <v/>
      </c>
      <c r="Y11" s="52" t="str">
        <f t="shared" si="9"/>
        <v>WW/LG</v>
      </c>
      <c r="Z11" s="52" t="str">
        <f t="shared" si="10"/>
        <v/>
      </c>
      <c r="AB11" s="2"/>
    </row>
    <row r="12" spans="2:31" ht="14.25" customHeight="1" x14ac:dyDescent="0.5">
      <c r="B12" s="172">
        <v>9</v>
      </c>
      <c r="C12" s="171" t="s">
        <v>31</v>
      </c>
      <c r="D12" s="171" t="s">
        <v>26</v>
      </c>
      <c r="E12" s="171" t="s">
        <v>52</v>
      </c>
      <c r="F12" s="171" t="s">
        <v>99</v>
      </c>
      <c r="G12" s="171">
        <v>2</v>
      </c>
      <c r="H12" s="171">
        <v>5</v>
      </c>
      <c r="I12" s="171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1</v>
      </c>
      <c r="X12" s="52" t="str">
        <f t="shared" si="8"/>
        <v/>
      </c>
      <c r="Y12" s="52" t="str">
        <f t="shared" si="9"/>
        <v>WW/5M</v>
      </c>
      <c r="Z12" s="52" t="str">
        <f t="shared" si="10"/>
        <v/>
      </c>
      <c r="AB12" s="2"/>
    </row>
    <row r="13" spans="2:31" ht="14.25" customHeight="1" x14ac:dyDescent="0.5">
      <c r="B13" s="172">
        <v>10</v>
      </c>
      <c r="C13" s="171" t="s">
        <v>31</v>
      </c>
      <c r="D13" s="171" t="s">
        <v>47</v>
      </c>
      <c r="E13" s="171" t="s">
        <v>44</v>
      </c>
      <c r="F13" s="171" t="s">
        <v>205</v>
      </c>
      <c r="G13" s="171">
        <v>3</v>
      </c>
      <c r="H13" s="171">
        <v>2</v>
      </c>
      <c r="I13" s="171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8"/>
        <v/>
      </c>
      <c r="Y13" s="52" t="str">
        <f t="shared" si="9"/>
        <v>WW/LG</v>
      </c>
      <c r="Z13" s="52" t="str">
        <f t="shared" si="10"/>
        <v/>
      </c>
      <c r="AB13" s="2"/>
    </row>
    <row r="14" spans="2:31" ht="14.25" customHeight="1" x14ac:dyDescent="0.5">
      <c r="B14" s="172">
        <v>11</v>
      </c>
      <c r="C14" s="171" t="s">
        <v>31</v>
      </c>
      <c r="D14" s="171" t="s">
        <v>26</v>
      </c>
      <c r="E14" s="171" t="s">
        <v>35</v>
      </c>
      <c r="F14" s="171" t="s">
        <v>204</v>
      </c>
      <c r="G14" s="171">
        <v>4</v>
      </c>
      <c r="H14" s="171">
        <v>6</v>
      </c>
      <c r="I14" s="171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8"/>
        <v/>
      </c>
      <c r="Y14" s="52" t="str">
        <f t="shared" si="9"/>
        <v>WW/5M</v>
      </c>
      <c r="Z14" s="52" t="str">
        <f t="shared" si="10"/>
        <v/>
      </c>
      <c r="AB14" s="2"/>
    </row>
    <row r="15" spans="2:31" ht="14.25" customHeight="1" x14ac:dyDescent="0.5">
      <c r="B15" s="172">
        <v>12</v>
      </c>
      <c r="C15" s="171" t="s">
        <v>31</v>
      </c>
      <c r="D15" s="171" t="s">
        <v>47</v>
      </c>
      <c r="E15" s="171" t="s">
        <v>35</v>
      </c>
      <c r="F15" s="171" t="s">
        <v>204</v>
      </c>
      <c r="G15" s="171">
        <v>5</v>
      </c>
      <c r="H15" s="171">
        <v>3</v>
      </c>
      <c r="I15" s="171">
        <v>2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8"/>
        <v>LG/WW</v>
      </c>
      <c r="Y15" s="52" t="str">
        <f t="shared" si="9"/>
        <v/>
      </c>
      <c r="Z15" s="52" t="str">
        <f t="shared" si="10"/>
        <v/>
      </c>
      <c r="AB15" s="2"/>
    </row>
    <row r="16" spans="2:31" ht="14.25" customHeight="1" x14ac:dyDescent="0.5">
      <c r="B16" s="172">
        <v>13</v>
      </c>
      <c r="C16" s="171" t="s">
        <v>31</v>
      </c>
      <c r="D16" s="171" t="s">
        <v>26</v>
      </c>
      <c r="E16" s="171" t="s">
        <v>55</v>
      </c>
      <c r="F16" s="171" t="s">
        <v>204</v>
      </c>
      <c r="G16" s="171">
        <v>6</v>
      </c>
      <c r="H16" s="171">
        <v>7</v>
      </c>
      <c r="I16" s="171">
        <v>1</v>
      </c>
      <c r="Q16" s="2" t="s">
        <v>58</v>
      </c>
      <c r="R16" s="8">
        <f t="shared" si="0"/>
        <v>2</v>
      </c>
      <c r="S16" s="9">
        <f t="shared" si="1"/>
        <v>2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8"/>
        <v>LG/5M</v>
      </c>
      <c r="Y16" s="52" t="str">
        <f t="shared" si="9"/>
        <v/>
      </c>
      <c r="Z16" s="52" t="str">
        <f t="shared" si="10"/>
        <v/>
      </c>
      <c r="AB16" s="2"/>
    </row>
    <row r="17" spans="2:32" ht="14.25" customHeight="1" x14ac:dyDescent="0.5">
      <c r="B17" s="172">
        <v>14</v>
      </c>
      <c r="C17" s="171" t="s">
        <v>47</v>
      </c>
      <c r="D17" s="171" t="s">
        <v>31</v>
      </c>
      <c r="E17" s="171" t="s">
        <v>46</v>
      </c>
      <c r="F17" s="171" t="s">
        <v>204</v>
      </c>
      <c r="G17" s="171">
        <v>1</v>
      </c>
      <c r="H17" s="171">
        <v>1</v>
      </c>
      <c r="I17" s="171">
        <v>1</v>
      </c>
      <c r="Q17" s="2" t="s">
        <v>61</v>
      </c>
      <c r="R17" s="8">
        <f t="shared" si="0"/>
        <v>4</v>
      </c>
      <c r="S17" s="9">
        <f t="shared" si="1"/>
        <v>4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8"/>
        <v/>
      </c>
      <c r="Y17" s="52" t="str">
        <f t="shared" si="9"/>
        <v>WW/LG</v>
      </c>
      <c r="Z17" s="52" t="str">
        <f t="shared" si="10"/>
        <v/>
      </c>
      <c r="AB17" s="2"/>
    </row>
    <row r="18" spans="2:32" ht="14.25" customHeight="1" x14ac:dyDescent="0.5">
      <c r="B18" s="172">
        <v>15</v>
      </c>
      <c r="C18" s="171" t="s">
        <v>47</v>
      </c>
      <c r="D18" s="171" t="s">
        <v>26</v>
      </c>
      <c r="E18" s="171" t="s">
        <v>61</v>
      </c>
      <c r="F18" s="171" t="s">
        <v>204</v>
      </c>
      <c r="G18" s="171">
        <v>2</v>
      </c>
      <c r="H18" s="171">
        <v>8</v>
      </c>
      <c r="I18" s="171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>WW/5M</v>
      </c>
      <c r="Z18" s="52" t="str">
        <f t="shared" si="10"/>
        <v/>
      </c>
      <c r="AB18" s="2"/>
    </row>
    <row r="19" spans="2:32" ht="14.25" customHeight="1" x14ac:dyDescent="0.5">
      <c r="B19" s="172">
        <v>16</v>
      </c>
      <c r="C19" s="171" t="s">
        <v>31</v>
      </c>
      <c r="D19" s="171" t="s">
        <v>47</v>
      </c>
      <c r="E19" s="171" t="s">
        <v>35</v>
      </c>
      <c r="F19" s="171" t="s">
        <v>204</v>
      </c>
      <c r="G19" s="171">
        <v>1</v>
      </c>
      <c r="H19" s="171">
        <v>1</v>
      </c>
      <c r="I19" s="171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8"/>
        <v>LG/WW</v>
      </c>
      <c r="Y19" s="52" t="str">
        <f t="shared" si="9"/>
        <v/>
      </c>
      <c r="Z19" s="52" t="str">
        <f t="shared" si="10"/>
        <v/>
      </c>
    </row>
    <row r="20" spans="2:32" ht="14.25" customHeight="1" x14ac:dyDescent="0.5">
      <c r="B20" s="172">
        <v>17</v>
      </c>
      <c r="C20" s="171" t="s">
        <v>31</v>
      </c>
      <c r="D20" s="171" t="s">
        <v>26</v>
      </c>
      <c r="E20" s="171" t="s">
        <v>37</v>
      </c>
      <c r="F20" s="171" t="s">
        <v>205</v>
      </c>
      <c r="G20" s="171">
        <v>2</v>
      </c>
      <c r="H20" s="171">
        <v>9</v>
      </c>
      <c r="I20" s="171">
        <v>1</v>
      </c>
      <c r="X20" s="52" t="str">
        <f t="shared" si="8"/>
        <v>LG/5M</v>
      </c>
      <c r="Y20" s="52" t="str">
        <f t="shared" si="9"/>
        <v/>
      </c>
      <c r="Z20" s="52" t="str">
        <f t="shared" si="10"/>
        <v/>
      </c>
    </row>
    <row r="21" spans="2:32" ht="14.25" customHeight="1" x14ac:dyDescent="0.5">
      <c r="B21" s="172">
        <v>18</v>
      </c>
      <c r="C21" s="171" t="s">
        <v>47</v>
      </c>
      <c r="D21" s="171" t="s">
        <v>31</v>
      </c>
      <c r="E21" s="171" t="s">
        <v>46</v>
      </c>
      <c r="F21" s="171" t="s">
        <v>99</v>
      </c>
      <c r="G21" s="171">
        <v>1</v>
      </c>
      <c r="H21" s="171">
        <v>1</v>
      </c>
      <c r="I21" s="171">
        <v>1</v>
      </c>
      <c r="X21" s="52" t="str">
        <f t="shared" si="8"/>
        <v>LG/WW</v>
      </c>
      <c r="Y21" s="52" t="str">
        <f t="shared" si="9"/>
        <v/>
      </c>
      <c r="Z21" s="52" t="str">
        <f t="shared" si="10"/>
        <v/>
      </c>
    </row>
    <row r="22" spans="2:32" ht="14.25" customHeight="1" x14ac:dyDescent="0.5">
      <c r="B22" s="172">
        <v>19</v>
      </c>
      <c r="C22" s="171" t="s">
        <v>47</v>
      </c>
      <c r="D22" s="171" t="s">
        <v>26</v>
      </c>
      <c r="E22" s="171" t="s">
        <v>58</v>
      </c>
      <c r="F22" s="171" t="s">
        <v>204</v>
      </c>
      <c r="G22" s="171">
        <v>2</v>
      </c>
      <c r="H22" s="171">
        <v>10</v>
      </c>
      <c r="I22" s="171">
        <v>1</v>
      </c>
      <c r="X22" s="52" t="str">
        <f t="shared" si="8"/>
        <v>LG/5M</v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5">
      <c r="B23" s="172">
        <v>20</v>
      </c>
      <c r="C23" s="171" t="s">
        <v>47</v>
      </c>
      <c r="D23" s="171" t="s">
        <v>31</v>
      </c>
      <c r="E23" s="171" t="s">
        <v>46</v>
      </c>
      <c r="F23" s="171" t="s">
        <v>205</v>
      </c>
      <c r="G23" s="171">
        <v>3</v>
      </c>
      <c r="H23" s="171">
        <v>2</v>
      </c>
      <c r="I23" s="171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>WW/LG</v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72">
        <v>21</v>
      </c>
      <c r="C24" s="171" t="s">
        <v>47</v>
      </c>
      <c r="D24" s="171" t="s">
        <v>26</v>
      </c>
      <c r="E24" s="171" t="s">
        <v>46</v>
      </c>
      <c r="F24" s="171" t="s">
        <v>204</v>
      </c>
      <c r="G24" s="171">
        <v>4</v>
      </c>
      <c r="H24" s="171">
        <v>11</v>
      </c>
      <c r="I24" s="171">
        <v>2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e">
        <f>IF(AND(#REF!="Loose Gooses",#REF!="Wet Willies"),"LG/WW", IF(AND(#REF!="Loose Gooses",#REF!="5 Musketeers"),"LG/5M", ""))</f>
        <v>#REF!</v>
      </c>
      <c r="Y24" s="52" t="e">
        <f>IF(AND(#REF!="Wet Willies",#REF!="Loose Gooses"),"WW/LG", IF(AND(#REF!="Wet Willies",#REF!="5 Musketeers"),"WW/5M", ""))</f>
        <v>#REF!</v>
      </c>
      <c r="Z24" s="52" t="e">
        <f>IF(AND(#REF!="5 Musketeers",#REF!="Loose Gooses"),"5M/LG", IF(AND(#REF!="5 Musketeers",#REF!="Wet Willies"),"5M/WW", ""))</f>
        <v>#REF!</v>
      </c>
      <c r="AB24" s="158" t="s">
        <v>30</v>
      </c>
      <c r="AC24" s="165">
        <f>Table630[[#This Row],[Finishes]]+Table630[[#This Row],[Midranges]]+Table630[[#This Row],[Threes]]+Table630[[#This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72">
        <v>22</v>
      </c>
      <c r="C25" s="171" t="s">
        <v>31</v>
      </c>
      <c r="D25" s="171" t="s">
        <v>47</v>
      </c>
      <c r="E25" s="171" t="s">
        <v>37</v>
      </c>
      <c r="F25" s="171" t="s">
        <v>99</v>
      </c>
      <c r="G25" s="171">
        <v>1</v>
      </c>
      <c r="H25" s="171">
        <v>1</v>
      </c>
      <c r="I25" s="171">
        <v>1</v>
      </c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Table630[[#This Row],[Finishes]]+Table630[[#This Row],[Midranges]]+Table630[[#This Row],[Threes]]+Table630[[#This Row],[Threes]]</f>
        <v>3</v>
      </c>
      <c r="AD25" s="157">
        <f>COUNTIFS(D4:D35, "Loose Gooses", E$4:E$35,AB25,F$4:F$35,"Finish")</f>
        <v>3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6,</v>
      </c>
      <c r="S26" s="16" t="str">
        <f t="shared" si="12"/>
        <v>6,</v>
      </c>
      <c r="T26" s="16" t="str">
        <f t="shared" si="12"/>
        <v>0,</v>
      </c>
      <c r="U26" s="16" t="str">
        <f t="shared" si="12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Table630[[#This Row],[Finishes]]+Table630[[#This Row],[Midranges]]+Table630[[#This Row],[Threes]]+Table630[[#This Row],[Threes]]</f>
        <v>1</v>
      </c>
      <c r="AD26" s="156">
        <f>COUNTIFS(D4:D35, "Loose Gooses", E$4:E$35,AB26,F$4:F$35,"Finish")</f>
        <v>0</v>
      </c>
      <c r="AE26" s="156">
        <f>COUNTIFS(D4:D35, "Loose Gooses", E$4:E$35,AB26,F$4:F$35,"Midrange")</f>
        <v>1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Table630[[#This Row],[Finishes]]+Table630[[#This Row],[Midranges]]+Table630[[#This Row],[Threes]]+Table630[[#This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"Did not Play",</v>
      </c>
      <c r="S28" s="16" t="str">
        <f t="shared" si="12"/>
        <v>"Did not Play",</v>
      </c>
      <c r="T28" s="16" t="str">
        <f t="shared" si="12"/>
        <v>"Did not Play",</v>
      </c>
      <c r="U28" s="16" t="str">
        <f t="shared" si="12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Table630[[#This Row],[Finishes]]+Table630[[#This Row],[Midranges]]+Table630[[#This Row],[Threes]]+Table630[[#This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Table630[[#This Row],[Finishes]]+Table630[[#This Row],[Midranges]]+Table630[[#This Row],[Threes]]+Table630[[#This Row],[Threes]]</f>
        <v>3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3,</v>
      </c>
      <c r="S30" s="16" t="str">
        <f t="shared" si="12"/>
        <v>0,</v>
      </c>
      <c r="T30" s="16" t="str">
        <f t="shared" si="12"/>
        <v>1,</v>
      </c>
      <c r="U30" s="16" t="str">
        <f t="shared" si="12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Table630[[#This Row],[Finishes]]+Table630[[#This Row],[Midranges]]+Table630[[#This Row],[Threes]]+Table630[[#This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5,</v>
      </c>
      <c r="S31" s="16" t="str">
        <f t="shared" si="12"/>
        <v>2,</v>
      </c>
      <c r="T31" s="16" t="str">
        <f t="shared" si="12"/>
        <v>1,</v>
      </c>
      <c r="U31" s="16" t="str">
        <f t="shared" si="12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Table630[[#This Row],[Finishes]]+Table630[[#This Row],[Midranges]]+Table630[[#This Row],[Threes]]+Table630[[#This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"Did not Play",</v>
      </c>
      <c r="S32" s="16" t="str">
        <f t="shared" si="12"/>
        <v>"Did not Play",</v>
      </c>
      <c r="T32" s="16" t="str">
        <f t="shared" si="12"/>
        <v>"Did not Play",</v>
      </c>
      <c r="U32" s="16" t="str">
        <f t="shared" si="12"/>
        <v>"Did not Play",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Table630[[#This Row],[Finishes]]+Table630[[#This Row],[Midranges]]+Table630[[#This Row],[Threes]]+Table630[[#This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1,</v>
      </c>
      <c r="S33" s="16" t="str">
        <f t="shared" si="12"/>
        <v>0,</v>
      </c>
      <c r="T33" s="16" t="str">
        <f t="shared" si="12"/>
        <v>1,</v>
      </c>
      <c r="U33" s="16" t="str">
        <f t="shared" si="12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Table630[[#This Row],[Finishes]]+Table630[[#This Row],[Midranges]]+Table630[[#This Row],[Threes]]+Table630[[#This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Table630[[#This Row],[Finishes]]+Table630[[#This Row],[Midranges]]+Table630[[#This Row],[Threes]]+Table630[[#This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Table630[[#This Row],[Finishes]]+Table630[[#This Row],[Midranges]]+Table630[[#This Row],[Threes]]+Table630[[#This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2,</v>
      </c>
      <c r="S36" s="16" t="str">
        <f t="shared" si="12"/>
        <v>2,</v>
      </c>
      <c r="T36" s="16" t="str">
        <f t="shared" si="12"/>
        <v>0,</v>
      </c>
      <c r="U36" s="16" t="str">
        <f t="shared" si="12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12"/>
        <v>4,</v>
      </c>
      <c r="S37" s="16" t="str">
        <f t="shared" si="12"/>
        <v>4,</v>
      </c>
      <c r="T37" s="16" t="str">
        <f t="shared" si="12"/>
        <v>0,</v>
      </c>
      <c r="U37" s="16" t="str">
        <f t="shared" si="12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"Date":["10-August"],</v>
      </c>
    </row>
    <row r="45" spans="2:32" ht="14.25" customHeight="1" x14ac:dyDescent="0.45">
      <c r="B45" s="74" t="str">
        <f>C2</f>
        <v>10-August</v>
      </c>
      <c r="C45" s="16">
        <f>MAX(L3:L5)</f>
        <v>12</v>
      </c>
      <c r="D45" s="16">
        <f>COUNT(B4:B42)-C45-E45</f>
        <v>10</v>
      </c>
      <c r="E45" s="16">
        <f>MIN(L3:L5)</f>
        <v>0</v>
      </c>
      <c r="F45" s="16">
        <f>L3</f>
        <v>10</v>
      </c>
      <c r="G45" s="16">
        <f>COUNTIF(Y4:Y39, "WW/LG")</f>
        <v>6</v>
      </c>
      <c r="H45" s="16">
        <f>COUNTIF(Z4:Z39, "5M/LG")</f>
        <v>0</v>
      </c>
      <c r="I45" s="16">
        <f>L5</f>
        <v>12</v>
      </c>
      <c r="J45" s="16">
        <f>COUNTIF(X4:X39, "LG/WW")</f>
        <v>4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6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"Points":[0,0,"Did not Play",6,3,"Did not Play",0,3,5,"Did not Play",1,"Did not Play",1,2,4,0,"Did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"Finishes":[0,0,"Did not Play",6,0,"Did not Play",0,0,2,"Did not Play",0,"Did not Play",1,2,4,0,"Did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Play",0,1,"Did not Play",0,1,1,"Did not Play",1,"Did not Play",0,0,0,0,"Did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Play",0,1,"Did not Play",0,1,1,"Did not Play",0,"Did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80F9-6554-4900-82F2-5D8BCDE68FCB}">
  <dimension ref="B1:AF1000"/>
  <sheetViews>
    <sheetView topLeftCell="M1" zoomScale="79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50">
        <v>1</v>
      </c>
      <c r="C4" s="150" t="s">
        <v>26</v>
      </c>
      <c r="D4" s="150" t="s">
        <v>47</v>
      </c>
      <c r="E4" s="150" t="s">
        <v>30</v>
      </c>
      <c r="F4" s="150" t="s">
        <v>204</v>
      </c>
      <c r="G4" s="150">
        <v>1</v>
      </c>
      <c r="H4" s="150">
        <v>1</v>
      </c>
      <c r="I4" s="150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5">
      <c r="B5" s="150">
        <v>2</v>
      </c>
      <c r="C5" s="150" t="s">
        <v>26</v>
      </c>
      <c r="D5" s="150" t="s">
        <v>31</v>
      </c>
      <c r="E5" s="150" t="s">
        <v>30</v>
      </c>
      <c r="F5" s="150" t="s">
        <v>204</v>
      </c>
      <c r="G5" s="150">
        <v>2</v>
      </c>
      <c r="H5" s="150">
        <v>1</v>
      </c>
      <c r="I5" s="150">
        <v>2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IF(M5&lt;&gt;0,IF(AND(N5&gt;N4, N5&gt;N3), 3, IF(OR(N5&gt;N4, N5&gt;N3), 2, 1)),0)</f>
        <v>1</v>
      </c>
      <c r="Q5" s="2" t="s">
        <v>30</v>
      </c>
      <c r="R5" s="8">
        <f t="shared" si="0"/>
        <v>5</v>
      </c>
      <c r="S5" s="9">
        <f t="shared" si="1"/>
        <v>5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5">
      <c r="B6" s="150">
        <v>3</v>
      </c>
      <c r="C6" s="150" t="s">
        <v>26</v>
      </c>
      <c r="D6" s="150" t="s">
        <v>47</v>
      </c>
      <c r="E6" s="150" t="s">
        <v>50</v>
      </c>
      <c r="F6" s="150" t="s">
        <v>99</v>
      </c>
      <c r="G6" s="150">
        <v>3</v>
      </c>
      <c r="H6" s="150">
        <v>2</v>
      </c>
      <c r="I6" s="150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5">
      <c r="B7" s="150">
        <v>4</v>
      </c>
      <c r="C7" s="150" t="s">
        <v>26</v>
      </c>
      <c r="D7" s="150" t="s">
        <v>31</v>
      </c>
      <c r="E7" s="150" t="s">
        <v>30</v>
      </c>
      <c r="F7" s="150" t="s">
        <v>204</v>
      </c>
      <c r="G7" s="150">
        <v>4</v>
      </c>
      <c r="H7" s="150">
        <v>2</v>
      </c>
      <c r="I7" s="150">
        <v>1</v>
      </c>
      <c r="Q7" s="2" t="s">
        <v>37</v>
      </c>
      <c r="R7" s="8">
        <f t="shared" si="0"/>
        <v>2</v>
      </c>
      <c r="S7" s="9">
        <f t="shared" si="1"/>
        <v>2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5">
      <c r="B8" s="150">
        <v>5</v>
      </c>
      <c r="C8" s="150" t="s">
        <v>26</v>
      </c>
      <c r="D8" s="150" t="s">
        <v>47</v>
      </c>
      <c r="E8" s="150" t="s">
        <v>42</v>
      </c>
      <c r="F8" s="150" t="s">
        <v>204</v>
      </c>
      <c r="G8" s="150">
        <v>5</v>
      </c>
      <c r="H8" s="150">
        <v>3</v>
      </c>
      <c r="I8" s="150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5">
      <c r="B9" s="150">
        <v>6</v>
      </c>
      <c r="C9" s="150" t="s">
        <v>26</v>
      </c>
      <c r="D9" s="150" t="s">
        <v>31</v>
      </c>
      <c r="E9" s="150" t="s">
        <v>30</v>
      </c>
      <c r="F9" s="150" t="s">
        <v>204</v>
      </c>
      <c r="G9" s="150">
        <v>6</v>
      </c>
      <c r="H9" s="150">
        <v>3</v>
      </c>
      <c r="I9" s="150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5">
      <c r="B10" s="150">
        <v>7</v>
      </c>
      <c r="C10" s="150" t="s">
        <v>26</v>
      </c>
      <c r="D10" s="150" t="s">
        <v>47</v>
      </c>
      <c r="E10" s="150" t="s">
        <v>50</v>
      </c>
      <c r="F10" s="150" t="s">
        <v>99</v>
      </c>
      <c r="G10" s="150">
        <v>7</v>
      </c>
      <c r="H10" s="150">
        <v>4</v>
      </c>
      <c r="I10" s="150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5">
      <c r="B11" s="150">
        <v>8</v>
      </c>
      <c r="C11" s="150" t="s">
        <v>31</v>
      </c>
      <c r="D11" s="150" t="s">
        <v>26</v>
      </c>
      <c r="E11" s="150" t="s">
        <v>37</v>
      </c>
      <c r="F11" s="150" t="s">
        <v>204</v>
      </c>
      <c r="G11" s="150">
        <v>1</v>
      </c>
      <c r="H11" s="150">
        <v>1</v>
      </c>
      <c r="I11" s="150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5">
      <c r="B12" s="150">
        <v>9</v>
      </c>
      <c r="C12" s="150" t="s">
        <v>31</v>
      </c>
      <c r="D12" s="150" t="s">
        <v>47</v>
      </c>
      <c r="E12" s="150" t="s">
        <v>37</v>
      </c>
      <c r="F12" s="150" t="s">
        <v>204</v>
      </c>
      <c r="G12" s="150">
        <v>2</v>
      </c>
      <c r="H12" s="150">
        <v>5</v>
      </c>
      <c r="I12" s="150">
        <v>2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50">
        <v>10</v>
      </c>
      <c r="C13" s="150" t="s">
        <v>26</v>
      </c>
      <c r="D13" s="150" t="s">
        <v>31</v>
      </c>
      <c r="E13" s="150" t="s">
        <v>30</v>
      </c>
      <c r="F13" s="150" t="s">
        <v>204</v>
      </c>
      <c r="G13" s="150">
        <v>1</v>
      </c>
      <c r="H13" s="150">
        <v>1</v>
      </c>
      <c r="I13" s="150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50">
        <v>11</v>
      </c>
      <c r="C14" s="150" t="s">
        <v>47</v>
      </c>
      <c r="D14" s="150" t="s">
        <v>26</v>
      </c>
      <c r="E14" s="150" t="s">
        <v>46</v>
      </c>
      <c r="F14" s="150" t="s">
        <v>99</v>
      </c>
      <c r="G14" s="150">
        <v>1</v>
      </c>
      <c r="H14" s="150">
        <v>1</v>
      </c>
      <c r="I14" s="150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5">
      <c r="B15" s="150">
        <v>12</v>
      </c>
      <c r="C15" s="150" t="s">
        <v>47</v>
      </c>
      <c r="D15" s="150" t="s">
        <v>31</v>
      </c>
      <c r="E15" s="150" t="s">
        <v>61</v>
      </c>
      <c r="F15" s="150" t="s">
        <v>99</v>
      </c>
      <c r="G15" s="150">
        <v>2</v>
      </c>
      <c r="H15" s="150">
        <v>2</v>
      </c>
      <c r="I15" s="150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5">
      <c r="B16" s="150">
        <v>13</v>
      </c>
      <c r="C16" s="150" t="s">
        <v>47</v>
      </c>
      <c r="D16" s="150" t="s">
        <v>26</v>
      </c>
      <c r="E16" s="150" t="s">
        <v>61</v>
      </c>
      <c r="F16" s="150" t="s">
        <v>205</v>
      </c>
      <c r="G16" s="150">
        <v>3</v>
      </c>
      <c r="H16" s="150">
        <v>2</v>
      </c>
      <c r="I16" s="150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3</v>
      </c>
      <c r="S17" s="9">
        <f t="shared" si="1"/>
        <v>0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Table629[[#This Row],[Finishes]]+Table629[[#This Row],[Midranges]]+Table629[[#This Row],[Threes]]+Table629[[#This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5,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Table629[[#This Row],[Finishes]]+Table629[[#This Row],[Midranges]]+Table629[[#This Row],[Threes]]+Table629[[#This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Table629[[#This Row],[Finishes]]+Table629[[#This Row],[Midranges]]+Table629[[#This Row],[Threes]]+Table629[[#This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2,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Table629[[#This Row],[Finishes]]+Table629[[#This Row],[Midranges]]+Table629[[#This Row],[Threes]]+Table629[[#This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Table629[[#This Row],[Finishes]]+Table629[[#This Row],[Midranges]]+Table629[[#This Row],[Threes]]+Table629[[#This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Table629[[#This Row],[Finishes]]+Table629[[#This Row],[Midranges]]+Table629[[#This Row],[Threes]]+Table629[[#This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Table629[[#This Row],[Finishes]]+Table629[[#This Row],[Midranges]]+Table629[[#This Row],[Threes]]+Table629[[#This Row],[Threes]]</f>
        <v>2</v>
      </c>
      <c r="AD30" s="156">
        <f>COUNTIFS(D4:D35, "Loose Gooses", E$4:E$35,AB30,F$4:F$35,"Finish")</f>
        <v>0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Table629[[#This Row],[Finishes]]+Table629[[#This Row],[Midranges]]+Table629[[#This Row],[Threes]]+Table629[[#This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Table629[[#This Row],[Finishes]]+Table629[[#This Row],[Midranges]]+Table629[[#This Row],[Threes]]+Table629[[#This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Table629[[#This Row],[Finishes]]+Table629[[#This Row],[Midranges]]+Table629[[#This Row],[Threes]]+Table629[[#This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Table629[[#This Row],[Finishes]]+Table629[[#This Row],[Midranges]]+Table629[[#This Row],[Threes]]+Table629[[#This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Table629[[#This Row],[Finishes]]+Table629[[#This Row],[Midranges]]+Table629[[#This Row],[Threes]]+Table629[[#This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0,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"Date":["9-August"],</v>
      </c>
    </row>
    <row r="45" spans="2:32" ht="14.25" customHeight="1" x14ac:dyDescent="0.45">
      <c r="B45" s="74" t="str">
        <f>C2</f>
        <v>9-August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2</v>
      </c>
      <c r="J45" s="16">
        <f>COUNTIF(X4:X39, "LG/WW")</f>
        <v>1</v>
      </c>
      <c r="K45" s="16">
        <f>COUNTIF(Z4:Z39, "5M/WW")</f>
        <v>4</v>
      </c>
      <c r="L45" s="16">
        <f>L4</f>
        <v>8</v>
      </c>
      <c r="M45" s="16">
        <f>COUNTIF(X4:X39, "LG/5M")</f>
        <v>2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"Points":[0,0,5,0,2,1,0,0,1,2,0,"Did not Play",0,0,3,0,0],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"Finishes":[0,0,5,0,2,1,0,0,0,0,0,"Did not Play",0,0,0,0,0],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C83F-FB14-4B8C-9C66-67F1E18A22A6}">
  <dimension ref="B1:AF1000"/>
  <sheetViews>
    <sheetView zoomScale="70" zoomScaleNormal="70" workbookViewId="0">
      <selection activeCell="Q11" sqref="Q1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9</v>
      </c>
      <c r="N3" s="10">
        <f>L3/(L3+M3)</f>
        <v>0.1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47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17</v>
      </c>
      <c r="M4" s="11">
        <f>COUNTIF(D3:D40, "5 Musketeers")</f>
        <v>1</v>
      </c>
      <c r="N4" s="10">
        <f t="shared" ref="N4:N5" si="4">L4/(L4+M4)</f>
        <v>0.94444444444444442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31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9</v>
      </c>
      <c r="N5" s="10">
        <f t="shared" si="4"/>
        <v>0.1</v>
      </c>
      <c r="O5" s="11"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99</v>
      </c>
      <c r="G7" s="25">
        <v>4</v>
      </c>
      <c r="H7" s="25">
        <v>2</v>
      </c>
      <c r="I7" s="25">
        <v>2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99</v>
      </c>
      <c r="G8" s="25">
        <v>5</v>
      </c>
      <c r="H8" s="25">
        <v>3</v>
      </c>
      <c r="I8" s="25">
        <v>3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6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7</v>
      </c>
      <c r="H10" s="25">
        <v>4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42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12</v>
      </c>
      <c r="S12" s="9">
        <f t="shared" si="1"/>
        <v>2</v>
      </c>
      <c r="T12" s="9">
        <f t="shared" si="2"/>
        <v>8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10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50</v>
      </c>
      <c r="F14" s="25" t="s">
        <v>204</v>
      </c>
      <c r="G14" s="25">
        <v>11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50</v>
      </c>
      <c r="F15" s="25" t="s">
        <v>205</v>
      </c>
      <c r="G15" s="25">
        <v>12</v>
      </c>
      <c r="H15" s="25">
        <v>6</v>
      </c>
      <c r="I15" s="25">
        <v>3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58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31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32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50</v>
      </c>
      <c r="F20" s="25" t="s">
        <v>99</v>
      </c>
      <c r="G20" s="25">
        <v>3</v>
      </c>
      <c r="H20" s="25">
        <v>2</v>
      </c>
      <c r="I20" s="25">
        <v>2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42</v>
      </c>
      <c r="F21" s="25" t="s">
        <v>204</v>
      </c>
      <c r="G21" s="25">
        <v>4</v>
      </c>
      <c r="H21" s="25">
        <v>3</v>
      </c>
      <c r="I21" s="25">
        <v>3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30</v>
      </c>
      <c r="F22" s="25" t="s">
        <v>204</v>
      </c>
      <c r="G22" s="25">
        <v>5</v>
      </c>
      <c r="H22" s="25">
        <v>3</v>
      </c>
      <c r="I22" s="25">
        <v>1</v>
      </c>
      <c r="X22" s="52" t="str">
        <f t="shared" si="5"/>
        <v/>
      </c>
      <c r="Y22" s="52" t="str">
        <f t="shared" si="6"/>
        <v/>
      </c>
      <c r="Z22" s="52" t="str">
        <f t="shared" si="7"/>
        <v>5M/WW</v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Table622[[#This Row],[Finishes]]+Table622[[#This Row],[Midranges]]+Table622[[#This Row],[Threes]]+Table622[[#This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Table622[[#This Row],[Finishes]]+Table622[[#This Row],[Midranges]]+Table622[[#This Row],[Threes]]+Table622[[#This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Table622[[#This Row],[Finishes]]+Table622[[#This Row],[Midranges]]+Table622[[#This Row],[Threes]]+Table622[[#This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Table622[[#This Row],[Finishes]]+Table622[[#This Row],[Midranges]]+Table622[[#This Row],[Threes]]+Table622[[#This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Table622[[#This Row],[Finishes]]+Table622[[#This Row],[Midranges]]+Table622[[#This Row],[Threes]]+Table622[[#This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Table622[[#This Row],[Finishes]]+Table622[[#This Row],[Midranges]]+Table622[[#This Row],[Threes]]+Table622[[#This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Table622[[#This Row],[Finishes]]+Table622[[#This Row],[Midranges]]+Table622[[#This Row],[Threes]]+Table622[[#This Row],[Threes]]</f>
        <v>6</v>
      </c>
      <c r="AD30" s="156">
        <f>COUNTIFS(D4:D35, "Loose Gooses", E$4:E$35,AB30,F$4:F$35,"Finish")</f>
        <v>2</v>
      </c>
      <c r="AE30" s="156">
        <f>COUNTIFS(D4:D35, "Loose Gooses", E$4:E$35,AB30,F$4:F$35,"Midrange")</f>
        <v>4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Table622[[#This Row],[Finishes]]+Table622[[#This Row],[Midranges]]+Table622[[#This Row],[Threes]]+Table622[[#This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12,</v>
      </c>
      <c r="S32" s="16" t="str">
        <f t="shared" si="9"/>
        <v>2,</v>
      </c>
      <c r="T32" s="16" t="str">
        <f t="shared" si="9"/>
        <v>8,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Table622[[#This Row],[Finishes]]+Table622[[#This Row],[Midranges]]+Table622[[#This Row],[Threes]]+Table622[[#This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Table622[[#This Row],[Finishes]]+Table622[[#This Row],[Midranges]]+Table622[[#This Row],[Threes]]+Table622[[#This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Table622[[#This Row],[Finishes]]+Table622[[#This Row],[Midranges]]+Table622[[#This Row],[Threes]]+Table622[[#This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Table622[[#This Row],[Finishes]]+Table622[[#This Row],[Midranges]]+Table622[[#This Row],[Threes]]+Table622[[#This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"Date":["8-August"],</v>
      </c>
    </row>
    <row r="45" spans="2:32" ht="14.25" customHeight="1" x14ac:dyDescent="0.45">
      <c r="B45" s="74" t="str">
        <f>C2</f>
        <v>8-August</v>
      </c>
      <c r="C45" s="16">
        <f>MAX(L3:L5)</f>
        <v>17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1</v>
      </c>
      <c r="H45" s="16">
        <f>COUNTIF(Z4:Z39, "5M/LG")</f>
        <v>8</v>
      </c>
      <c r="I45" s="16">
        <f>L5</f>
        <v>1</v>
      </c>
      <c r="J45" s="16">
        <f>COUNTIF(X4:X39, "LG/WW")</f>
        <v>0</v>
      </c>
      <c r="K45" s="16">
        <f>COUNTIF(Z4:Z39, "5M/WW")</f>
        <v>9</v>
      </c>
      <c r="L45" s="16">
        <f>L4</f>
        <v>17</v>
      </c>
      <c r="M45" s="16">
        <f>COUNTIF(X4:X39, "LG/5M")</f>
        <v>1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"Points":[0,0,4,1,0,2,0,0,"Did not Play",12,0,"Did not Play","Did not Play",1,0,0,0],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"Finishes":[0,0,4,1,0,2,0,0,"Did not Play",2,0,"Did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"Midrange":[0,0,0,0,0,0,0,0,"Did not Play",8,0,"Did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"ThreePointers":[0,0,0,0,0,0,0,0,"Did not Play",1,0,"Did not Play","Did not Play",0,0,0,0]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976-BE5C-45FA-A6E6-5EC30A423A37}">
  <dimension ref="B1:AF1000"/>
  <sheetViews>
    <sheetView topLeftCell="G7" zoomScale="79" workbookViewId="0">
      <selection activeCell="AD29" sqref="AD2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7</v>
      </c>
      <c r="M3" s="11">
        <f>COUNTIF(D3:D40, "Loose Gooses")</f>
        <v>2</v>
      </c>
      <c r="N3" s="10">
        <f>L3/(L3+M3)</f>
        <v>0.77777777777777779</v>
      </c>
      <c r="O3" s="11">
        <f>IF(M3&lt;&gt;0,IF(AND(N3&gt;N4,N3&gt;N5),3,IF(OR(N3&gt;N4,N3&gt;N5),2,1)),0)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28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5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3</v>
      </c>
      <c r="N5" s="10">
        <f t="shared" si="4"/>
        <v>0.5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28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61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204</v>
      </c>
      <c r="G8" s="25">
        <v>5</v>
      </c>
      <c r="H8" s="25">
        <v>3</v>
      </c>
      <c r="I8" s="25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58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61</v>
      </c>
      <c r="F10" s="25" t="s">
        <v>205</v>
      </c>
      <c r="G10" s="25">
        <v>7</v>
      </c>
      <c r="H10" s="25">
        <v>4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67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55</v>
      </c>
      <c r="F12" s="25" t="s">
        <v>204</v>
      </c>
      <c r="G12" s="25">
        <v>2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37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0</v>
      </c>
      <c r="U17" s="9">
        <f t="shared" si="3"/>
        <v>2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Table621[[#This Row],[Finishes]]+Table621[[#This Row],[Midranges]]+Table621[[#This Row],[Threes]]+Table621[[#This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Table621[[#This Row],[Finishes]]+Table621[[#This Row],[Midranges]]+Table621[[#This Row],[Threes]]+Table621[[#This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Table621[[#This Row],[Finishes]]+Table621[[#This Row],[Midranges]]+Table621[[#This Row],[Threes]]+Table621[[#This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Table621[[#This Row],[Finishes]]+Table621[[#This Row],[Midranges]]+Table621[[#This Row],[Threes]]+Table621[[#This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Table621[[#This Row],[Finishes]]+Table621[[#This Row],[Midranges]]+Table621[[#This Row],[Threes]]+Table621[[#This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Table621[[#This Row],[Finishes]]+Table621[[#This Row],[Midranges]]+Table621[[#This Row],[Threes]]+Table621[[#This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Table621[[#This Row],[Finishes]]+Table621[[#This Row],[Midranges]]+Table621[[#This Row],[Threes]]+Table621[[#This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Table621[[#This Row],[Finishes]]+Table621[[#This Row],[Midranges]]+Table621[[#This Row],[Threes]]+Table621[[#This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Table621[[#This Row],[Finishes]]+Table621[[#This Row],[Midranges]]+Table621[[#This Row],[Threes]]+Table621[[#This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Table621[[#This Row],[Finishes]]+Table621[[#This Row],[Midranges]]+Table621[[#This Row],[Threes]]+Table621[[#This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Table621[[#This Row],[Finishes]]+Table621[[#This Row],[Midranges]]+Table621[[#This Row],[Threes]]+Table621[[#This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Table621[[#This Row],[Finishes]]+Table621[[#This Row],[Midranges]]+Table621[[#This Row],[Threes]]+Table621[[#This Row],[Threes]]</f>
        <v>1</v>
      </c>
      <c r="AD35" s="161">
        <f>COUNTIFS(D4:D35, "Loose Gooses", E$4:E$35,AB35,F$4:F$35,"Finish")</f>
        <v>1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0,</v>
      </c>
      <c r="U37" s="16" t="str">
        <f t="shared" si="9"/>
        <v>2,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"Date":["3-August"],</v>
      </c>
    </row>
    <row r="45" spans="2:32" ht="14.25" customHeight="1" x14ac:dyDescent="0.45">
      <c r="B45" s="74" t="str">
        <f>C2</f>
        <v>3-August</v>
      </c>
      <c r="C45" s="16">
        <f>MAX(L3:L5)</f>
        <v>7</v>
      </c>
      <c r="D45" s="16">
        <f>COUNT(B4:B42)-C45-E45</f>
        <v>3</v>
      </c>
      <c r="E45" s="16">
        <f>MIN(L3:L5)</f>
        <v>0</v>
      </c>
      <c r="F45" s="16">
        <f>L3</f>
        <v>7</v>
      </c>
      <c r="G45" s="16">
        <f>COUNTIF(Y4:Y39, "WW/LG")</f>
        <v>2</v>
      </c>
      <c r="H45" s="16">
        <f>COUNTIF(Z4:Z39, "5M/LG")</f>
        <v>0</v>
      </c>
      <c r="I45" s="16">
        <f>L5</f>
        <v>3</v>
      </c>
      <c r="J45" s="16">
        <f>COUNTIF(X4:X39, "LG/WW")</f>
        <v>3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1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Play",1,"Did not Play",0,0,"Did not Play",0,0,"Did not Play",1,1,6,0,1],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Play",1,"Did not Play",0,0,"Did not Play",0,0,"Did not Play",1,1,2,0,1],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Play",0,0,"Did not Play",0,0,"Did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Play",0,0,"Did not Play",0,0,2,0,0]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F1000"/>
  <sheetViews>
    <sheetView topLeftCell="E1" zoomScale="70" zoomScaleNormal="70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204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204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204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  <c r="AB22" s="16" t="s">
        <v>282</v>
      </c>
    </row>
    <row r="23" spans="2:32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204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  <c r="AB24" s="158" t="s">
        <v>30</v>
      </c>
      <c r="AC24" s="165">
        <f>Table620[[#This Row],[Finishes]]+Table620[[#This Row],[Midranges]]+Table620[[#This Row],[Threes]]+Table620[[#This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Table620[[#This Row],[Finishes]]+Table620[[#This Row],[Midranges]]+Table620[[#This Row],[Threes]]+Table620[[#This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205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  <c r="AB26" s="158" t="s">
        <v>37</v>
      </c>
      <c r="AC26" s="165">
        <f>Table620[[#This Row],[Finishes]]+Table620[[#This Row],[Midranges]]+Table620[[#This Row],[Threes]]+Table620[[#This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204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  <c r="AB27" s="159" t="s">
        <v>42</v>
      </c>
      <c r="AC27" s="166">
        <f>Table620[[#This Row],[Finishes]]+Table620[[#This Row],[Midranges]]+Table620[[#This Row],[Threes]]+Table620[[#This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204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  <c r="AB28" s="158" t="s">
        <v>115</v>
      </c>
      <c r="AC28" s="165">
        <f>Table620[[#This Row],[Finishes]]+Table620[[#This Row],[Midranges]]+Table620[[#This Row],[Threes]]+Table620[[#This Row],[Threes]]</f>
        <v>1</v>
      </c>
      <c r="AD28" s="156">
        <f>COUNTIFS(D4:D35, "Loose Gooses", E$4:E$35,AB28,F$4:F$35,"Finish")</f>
        <v>0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0</v>
      </c>
    </row>
    <row r="29" spans="2:32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205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  <c r="AB29" s="159" t="s">
        <v>44</v>
      </c>
      <c r="AC29" s="166">
        <f>Table620[[#This Row],[Finishes]]+Table620[[#This Row],[Midranges]]+Table620[[#This Row],[Threes]]+Table620[[#This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  <c r="AB30" s="158" t="s">
        <v>50</v>
      </c>
      <c r="AC30" s="165">
        <f>Table620[[#This Row],[Finishes]]+Table620[[#This Row],[Midranges]]+Table620[[#This Row],[Threes]]+Table620[[#This Row],[Threes]]</f>
        <v>3</v>
      </c>
      <c r="AD30" s="156">
        <f>COUNTIFS(D4:D35, "Loose Gooses", E$4:E$35,AB30,F$4:F$35,"Finish")</f>
        <v>1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  <c r="AB31" s="159" t="s">
        <v>52</v>
      </c>
      <c r="AC31" s="166">
        <f>Table620[[#This Row],[Finishes]]+Table620[[#This Row],[Midranges]]+Table620[[#This Row],[Threes]]+Table620[[#This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  <c r="AB32" s="158" t="s">
        <v>200</v>
      </c>
      <c r="AC32" s="165">
        <f>Table620[[#This Row],[Finishes]]+Table620[[#This Row],[Midranges]]+Table620[[#This Row],[Threes]]+Table620[[#This Row],[Threes]]</f>
        <v>1</v>
      </c>
      <c r="AD32" s="156">
        <f>COUNTIFS(D4:D35, "Loose Gooses", E$4:E$35,AB32,F$4:F$35,"Finish")</f>
        <v>0</v>
      </c>
      <c r="AE32" s="156">
        <f>COUNTIFS(D4:D35, "Loose Gooses", E$4:E$35,AB32,F$4:F$35,"Midrange")</f>
        <v>1</v>
      </c>
      <c r="AF32" s="156">
        <f>COUNTIFS(D4:D35, "Loose Gooses", E$4:E$35,AB32,F$4:F$35,"Three Pointer")</f>
        <v>0</v>
      </c>
    </row>
    <row r="33" spans="2:32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  <c r="AB33" s="159" t="s">
        <v>55</v>
      </c>
      <c r="AC33" s="166">
        <f>Table620[[#This Row],[Finishes]]+Table620[[#This Row],[Midranges]]+Table620[[#This Row],[Threes]]+Table620[[#This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Table620[[#This Row],[Finishes]]+Table620[[#This Row],[Midranges]]+Table620[[#This Row],[Threes]]+Table620[[#This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Table620[[#This Row],[Finishes]]+Table620[[#This Row],[Midranges]]+Table620[[#This Row],[Threes]]+Table620[[#This Row],[Threes]]</f>
        <v>2</v>
      </c>
      <c r="AD35" s="161">
        <f>COUNTIFS(D4:D35, "Loose Gooses", E$4:E$35,AB35,F$4:F$35,"Finish")</f>
        <v>2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"Date":["2-August"],</v>
      </c>
    </row>
    <row r="45" spans="2:32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F1000"/>
  <sheetViews>
    <sheetView topLeftCell="M1" zoomScale="79" workbookViewId="0">
      <selection activeCell="AD28" sqref="AD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204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205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204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204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204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Table619[[#This Row],[Finishes]]+Table619[[#This Row],[Midranges]]+Table619[[#This Row],[Threes]]+Table619[[#This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Table619[[#This Row],[Finishes]]+Table619[[#This Row],[Midranges]]+Table619[[#This Row],[Threes]]+Table619[[#This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Table619[[#This Row],[Finishes]]+Table619[[#This Row],[Midranges]]+Table619[[#This Row],[Threes]]+Table619[[#This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2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Table619[[#This Row],[Finishes]]+Table619[[#This Row],[Midranges]]+Table619[[#This Row],[Threes]]+Table619[[#This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Table619[[#This Row],[Finishes]]+Table619[[#This Row],[Midranges]]+Table619[[#This Row],[Threes]]+Table619[[#This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Table619[[#This Row],[Finishes]]+Table619[[#This Row],[Midranges]]+Table619[[#This Row],[Threes]]+Table619[[#This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Table619[[#This Row],[Finishes]]+Table619[[#This Row],[Midranges]]+Table619[[#This Row],[Threes]]+Table619[[#This Row],[Threes]]</f>
        <v>5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2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Table619[[#This Row],[Finishes]]+Table619[[#This Row],[Midranges]]+Table619[[#This Row],[Threes]]+Table619[[#This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Table619[[#This Row],[Finishes]]+Table619[[#This Row],[Midranges]]+Table619[[#This Row],[Threes]]+Table619[[#This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Table619[[#This Row],[Finishes]]+Table619[[#This Row],[Midranges]]+Table619[[#This Row],[Threes]]+Table619[[#This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Table619[[#This Row],[Finishes]]+Table619[[#This Row],[Midranges]]+Table619[[#This Row],[Threes]]+Table619[[#This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Table619[[#This Row],[Finishes]]+Table619[[#This Row],[Midranges]]+Table619[[#This Row],[Threes]]+Table619[[#This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"Date":["1-August"],</v>
      </c>
    </row>
    <row r="45" spans="2:32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204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204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205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204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6</v>
      </c>
      <c r="H14" s="25">
        <v>4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204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256</v>
      </c>
      <c r="F19" s="25" t="s">
        <v>256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Table618[[#This Row],[Finishes]]+Table618[[#This Row],[Midranges]]+Table618[[#This Row],[Threes]]+Table618[[#This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Table618[[#This Row],[Finishes]]+Table618[[#This Row],[Midranges]]+Table618[[#This Row],[Threes]]+Table618[[#This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Table618[[#This Row],[Finishes]]+Table618[[#This Row],[Midranges]]+Table618[[#This Row],[Threes]]+Table618[[#This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1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Table618[[#This Row],[Finishes]]+Table618[[#This Row],[Midranges]]+Table618[[#This Row],[Threes]]+Table618[[#This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Table618[[#This Row],[Finishes]]+Table618[[#This Row],[Midranges]]+Table618[[#This Row],[Threes]]+Table618[[#This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Table618[[#This Row],[Finishes]]+Table618[[#This Row],[Midranges]]+Table618[[#This Row],[Threes]]+Table618[[#This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Table618[[#This Row],[Finishes]]+Table618[[#This Row],[Midranges]]+Table618[[#This Row],[Threes]]+Table618[[#This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Table618[[#This Row],[Finishes]]+Table618[[#This Row],[Midranges]]+Table618[[#This Row],[Threes]]+Table618[[#This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Table618[[#This Row],[Finishes]]+Table618[[#This Row],[Midranges]]+Table618[[#This Row],[Threes]]+Table618[[#This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Table618[[#This Row],[Finishes]]+Table618[[#This Row],[Midranges]]+Table618[[#This Row],[Threes]]+Table618[[#This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Table618[[#This Row],[Finishes]]+Table618[[#This Row],[Midranges]]+Table618[[#This Row],[Threes]]+Table618[[#This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Table618[[#This Row],[Finishes]]+Table618[[#This Row],[Midranges]]+Table618[[#This Row],[Threes]]+Table618[[#This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"Date":["31-July"],</v>
      </c>
    </row>
    <row r="45" spans="2:32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205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204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Table617[[#This Row],[Finishes]]+Table617[[#This Row],[Midranges]]+Table617[[#This Row],[Threes]]+Table617[[#This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Table617[[#This Row],[Finishes]]+Table617[[#This Row],[Midranges]]+Table617[[#This Row],[Threes]]+Table617[[#This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Table617[[#This Row],[Finishes]]+Table617[[#This Row],[Midranges]]+Table617[[#This Row],[Threes]]+Table617[[#This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Table617[[#This Row],[Finishes]]+Table617[[#This Row],[Midranges]]+Table617[[#This Row],[Threes]]+Table617[[#This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Table617[[#This Row],[Finishes]]+Table617[[#This Row],[Midranges]]+Table617[[#This Row],[Threes]]+Table617[[#This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Table617[[#This Row],[Finishes]]+Table617[[#This Row],[Midranges]]+Table617[[#This Row],[Threes]]+Table617[[#This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Table617[[#This Row],[Finishes]]+Table617[[#This Row],[Midranges]]+Table617[[#This Row],[Threes]]+Table617[[#This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Table617[[#This Row],[Finishes]]+Table617[[#This Row],[Midranges]]+Table617[[#This Row],[Threes]]+Table617[[#This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Table617[[#This Row],[Finishes]]+Table617[[#This Row],[Midranges]]+Table617[[#This Row],[Threes]]+Table617[[#This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Table617[[#This Row],[Finishes]]+Table617[[#This Row],[Midranges]]+Table617[[#This Row],[Threes]]+Table617[[#This Row],[Threes]]</f>
        <v>2</v>
      </c>
      <c r="AD33" s="157">
        <f>COUNTIFS(D4:D35, "Loose Gooses", E$4:E$35,AB33,F$4:F$35,"Finish")</f>
        <v>1</v>
      </c>
      <c r="AE33" s="157">
        <f>COUNTIFS(D4:D35, "Loose Gooses", E$4:E$35,AB33,F$4:F$35,"Midrange")</f>
        <v>1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Table617[[#This Row],[Finishes]]+Table617[[#This Row],[Midranges]]+Table617[[#This Row],[Threes]]+Table617[[#This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Table617[[#This Row],[Finishes]]+Table617[[#This Row],[Midranges]]+Table617[[#This Row],[Threes]]+Table617[[#This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"Date":["27-July"],</v>
      </c>
    </row>
    <row r="45" spans="2:32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F1000"/>
  <sheetViews>
    <sheetView topLeftCell="J1" zoomScale="79" workbookViewId="0">
      <selection activeCell="AA37" sqref="AA37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204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204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204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204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2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2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Table616[[#This Row],[Finishes]]+Table616[[#This Row],[Midranges]]+Table616[[#This Row],[Threes]]+Table616[[#This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Table616[[#This Row],[Finishes]]+Table616[[#This Row],[Midranges]]+Table616[[#This Row],[Threes]]+Table616[[#This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Table616[[#This Row],[Finishes]]+Table616[[#This Row],[Midranges]]+Table616[[#This Row],[Threes]]+Table616[[#This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Table616[[#This Row],[Finishes]]+Table616[[#This Row],[Midranges]]+Table616[[#This Row],[Threes]]+Table616[[#This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Table616[[#This Row],[Finishes]]+Table616[[#This Row],[Midranges]]+Table616[[#This Row],[Threes]]+Table616[[#This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Table616[[#This Row],[Finishes]]+Table616[[#This Row],[Midranges]]+Table616[[#This Row],[Threes]]+Table616[[#This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Table616[[#This Row],[Finishes]]+Table616[[#This Row],[Midranges]]+Table616[[#This Row],[Threes]]+Table616[[#This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Table616[[#This Row],[Finishes]]+Table616[[#This Row],[Midranges]]+Table616[[#This Row],[Threes]]+Table616[[#This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Table616[[#This Row],[Finishes]]+Table616[[#This Row],[Midranges]]+Table616[[#This Row],[Threes]]+Table616[[#This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Table616[[#This Row],[Finishes]]+Table616[[#This Row],[Midranges]]+Table616[[#This Row],[Threes]]+Table616[[#This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Table616[[#This Row],[Finishes]]+Table616[[#This Row],[Midranges]]+Table616[[#This Row],[Threes]]+Table616[[#This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Table616[[#This Row],[Finishes]]+Table616[[#This Row],[Midranges]]+Table616[[#This Row],[Threes]]+Table616[[#This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"Date":["26-July"],</v>
      </c>
    </row>
    <row r="45" spans="2:32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zoomScale="70" zoomScaleNormal="70" workbookViewId="0">
      <selection activeCell="B25" sqref="B25:Q25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4" t="s">
        <v>72</v>
      </c>
      <c r="C4" s="104" t="s">
        <v>77</v>
      </c>
      <c r="D4" s="104" t="s">
        <v>78</v>
      </c>
      <c r="E4" s="104" t="s">
        <v>79</v>
      </c>
      <c r="F4" s="104" t="s">
        <v>170</v>
      </c>
      <c r="G4" s="104" t="s">
        <v>176</v>
      </c>
      <c r="H4" s="104" t="s">
        <v>177</v>
      </c>
      <c r="I4" s="104" t="s">
        <v>171</v>
      </c>
      <c r="J4" s="104" t="s">
        <v>178</v>
      </c>
      <c r="K4" s="104" t="s">
        <v>179</v>
      </c>
      <c r="L4" s="104" t="s">
        <v>172</v>
      </c>
      <c r="M4" s="104" t="s">
        <v>180</v>
      </c>
      <c r="N4" s="104" t="s">
        <v>181</v>
      </c>
      <c r="O4" s="104" t="s">
        <v>173</v>
      </c>
      <c r="P4" s="104" t="s">
        <v>174</v>
      </c>
      <c r="Q4" s="104" t="s">
        <v>175</v>
      </c>
      <c r="S4" s="3" t="s">
        <v>80</v>
      </c>
      <c r="Z4" t="s">
        <v>144</v>
      </c>
      <c r="AA4" s="126">
        <f>AA6/(20-AA5)</f>
        <v>1.0588235294117647</v>
      </c>
    </row>
    <row r="5" spans="1:55" ht="14.25" customHeight="1" x14ac:dyDescent="0.45">
      <c r="B5" s="114" t="str">
        <f>'Preseason 1'!B45</f>
        <v>11-July</v>
      </c>
      <c r="C5" s="114">
        <f>'Preseason 1'!C45</f>
        <v>12</v>
      </c>
      <c r="D5" s="114">
        <f>'Preseason 1'!D45</f>
        <v>5</v>
      </c>
      <c r="E5" s="114">
        <f>'Preseason 1'!E45</f>
        <v>0</v>
      </c>
      <c r="F5" s="114">
        <f>'Preseason 1'!F45</f>
        <v>5</v>
      </c>
      <c r="G5" s="114">
        <f>'Preseason 1'!G45</f>
        <v>0</v>
      </c>
      <c r="H5" s="114">
        <f>'Preseason 1'!H45</f>
        <v>6</v>
      </c>
      <c r="I5" s="114">
        <f>'Preseason 1'!I45</f>
        <v>0</v>
      </c>
      <c r="J5" s="114">
        <f>'Preseason 1'!J45</f>
        <v>2</v>
      </c>
      <c r="K5" s="114">
        <f>'Preseason 1'!K45</f>
        <v>6</v>
      </c>
      <c r="L5" s="114">
        <f>'Preseason 1'!L45</f>
        <v>12</v>
      </c>
      <c r="M5" s="114">
        <f>'Preseason 1'!M45</f>
        <v>3</v>
      </c>
      <c r="N5" s="114">
        <f>'Preseason 1'!N45</f>
        <v>0</v>
      </c>
      <c r="O5" s="114">
        <f>'Preseason 1'!O45</f>
        <v>2</v>
      </c>
      <c r="P5" s="114">
        <f>'Preseason 1'!P45</f>
        <v>1</v>
      </c>
      <c r="Q5" s="114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225</v>
      </c>
      <c r="AA5">
        <v>3</v>
      </c>
      <c r="AR5" s="60"/>
      <c r="AS5" s="60"/>
      <c r="AT5" s="60"/>
    </row>
    <row r="6" spans="1:55" ht="14.25" customHeight="1" x14ac:dyDescent="0.45">
      <c r="B6" s="114" t="str">
        <f>'Preseason 2'!B45</f>
        <v>12-July</v>
      </c>
      <c r="C6" s="114">
        <f>'Preseason 2'!C45</f>
        <v>15</v>
      </c>
      <c r="D6" s="114">
        <f>'Preseason 2'!D45</f>
        <v>9</v>
      </c>
      <c r="E6" s="114">
        <f>'Preseason 2'!E45</f>
        <v>2</v>
      </c>
      <c r="F6" s="114">
        <f>'Preseason 2'!F45</f>
        <v>9</v>
      </c>
      <c r="G6" s="114">
        <f>'Preseason 2'!G45</f>
        <v>1</v>
      </c>
      <c r="H6" s="114">
        <f>'Preseason 2'!H45</f>
        <v>7</v>
      </c>
      <c r="I6" s="114">
        <f>'Preseason 2'!I45</f>
        <v>2</v>
      </c>
      <c r="J6" s="114">
        <f>'Preseason 2'!J45</f>
        <v>4</v>
      </c>
      <c r="K6" s="114">
        <f>'Preseason 2'!K45</f>
        <v>8</v>
      </c>
      <c r="L6" s="114">
        <f>'Preseason 2'!L45</f>
        <v>15</v>
      </c>
      <c r="M6" s="114">
        <f>'Preseason 2'!M45</f>
        <v>5</v>
      </c>
      <c r="N6" s="114">
        <f>'Preseason 2'!N45</f>
        <v>1</v>
      </c>
      <c r="O6" s="114">
        <f>'Preseason 2'!O45</f>
        <v>2</v>
      </c>
      <c r="P6" s="114">
        <f>'Preseason 2'!P45</f>
        <v>1</v>
      </c>
      <c r="Q6" s="114">
        <f>'Preseason 2'!Q45</f>
        <v>3</v>
      </c>
      <c r="S6" s="4">
        <f>SUM(C8:E40)/COUNT(C8:C40)</f>
        <v>15.277777777777779</v>
      </c>
      <c r="T6" s="115">
        <f>AVERAGE(C8:C40)</f>
        <v>9.5</v>
      </c>
      <c r="U6" s="115">
        <f t="shared" ref="U6:V6" si="0">AVERAGE(D8:D40)</f>
        <v>3.7777777777777777</v>
      </c>
      <c r="V6" s="115">
        <f t="shared" si="0"/>
        <v>2</v>
      </c>
      <c r="Z6" s="69" t="s">
        <v>166</v>
      </c>
      <c r="AA6" s="8">
        <f>AA47+AA67+AL27+AL47+AL67+AA87+AL87</f>
        <v>18</v>
      </c>
      <c r="AK6" s="29"/>
      <c r="AL6" s="29"/>
      <c r="AM6" s="29" t="s">
        <v>220</v>
      </c>
      <c r="AO6" s="42"/>
      <c r="AR6" s="60"/>
      <c r="AS6" s="60"/>
      <c r="AT6" s="60"/>
      <c r="AW6" t="s">
        <v>251</v>
      </c>
      <c r="AX6" s="18">
        <f>AA6-3</f>
        <v>15</v>
      </c>
    </row>
    <row r="7" spans="1:55" ht="14.25" customHeight="1" x14ac:dyDescent="0.45">
      <c r="B7" s="114" t="str">
        <f>'Preseason 3'!B45</f>
        <v>13-July</v>
      </c>
      <c r="C7" s="114">
        <f>'Preseason 3'!C45</f>
        <v>8</v>
      </c>
      <c r="D7" s="114">
        <f>'Preseason 3'!D45</f>
        <v>4</v>
      </c>
      <c r="E7" s="114">
        <f>'Preseason 3'!E45</f>
        <v>1</v>
      </c>
      <c r="F7" s="114">
        <f>'Preseason 3'!F45</f>
        <v>8</v>
      </c>
      <c r="G7" s="114">
        <f>'Preseason 3'!G45</f>
        <v>2</v>
      </c>
      <c r="H7" s="114">
        <f>'Preseason 3'!H45</f>
        <v>0</v>
      </c>
      <c r="I7" s="114">
        <f>'Preseason 3'!I45</f>
        <v>4</v>
      </c>
      <c r="J7" s="114">
        <f>'Preseason 3'!J45</f>
        <v>4</v>
      </c>
      <c r="K7" s="114">
        <f>'Preseason 3'!K45</f>
        <v>1</v>
      </c>
      <c r="L7" s="114">
        <f>'Preseason 3'!L45</f>
        <v>1</v>
      </c>
      <c r="M7" s="114">
        <f>'Preseason 3'!M45</f>
        <v>4</v>
      </c>
      <c r="N7" s="114">
        <f>'Preseason 3'!N45</f>
        <v>2</v>
      </c>
      <c r="O7" s="114">
        <f>'Preseason 3'!O45</f>
        <v>3</v>
      </c>
      <c r="P7" s="114">
        <f>'Preseason 3'!P45</f>
        <v>2</v>
      </c>
      <c r="Q7" s="114">
        <f>'Preseason 3'!Q45</f>
        <v>1</v>
      </c>
      <c r="S7" s="3" t="s">
        <v>83</v>
      </c>
      <c r="T7" s="5">
        <f>T6/$S$6</f>
        <v>0.62181818181818183</v>
      </c>
      <c r="U7" s="5">
        <f>U6/$S$6</f>
        <v>0.24727272727272726</v>
      </c>
      <c r="V7" s="5">
        <f>V6/$S$6</f>
        <v>0.13090909090909089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219</v>
      </c>
      <c r="AO7" s="13"/>
      <c r="AP7" s="27" t="s">
        <v>230</v>
      </c>
      <c r="AQ7" s="132"/>
      <c r="AR7" s="133" t="s">
        <v>231</v>
      </c>
      <c r="AS7" s="59" t="s">
        <v>232</v>
      </c>
      <c r="AT7" s="143" t="s">
        <v>260</v>
      </c>
      <c r="AU7" s="145" t="s">
        <v>261</v>
      </c>
      <c r="AW7" s="2" t="s">
        <v>4</v>
      </c>
      <c r="AX7" s="140" t="s">
        <v>245</v>
      </c>
      <c r="AY7" s="140" t="s">
        <v>246</v>
      </c>
      <c r="AZ7" s="140" t="s">
        <v>247</v>
      </c>
      <c r="BA7" s="140" t="s">
        <v>248</v>
      </c>
      <c r="BB7" s="140" t="s">
        <v>249</v>
      </c>
      <c r="BC7" s="140" t="s">
        <v>250</v>
      </c>
    </row>
    <row r="8" spans="1:55" ht="14.25" customHeight="1" x14ac:dyDescent="0.45">
      <c r="A8" s="73"/>
      <c r="B8" s="111" t="str">
        <f>'1707'!B45</f>
        <v>17-July</v>
      </c>
      <c r="C8" s="111">
        <f>'1707'!C45</f>
        <v>8</v>
      </c>
      <c r="D8" s="111">
        <f>'1707'!D45</f>
        <v>3</v>
      </c>
      <c r="E8" s="111">
        <f>'1707'!E45</f>
        <v>2</v>
      </c>
      <c r="F8" s="111">
        <f>'1707'!F45</f>
        <v>8</v>
      </c>
      <c r="G8" s="111">
        <f>'1707'!G45</f>
        <v>0</v>
      </c>
      <c r="H8" s="111">
        <f>'1707'!H45</f>
        <v>3</v>
      </c>
      <c r="I8" s="111">
        <f>'1707'!I45</f>
        <v>2</v>
      </c>
      <c r="J8" s="111">
        <f>'1707'!J45</f>
        <v>5</v>
      </c>
      <c r="K8" s="111">
        <f>'1707'!K45</f>
        <v>0</v>
      </c>
      <c r="L8" s="111">
        <f>'1707'!L45</f>
        <v>3</v>
      </c>
      <c r="M8" s="111">
        <f>'1707'!M45</f>
        <v>3</v>
      </c>
      <c r="N8" s="111">
        <f>'1707'!N45</f>
        <v>2</v>
      </c>
      <c r="O8" s="111">
        <f>'1707'!O45</f>
        <v>3</v>
      </c>
      <c r="P8" s="111">
        <f>'1707'!P45</f>
        <v>1</v>
      </c>
      <c r="Q8" s="111">
        <f>'1707'!Q45</f>
        <v>2</v>
      </c>
      <c r="Z8" s="174" t="s">
        <v>45</v>
      </c>
      <c r="AA8" s="175">
        <f t="shared" ref="AA8:AA24" si="1">SUM(AL29,AA49,AL49,AA69,AL69,AA89,AL89)</f>
        <v>3</v>
      </c>
      <c r="AB8" s="176">
        <f>IF($AA$6-Table1[[#This Row],[Missed Games]]=0, 0,Table1[[#This Row],[Points]]/($AA$6-Table1[[#This Row],[Missed Games]]))</f>
        <v>0.16666666666666666</v>
      </c>
      <c r="AC8" s="177">
        <f t="shared" ref="AC8:AC24" si="2">SUM(AM29,AB49,AM49,AB69,AM69,AB89,AM89)</f>
        <v>0</v>
      </c>
      <c r="AD8" s="178">
        <f>IF($AA$6-Table1[[#This Row],[Missed Games]]=0, 0,Table1[[#This Row],[Finishes]]/($AA$6-Table1[[#This Row],[Missed Games]]))</f>
        <v>0</v>
      </c>
      <c r="AE8" s="177">
        <f t="shared" ref="AE8:AE24" si="3">SUM(AN29,AC49,AN49,AC69,AN69,AC89,AN89)</f>
        <v>3</v>
      </c>
      <c r="AF8" s="178">
        <f>IF($AA$6-Table1[[#This Row],[Missed Games]]=0, 0,Table1[[#This Row],[Midranges]]/($AA$6-Table1[[#This Row],[Missed Games]]))</f>
        <v>0.16666666666666666</v>
      </c>
      <c r="AG8" s="177">
        <f t="shared" ref="AG8:AG24" si="4">SUM(AO29,AD49,AO49,AD69,AO69,AD89,AO89)</f>
        <v>0</v>
      </c>
      <c r="AH8" s="178">
        <f>IF($AA$6-Table1[[#This Row],[Missed Games]]=0, 0,Table1[[#This Row],[Threes]]/($AA$6-Table1[[#This Row],[Missed Games]]))</f>
        <v>0</v>
      </c>
      <c r="AI8" s="174" t="str">
        <f>SfW!C3</f>
        <v>Loose Gooses</v>
      </c>
      <c r="AJ8" s="179">
        <f t="shared" ref="AJ8:AJ24" si="5">SUM(AT29,AI49,AT49,AI69,AT69,AI89,AT89)</f>
        <v>0</v>
      </c>
      <c r="AK8" s="62"/>
      <c r="AL8" s="122" t="s">
        <v>0</v>
      </c>
      <c r="AM8" s="121">
        <f>AVERAGE(Table1[Average])</f>
        <v>1.1884284256689104</v>
      </c>
      <c r="AN8" s="121">
        <f>MEDIAN(Table1[Average])</f>
        <v>0.8666666666666667</v>
      </c>
      <c r="AO8" s="36"/>
      <c r="AP8" s="18">
        <f>_xlfn.CEILING.MATH('[1]Stats Global'!R8*(20-$AA$5-$AJ8))</f>
        <v>7</v>
      </c>
      <c r="AQ8" s="27">
        <f>Table1[[#This Row],[Points]]/AP8</f>
        <v>0.42857142857142855</v>
      </c>
      <c r="AR8" s="128">
        <f>AP8-Table1[[#This Row],[Points]]</f>
        <v>4</v>
      </c>
      <c r="AS8" s="134">
        <f>Table1[[#This Row],[Points]]/(20-AA$5-Table1[[#This Row],[Missed Games]])</f>
        <v>0.17647058823529413</v>
      </c>
      <c r="AT8" s="144">
        <f>Table1[[#This Row],[Average]]-'[1]Stats Global'!R8</f>
        <v>-0.24509803921568626</v>
      </c>
      <c r="AU8" s="27">
        <f>(Table1[[#This Row],[Average]]-'[1]Stats Global'!R8)/'[1]Stats Global'!R8</f>
        <v>-0.59523809523809523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0.2</v>
      </c>
      <c r="BB8" s="16">
        <f>Table4[[#This Row],[Total A]]/$AX$6</f>
        <v>6.6666666666666666E-2</v>
      </c>
      <c r="BC8" s="16">
        <f>Table4[[#This Row],[Total S]]/$AX$6</f>
        <v>0.2</v>
      </c>
    </row>
    <row r="9" spans="1:55" ht="14.25" customHeight="1" x14ac:dyDescent="0.45">
      <c r="A9" s="73"/>
      <c r="B9" s="111" t="str">
        <f>'1807'!B45</f>
        <v>18-July</v>
      </c>
      <c r="C9" s="111">
        <f>'1807'!C45</f>
        <v>12</v>
      </c>
      <c r="D9" s="111">
        <f>'1807'!D45</f>
        <v>1</v>
      </c>
      <c r="E9" s="111">
        <f>'1807'!E45</f>
        <v>1</v>
      </c>
      <c r="F9" s="111">
        <f>'1807'!F45</f>
        <v>12</v>
      </c>
      <c r="G9" s="111">
        <f>'1807'!G45</f>
        <v>1</v>
      </c>
      <c r="H9" s="111">
        <f>'1807'!H45</f>
        <v>0</v>
      </c>
      <c r="I9" s="111">
        <f>'1807'!I45</f>
        <v>1</v>
      </c>
      <c r="J9" s="111">
        <f>'1807'!J45</f>
        <v>6</v>
      </c>
      <c r="K9" s="111">
        <f>'1807'!K45</f>
        <v>1</v>
      </c>
      <c r="L9" s="111">
        <f>'1807'!L45</f>
        <v>1</v>
      </c>
      <c r="M9" s="111">
        <f>'1807'!M45</f>
        <v>6</v>
      </c>
      <c r="N9" s="111">
        <f>'1807'!N45</f>
        <v>0</v>
      </c>
      <c r="O9" s="111">
        <f>'1807'!O45</f>
        <v>3</v>
      </c>
      <c r="P9" s="111">
        <f>'1807'!P45</f>
        <v>1</v>
      </c>
      <c r="Q9" s="111">
        <f>'1807'!Q45</f>
        <v>2</v>
      </c>
      <c r="Z9" s="174" t="s">
        <v>49</v>
      </c>
      <c r="AA9" s="175">
        <f t="shared" si="1"/>
        <v>12</v>
      </c>
      <c r="AB9" s="176">
        <f>IF($AA$6-Table1[[#This Row],[Missed Games]]=0, 0,Table1[[#This Row],[Points]]/($AA$6-Table1[[#This Row],[Missed Games]]))</f>
        <v>0.75</v>
      </c>
      <c r="AC9" s="177">
        <f t="shared" si="2"/>
        <v>12</v>
      </c>
      <c r="AD9" s="178">
        <f>IF($AA$6-Table1[[#This Row],[Missed Games]]=0, 0,Table1[[#This Row],[Finishes]]/($AA$6-Table1[[#This Row],[Missed Games]]))</f>
        <v>0.75</v>
      </c>
      <c r="AE9" s="177">
        <f t="shared" si="3"/>
        <v>0</v>
      </c>
      <c r="AF9" s="178">
        <f>IF($AA$6-Table1[[#This Row],[Missed Games]]=0, 0,Table1[[#This Row],[Midranges]]/($AA$6-Table1[[#This Row],[Missed Games]]))</f>
        <v>0</v>
      </c>
      <c r="AG9" s="177">
        <f t="shared" si="4"/>
        <v>0</v>
      </c>
      <c r="AH9" s="178">
        <f>IF($AA$6-Table1[[#This Row],[Missed Games]]=0, 0,Table1[[#This Row],[Threes]]/($AA$6-Table1[[#This Row],[Missed Games]]))</f>
        <v>0</v>
      </c>
      <c r="AI9" s="174" t="str">
        <f>SfW!C4</f>
        <v>Loose Gooses</v>
      </c>
      <c r="AJ9" s="179">
        <f t="shared" si="5"/>
        <v>2</v>
      </c>
      <c r="AK9" s="62"/>
      <c r="AL9" s="122" t="s">
        <v>1</v>
      </c>
      <c r="AM9" s="121">
        <f>AVERAGE(Table1[Finishes])</f>
        <v>9.235294117647058</v>
      </c>
      <c r="AN9" s="121">
        <f>MEDIAN(Table1[Finishes])</f>
        <v>9</v>
      </c>
      <c r="AO9" s="129"/>
      <c r="AP9" s="18">
        <f>_xlfn.CEILING.MATH('[1]Stats Global'!R9*(20-$AA$5-$AJ9))</f>
        <v>9</v>
      </c>
      <c r="AQ9" s="27">
        <f>Table1[[#This Row],[Points]]/AP9</f>
        <v>1.3333333333333333</v>
      </c>
      <c r="AR9" s="128">
        <f>AP9-Table1[[#This Row],[Points]]</f>
        <v>-3</v>
      </c>
      <c r="AS9" s="134">
        <f>Table1[[#This Row],[Points]]/(20-AA$5-Table1[[#This Row],[Missed Games]])</f>
        <v>0.8</v>
      </c>
      <c r="AT9" s="144">
        <f>Table1[[#This Row],[Average]]-'[1]Stats Global'!R9</f>
        <v>0.15000000000000002</v>
      </c>
      <c r="AU9" s="27">
        <f>(Table1[[#This Row],[Average]]-'[1]Stats Global'!R9)/'[1]Stats Global'!R9</f>
        <v>0.25000000000000006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0.8666666666666667</v>
      </c>
      <c r="BB9" s="16">
        <f>Table4[[#This Row],[Total A]]/$AX$6</f>
        <v>0</v>
      </c>
      <c r="BC9" s="16">
        <f>Table4[[#This Row],[Total S]]/$AX$6</f>
        <v>0.2</v>
      </c>
    </row>
    <row r="10" spans="1:55" ht="14.25" customHeight="1" x14ac:dyDescent="0.45">
      <c r="A10" s="73"/>
      <c r="B10" s="111" t="str">
        <f>'1907'!B45</f>
        <v>19-July</v>
      </c>
      <c r="C10" s="111">
        <f>'1907'!C45</f>
        <v>15</v>
      </c>
      <c r="D10" s="111">
        <f>'1907'!D45</f>
        <v>0</v>
      </c>
      <c r="E10" s="111">
        <f>'1907'!E45</f>
        <v>0</v>
      </c>
      <c r="F10" s="111">
        <f>'1907'!F45</f>
        <v>15</v>
      </c>
      <c r="G10" s="111">
        <f>'1907'!G45</f>
        <v>0</v>
      </c>
      <c r="H10" s="111">
        <f>'1907'!H45</f>
        <v>0</v>
      </c>
      <c r="I10" s="111">
        <f>'1907'!I45</f>
        <v>0</v>
      </c>
      <c r="J10" s="111">
        <f>'1907'!J45</f>
        <v>8</v>
      </c>
      <c r="K10" s="111">
        <f>'1907'!K45</f>
        <v>0</v>
      </c>
      <c r="L10" s="111">
        <f>'1907'!L45</f>
        <v>0</v>
      </c>
      <c r="M10" s="111">
        <f>'1907'!M45</f>
        <v>7</v>
      </c>
      <c r="N10" s="111">
        <f>'1907'!N45</f>
        <v>0</v>
      </c>
      <c r="O10" s="111">
        <f>'1907'!O45</f>
        <v>3</v>
      </c>
      <c r="P10" s="111">
        <f>'1907'!P45</f>
        <v>1</v>
      </c>
      <c r="Q10" s="111">
        <f>'1907'!Q45</f>
        <v>2</v>
      </c>
      <c r="Z10" s="63" t="s">
        <v>51</v>
      </c>
      <c r="AA10" s="64">
        <f t="shared" si="1"/>
        <v>30</v>
      </c>
      <c r="AB10" s="65">
        <f>IF($AA$6-Table1[[#This Row],[Missed Games]]=0, 0,Table1[[#This Row],[Points]]/($AA$6-Table1[[#This Row],[Missed Games]]))</f>
        <v>3</v>
      </c>
      <c r="AC10" s="66">
        <f t="shared" si="2"/>
        <v>28</v>
      </c>
      <c r="AD10" s="67">
        <f>IF($AA$6-Table1[[#This Row],[Missed Games]]=0, 0,Table1[[#This Row],[Finishes]]/($AA$6-Table1[[#This Row],[Missed Games]]))</f>
        <v>2.8</v>
      </c>
      <c r="AE10" s="66">
        <f t="shared" si="3"/>
        <v>0</v>
      </c>
      <c r="AF10" s="67">
        <f>IF($AA$6-Table1[[#This Row],[Missed Games]]=0, 0,Table1[[#This Row],[Midranges]]/($AA$6-Table1[[#This Row],[Missed Games]]))</f>
        <v>0</v>
      </c>
      <c r="AG10" s="66">
        <f t="shared" si="4"/>
        <v>1</v>
      </c>
      <c r="AH10" s="67">
        <f>IF($AA$6-Table1[[#This Row],[Missed Games]]=0, 0,Table1[[#This Row],[Threes]]/($AA$6-Table1[[#This Row],[Missed Games]]))</f>
        <v>0.1</v>
      </c>
      <c r="AI10" s="63" t="str">
        <f>SfW!C5</f>
        <v>5 Musketeers</v>
      </c>
      <c r="AJ10" s="68">
        <f t="shared" si="5"/>
        <v>8</v>
      </c>
      <c r="AK10" s="62"/>
      <c r="AL10" s="122" t="s">
        <v>219</v>
      </c>
      <c r="AM10" s="121">
        <f>AVERAGE(Table1[Midranges])</f>
        <v>5.117647058823529</v>
      </c>
      <c r="AN10" s="121">
        <f>MEDIAN(Table1[Midranges])</f>
        <v>3</v>
      </c>
      <c r="AO10" s="36"/>
      <c r="AP10" s="18">
        <f>_xlfn.CEILING.MATH('[1]Stats Global'!R10*(20-$AA$5-$AJ10))</f>
        <v>29</v>
      </c>
      <c r="AQ10" s="27">
        <f>Table1[[#This Row],[Points]]/AP10</f>
        <v>1.0344827586206897</v>
      </c>
      <c r="AR10" s="128">
        <f>AP10-Table1[[#This Row],[Points]]</f>
        <v>-1</v>
      </c>
      <c r="AS10" s="134">
        <f>Table1[[#This Row],[Points]]/(20-AA$5-Table1[[#This Row],[Missed Games]])</f>
        <v>3.3333333333333335</v>
      </c>
      <c r="AT10" s="144">
        <f>Table1[[#This Row],[Average]]-'[1]Stats Global'!R10</f>
        <v>-0.14285714285714279</v>
      </c>
      <c r="AU10" s="27">
        <f>(Table1[[#This Row],[Average]]-'[1]Stats Global'!R10)/'[1]Stats Global'!R10</f>
        <v>-4.5454545454545435E-2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0.33333333333333331</v>
      </c>
      <c r="BB10" s="16">
        <f>Table4[[#This Row],[Total A]]/$AX$6</f>
        <v>0.2</v>
      </c>
      <c r="BC10" s="16">
        <f>Table4[[#This Row],[Total S]]/$AX$6</f>
        <v>0.13333333333333333</v>
      </c>
    </row>
    <row r="11" spans="1:55" ht="14.25" customHeight="1" x14ac:dyDescent="0.45">
      <c r="A11" s="73"/>
      <c r="B11" s="111" t="str">
        <f>'2007'!B45</f>
        <v>20-July</v>
      </c>
      <c r="C11" s="111">
        <f>'2007'!C45</f>
        <v>6</v>
      </c>
      <c r="D11" s="111">
        <f>'2007'!D45</f>
        <v>3</v>
      </c>
      <c r="E11" s="111">
        <f>'2007'!E45</f>
        <v>2</v>
      </c>
      <c r="F11" s="111">
        <f>'2007'!F45</f>
        <v>3</v>
      </c>
      <c r="G11" s="111">
        <f>'2007'!G45</f>
        <v>3</v>
      </c>
      <c r="H11" s="111">
        <f>'2007'!H45</f>
        <v>1</v>
      </c>
      <c r="I11" s="111">
        <f>'2007'!I45</f>
        <v>6</v>
      </c>
      <c r="J11" s="111">
        <f>'2007'!J45</f>
        <v>2</v>
      </c>
      <c r="K11" s="111">
        <f>'2007'!K45</f>
        <v>1</v>
      </c>
      <c r="L11" s="111">
        <f>'2007'!L45</f>
        <v>2</v>
      </c>
      <c r="M11" s="111">
        <f>'2007'!M45</f>
        <v>1</v>
      </c>
      <c r="N11" s="111">
        <f>'2007'!N45</f>
        <v>3</v>
      </c>
      <c r="O11" s="111">
        <f>'2007'!O45</f>
        <v>2</v>
      </c>
      <c r="P11" s="111">
        <f>'2007'!P45</f>
        <v>3</v>
      </c>
      <c r="Q11" s="111">
        <f>'2007'!Q45</f>
        <v>1</v>
      </c>
      <c r="Z11" s="63" t="s">
        <v>54</v>
      </c>
      <c r="AA11" s="64">
        <f t="shared" si="1"/>
        <v>16</v>
      </c>
      <c r="AB11" s="65">
        <f>IF($AA$6-Table1[[#This Row],[Missed Games]]=0, 0,Table1[[#This Row],[Points]]/($AA$6-Table1[[#This Row],[Missed Games]]))</f>
        <v>1.2307692307692308</v>
      </c>
      <c r="AC11" s="66">
        <f t="shared" si="2"/>
        <v>16</v>
      </c>
      <c r="AD11" s="67">
        <f>IF($AA$6-Table1[[#This Row],[Missed Games]]=0, 0,Table1[[#This Row],[Finishes]]/($AA$6-Table1[[#This Row],[Missed Games]]))</f>
        <v>1.2307692307692308</v>
      </c>
      <c r="AE11" s="66">
        <f t="shared" si="3"/>
        <v>0</v>
      </c>
      <c r="AF11" s="67">
        <f>IF($AA$6-Table1[[#This Row],[Missed Games]]=0, 0,Table1[[#This Row],[Midranges]]/($AA$6-Table1[[#This Row],[Missed Games]]))</f>
        <v>0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5</v>
      </c>
      <c r="AK11" s="62"/>
      <c r="AL11" s="122" t="s">
        <v>3</v>
      </c>
      <c r="AM11" s="121">
        <f>AVERAGE(Table1[Threes])</f>
        <v>1.7058823529411764</v>
      </c>
      <c r="AN11" s="121">
        <f>MEDIAN(Table1[Threes])</f>
        <v>1</v>
      </c>
      <c r="AO11" s="36"/>
      <c r="AP11" s="18">
        <f>_xlfn.CEILING.MATH('[1]Stats Global'!R11*(20-$AA$5-$AJ11))</f>
        <v>34</v>
      </c>
      <c r="AQ11" s="27">
        <f>Table1[[#This Row],[Points]]/AP11</f>
        <v>0.47058823529411764</v>
      </c>
      <c r="AR11" s="128">
        <f>AP11-Table1[[#This Row],[Points]]</f>
        <v>18</v>
      </c>
      <c r="AS11" s="134">
        <f>Table1[[#This Row],[Points]]/(20-AA$5-Table1[[#This Row],[Missed Games]])</f>
        <v>1.3333333333333333</v>
      </c>
      <c r="AT11" s="144">
        <f>Table1[[#This Row],[Average]]-'[1]Stats Global'!R11</f>
        <v>-1.5817307692307692</v>
      </c>
      <c r="AU11" s="27">
        <f>(Table1[[#This Row],[Average]]-'[1]Stats Global'!R11)/'[1]Stats Global'!R11</f>
        <v>-0.56239316239316239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0.66666666666666663</v>
      </c>
      <c r="BB11" s="16">
        <f>Table4[[#This Row],[Total A]]/$AX$6</f>
        <v>6.6666666666666666E-2</v>
      </c>
      <c r="BC11" s="16">
        <f>Table4[[#This Row],[Total S]]/$AX$6</f>
        <v>0.13333333333333333</v>
      </c>
    </row>
    <row r="12" spans="1:55" ht="14.25" customHeight="1" x14ac:dyDescent="0.45">
      <c r="A12" s="73"/>
      <c r="B12" s="111" t="str">
        <f>'2407'!B45</f>
        <v>24-July</v>
      </c>
      <c r="C12" s="111">
        <f>'2407'!C45</f>
        <v>9</v>
      </c>
      <c r="D12" s="111">
        <f>'2407'!D45</f>
        <v>1</v>
      </c>
      <c r="E12" s="111">
        <f>'2407'!E45</f>
        <v>1</v>
      </c>
      <c r="F12" s="111">
        <f>'2407'!F45</f>
        <v>1</v>
      </c>
      <c r="G12" s="111">
        <f>'2407'!G45</f>
        <v>0</v>
      </c>
      <c r="H12" s="111">
        <f>'2407'!H45</f>
        <v>5</v>
      </c>
      <c r="I12" s="111">
        <f>'2407'!I45</f>
        <v>1</v>
      </c>
      <c r="J12" s="111">
        <f>'2407'!J45</f>
        <v>1</v>
      </c>
      <c r="K12" s="111">
        <f>'2407'!K45</f>
        <v>4</v>
      </c>
      <c r="L12" s="111">
        <f>'2407'!L45</f>
        <v>9</v>
      </c>
      <c r="M12" s="111">
        <f>'2407'!M45</f>
        <v>0</v>
      </c>
      <c r="N12" s="111">
        <f>'2407'!N45</f>
        <v>1</v>
      </c>
      <c r="O12" s="111">
        <f>'2407'!O45</f>
        <v>2</v>
      </c>
      <c r="P12" s="111">
        <f>'2407'!P45</f>
        <v>1</v>
      </c>
      <c r="Q12" s="111">
        <f>'2407'!Q45</f>
        <v>3</v>
      </c>
      <c r="Z12" s="63" t="s">
        <v>57</v>
      </c>
      <c r="AA12" s="64">
        <f t="shared" si="1"/>
        <v>19</v>
      </c>
      <c r="AB12" s="65">
        <f>IF($AA$6-Table1[[#This Row],[Missed Games]]=0, 0,Table1[[#This Row],[Points]]/($AA$6-Table1[[#This Row],[Missed Games]]))</f>
        <v>1.1875</v>
      </c>
      <c r="AC12" s="66">
        <f t="shared" si="2"/>
        <v>8</v>
      </c>
      <c r="AD12" s="67">
        <f>IF($AA$6-Table1[[#This Row],[Missed Games]]=0, 0,Table1[[#This Row],[Finishes]]/($AA$6-Table1[[#This Row],[Missed Games]]))</f>
        <v>0.5</v>
      </c>
      <c r="AE12" s="66">
        <f t="shared" si="3"/>
        <v>7</v>
      </c>
      <c r="AF12" s="67">
        <f>IF($AA$6-Table1[[#This Row],[Missed Games]]=0, 0,Table1[[#This Row],[Midranges]]/($AA$6-Table1[[#This Row],[Missed Games]]))</f>
        <v>0.4375</v>
      </c>
      <c r="AG12" s="66">
        <f t="shared" si="4"/>
        <v>2</v>
      </c>
      <c r="AH12" s="67">
        <f>IF($AA$6-Table1[[#This Row],[Missed Games]]=0, 0,Table1[[#This Row],[Threes]]/($AA$6-Table1[[#This Row],[Missed Games]]))</f>
        <v>0.125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31</v>
      </c>
      <c r="AQ12" s="27">
        <f>Table1[[#This Row],[Points]]/AP12</f>
        <v>0.61290322580645162</v>
      </c>
      <c r="AR12" s="128">
        <f>AP12-Table1[[#This Row],[Points]]</f>
        <v>12</v>
      </c>
      <c r="AS12" s="134">
        <f>Table1[[#This Row],[Points]]/(20-AA$5-Table1[[#This Row],[Missed Games]])</f>
        <v>1.2666666666666666</v>
      </c>
      <c r="AT12" s="144">
        <f>Table1[[#This Row],[Average]]-'[1]Stats Global'!R12</f>
        <v>-0.8713235294117645</v>
      </c>
      <c r="AU12" s="27">
        <f>(Table1[[#This Row],[Average]]-'[1]Stats Global'!R12)/'[1]Stats Global'!R12</f>
        <v>-0.42321428571428565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0.4</v>
      </c>
      <c r="BB12" s="16">
        <f>Table4[[#This Row],[Total A]]/$AX$6</f>
        <v>6.6666666666666666E-2</v>
      </c>
      <c r="BC12" s="16">
        <f>Table4[[#This Row],[Total S]]/$AX$6</f>
        <v>6.6666666666666666E-2</v>
      </c>
    </row>
    <row r="13" spans="1:55" ht="14.25" customHeight="1" x14ac:dyDescent="0.45">
      <c r="A13" s="73"/>
      <c r="B13" s="111" t="str">
        <f>'2607'!B45</f>
        <v>26-July</v>
      </c>
      <c r="C13" s="111">
        <f>'2607'!C45</f>
        <v>8</v>
      </c>
      <c r="D13" s="111">
        <f>'2607'!D45</f>
        <v>6</v>
      </c>
      <c r="E13" s="111">
        <f>'2607'!E45</f>
        <v>3</v>
      </c>
      <c r="F13" s="111">
        <f>'2607'!F45</f>
        <v>6</v>
      </c>
      <c r="G13" s="111">
        <f>'2607'!G45</f>
        <v>2</v>
      </c>
      <c r="H13" s="111">
        <f>'2607'!H45</f>
        <v>3</v>
      </c>
      <c r="I13" s="111">
        <f>'2607'!I45</f>
        <v>3</v>
      </c>
      <c r="J13" s="111">
        <f>'2607'!J45</f>
        <v>2</v>
      </c>
      <c r="K13" s="111">
        <f>'2607'!K45</f>
        <v>5</v>
      </c>
      <c r="L13" s="111">
        <f>'2607'!L45</f>
        <v>8</v>
      </c>
      <c r="M13" s="111">
        <f>'2607'!M45</f>
        <v>4</v>
      </c>
      <c r="N13" s="111">
        <f>'2607'!N45</f>
        <v>1</v>
      </c>
      <c r="O13" s="111">
        <f>'2607'!O45</f>
        <v>2</v>
      </c>
      <c r="P13" s="111">
        <f>'2607'!P45</f>
        <v>1</v>
      </c>
      <c r="Q13" s="111">
        <f>'2607'!Q45</f>
        <v>3</v>
      </c>
      <c r="Z13" s="174" t="s">
        <v>60</v>
      </c>
      <c r="AA13" s="175">
        <f t="shared" si="1"/>
        <v>13</v>
      </c>
      <c r="AB13" s="176">
        <f>IF($AA$6-Table1[[#This Row],[Missed Games]]=0, 0,Table1[[#This Row],[Points]]/($AA$6-Table1[[#This Row],[Missed Games]]))</f>
        <v>0.8666666666666667</v>
      </c>
      <c r="AC13" s="177">
        <f t="shared" si="2"/>
        <v>10</v>
      </c>
      <c r="AD13" s="178">
        <f>IF($AA$6-Table1[[#This Row],[Missed Games]]=0, 0,Table1[[#This Row],[Finishes]]/($AA$6-Table1[[#This Row],[Missed Games]]))</f>
        <v>0.66666666666666663</v>
      </c>
      <c r="AE13" s="177">
        <f t="shared" si="3"/>
        <v>3</v>
      </c>
      <c r="AF13" s="178">
        <f>IF($AA$6-Table1[[#This Row],[Missed Games]]=0, 0,Table1[[#This Row],[Midranges]]/($AA$6-Table1[[#This Row],[Missed Games]]))</f>
        <v>0.2</v>
      </c>
      <c r="AG13" s="177">
        <f t="shared" si="4"/>
        <v>0</v>
      </c>
      <c r="AH13" s="178">
        <f>IF($AA$6-Table1[[#This Row],[Missed Games]]=0, 0,Table1[[#This Row],[Threes]]/($AA$6-Table1[[#This Row],[Missed Games]]))</f>
        <v>0</v>
      </c>
      <c r="AI13" s="174" t="str">
        <f>SfW!C8</f>
        <v>5 Musketeers</v>
      </c>
      <c r="AJ13" s="179">
        <f t="shared" si="5"/>
        <v>3</v>
      </c>
      <c r="AK13" s="62"/>
      <c r="AL13" s="62"/>
      <c r="AM13" s="62"/>
      <c r="AO13" s="36"/>
      <c r="AP13" s="18">
        <f>_xlfn.CEILING.MATH('[1]Stats Global'!R13*(20-$AA$5-$AJ13))</f>
        <v>16</v>
      </c>
      <c r="AQ13" s="27">
        <f>Table1[[#This Row],[Points]]/AP13</f>
        <v>0.8125</v>
      </c>
      <c r="AR13" s="128">
        <f>AP13-Table1[[#This Row],[Points]]</f>
        <v>3</v>
      </c>
      <c r="AS13" s="134">
        <f>Table1[[#This Row],[Points]]/(20-AA$5-Table1[[#This Row],[Missed Games]])</f>
        <v>0.9285714285714286</v>
      </c>
      <c r="AT13" s="144">
        <f>Table1[[#This Row],[Average]]-'[1]Stats Global'!R13</f>
        <v>-0.2761904761904761</v>
      </c>
      <c r="AU13" s="27">
        <f>(Table1[[#This Row],[Average]]-'[1]Stats Global'!R13)/'[1]Stats Global'!R13</f>
        <v>-0.24166666666666659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0.4</v>
      </c>
      <c r="BB13" s="16">
        <f>Table4[[#This Row],[Total A]]/$AX$6</f>
        <v>0.13333333333333333</v>
      </c>
      <c r="BC13" s="16">
        <f>Table4[[#This Row],[Total S]]/$AX$6</f>
        <v>6.6666666666666666E-2</v>
      </c>
    </row>
    <row r="14" spans="1:55" ht="14.25" customHeight="1" x14ac:dyDescent="0.45">
      <c r="A14" s="73"/>
      <c r="B14" s="111" t="str">
        <f>'2707'!B45</f>
        <v>27-July</v>
      </c>
      <c r="C14" s="111">
        <f>'2707'!C45</f>
        <v>8</v>
      </c>
      <c r="D14" s="111">
        <f>'2707'!D45</f>
        <v>3</v>
      </c>
      <c r="E14" s="111">
        <f>'2707'!E45</f>
        <v>3</v>
      </c>
      <c r="F14" s="111">
        <f>'2707'!F45</f>
        <v>3</v>
      </c>
      <c r="G14" s="111">
        <f>'2707'!G45</f>
        <v>1</v>
      </c>
      <c r="H14" s="111">
        <f>'2707'!H45</f>
        <v>4</v>
      </c>
      <c r="I14" s="111">
        <f>'2707'!I45</f>
        <v>3</v>
      </c>
      <c r="J14" s="111">
        <f>'2707'!J45</f>
        <v>2</v>
      </c>
      <c r="K14" s="111">
        <f>'2707'!K45</f>
        <v>4</v>
      </c>
      <c r="L14" s="111">
        <f>'2707'!L45</f>
        <v>8</v>
      </c>
      <c r="M14" s="111">
        <f>'2707'!M45</f>
        <v>1</v>
      </c>
      <c r="N14" s="111">
        <f>'2707'!N45</f>
        <v>2</v>
      </c>
      <c r="O14" s="111">
        <f>'2707'!O45</f>
        <v>2</v>
      </c>
      <c r="P14" s="111">
        <f>'2707'!P45</f>
        <v>1</v>
      </c>
      <c r="Q14" s="111">
        <f>'2707'!Q45</f>
        <v>3</v>
      </c>
      <c r="Z14" s="174" t="s">
        <v>93</v>
      </c>
      <c r="AA14" s="175">
        <f t="shared" si="1"/>
        <v>11</v>
      </c>
      <c r="AB14" s="176">
        <f>IF($AA$6-Table1[[#This Row],[Missed Games]]=0, 0,Table1[[#This Row],[Points]]/($AA$6-Table1[[#This Row],[Missed Games]]))</f>
        <v>0.61111111111111116</v>
      </c>
      <c r="AC14" s="177">
        <f t="shared" si="2"/>
        <v>6</v>
      </c>
      <c r="AD14" s="178">
        <f>IF($AA$6-Table1[[#This Row],[Missed Games]]=0, 0,Table1[[#This Row],[Finishes]]/($AA$6-Table1[[#This Row],[Missed Games]]))</f>
        <v>0.33333333333333331</v>
      </c>
      <c r="AE14" s="177">
        <f t="shared" si="3"/>
        <v>3</v>
      </c>
      <c r="AF14" s="178">
        <f>IF($AA$6-Table1[[#This Row],[Missed Games]]=0, 0,Table1[[#This Row],[Midranges]]/($AA$6-Table1[[#This Row],[Missed Games]]))</f>
        <v>0.16666666666666666</v>
      </c>
      <c r="AG14" s="177">
        <f t="shared" si="4"/>
        <v>1</v>
      </c>
      <c r="AH14" s="178">
        <f>IF($AA$6-Table1[[#This Row],[Missed Games]]=0, 0,Table1[[#This Row],[Threes]]/($AA$6-Table1[[#This Row],[Missed Games]]))</f>
        <v>5.5555555555555552E-2</v>
      </c>
      <c r="AI14" s="174" t="str">
        <f>SfW!C9</f>
        <v>5 Musketeers</v>
      </c>
      <c r="AJ14" s="179">
        <f t="shared" si="5"/>
        <v>0</v>
      </c>
      <c r="AK14" s="62"/>
      <c r="AL14" s="62"/>
      <c r="AM14" s="62"/>
      <c r="AO14" s="36"/>
      <c r="AP14" s="18">
        <f>_xlfn.CEILING.MATH('[1]Stats Global'!R23*(20-$AA$5-$AJ14))</f>
        <v>6</v>
      </c>
      <c r="AQ14" s="27">
        <f>Table1[[#This Row],[Points]]/AP14</f>
        <v>1.8333333333333333</v>
      </c>
      <c r="AR14" s="128">
        <f>AP14-Table1[[#This Row],[Points]]</f>
        <v>-5</v>
      </c>
      <c r="AS14" s="134">
        <f>Table1[[#This Row],[Points]]/(20-AA$5-Table1[[#This Row],[Missed Games]])</f>
        <v>0.6470588235294118</v>
      </c>
      <c r="AT14" s="144">
        <f>Table1[[#This Row],[Average]]-'[1]Stats Global'!R23</f>
        <v>0.29861111111111116</v>
      </c>
      <c r="AU14" s="27">
        <f>(Table1[[#This Row],[Average]]-'[1]Stats Global'!R23)/'[1]Stats Global'!R23</f>
        <v>0.95555555555555571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0.6</v>
      </c>
      <c r="BB14" s="16">
        <f>Table4[[#This Row],[Total A]]/$AX$6</f>
        <v>0</v>
      </c>
      <c r="BC14" s="16">
        <f>Table4[[#This Row],[Total S]]/$AX$6</f>
        <v>0.13333333333333333</v>
      </c>
    </row>
    <row r="15" spans="1:55" ht="14.25" customHeight="1" x14ac:dyDescent="0.45">
      <c r="A15" s="73"/>
      <c r="B15" s="111" t="str">
        <f>'3107'!B45</f>
        <v>31-July</v>
      </c>
      <c r="C15" s="111">
        <f>'3107'!C45</f>
        <v>9</v>
      </c>
      <c r="D15" s="111">
        <f>'3107'!D45</f>
        <v>4</v>
      </c>
      <c r="E15" s="111">
        <f>'3107'!E45</f>
        <v>3</v>
      </c>
      <c r="F15" s="111">
        <f>'3107'!F45</f>
        <v>9</v>
      </c>
      <c r="G15" s="111">
        <f>'3107'!G45</f>
        <v>2</v>
      </c>
      <c r="H15" s="111">
        <f>'3107'!H45</f>
        <v>1</v>
      </c>
      <c r="I15" s="111">
        <f>'3107'!I45</f>
        <v>4</v>
      </c>
      <c r="J15" s="111">
        <f>'3107'!J45</f>
        <v>4</v>
      </c>
      <c r="K15" s="111">
        <f>'3107'!K45</f>
        <v>2</v>
      </c>
      <c r="L15" s="111">
        <f>'3107'!L45</f>
        <v>3</v>
      </c>
      <c r="M15" s="111">
        <f>'3107'!M45</f>
        <v>5</v>
      </c>
      <c r="N15" s="111">
        <f>'3107'!N45</f>
        <v>2</v>
      </c>
      <c r="O15" s="111">
        <f>'3107'!O45</f>
        <v>3</v>
      </c>
      <c r="P15" s="111">
        <f>'3107'!P45</f>
        <v>2</v>
      </c>
      <c r="Q15" s="111">
        <f>'3107'!Q45</f>
        <v>1</v>
      </c>
      <c r="Z15" s="174" t="s">
        <v>63</v>
      </c>
      <c r="AA15" s="175">
        <f t="shared" si="1"/>
        <v>17</v>
      </c>
      <c r="AB15" s="176">
        <f>IF($AA$6-Table1[[#This Row],[Missed Games]]=0, 0,Table1[[#This Row],[Points]]/($AA$6-Table1[[#This Row],[Missed Games]]))</f>
        <v>1.4166666666666667</v>
      </c>
      <c r="AC15" s="177">
        <f t="shared" si="2"/>
        <v>1</v>
      </c>
      <c r="AD15" s="178">
        <f>IF($AA$6-Table1[[#This Row],[Missed Games]]=0, 0,Table1[[#This Row],[Finishes]]/($AA$6-Table1[[#This Row],[Missed Games]]))</f>
        <v>8.3333333333333329E-2</v>
      </c>
      <c r="AE15" s="177">
        <f t="shared" si="3"/>
        <v>2</v>
      </c>
      <c r="AF15" s="178">
        <f>IF($AA$6-Table1[[#This Row],[Missed Games]]=0, 0,Table1[[#This Row],[Midranges]]/($AA$6-Table1[[#This Row],[Missed Games]]))</f>
        <v>0.16666666666666666</v>
      </c>
      <c r="AG15" s="177">
        <f t="shared" si="4"/>
        <v>7</v>
      </c>
      <c r="AH15" s="178">
        <f>IF($AA$6-Table1[[#This Row],[Missed Games]]=0, 0,Table1[[#This Row],[Threes]]/($AA$6-Table1[[#This Row],[Missed Games]]))</f>
        <v>0.58333333333333337</v>
      </c>
      <c r="AI15" s="174" t="str">
        <f>SfW!C10</f>
        <v>Wet Willies</v>
      </c>
      <c r="AJ15" s="179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18</v>
      </c>
      <c r="AQ15" s="27">
        <f>Table1[[#This Row],[Points]]/AP15</f>
        <v>0.94444444444444442</v>
      </c>
      <c r="AR15" s="128">
        <f>AP15-Table1[[#This Row],[Points]]</f>
        <v>1</v>
      </c>
      <c r="AS15" s="134">
        <f>Table1[[#This Row],[Points]]/(20-AA$5-Table1[[#This Row],[Missed Games]])</f>
        <v>1.5454545454545454</v>
      </c>
      <c r="AT15" s="144">
        <f>Table1[[#This Row],[Average]]-'[1]Stats Global'!R14</f>
        <v>-0.17156862745098023</v>
      </c>
      <c r="AU15" s="27">
        <f>(Table1[[#This Row],[Average]]-'[1]Stats Global'!R14)/'[1]Stats Global'!R14</f>
        <v>-0.10802469135802459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1" t="str">
        <f>'0108'!B45</f>
        <v>1-August</v>
      </c>
      <c r="C16" s="111">
        <f>'0108'!C45</f>
        <v>6</v>
      </c>
      <c r="D16" s="111">
        <f>'0108'!D45</f>
        <v>6</v>
      </c>
      <c r="E16" s="111">
        <f>'0108'!E45</f>
        <v>3</v>
      </c>
      <c r="F16" s="111">
        <f>'0108'!F45</f>
        <v>3</v>
      </c>
      <c r="G16" s="111">
        <f>'0108'!G45</f>
        <v>3</v>
      </c>
      <c r="H16" s="111">
        <f>'0108'!H45</f>
        <v>3</v>
      </c>
      <c r="I16" s="111">
        <f>'0108'!I45</f>
        <v>6</v>
      </c>
      <c r="J16" s="111">
        <f>'0108'!J45</f>
        <v>1</v>
      </c>
      <c r="K16" s="111">
        <f>'0108'!K45</f>
        <v>3</v>
      </c>
      <c r="L16" s="111">
        <f>'0108'!L45</f>
        <v>6</v>
      </c>
      <c r="M16" s="111">
        <f>'0108'!M45</f>
        <v>2</v>
      </c>
      <c r="N16" s="111">
        <f>'0108'!N45</f>
        <v>3</v>
      </c>
      <c r="O16" s="111">
        <f>'0108'!O45</f>
        <v>1</v>
      </c>
      <c r="P16" s="111">
        <f>'0108'!P45</f>
        <v>3</v>
      </c>
      <c r="Q16" s="111">
        <f>'0108'!Q45</f>
        <v>2</v>
      </c>
      <c r="Z16" s="72" t="s">
        <v>66</v>
      </c>
      <c r="AA16" s="64">
        <f t="shared" si="1"/>
        <v>28</v>
      </c>
      <c r="AB16" s="65">
        <f>IF($AA$6-Table1[[#This Row],[Missed Games]]=0, 0,Table1[[#This Row],[Points]]/($AA$6-Table1[[#This Row],[Missed Games]]))</f>
        <v>1.75</v>
      </c>
      <c r="AC16" s="66">
        <f t="shared" si="2"/>
        <v>11</v>
      </c>
      <c r="AD16" s="67">
        <f>IF($AA$6-Table1[[#This Row],[Missed Games]]=0, 0,Table1[[#This Row],[Finishes]]/($AA$6-Table1[[#This Row],[Missed Games]]))</f>
        <v>0.6875</v>
      </c>
      <c r="AE16" s="66">
        <f t="shared" si="3"/>
        <v>11</v>
      </c>
      <c r="AF16" s="67">
        <f>IF($AA$6-Table1[[#This Row],[Missed Games]]=0, 0,Table1[[#This Row],[Midranges]]/($AA$6-Table1[[#This Row],[Missed Games]]))</f>
        <v>0.6875</v>
      </c>
      <c r="AG16" s="66">
        <f t="shared" si="4"/>
        <v>3</v>
      </c>
      <c r="AH16" s="67">
        <f>IF($AA$6-Table1[[#This Row],[Missed Games]]=0, 0,Table1[[#This Row],[Threes]]/($AA$6-Table1[[#This Row],[Missed Games]]))</f>
        <v>0.1875</v>
      </c>
      <c r="AI16" s="63" t="str">
        <f>SfW!C11</f>
        <v>Loose Gooses</v>
      </c>
      <c r="AJ16" s="68">
        <f t="shared" si="5"/>
        <v>2</v>
      </c>
      <c r="AK16" s="62"/>
      <c r="AL16" s="62"/>
      <c r="AM16" s="62"/>
      <c r="AO16" s="36"/>
      <c r="AP16" s="18">
        <f>_xlfn.CEILING.MATH('[1]Stats Global'!R15*(20-$AA$5-$AJ16))</f>
        <v>22</v>
      </c>
      <c r="AQ16" s="27">
        <f>Table1[[#This Row],[Points]]/AP16</f>
        <v>1.2727272727272727</v>
      </c>
      <c r="AR16" s="128">
        <f>AP16-Table1[[#This Row],[Points]]</f>
        <v>-6</v>
      </c>
      <c r="AS16" s="134">
        <f>Table1[[#This Row],[Points]]/(20-AA$5-Table1[[#This Row],[Missed Games]])</f>
        <v>1.8666666666666667</v>
      </c>
      <c r="AT16" s="144">
        <f>Table1[[#This Row],[Average]]-'[1]Stats Global'!R15</f>
        <v>0.33823529411764697</v>
      </c>
      <c r="AU16" s="27">
        <f>(Table1[[#This Row],[Average]]-'[1]Stats Global'!R15)/'[1]Stats Global'!R15</f>
        <v>0.23958333333333326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0.93333333333333335</v>
      </c>
      <c r="BB16" s="16">
        <f>Table4[[#This Row],[Total A]]/$AX$6</f>
        <v>0.2</v>
      </c>
      <c r="BC16" s="16">
        <f>Table4[[#This Row],[Total S]]/$AX$6</f>
        <v>0.13333333333333333</v>
      </c>
    </row>
    <row r="17" spans="2:55" ht="14.25" customHeight="1" x14ac:dyDescent="0.45">
      <c r="B17" s="111" t="str">
        <f>'0208'!B45</f>
        <v>2-August</v>
      </c>
      <c r="C17" s="111">
        <f>'0208'!C45</f>
        <v>12</v>
      </c>
      <c r="D17" s="111">
        <f>'0208'!D45</f>
        <v>10</v>
      </c>
      <c r="E17" s="111">
        <f>'0208'!E45</f>
        <v>4</v>
      </c>
      <c r="F17" s="111">
        <f>'0208'!F45</f>
        <v>4</v>
      </c>
      <c r="G17" s="111">
        <f>'0208'!G45</f>
        <v>3</v>
      </c>
      <c r="H17" s="111">
        <f>'0208'!H45</f>
        <v>8</v>
      </c>
      <c r="I17" s="111">
        <f>'0208'!I45</f>
        <v>10</v>
      </c>
      <c r="J17" s="111">
        <f>'0208'!J45</f>
        <v>4</v>
      </c>
      <c r="K17" s="111">
        <f>'0208'!K45</f>
        <v>4</v>
      </c>
      <c r="L17" s="111">
        <f>'0208'!L45</f>
        <v>12</v>
      </c>
      <c r="M17" s="111">
        <f>'0208'!M45</f>
        <v>0</v>
      </c>
      <c r="N17" s="111">
        <f>'0208'!N45</f>
        <v>7</v>
      </c>
      <c r="O17" s="111">
        <f>'0208'!O45</f>
        <v>1</v>
      </c>
      <c r="P17" s="111">
        <f>'0208'!P45</f>
        <v>2</v>
      </c>
      <c r="Q17" s="111">
        <f>'0208'!Q45</f>
        <v>3</v>
      </c>
      <c r="Z17" s="72" t="s">
        <v>68</v>
      </c>
      <c r="AA17" s="64">
        <f t="shared" si="1"/>
        <v>59</v>
      </c>
      <c r="AB17" s="65">
        <f>IF($AA$6-Table1[[#This Row],[Missed Games]]=0, 0,Table1[[#This Row],[Points]]/($AA$6-Table1[[#This Row],[Missed Games]]))</f>
        <v>3.4705882352941178</v>
      </c>
      <c r="AC17" s="66">
        <f t="shared" si="2"/>
        <v>15</v>
      </c>
      <c r="AD17" s="67">
        <f>IF($AA$6-Table1[[#This Row],[Missed Games]]=0, 0,Table1[[#This Row],[Finishes]]/($AA$6-Table1[[#This Row],[Missed Games]]))</f>
        <v>0.88235294117647056</v>
      </c>
      <c r="AE17" s="66">
        <f t="shared" si="3"/>
        <v>34</v>
      </c>
      <c r="AF17" s="67">
        <f>IF($AA$6-Table1[[#This Row],[Missed Games]]=0, 0,Table1[[#This Row],[Midranges]]/($AA$6-Table1[[#This Row],[Missed Games]]))</f>
        <v>2</v>
      </c>
      <c r="AG17" s="66">
        <f t="shared" si="4"/>
        <v>5</v>
      </c>
      <c r="AH17" s="67">
        <f>IF($AA$6-Table1[[#This Row],[Missed Games]]=0, 0,Table1[[#This Row],[Threes]]/($AA$6-Table1[[#This Row],[Missed Games]]))</f>
        <v>0.29411764705882354</v>
      </c>
      <c r="AI17" s="63" t="str">
        <f>SfW!C12</f>
        <v>5 Musketeers</v>
      </c>
      <c r="AJ17" s="68">
        <f t="shared" si="5"/>
        <v>1</v>
      </c>
      <c r="AK17" s="62"/>
      <c r="AL17" s="62"/>
      <c r="AM17" s="62"/>
      <c r="AO17" s="36"/>
      <c r="AP17" s="18">
        <f>_xlfn.CEILING.MATH('[1]Stats Global'!R16*(20-$AA$5-$AJ17))</f>
        <v>41</v>
      </c>
      <c r="AQ17" s="27">
        <f>Table1[[#This Row],[Points]]/AP17</f>
        <v>1.4390243902439024</v>
      </c>
      <c r="AR17" s="128">
        <f>AP17-Table1[[#This Row],[Points]]</f>
        <v>-18</v>
      </c>
      <c r="AS17" s="134">
        <f>Table1[[#This Row],[Points]]/(20-AA$5-Table1[[#This Row],[Missed Games]])</f>
        <v>3.6875</v>
      </c>
      <c r="AT17" s="144">
        <f>Table1[[#This Row],[Average]]-'[1]Stats Global'!R16</f>
        <v>0.93725490196078454</v>
      </c>
      <c r="AU17" s="27">
        <f>(Table1[[#This Row],[Average]]-'[1]Stats Global'!R16)/'[1]Stats Global'!R16</f>
        <v>0.36996904024767813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0.93333333333333335</v>
      </c>
      <c r="BB17" s="16">
        <f>Table4[[#This Row],[Total A]]/$AX$6</f>
        <v>0.13333333333333333</v>
      </c>
      <c r="BC17" s="16">
        <f>Table4[[#This Row],[Total S]]/$AX$6</f>
        <v>0</v>
      </c>
    </row>
    <row r="18" spans="2:55" ht="14.25" customHeight="1" x14ac:dyDescent="0.45">
      <c r="B18" s="111" t="str">
        <f>'0308'!B45</f>
        <v>3-August</v>
      </c>
      <c r="C18" s="111">
        <f>'0308'!C45</f>
        <v>7</v>
      </c>
      <c r="D18" s="111">
        <f>'0308'!D45</f>
        <v>3</v>
      </c>
      <c r="E18" s="111">
        <f>'0308'!E45</f>
        <v>0</v>
      </c>
      <c r="F18" s="111">
        <f>'0308'!F45</f>
        <v>7</v>
      </c>
      <c r="G18" s="111">
        <f>'0308'!G45</f>
        <v>2</v>
      </c>
      <c r="H18" s="111">
        <f>'0308'!H45</f>
        <v>0</v>
      </c>
      <c r="I18" s="111">
        <f>'0308'!I45</f>
        <v>3</v>
      </c>
      <c r="J18" s="111">
        <f>'0308'!J45</f>
        <v>3</v>
      </c>
      <c r="K18" s="111">
        <f>'0308'!K45</f>
        <v>0</v>
      </c>
      <c r="L18" s="111">
        <f>'0308'!L45</f>
        <v>0</v>
      </c>
      <c r="M18" s="111">
        <f>'0308'!M45</f>
        <v>4</v>
      </c>
      <c r="N18" s="111">
        <f>'0308'!N45</f>
        <v>1</v>
      </c>
      <c r="O18" s="111">
        <f>'0308'!O45</f>
        <v>3</v>
      </c>
      <c r="P18" s="111">
        <f>'0308'!P45</f>
        <v>2</v>
      </c>
      <c r="Q18" s="111">
        <f>'0308'!Q45</f>
        <v>1</v>
      </c>
      <c r="Z18" s="174" t="s">
        <v>69</v>
      </c>
      <c r="AA18" s="175">
        <f t="shared" si="1"/>
        <v>10</v>
      </c>
      <c r="AB18" s="176">
        <f>IF($AA$6-Table1[[#This Row],[Missed Games]]=0, 0,Table1[[#This Row],[Points]]/($AA$6-Table1[[#This Row],[Missed Games]]))</f>
        <v>0.55555555555555558</v>
      </c>
      <c r="AC18" s="177">
        <f t="shared" si="2"/>
        <v>2</v>
      </c>
      <c r="AD18" s="178">
        <f>IF($AA$6-Table1[[#This Row],[Missed Games]]=0, 0,Table1[[#This Row],[Finishes]]/($AA$6-Table1[[#This Row],[Missed Games]]))</f>
        <v>0.1111111111111111</v>
      </c>
      <c r="AE18" s="177">
        <f t="shared" si="3"/>
        <v>8</v>
      </c>
      <c r="AF18" s="178">
        <f>IF($AA$6-Table1[[#This Row],[Missed Games]]=0, 0,Table1[[#This Row],[Midranges]]/($AA$6-Table1[[#This Row],[Missed Games]]))</f>
        <v>0.44444444444444442</v>
      </c>
      <c r="AG18" s="177">
        <f t="shared" si="4"/>
        <v>0</v>
      </c>
      <c r="AH18" s="178">
        <f>IF($AA$6-Table1[[#This Row],[Missed Games]]=0, 0,Table1[[#This Row],[Threes]]/($AA$6-Table1[[#This Row],[Missed Games]]))</f>
        <v>0</v>
      </c>
      <c r="AI18" s="174" t="str">
        <f>SfW!C13</f>
        <v>Wet Willies</v>
      </c>
      <c r="AJ18" s="179">
        <f t="shared" si="5"/>
        <v>0</v>
      </c>
      <c r="AK18" s="62"/>
      <c r="AL18" s="62"/>
      <c r="AM18" s="62"/>
      <c r="AO18" s="36"/>
      <c r="AP18" s="18">
        <f>_xlfn.CEILING.MATH('[1]Stats Global'!R17*(20-$AA$5-$AJ18))</f>
        <v>15</v>
      </c>
      <c r="AQ18" s="27">
        <f>Table1[[#This Row],[Points]]/AP18</f>
        <v>0.66666666666666663</v>
      </c>
      <c r="AR18" s="128">
        <f>AP18-Table1[[#This Row],[Points]]</f>
        <v>5</v>
      </c>
      <c r="AS18" s="134">
        <f>Table1[[#This Row],[Points]]/(20-AA$5-Table1[[#This Row],[Missed Games]])</f>
        <v>0.58823529411764708</v>
      </c>
      <c r="AT18" s="144">
        <f>Table1[[#This Row],[Average]]-'[1]Stats Global'!R17</f>
        <v>-0.31944444444444442</v>
      </c>
      <c r="AU18" s="27">
        <f>(Table1[[#This Row],[Average]]-'[1]Stats Global'!R17)/'[1]Stats Global'!R17</f>
        <v>-0.36507936507936506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6.6666666666666666E-2</v>
      </c>
      <c r="BB18" s="16">
        <f>Table4[[#This Row],[Total A]]/$AX$6</f>
        <v>0</v>
      </c>
      <c r="BC18" s="16">
        <f>Table4[[#This Row],[Total S]]/$AX$6</f>
        <v>0.33333333333333331</v>
      </c>
    </row>
    <row r="19" spans="2:55" ht="14.25" customHeight="1" x14ac:dyDescent="0.45">
      <c r="B19" s="147" t="str">
        <f>'0808'!B45</f>
        <v>8-August</v>
      </c>
      <c r="C19" s="147">
        <f>'0808'!C45</f>
        <v>17</v>
      </c>
      <c r="D19" s="147">
        <f>'0808'!D45</f>
        <v>1</v>
      </c>
      <c r="E19" s="147">
        <f>'0808'!E45</f>
        <v>1</v>
      </c>
      <c r="F19" s="147">
        <f>'0808'!F45</f>
        <v>1</v>
      </c>
      <c r="G19" s="147">
        <f>'0808'!G45</f>
        <v>1</v>
      </c>
      <c r="H19" s="147">
        <f>'0808'!H45</f>
        <v>8</v>
      </c>
      <c r="I19" s="147">
        <f>'0808'!I45</f>
        <v>1</v>
      </c>
      <c r="J19" s="147">
        <f>'0808'!J45</f>
        <v>0</v>
      </c>
      <c r="K19" s="147">
        <f>'0808'!K45</f>
        <v>9</v>
      </c>
      <c r="L19" s="147">
        <f>'0808'!L45</f>
        <v>17</v>
      </c>
      <c r="M19" s="147">
        <f>'0808'!M45</f>
        <v>1</v>
      </c>
      <c r="N19" s="147">
        <f>'0808'!N45</f>
        <v>0</v>
      </c>
      <c r="O19" s="147">
        <f>'0808'!O45</f>
        <v>1</v>
      </c>
      <c r="P19" s="147">
        <f>'0808'!P45</f>
        <v>2</v>
      </c>
      <c r="Q19" s="147">
        <f>'0808'!Q45</f>
        <v>3</v>
      </c>
      <c r="Z19" s="174" t="s">
        <v>200</v>
      </c>
      <c r="AA19" s="175">
        <f t="shared" si="1"/>
        <v>1</v>
      </c>
      <c r="AB19" s="176">
        <f>IF($AA$6-Table1[[#This Row],[Missed Games]]=0, 0,Table1[[#This Row],[Points]]/($AA$6-Table1[[#This Row],[Missed Games]]))</f>
        <v>0.14285714285714285</v>
      </c>
      <c r="AC19" s="177">
        <f t="shared" si="2"/>
        <v>0</v>
      </c>
      <c r="AD19" s="178">
        <f>IF($AA$6-Table1[[#This Row],[Missed Games]]=0, 0,Table1[[#This Row],[Finishes]]/($AA$6-Table1[[#This Row],[Missed Games]]))</f>
        <v>0</v>
      </c>
      <c r="AE19" s="177">
        <f t="shared" si="3"/>
        <v>1</v>
      </c>
      <c r="AF19" s="178">
        <f>IF($AA$6-Table1[[#This Row],[Missed Games]]=0, 0,Table1[[#This Row],[Midranges]]/($AA$6-Table1[[#This Row],[Missed Games]]))</f>
        <v>0.14285714285714285</v>
      </c>
      <c r="AG19" s="177">
        <f t="shared" si="4"/>
        <v>0</v>
      </c>
      <c r="AH19" s="178">
        <f>IF($AA$6-Table1[[#This Row],[Missed Games]]=0, 0,Table1[[#This Row],[Threes]]/($AA$6-Table1[[#This Row],[Missed Games]]))</f>
        <v>0</v>
      </c>
      <c r="AI19" s="174" t="s">
        <v>31</v>
      </c>
      <c r="AJ19" s="179">
        <f t="shared" si="5"/>
        <v>11</v>
      </c>
      <c r="AK19" s="62"/>
      <c r="AL19" s="62"/>
      <c r="AM19" s="62"/>
      <c r="AO19" s="36"/>
      <c r="AP19" s="18">
        <v>0</v>
      </c>
      <c r="AQ19" s="27">
        <v>1</v>
      </c>
      <c r="AR19" s="128">
        <f>AP19-Table1[[#This Row],[Points]]</f>
        <v>-1</v>
      </c>
      <c r="AS19" s="134">
        <f>Table1[[#This Row],[Points]]/(20-AA$5-Table1[[#This Row],[Missed Games]])</f>
        <v>0.16666666666666666</v>
      </c>
      <c r="AT19" s="144">
        <v>0</v>
      </c>
      <c r="AU19" s="38">
        <v>0</v>
      </c>
      <c r="AW19" s="2" t="s">
        <v>200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0.2</v>
      </c>
      <c r="BB19" s="16">
        <f>Table4[[#This Row],[Total A]]/$AX$6</f>
        <v>6.6666666666666666E-2</v>
      </c>
      <c r="BC19" s="16">
        <f>Table4[[#This Row],[Total S]]/$AX$6</f>
        <v>0</v>
      </c>
    </row>
    <row r="20" spans="2:55" ht="14.25" customHeight="1" x14ac:dyDescent="0.45">
      <c r="B20" s="147" t="str">
        <f>'0908'!B45</f>
        <v>9-August</v>
      </c>
      <c r="C20" s="147">
        <f>'0908'!C45</f>
        <v>8</v>
      </c>
      <c r="D20" s="147">
        <f>'0908'!D45</f>
        <v>3</v>
      </c>
      <c r="E20" s="147">
        <f>'0908'!E45</f>
        <v>2</v>
      </c>
      <c r="F20" s="147">
        <f>'0908'!F45</f>
        <v>3</v>
      </c>
      <c r="G20" s="147">
        <f>'0908'!G45</f>
        <v>1</v>
      </c>
      <c r="H20" s="147">
        <f>'0908'!H45</f>
        <v>4</v>
      </c>
      <c r="I20" s="147">
        <f>'0908'!I45</f>
        <v>2</v>
      </c>
      <c r="J20" s="147">
        <f>'0908'!J45</f>
        <v>1</v>
      </c>
      <c r="K20" s="147">
        <f>'0908'!K45</f>
        <v>4</v>
      </c>
      <c r="L20" s="147">
        <f>'0908'!L45</f>
        <v>8</v>
      </c>
      <c r="M20" s="147">
        <f>'0908'!M45</f>
        <v>2</v>
      </c>
      <c r="N20" s="147">
        <f>'0908'!N45</f>
        <v>1</v>
      </c>
      <c r="O20" s="147">
        <f>'0908'!O45</f>
        <v>2</v>
      </c>
      <c r="P20" s="147">
        <f>'0908'!P45</f>
        <v>1</v>
      </c>
      <c r="Q20" s="147">
        <f>'0908'!Q45</f>
        <v>3</v>
      </c>
      <c r="Z20" s="174" t="s">
        <v>128</v>
      </c>
      <c r="AA20" s="175">
        <f t="shared" si="1"/>
        <v>12</v>
      </c>
      <c r="AB20" s="176">
        <f>IF($AA$6-Table1[[#This Row],[Missed Games]]=0, 0,Table1[[#This Row],[Points]]/($AA$6-Table1[[#This Row],[Missed Games]]))</f>
        <v>0.8</v>
      </c>
      <c r="AC20" s="177">
        <f t="shared" si="2"/>
        <v>9</v>
      </c>
      <c r="AD20" s="180">
        <f>IF($AA$6-Table1[[#This Row],[Missed Games]]=0, 0,Table1[[#This Row],[Finishes]]/($AA$6-Table1[[#This Row],[Missed Games]]))</f>
        <v>0.6</v>
      </c>
      <c r="AE20" s="177">
        <f t="shared" si="3"/>
        <v>1</v>
      </c>
      <c r="AF20" s="180">
        <f>IF($AA$6-Table1[[#This Row],[Missed Games]]=0, 0,Table1[[#This Row],[Midranges]]/($AA$6-Table1[[#This Row],[Missed Games]]))</f>
        <v>6.6666666666666666E-2</v>
      </c>
      <c r="AG20" s="177">
        <f t="shared" si="4"/>
        <v>1</v>
      </c>
      <c r="AH20" s="180">
        <f>IF($AA$6-Table1[[#This Row],[Missed Games]]=0, 0,Table1[[#This Row],[Threes]]/($AA$6-Table1[[#This Row],[Missed Games]]))</f>
        <v>6.6666666666666666E-2</v>
      </c>
      <c r="AI20" s="174" t="str">
        <f>SfW!C15</f>
        <v>Wet Willies</v>
      </c>
      <c r="AJ20" s="179">
        <f t="shared" si="5"/>
        <v>3</v>
      </c>
      <c r="AK20" s="62"/>
      <c r="AL20" s="62"/>
      <c r="AM20" s="62"/>
      <c r="AO20" s="36"/>
      <c r="AP20" s="18">
        <f>_xlfn.CEILING.MATH('[1]Stats Global'!R18*(20-$AA$5-$AJ20))</f>
        <v>15</v>
      </c>
      <c r="AQ20" s="27">
        <f>Table1[[#This Row],[Points]]/AP20</f>
        <v>0.8</v>
      </c>
      <c r="AR20" s="128">
        <f>AP20-Table1[[#This Row],[Points]]</f>
        <v>3</v>
      </c>
      <c r="AS20" s="134">
        <f>Table1[[#This Row],[Points]]/(20-AA$5-Table1[[#This Row],[Missed Games]])</f>
        <v>0.8571428571428571</v>
      </c>
      <c r="AT20" s="144">
        <f>Table1[[#This Row],[Average]]-'[1]Stats Global'!R18</f>
        <v>-0.26666666666666661</v>
      </c>
      <c r="AU20" s="27">
        <f>(Table1[[#This Row],[Average]]-'[1]Stats Global'!R18)/'[1]Stats Global'!R18</f>
        <v>-0.24999999999999994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0.53333333333333333</v>
      </c>
      <c r="BB20" s="16">
        <f>Table4[[#This Row],[Total A]]/$AX$6</f>
        <v>6.6666666666666666E-2</v>
      </c>
      <c r="BC20" s="16">
        <f>Table4[[#This Row],[Total S]]/$AX$6</f>
        <v>0.2</v>
      </c>
    </row>
    <row r="21" spans="2:55" ht="14.25" customHeight="1" x14ac:dyDescent="0.45">
      <c r="B21" s="147" t="str">
        <f>'1008'!B45</f>
        <v>10-August</v>
      </c>
      <c r="C21" s="147">
        <f>'1008'!C45</f>
        <v>12</v>
      </c>
      <c r="D21" s="147">
        <f>'1008'!D45</f>
        <v>10</v>
      </c>
      <c r="E21" s="147">
        <f>'1008'!E45</f>
        <v>0</v>
      </c>
      <c r="F21" s="147">
        <f>'1008'!F45</f>
        <v>10</v>
      </c>
      <c r="G21" s="147">
        <f>'1008'!G45</f>
        <v>6</v>
      </c>
      <c r="H21" s="147">
        <f>'1008'!H45</f>
        <v>0</v>
      </c>
      <c r="I21" s="147">
        <f>'1008'!I45</f>
        <v>12</v>
      </c>
      <c r="J21" s="147">
        <f>'1008'!J45</f>
        <v>4</v>
      </c>
      <c r="K21" s="147">
        <f>'1008'!K45</f>
        <v>0</v>
      </c>
      <c r="L21" s="147">
        <f>'1008'!L45</f>
        <v>0</v>
      </c>
      <c r="M21" s="147">
        <f>'1008'!M45</f>
        <v>4</v>
      </c>
      <c r="N21" s="147">
        <f>'1008'!N45</f>
        <v>6</v>
      </c>
      <c r="O21" s="147">
        <f>'1008'!O45</f>
        <v>2</v>
      </c>
      <c r="P21" s="147">
        <f>'1008'!P45</f>
        <v>3</v>
      </c>
      <c r="Q21" s="147">
        <f>'1008'!Q45</f>
        <v>1</v>
      </c>
      <c r="Z21" s="174" t="s">
        <v>127</v>
      </c>
      <c r="AA21" s="175">
        <f t="shared" si="1"/>
        <v>20</v>
      </c>
      <c r="AB21" s="176">
        <f>IF($AA$6-Table1[[#This Row],[Missed Games]]=0, 0,Table1[[#This Row],[Points]]/($AA$6-Table1[[#This Row],[Missed Games]]))</f>
        <v>1.1111111111111112</v>
      </c>
      <c r="AC21" s="177">
        <f t="shared" si="2"/>
        <v>13</v>
      </c>
      <c r="AD21" s="180">
        <f>IF($AA$6-Table1[[#This Row],[Missed Games]]=0, 0,Table1[[#This Row],[Finishes]]/($AA$6-Table1[[#This Row],[Missed Games]]))</f>
        <v>0.72222222222222221</v>
      </c>
      <c r="AE21" s="177">
        <f t="shared" si="3"/>
        <v>5</v>
      </c>
      <c r="AF21" s="180">
        <f>IF($AA$6-Table1[[#This Row],[Missed Games]]=0, 0,Table1[[#This Row],[Midranges]]/($AA$6-Table1[[#This Row],[Missed Games]]))</f>
        <v>0.27777777777777779</v>
      </c>
      <c r="AG21" s="177">
        <f t="shared" si="4"/>
        <v>1</v>
      </c>
      <c r="AH21" s="180">
        <f>IF($AA$6-Table1[[#This Row],[Missed Games]]=0, 0,Table1[[#This Row],[Threes]]/($AA$6-Table1[[#This Row],[Missed Games]]))</f>
        <v>5.5555555555555552E-2</v>
      </c>
      <c r="AI21" s="174" t="str">
        <f>SfW!C16</f>
        <v>Loose Gooses</v>
      </c>
      <c r="AJ21" s="179">
        <f t="shared" si="5"/>
        <v>0</v>
      </c>
      <c r="AK21" s="62"/>
      <c r="AL21" s="62"/>
      <c r="AM21" s="62"/>
      <c r="AO21" s="36"/>
      <c r="AP21" s="18">
        <f>_xlfn.CEILING.MATH('[1]Stats Global'!R19*(20-$AA$5-$AJ21))</f>
        <v>18</v>
      </c>
      <c r="AQ21" s="27">
        <f>Table1[[#This Row],[Points]]/AP21</f>
        <v>1.1111111111111112</v>
      </c>
      <c r="AR21" s="128">
        <f>AP21-Table1[[#This Row],[Points]]</f>
        <v>-2</v>
      </c>
      <c r="AS21" s="134">
        <f>Table1[[#This Row],[Points]]/(20-AA$5-Table1[[#This Row],[Missed Games]])</f>
        <v>1.1764705882352942</v>
      </c>
      <c r="AT21" s="144">
        <f>Table1[[#This Row],[Average]]-'[1]Stats Global'!R19</f>
        <v>5.2287581699346442E-2</v>
      </c>
      <c r="AU21" s="27">
        <f>(Table1[[#This Row],[Average]]-'[1]Stats Global'!R19)/'[1]Stats Global'!R19</f>
        <v>4.9382716049382748E-2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0.8</v>
      </c>
      <c r="BB21" s="16">
        <f>Table4[[#This Row],[Total A]]/$AX$6</f>
        <v>0.13333333333333333</v>
      </c>
      <c r="BC21" s="16">
        <f>Table4[[#This Row],[Total S]]/$AX$6</f>
        <v>0.13333333333333333</v>
      </c>
    </row>
    <row r="22" spans="2:55" ht="14.25" customHeight="1" x14ac:dyDescent="0.45">
      <c r="B22" s="111" t="str">
        <f>'1408'!B45</f>
        <v>14-August</v>
      </c>
      <c r="C22" s="111">
        <f>'1408'!C45</f>
        <v>7</v>
      </c>
      <c r="D22" s="111">
        <f>'1408'!D45</f>
        <v>4</v>
      </c>
      <c r="E22" s="111">
        <f>'1408'!E45</f>
        <v>2</v>
      </c>
      <c r="F22" s="111">
        <f>'1408'!F45</f>
        <v>2</v>
      </c>
      <c r="G22" s="111">
        <f>'1408'!G45</f>
        <v>2</v>
      </c>
      <c r="H22" s="111">
        <f>'1408'!H45</f>
        <v>3</v>
      </c>
      <c r="I22" s="111">
        <f>'1408'!I45</f>
        <v>4</v>
      </c>
      <c r="J22" s="111">
        <f>'1408'!J45</f>
        <v>1</v>
      </c>
      <c r="K22" s="111">
        <f>'1408'!K45</f>
        <v>4</v>
      </c>
      <c r="L22" s="111">
        <f>'1408'!L45</f>
        <v>7</v>
      </c>
      <c r="M22" s="111">
        <f>'1408'!M45</f>
        <v>1</v>
      </c>
      <c r="N22" s="111">
        <f>'1408'!N45</f>
        <v>2</v>
      </c>
      <c r="O22" s="111">
        <f>'1408'!O45</f>
        <v>1</v>
      </c>
      <c r="P22" s="111">
        <f>'1408'!P45</f>
        <v>2</v>
      </c>
      <c r="Q22" s="111">
        <f>'1408'!Q45</f>
        <v>3</v>
      </c>
      <c r="Z22" s="108" t="s">
        <v>73</v>
      </c>
      <c r="AA22" s="64">
        <f t="shared" si="1"/>
        <v>44</v>
      </c>
      <c r="AB22" s="65">
        <f>IF($AA$6-Table1[[#This Row],[Missed Games]]=0, 0,Table1[[#This Row],[Points]]/($AA$6-Table1[[#This Row],[Missed Games]]))</f>
        <v>2.5882352941176472</v>
      </c>
      <c r="AC22" s="66">
        <f t="shared" si="2"/>
        <v>22</v>
      </c>
      <c r="AD22" s="109">
        <f>IF($AA$6-Table1[[#This Row],[Missed Games]]=0, 0,Table1[[#This Row],[Finishes]]/($AA$6-Table1[[#This Row],[Missed Games]]))</f>
        <v>1.2941176470588236</v>
      </c>
      <c r="AE22" s="66">
        <f t="shared" si="3"/>
        <v>8</v>
      </c>
      <c r="AF22" s="109">
        <f>IF($AA$6-Table1[[#This Row],[Missed Games]]=0, 0,Table1[[#This Row],[Midranges]]/($AA$6-Table1[[#This Row],[Missed Games]]))</f>
        <v>0.47058823529411764</v>
      </c>
      <c r="AG22" s="66">
        <f t="shared" si="4"/>
        <v>7</v>
      </c>
      <c r="AH22" s="109">
        <f>IF($AA$6-Table1[[#This Row],[Missed Games]]=0, 0,Table1[[#This Row],[Threes]]/($AA$6-Table1[[#This Row],[Missed Games]]))</f>
        <v>0.41176470588235292</v>
      </c>
      <c r="AI22" s="108" t="str">
        <f>SfW!C17</f>
        <v>Loose Gooses</v>
      </c>
      <c r="AJ22" s="68">
        <f t="shared" si="5"/>
        <v>1</v>
      </c>
      <c r="AK22" s="62"/>
      <c r="AL22" s="62"/>
      <c r="AM22" s="62"/>
      <c r="AO22" s="36"/>
      <c r="AP22" s="18">
        <f>_xlfn.CEILING.MATH('[1]Stats Global'!R20*(20-$AA$5-$AJ22))</f>
        <v>39</v>
      </c>
      <c r="AQ22" s="27">
        <f>Table1[[#This Row],[Points]]/AP22</f>
        <v>1.1282051282051282</v>
      </c>
      <c r="AR22" s="128">
        <f>AP22-Table1[[#This Row],[Points]]</f>
        <v>-5</v>
      </c>
      <c r="AS22" s="134">
        <f>Table1[[#This Row],[Points]]/(20-AA$5-Table1[[#This Row],[Missed Games]])</f>
        <v>2.75</v>
      </c>
      <c r="AT22" s="144">
        <f>Table1[[#This Row],[Average]]-'[1]Stats Global'!R20</f>
        <v>0.15966386554621881</v>
      </c>
      <c r="AU22" s="27">
        <f>(Table1[[#This Row],[Average]]-'[1]Stats Global'!R20)/'[1]Stats Global'!R20</f>
        <v>6.5743944636678334E-2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0.73333333333333328</v>
      </c>
      <c r="BB22" s="16">
        <f>Table4[[#This Row],[Total A]]/$AX$6</f>
        <v>0.46666666666666667</v>
      </c>
      <c r="BC22" s="16">
        <f>Table4[[#This Row],[Total S]]/$AX$6</f>
        <v>0.2</v>
      </c>
    </row>
    <row r="23" spans="2:55" ht="14.25" customHeight="1" x14ac:dyDescent="0.45">
      <c r="B23" s="111" t="str">
        <f>'1508'!B45</f>
        <v>15-August</v>
      </c>
      <c r="C23" s="111">
        <f>'1508'!C45</f>
        <v>20</v>
      </c>
      <c r="D23" s="111">
        <f>'1508'!D45</f>
        <v>5</v>
      </c>
      <c r="E23" s="111">
        <f>'1508'!E45</f>
        <v>5</v>
      </c>
      <c r="F23" s="111">
        <f>'1508'!F45</f>
        <v>5</v>
      </c>
      <c r="G23" s="111">
        <f>'1508'!G45</f>
        <v>5</v>
      </c>
      <c r="H23" s="111">
        <f>'1508'!H45</f>
        <v>8</v>
      </c>
      <c r="I23" s="111">
        <f>'1508'!I45</f>
        <v>5</v>
      </c>
      <c r="J23" s="111">
        <f>'1508'!J45</f>
        <v>0</v>
      </c>
      <c r="K23" s="111">
        <f>'1508'!K45</f>
        <v>12</v>
      </c>
      <c r="L23" s="111">
        <f>'1508'!L45</f>
        <v>20</v>
      </c>
      <c r="M23" s="111">
        <f>'1508'!M45</f>
        <v>5</v>
      </c>
      <c r="N23" s="111">
        <f>'1508'!N45</f>
        <v>0</v>
      </c>
      <c r="O23" s="111">
        <f>'1508'!O45</f>
        <v>1</v>
      </c>
      <c r="P23" s="111">
        <f>'1508'!P45</f>
        <v>2</v>
      </c>
      <c r="Q23" s="111">
        <f>'1508'!Q45</f>
        <v>3</v>
      </c>
      <c r="Z23" s="181" t="s">
        <v>74</v>
      </c>
      <c r="AA23" s="175">
        <f t="shared" si="1"/>
        <v>1</v>
      </c>
      <c r="AB23" s="182">
        <f>IF($AA$6-Table1[[#This Row],[Missed Games]]=0, 0,Table1[[#This Row],[Points]]/($AA$6-Table1[[#This Row],[Missed Games]]))</f>
        <v>5.5555555555555552E-2</v>
      </c>
      <c r="AC23" s="177">
        <f t="shared" si="2"/>
        <v>0</v>
      </c>
      <c r="AD23" s="183">
        <f>IF($AA$6-Table1[[#This Row],[Missed Games]]=0, 0,Table1[[#This Row],[Finishes]]/($AA$6-Table1[[#This Row],[Missed Games]]))</f>
        <v>0</v>
      </c>
      <c r="AE23" s="177">
        <f t="shared" si="3"/>
        <v>1</v>
      </c>
      <c r="AF23" s="183">
        <f>IF($AA$6-Table1[[#This Row],[Missed Games]]=0, 0,Table1[[#This Row],[Midranges]]/($AA$6-Table1[[#This Row],[Missed Games]]))</f>
        <v>5.5555555555555552E-2</v>
      </c>
      <c r="AG23" s="177">
        <f t="shared" si="4"/>
        <v>0</v>
      </c>
      <c r="AH23" s="183">
        <f>IF($AA$6-Table1[[#This Row],[Missed Games]]=0, 0,Table1[[#This Row],[Threes]]/($AA$6-Table1[[#This Row],[Missed Games]]))</f>
        <v>0</v>
      </c>
      <c r="AI23" s="181" t="str">
        <f>SfW!C18</f>
        <v>5 Musketeers</v>
      </c>
      <c r="AJ23" s="179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2</v>
      </c>
      <c r="AQ23" s="27">
        <f>Table1[[#This Row],[Points]]/AP23</f>
        <v>0.5</v>
      </c>
      <c r="AR23" s="128">
        <f>AP23-Table1[[#This Row],[Points]]</f>
        <v>1</v>
      </c>
      <c r="AS23" s="134">
        <f>Table1[[#This Row],[Points]]/(20-AA$5-Table1[[#This Row],[Missed Games]])</f>
        <v>5.8823529411764705E-2</v>
      </c>
      <c r="AT23" s="144">
        <f>Table1[[#This Row],[Average]]-'[1]Stats Global'!R21</f>
        <v>-6.2091503267973858E-2</v>
      </c>
      <c r="AU23" s="27">
        <f>(Table1[[#This Row],[Average]]-'[1]Stats Global'!R21)/'[1]Stats Global'!R21</f>
        <v>-0.52777777777777779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0.26666666666666666</v>
      </c>
      <c r="BB23" s="16">
        <f>Table4[[#This Row],[Total A]]/$AX$6</f>
        <v>6.6666666666666666E-2</v>
      </c>
      <c r="BC23" s="16">
        <f>Table4[[#This Row],[Total S]]/$AX$6</f>
        <v>0.13333333333333333</v>
      </c>
    </row>
    <row r="24" spans="2:55" ht="14.25" customHeight="1" x14ac:dyDescent="0.45">
      <c r="B24" s="111" t="str">
        <f>'1708'!B45</f>
        <v>17-August</v>
      </c>
      <c r="C24" s="111">
        <f>'1708'!C45</f>
        <v>7</v>
      </c>
      <c r="D24" s="111">
        <f>'1708'!D45</f>
        <v>5</v>
      </c>
      <c r="E24" s="111">
        <f>'1708'!E45</f>
        <v>4</v>
      </c>
      <c r="F24" s="111">
        <f>'1708'!F45</f>
        <v>4</v>
      </c>
      <c r="G24" s="111">
        <f>'1708'!G45</f>
        <v>3</v>
      </c>
      <c r="H24" s="111">
        <f>'1708'!H45</f>
        <v>3</v>
      </c>
      <c r="I24" s="111">
        <f>'1708'!I45</f>
        <v>7</v>
      </c>
      <c r="J24" s="111">
        <f>'1708'!J45</f>
        <v>2</v>
      </c>
      <c r="K24" s="111">
        <f>'1708'!K45</f>
        <v>2</v>
      </c>
      <c r="L24" s="111">
        <f>'1708'!L45</f>
        <v>5</v>
      </c>
      <c r="M24" s="111">
        <f>'1708'!M45</f>
        <v>2</v>
      </c>
      <c r="N24" s="111">
        <f>'1708'!N45</f>
        <v>4</v>
      </c>
      <c r="O24" s="111">
        <f>'1708'!O45</f>
        <v>1</v>
      </c>
      <c r="P24" s="111">
        <f>'1708'!P45</f>
        <v>3</v>
      </c>
      <c r="Q24" s="111">
        <f>'1708'!Q45</f>
        <v>2</v>
      </c>
      <c r="Z24" s="174" t="s">
        <v>75</v>
      </c>
      <c r="AA24" s="175">
        <f t="shared" si="1"/>
        <v>6</v>
      </c>
      <c r="AB24" s="176">
        <f>IF($AA$6-Table1[[#This Row],[Missed Games]]=0, 0,Table1[[#This Row],[Points]]/($AA$6-Table1[[#This Row],[Missed Games]]))</f>
        <v>0.5</v>
      </c>
      <c r="AC24" s="177">
        <f t="shared" si="2"/>
        <v>4</v>
      </c>
      <c r="AD24" s="178">
        <f>IF($AA$6-Table1[[#This Row],[Missed Games]]=0, 0,Table1[[#This Row],[Finishes]]/($AA$6-Table1[[#This Row],[Missed Games]]))</f>
        <v>0.33333333333333331</v>
      </c>
      <c r="AE24" s="177">
        <f t="shared" si="3"/>
        <v>0</v>
      </c>
      <c r="AF24" s="178">
        <f>IF($AA$6-Table1[[#This Row],[Missed Games]]=0, 0,Table1[[#This Row],[Midranges]]/($AA$6-Table1[[#This Row],[Missed Games]]))</f>
        <v>0</v>
      </c>
      <c r="AG24" s="177">
        <f t="shared" si="4"/>
        <v>1</v>
      </c>
      <c r="AH24" s="178">
        <f>IF($AA$6-Table1[[#This Row],[Missed Games]]=0, 0,Table1[[#This Row],[Threes]]/($AA$6-Table1[[#This Row],[Missed Games]]))</f>
        <v>8.3333333333333329E-2</v>
      </c>
      <c r="AI24" s="174" t="str">
        <f>SfW!C19</f>
        <v>Wet Willies</v>
      </c>
      <c r="AJ24" s="179">
        <f t="shared" si="5"/>
        <v>6</v>
      </c>
      <c r="AL24" s="43"/>
      <c r="AM24" s="44"/>
      <c r="AN24" s="4"/>
      <c r="AP24" s="18">
        <f>_xlfn.CEILING.MATH('[1]Stats Global'!R22*(20-$AA$5-$AJ24))</f>
        <v>8</v>
      </c>
      <c r="AQ24" s="27">
        <f>Table1[[#This Row],[Points]]/AP24</f>
        <v>0.75</v>
      </c>
      <c r="AR24" s="128">
        <f>AP24-Table1[[#This Row],[Points]]</f>
        <v>2</v>
      </c>
      <c r="AS24" s="134">
        <f>Table1[[#This Row],[Points]]/(20-AA$5-Table1[[#This Row],[Missed Games]])</f>
        <v>0.54545454545454541</v>
      </c>
      <c r="AT24" s="144">
        <f>Table1[[#This Row],[Average]]-'[1]Stats Global'!R22</f>
        <v>-0.1470588235294118</v>
      </c>
      <c r="AU24" s="27">
        <f>(Table1[[#This Row],[Average]]-'[1]Stats Global'!R22)/'[1]Stats Global'!R22</f>
        <v>-0.22727272727272732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6.6666666666666666E-2</v>
      </c>
    </row>
    <row r="25" spans="2:55" ht="14.25" customHeight="1" x14ac:dyDescent="0.45">
      <c r="B25" s="111" t="str">
        <f>'Finals 1'!B45</f>
        <v>21-August</v>
      </c>
      <c r="C25" s="111">
        <f>'Finals 1'!C45</f>
        <v>0</v>
      </c>
      <c r="D25" s="111">
        <f>'Finals 1'!D45</f>
        <v>0</v>
      </c>
      <c r="E25" s="111">
        <f>'Finals 1'!E45</f>
        <v>0</v>
      </c>
      <c r="F25" s="111">
        <f>'Finals 1'!F45</f>
        <v>0</v>
      </c>
      <c r="G25" s="111">
        <f>'Finals 1'!G45</f>
        <v>0</v>
      </c>
      <c r="H25" s="111">
        <f>'Finals 1'!H45</f>
        <v>0</v>
      </c>
      <c r="I25" s="111">
        <f>'Finals 1'!I45</f>
        <v>0</v>
      </c>
      <c r="J25" s="111">
        <f>'Finals 1'!J45</f>
        <v>0</v>
      </c>
      <c r="K25" s="111">
        <f>'Finals 1'!K45</f>
        <v>0</v>
      </c>
      <c r="L25" s="111">
        <f>'Finals 1'!L45</f>
        <v>0</v>
      </c>
      <c r="M25" s="111">
        <f>'Finals 1'!M45</f>
        <v>0</v>
      </c>
      <c r="N25" s="111">
        <f>'Finals 1'!N45</f>
        <v>0</v>
      </c>
      <c r="O25" s="111">
        <f>'Finals 1'!O45</f>
        <v>0</v>
      </c>
      <c r="P25" s="111">
        <f>'Finals 1'!P45</f>
        <v>0</v>
      </c>
      <c r="Q25" s="111">
        <f>'Finals 1'!Q45</f>
        <v>0</v>
      </c>
      <c r="AB25" s="17"/>
      <c r="AP25" s="17"/>
      <c r="AQ25" s="27"/>
    </row>
    <row r="26" spans="2:55" ht="14.25" customHeight="1" x14ac:dyDescent="0.45"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3"/>
      <c r="S30" s="95" t="s">
        <v>182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0">
        <f>AB30/($AA$27-Table2[[#This Row],[Missed Games]])</f>
        <v>0.33333333333333331</v>
      </c>
      <c r="AG30" s="33">
        <f>AC30/($AA$27-Table2[[#This Row],[Missed Games]])</f>
        <v>0.33333333333333331</v>
      </c>
      <c r="AH30" s="120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3"/>
      <c r="S31" s="95" t="s">
        <v>183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0">
        <f>AB31/($AA$27-Table2[[#This Row],[Missed Games]])</f>
        <v>5</v>
      </c>
      <c r="AG31" s="33">
        <f>AC31/($AA$27-Table2[[#This Row],[Missed Games]])</f>
        <v>0</v>
      </c>
      <c r="AH31" s="120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S32" s="95" t="s">
        <v>184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0" t="e">
        <f>AB32/($AA$27-Table2[[#This Row],[Missed Games]])</f>
        <v>#DIV/0!</v>
      </c>
      <c r="AG32" s="33" t="e">
        <f>AC32/($AA$27-Table2[[#This Row],[Missed Games]])</f>
        <v>#DIV/0!</v>
      </c>
      <c r="AH32" s="120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S33" s="95" t="s">
        <v>185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0">
        <f>AB33/($AA$27-Table2[[#This Row],[Missed Games]])</f>
        <v>0</v>
      </c>
      <c r="AG33" s="33">
        <f>AC33/($AA$27-Table2[[#This Row],[Missed Games]])</f>
        <v>0.33333333333333331</v>
      </c>
      <c r="AH33" s="120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S34" s="95" t="s">
        <v>186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0">
        <f>AB34/($AA$27-Table2[[#This Row],[Missed Games]])</f>
        <v>0.33333333333333331</v>
      </c>
      <c r="AG34" s="33">
        <f>AC34/($AA$27-Table2[[#This Row],[Missed Games]])</f>
        <v>0</v>
      </c>
      <c r="AH34" s="120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S35" s="95" t="s">
        <v>187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0">
        <f>AB35/($AA$27-Table2[[#This Row],[Missed Games]])</f>
        <v>0.33333333333333331</v>
      </c>
      <c r="AG35" s="33">
        <f>AC35/($AA$27-Table2[[#This Row],[Missed Games]])</f>
        <v>0.33333333333333331</v>
      </c>
      <c r="AH35" s="120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S36" s="95" t="s">
        <v>188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0">
        <f>AB36/($AA$27-Table2[[#This Row],[Missed Games]])</f>
        <v>0</v>
      </c>
      <c r="AG36" s="33">
        <f>AC36/($AA$27-Table2[[#This Row],[Missed Games]])</f>
        <v>0</v>
      </c>
      <c r="AH36" s="120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0">
        <f>AB37/($AA$27-Table2[[#This Row],[Missed Games]])</f>
        <v>0.33333333333333331</v>
      </c>
      <c r="AG37" s="33">
        <f>AC37/($AA$27-Table2[[#This Row],[Missed Games]])</f>
        <v>0.66666666666666663</v>
      </c>
      <c r="AH37" s="120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0">
        <f>AB38/($AA$27-Table2[[#This Row],[Missed Games]])</f>
        <v>0.33333333333333331</v>
      </c>
      <c r="AG38" s="33">
        <f>AC38/($AA$27-Table2[[#This Row],[Missed Games]])</f>
        <v>3</v>
      </c>
      <c r="AH38" s="120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0">
        <f>AB39/($AA$27-Table2[[#This Row],[Missed Games]])</f>
        <v>0</v>
      </c>
      <c r="AG39" s="33">
        <f>AC39/($AA$27-Table2[[#This Row],[Missed Games]])</f>
        <v>0</v>
      </c>
      <c r="AH39" s="120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3" t="s">
        <v>116</v>
      </c>
      <c r="U40" t="s">
        <v>227</v>
      </c>
      <c r="V40" t="s">
        <v>228</v>
      </c>
      <c r="W40" t="s">
        <v>229</v>
      </c>
      <c r="X40" t="s">
        <v>234</v>
      </c>
      <c r="Z40" s="35" t="s">
        <v>200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0">
        <f>AB40/($AA$27-Table2[[#This Row],[Missed Games]])</f>
        <v>0.5</v>
      </c>
      <c r="AG40" s="33">
        <f>AC40/($AA$27-Table2[[#This Row],[Missed Games]])</f>
        <v>0</v>
      </c>
      <c r="AH40" s="120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200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33</v>
      </c>
      <c r="T41" s="126">
        <f>S41/SUM(S41:S43)</f>
        <v>0.3235294117647059</v>
      </c>
      <c r="U41" s="130">
        <v>0.32188841201716739</v>
      </c>
      <c r="V41" s="43">
        <v>0.36899999999999999</v>
      </c>
      <c r="W41">
        <f>T41*(6*(20-AA$5))</f>
        <v>33</v>
      </c>
      <c r="X41" s="18">
        <f>((MAX(U41:U43)+MAX(V41:V43))/2)*6*(20-AA5)</f>
        <v>36.767497854077249</v>
      </c>
      <c r="Y41" s="131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0">
        <f>AB41/($AA$27-Table2[[#This Row],[Missed Games]])</f>
        <v>1</v>
      </c>
      <c r="AG41" s="33">
        <f>AC41/($AA$27-Table2[[#This Row],[Missed Games]])</f>
        <v>0</v>
      </c>
      <c r="AH41" s="120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WW'!J3</f>
        <v>31</v>
      </c>
      <c r="T42" s="130">
        <f>S42/SUM(S41:S43)</f>
        <v>0.30392156862745096</v>
      </c>
      <c r="U42" s="130">
        <v>0.35193133047210301</v>
      </c>
      <c r="V42" s="43">
        <v>0.26200000000000001</v>
      </c>
      <c r="W42" s="16">
        <f t="shared" ref="W42:W43" si="6">T42*(6*(20-AA$5))</f>
        <v>30.999999999999996</v>
      </c>
      <c r="X42" s="18">
        <f>6*(20-AA5)-X41-X43</f>
        <v>35.454193133047212</v>
      </c>
      <c r="Y42" s="131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0">
        <f>AB42/($AA$27-Table2[[#This Row],[Missed Games]])</f>
        <v>1</v>
      </c>
      <c r="AG42" s="33">
        <f>AC42/($AA$27-Table2[[#This Row],[Missed Games]])</f>
        <v>0.66666666666666663</v>
      </c>
      <c r="AH42" s="120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5M'!J3</f>
        <v>38</v>
      </c>
      <c r="T43" s="130">
        <f>S43/SUM(S41:S43)</f>
        <v>0.37254901960784315</v>
      </c>
      <c r="U43" s="130">
        <v>0.3261802575107296</v>
      </c>
      <c r="V43" s="43">
        <v>0.36899999999999999</v>
      </c>
      <c r="W43" s="16">
        <f t="shared" si="6"/>
        <v>38</v>
      </c>
      <c r="X43" s="18">
        <f>((MIN(U41:U43)+MIN(V41:V43))/2)*6*(20-AA5)</f>
        <v>29.778309012875539</v>
      </c>
      <c r="Y43" s="131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0">
        <f>AB43/($AA$27-Table2[[#This Row],[Missed Games]])</f>
        <v>2</v>
      </c>
      <c r="AG43" s="33">
        <f>AC43/($AA$27-Table2[[#This Row],[Missed Games]])</f>
        <v>0.66666666666666663</v>
      </c>
      <c r="AH43" s="120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0">
        <f>AB44/($AA$27-Table2[[#This Row],[Missed Games]])</f>
        <v>0</v>
      </c>
      <c r="AG44" s="33">
        <f>AC44/($AA$27-Table2[[#This Row],[Missed Games]])</f>
        <v>0</v>
      </c>
      <c r="AH44" s="120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233</v>
      </c>
      <c r="W45">
        <f>(20-AA6-AA5)*2</f>
        <v>-2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0">
        <f>AB45/($AA$27-Table2[[#This Row],[Missed Games]])</f>
        <v>0</v>
      </c>
      <c r="AG45" s="33">
        <f>AC45/($AA$27-Table2[[#This Row],[Missed Games]])</f>
        <v>0</v>
      </c>
      <c r="AH45" s="120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263</v>
      </c>
      <c r="W46">
        <f>(W45-(MAX(S41:S43)-MIN(S41:S43)))/2</f>
        <v>-4.5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4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8" ht="14.25" customHeight="1" x14ac:dyDescent="0.45">
      <c r="T49" s="13" t="s">
        <v>1</v>
      </c>
      <c r="U49" s="18">
        <f>SUM(Table1[Finishes])</f>
        <v>157</v>
      </c>
      <c r="V49" s="17">
        <f>U49/AA6</f>
        <v>8.7222222222222214</v>
      </c>
      <c r="W49" s="27">
        <f>U49/SUM($U$49:$U$51)</f>
        <v>0.57509157509157505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39">
        <f>Table21123[[#This Row],[Points]]/($AA$47-Table21123[[#This Row],[Missed Games]])</f>
        <v>0.33333333333333331</v>
      </c>
      <c r="AF49" s="139">
        <f>Table21123[[#This Row],[Finishes]]/($AA$47-Table21123[[#This Row],[Missed Games]])</f>
        <v>0</v>
      </c>
      <c r="AG49" s="139">
        <f>Table21123[[#This Row],[Midranges]]/($AA$47-Table21123[[#This Row],[Missed Games]])</f>
        <v>0.33333333333333331</v>
      </c>
      <c r="AH49" s="139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'3107'!R3+'0108'!R3+'0208'!R3+'0308'!R3</f>
        <v>0</v>
      </c>
      <c r="AM49" s="31">
        <f>'3107'!S3+'0108'!S3+'0208'!S3+'0308'!S3</f>
        <v>0</v>
      </c>
      <c r="AN49" s="31">
        <f>'3107'!T3+'0108'!T3+'0208'!T3+'0308'!T3</f>
        <v>0</v>
      </c>
      <c r="AO49" s="31">
        <f>'3107'!U3+'0108'!U3+'0208'!U3+'0308'!U3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  <c r="AV49" s="18"/>
    </row>
    <row r="50" spans="19:48" ht="14.25" customHeight="1" x14ac:dyDescent="0.45">
      <c r="T50" s="13" t="s">
        <v>2</v>
      </c>
      <c r="U50" s="18">
        <f>SUM(Table1[Midranges])</f>
        <v>87</v>
      </c>
      <c r="V50" s="17">
        <f>U50/AA6</f>
        <v>4.833333333333333</v>
      </c>
      <c r="W50" s="27">
        <f>U50/SUM($U$49:$U$51)</f>
        <v>0.31868131868131866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39">
        <f>Table21123[[#This Row],[Points]]/($AA$47-Table21123[[#This Row],[Missed Games]])</f>
        <v>0.33333333333333331</v>
      </c>
      <c r="AF50" s="139">
        <f>Table21123[[#This Row],[Finishes]]/($AA$47-Table21123[[#This Row],[Missed Games]])</f>
        <v>0.33333333333333331</v>
      </c>
      <c r="AG50" s="139">
        <f>Table21123[[#This Row],[Midranges]]/($AA$47-Table21123[[#This Row],[Missed Games]])</f>
        <v>0</v>
      </c>
      <c r="AH50" s="139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'3107'!R4+'0108'!R4+'0208'!R4+'0308'!R4</f>
        <v>5</v>
      </c>
      <c r="AM50" s="31">
        <f>'3107'!S4+'0108'!S4+'0208'!S4+'0308'!S4</f>
        <v>5</v>
      </c>
      <c r="AN50" s="31">
        <f>'3107'!T4+'0108'!T4+'0208'!T4+'0308'!T4</f>
        <v>0</v>
      </c>
      <c r="AO50" s="31">
        <f>'3107'!U4+'0108'!U4+'0208'!U4+'0308'!U4</f>
        <v>0</v>
      </c>
      <c r="AP50" s="31">
        <f>AL50/($AL$47-Table21124[[#This Row],[Missed Games]])</f>
        <v>1.25</v>
      </c>
      <c r="AQ50" s="31">
        <f>AM50/($AL$47-Table21124[[#This Row],[Missed Games]])</f>
        <v>1.25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8" ht="14.25" customHeight="1" x14ac:dyDescent="0.45">
      <c r="T51" s="13" t="s">
        <v>3</v>
      </c>
      <c r="U51" s="18">
        <f>SUM(Table1[Threes])</f>
        <v>29</v>
      </c>
      <c r="V51" s="17">
        <f>U51/AA6</f>
        <v>1.6111111111111112</v>
      </c>
      <c r="W51" s="27">
        <f>U51/SUM($U$49:$U$51)</f>
        <v>0.10622710622710622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39">
        <f>Table21123[[#This Row],[Points]]/($AA$47-Table21123[[#This Row],[Missed Games]])</f>
        <v>4</v>
      </c>
      <c r="AF51" s="139">
        <f>Table21123[[#This Row],[Finishes]]/($AA$47-Table21123[[#This Row],[Missed Games]])</f>
        <v>3.3333333333333335</v>
      </c>
      <c r="AG51" s="139">
        <f>Table21123[[#This Row],[Midranges]]/($AA$47-Table21123[[#This Row],[Missed Games]])</f>
        <v>0</v>
      </c>
      <c r="AH51" s="139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'3107'!R5+'0108'!R5+'0208'!R5+'0308'!R5</f>
        <v>3</v>
      </c>
      <c r="AM51" s="31">
        <f>'3107'!S5+'0108'!S5+'0208'!S5+'0308'!S5</f>
        <v>3</v>
      </c>
      <c r="AN51" s="31">
        <f>'3107'!T5+'0108'!T5+'0208'!T5+'0308'!T5</f>
        <v>0</v>
      </c>
      <c r="AO51" s="31">
        <f>'3107'!U5+'0108'!U5+'0208'!U5+'0308'!U5</f>
        <v>0</v>
      </c>
      <c r="AP51" s="31">
        <f>AL51/($AL$47-Table21124[[#This Row],[Missed Games]])</f>
        <v>1.5</v>
      </c>
      <c r="AQ51" s="31">
        <f>AM51/($AL$47-Table21124[[#This Row],[Missed Games]])</f>
        <v>1.5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8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39">
        <f>Table21123[[#This Row],[Points]]/($AA$47-Table21123[[#This Row],[Missed Games]])</f>
        <v>0.66666666666666663</v>
      </c>
      <c r="AF52" s="139">
        <f>Table21123[[#This Row],[Finishes]]/($AA$47-Table21123[[#This Row],[Missed Games]])</f>
        <v>0.66666666666666663</v>
      </c>
      <c r="AG52" s="139">
        <f>Table21123[[#This Row],[Midranges]]/($AA$47-Table21123[[#This Row],[Missed Games]])</f>
        <v>0</v>
      </c>
      <c r="AH52" s="139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'3107'!R6+'0108'!R6+'0208'!R6+'0308'!R6</f>
        <v>0</v>
      </c>
      <c r="AM52" s="31">
        <f>'3107'!S6+'0108'!S6+'0208'!S6+'0308'!S6</f>
        <v>0</v>
      </c>
      <c r="AN52" s="31">
        <f>'3107'!T6+'0108'!T6+'0208'!T6+'0308'!T6</f>
        <v>0</v>
      </c>
      <c r="AO52" s="31">
        <f>'3107'!U6+'0108'!U6+'0208'!U6+'0308'!U6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8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39">
        <f>Table21123[[#This Row],[Points]]/($AA$47-Table21123[[#This Row],[Missed Games]])</f>
        <v>1</v>
      </c>
      <c r="AF53" s="139">
        <f>Table21123[[#This Row],[Finishes]]/($AA$47-Table21123[[#This Row],[Missed Games]])</f>
        <v>0</v>
      </c>
      <c r="AG53" s="139">
        <f>Table21123[[#This Row],[Midranges]]/($AA$47-Table21123[[#This Row],[Missed Games]])</f>
        <v>1</v>
      </c>
      <c r="AH53" s="139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'3107'!R7+'0108'!R7+'0208'!R7+'0308'!R7</f>
        <v>9</v>
      </c>
      <c r="AM53" s="31">
        <f>'3107'!S7+'0108'!S7+'0208'!S7+'0308'!S7</f>
        <v>4</v>
      </c>
      <c r="AN53" s="31">
        <f>'3107'!T7+'0108'!T7+'0208'!T7+'0308'!T7</f>
        <v>3</v>
      </c>
      <c r="AO53" s="31">
        <f>'3107'!U7+'0108'!U7+'0208'!U7+'0308'!U7</f>
        <v>1</v>
      </c>
      <c r="AP53" s="31">
        <f>AL53/($AL$47-Table21124[[#This Row],[Missed Games]])</f>
        <v>2.25</v>
      </c>
      <c r="AQ53" s="31">
        <f>AM53/($AL$47-Table21124[[#This Row],[Missed Games]])</f>
        <v>1</v>
      </c>
      <c r="AR53" s="31">
        <f>AN53/($AL$47-Table21124[[#This Row],[Missed Games]])</f>
        <v>0.75</v>
      </c>
      <c r="AS53" s="31">
        <f>AO53/($AL$47-Table21124[[#This Row],[Missed Games]])</f>
        <v>0.25</v>
      </c>
      <c r="AT53" s="31">
        <f>COUNTIF('3107'!V7, "TRUE")+COUNTIF('0108'!V7, "TRUE")</f>
        <v>0</v>
      </c>
    </row>
    <row r="54" spans="19:48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39">
        <f>Table21123[[#This Row],[Points]]/($AA$47-Table21123[[#This Row],[Missed Games]])</f>
        <v>0.33333333333333331</v>
      </c>
      <c r="AF54" s="139">
        <f>Table21123[[#This Row],[Finishes]]/($AA$47-Table21123[[#This Row],[Missed Games]])</f>
        <v>0.33333333333333331</v>
      </c>
      <c r="AG54" s="139">
        <f>Table21123[[#This Row],[Midranges]]/($AA$47-Table21123[[#This Row],[Missed Games]])</f>
        <v>0</v>
      </c>
      <c r="AH54" s="139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'3107'!R8+'0108'!R8+'0208'!R8+'0308'!R8</f>
        <v>0</v>
      </c>
      <c r="AM54" s="31">
        <f>'3107'!S8+'0108'!S8+'0208'!S8+'0308'!S8</f>
        <v>0</v>
      </c>
      <c r="AN54" s="31">
        <f>'3107'!T8+'0108'!T8+'0208'!T8+'0308'!T8</f>
        <v>0</v>
      </c>
      <c r="AO54" s="31">
        <f>'3107'!U8+'0108'!U8+'0208'!U8+'0308'!U8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8" ht="14.25" customHeight="1" x14ac:dyDescent="0.45">
      <c r="S55" s="13" t="s">
        <v>132</v>
      </c>
      <c r="T55" s="40" t="s">
        <v>131</v>
      </c>
      <c r="U55" s="38">
        <f>'Statistics LG'!L42</f>
        <v>0.5679012345679012</v>
      </c>
      <c r="V55" s="38">
        <f>'Statistics LG'!O42</f>
        <v>0.47058823529411764</v>
      </c>
      <c r="W55" s="38">
        <f>AVERAGE(U55:V55)</f>
        <v>0.51924473493100942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39">
        <f>Table21123[[#This Row],[Points]]/($AA$47-Table21123[[#This Row],[Missed Games]])</f>
        <v>1.3333333333333333</v>
      </c>
      <c r="AF55" s="139">
        <f>Table21123[[#This Row],[Finishes]]/($AA$47-Table21123[[#This Row],[Missed Games]])</f>
        <v>1</v>
      </c>
      <c r="AG55" s="139">
        <f>Table21123[[#This Row],[Midranges]]/($AA$47-Table21123[[#This Row],[Missed Games]])</f>
        <v>0.33333333333333331</v>
      </c>
      <c r="AH55" s="139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'3107'!R9+'0108'!R9+'0208'!R9+'0308'!R9</f>
        <v>2</v>
      </c>
      <c r="AM55" s="31">
        <f>'3107'!S9+'0108'!S9+'0208'!S9+'0308'!S9</f>
        <v>1</v>
      </c>
      <c r="AN55" s="31">
        <f>'3107'!T9+'0108'!T9+'0208'!T9+'0308'!T9</f>
        <v>1</v>
      </c>
      <c r="AO55" s="31">
        <f>'3107'!U9+'0108'!U9+'0208'!U9+'0308'!U9</f>
        <v>0</v>
      </c>
      <c r="AP55" s="31">
        <f>AL55/($AL$47-Table21124[[#This Row],[Missed Games]])</f>
        <v>0.5</v>
      </c>
      <c r="AQ55" s="31">
        <f>AM55/($AL$47-Table21124[[#This Row],[Missed Games]])</f>
        <v>0.25</v>
      </c>
      <c r="AR55" s="31">
        <f>AN55/($AL$47-Table21124[[#This Row],[Missed Games]])</f>
        <v>0.25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8" ht="14.25" customHeight="1" x14ac:dyDescent="0.45">
      <c r="S56" s="13" t="s">
        <v>133</v>
      </c>
      <c r="T56" s="38">
        <f>1-'Statistics LG'!L42</f>
        <v>0.4320987654320988</v>
      </c>
      <c r="U56" s="40" t="s">
        <v>131</v>
      </c>
      <c r="V56" s="38">
        <f>'Statistics WW'!L42</f>
        <v>0.3888888888888889</v>
      </c>
      <c r="W56" s="38">
        <f>AVERAGE(T56:V56)</f>
        <v>0.41049382716049387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39">
        <f>Table21123[[#This Row],[Points]]/($AA$47-Table21123[[#This Row],[Missed Games]])</f>
        <v>0</v>
      </c>
      <c r="AF56" s="139">
        <f>Table21123[[#This Row],[Finishes]]/($AA$47-Table21123[[#This Row],[Missed Games]])</f>
        <v>0</v>
      </c>
      <c r="AG56" s="139">
        <f>Table21123[[#This Row],[Midranges]]/($AA$47-Table21123[[#This Row],[Missed Games]])</f>
        <v>0</v>
      </c>
      <c r="AH56" s="139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'3107'!R10+'0108'!R10+'0208'!R10+'0308'!R10</f>
        <v>8</v>
      </c>
      <c r="AM56" s="31">
        <f>'3107'!S10+'0108'!S10+'0208'!S10+'0308'!S10</f>
        <v>0</v>
      </c>
      <c r="AN56" s="31">
        <f>'3107'!T10+'0108'!T10+'0208'!T10+'0308'!T10</f>
        <v>0</v>
      </c>
      <c r="AO56" s="31">
        <f>'3107'!U10+'0108'!U10+'0208'!U10+'0308'!U10</f>
        <v>4</v>
      </c>
      <c r="AP56" s="31">
        <f>AL56/($AL$47-Table21124[[#This Row],[Missed Games]])</f>
        <v>2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</v>
      </c>
      <c r="AT56" s="31">
        <f>COUNTIF('3107'!V10, "TRUE")+COUNTIF('0108'!V10, "TRUE")</f>
        <v>0</v>
      </c>
    </row>
    <row r="57" spans="19:48" ht="14.25" customHeight="1" x14ac:dyDescent="0.45">
      <c r="S57" s="13" t="s">
        <v>134</v>
      </c>
      <c r="T57" s="38">
        <f>1-V55</f>
        <v>0.52941176470588236</v>
      </c>
      <c r="U57" s="38">
        <f>1-V56</f>
        <v>0.61111111111111116</v>
      </c>
      <c r="V57" s="40" t="s">
        <v>131</v>
      </c>
      <c r="W57" s="38">
        <f>AVERAGE(T57:V57)</f>
        <v>0.5702614379084967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39">
        <f>Table21123[[#This Row],[Points]]/($AA$47-Table21123[[#This Row],[Missed Games]])</f>
        <v>0.66666666666666663</v>
      </c>
      <c r="AF57" s="139">
        <f>Table21123[[#This Row],[Finishes]]/($AA$47-Table21123[[#This Row],[Missed Games]])</f>
        <v>0</v>
      </c>
      <c r="AG57" s="139">
        <f>Table21123[[#This Row],[Midranges]]/($AA$47-Table21123[[#This Row],[Missed Games]])</f>
        <v>0.66666666666666663</v>
      </c>
      <c r="AH57" s="139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'3107'!R11+'0108'!R11+'0208'!R11+'0308'!R11</f>
        <v>4</v>
      </c>
      <c r="AM57" s="31">
        <f>'3107'!S11+'0108'!S11+'0208'!S11+'0308'!S11</f>
        <v>3</v>
      </c>
      <c r="AN57" s="31">
        <f>'3107'!T11+'0108'!T11+'0208'!T11+'0308'!T11</f>
        <v>1</v>
      </c>
      <c r="AO57" s="31">
        <f>'3107'!U11+'0108'!U11+'0208'!U11+'0308'!U11</f>
        <v>0</v>
      </c>
      <c r="AP57" s="31">
        <f>AL57/($AL$47-Table21124[[#This Row],[Missed Games]])</f>
        <v>1.3333333333333333</v>
      </c>
      <c r="AQ57" s="31">
        <f>AM57/($AL$47-Table21124[[#This Row],[Missed Games]])</f>
        <v>1</v>
      </c>
      <c r="AR57" s="31">
        <f>AN57/($AL$47-Table21124[[#This Row],[Missed Games]])</f>
        <v>0.33333333333333331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8" ht="14.25" customHeight="1" x14ac:dyDescent="0.45">
      <c r="V58" s="41"/>
      <c r="W58" s="112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39">
        <f>Table21123[[#This Row],[Points]]/($AA$47-Table21123[[#This Row],[Missed Games]])</f>
        <v>2.6666666666666665</v>
      </c>
      <c r="AF58" s="139">
        <f>Table21123[[#This Row],[Finishes]]/($AA$47-Table21123[[#This Row],[Missed Games]])</f>
        <v>0.66666666666666663</v>
      </c>
      <c r="AG58" s="139">
        <f>Table21123[[#This Row],[Midranges]]/($AA$47-Table21123[[#This Row],[Missed Games]])</f>
        <v>2</v>
      </c>
      <c r="AH58" s="139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'3107'!R12+'0108'!R12+'0208'!R12+'0308'!R12</f>
        <v>17</v>
      </c>
      <c r="AM58" s="31">
        <f>'3107'!S12+'0108'!S12+'0208'!S12+'0308'!S12</f>
        <v>3</v>
      </c>
      <c r="AN58" s="31">
        <f>'3107'!T12+'0108'!T12+'0208'!T12+'0308'!T12</f>
        <v>8</v>
      </c>
      <c r="AO58" s="31">
        <f>'3107'!U12+'0108'!U12+'0208'!U12+'0308'!U12</f>
        <v>3</v>
      </c>
      <c r="AP58" s="31">
        <f>AL58/($AL$47-Table21124[[#This Row],[Missed Games]])</f>
        <v>4.25</v>
      </c>
      <c r="AQ58" s="31">
        <f>AM58/($AL$47-Table21124[[#This Row],[Missed Games]])</f>
        <v>0.75</v>
      </c>
      <c r="AR58" s="31">
        <f>AN58/($AL$47-Table21124[[#This Row],[Missed Games]])</f>
        <v>2</v>
      </c>
      <c r="AS58" s="31">
        <f>AO58/($AL$47-Table21124[[#This Row],[Missed Games]])</f>
        <v>0.75</v>
      </c>
      <c r="AT58" s="31">
        <f>COUNTIF('3107'!V12, "TRUE")+COUNTIF('0108'!V12, "TRUE")</f>
        <v>0</v>
      </c>
    </row>
    <row r="59" spans="19:48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39">
        <f>Table21123[[#This Row],[Points]]/($AA$47-Table21123[[#This Row],[Missed Games]])</f>
        <v>0.66666666666666663</v>
      </c>
      <c r="AF59" s="139">
        <f>Table21123[[#This Row],[Finishes]]/($AA$47-Table21123[[#This Row],[Missed Games]])</f>
        <v>0</v>
      </c>
      <c r="AG59" s="139">
        <f>Table21123[[#This Row],[Midranges]]/($AA$47-Table21123[[#This Row],[Missed Games]])</f>
        <v>0.66666666666666663</v>
      </c>
      <c r="AH59" s="139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'3107'!R13+'0108'!R13+'0208'!R13+'0308'!R13</f>
        <v>1</v>
      </c>
      <c r="AM59" s="31">
        <f>'3107'!S13+'0108'!S13+'0208'!S13+'0308'!S13</f>
        <v>0</v>
      </c>
      <c r="AN59" s="31">
        <f>'3107'!T13+'0108'!T13+'0208'!T13+'0308'!T13</f>
        <v>1</v>
      </c>
      <c r="AO59" s="31">
        <f>'3107'!U13+'0108'!U13+'0208'!U13+'0308'!U13</f>
        <v>0</v>
      </c>
      <c r="AP59" s="31">
        <f>AL59/($AL$47-Table21124[[#This Row],[Missed Games]])</f>
        <v>0.25</v>
      </c>
      <c r="AQ59" s="31">
        <f>AM59/($AL$47-Table21124[[#This Row],[Missed Games]])</f>
        <v>0</v>
      </c>
      <c r="AR59" s="31">
        <f>AN59/($AL$47-Table21124[[#This Row],[Missed Games]])</f>
        <v>0.25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8" ht="14.25" customHeight="1" x14ac:dyDescent="0.45">
      <c r="Z60" s="35" t="s">
        <v>200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39">
        <f>Table21123[[#This Row],[Points]]/($AA$47-Table21123[[#This Row],[Missed Games]])</f>
        <v>0</v>
      </c>
      <c r="AF60" s="139">
        <f>Table21123[[#This Row],[Finishes]]/($AA$47-Table21123[[#This Row],[Missed Games]])</f>
        <v>0</v>
      </c>
      <c r="AG60" s="139">
        <f>Table21123[[#This Row],[Midranges]]/($AA$47-Table21123[[#This Row],[Missed Games]])</f>
        <v>0</v>
      </c>
      <c r="AH60" s="139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200</v>
      </c>
      <c r="AL60" s="31">
        <f>'3107'!R14+'0108'!R14+'0208'!R14+'0308'!R14</f>
        <v>1</v>
      </c>
      <c r="AM60" s="31">
        <f>'3107'!S14+'0108'!S14+'0208'!S14+'0308'!S14</f>
        <v>0</v>
      </c>
      <c r="AN60" s="31">
        <f>'3107'!T14+'0108'!T14+'0208'!T14+'0308'!T14</f>
        <v>1</v>
      </c>
      <c r="AO60" s="31">
        <f>'3107'!U14+'0108'!U14+'0208'!U14+'0308'!U14</f>
        <v>0</v>
      </c>
      <c r="AP60" s="31">
        <f>AL60/($AL$47-Table21124[[#This Row],[Missed Games]])</f>
        <v>0.5</v>
      </c>
      <c r="AQ60" s="31">
        <f>AM60/($AL$47-Table21124[[#This Row],[Missed Games]])</f>
        <v>0</v>
      </c>
      <c r="AR60" s="31">
        <f>AN60/($AL$47-Table21124[[#This Row],[Missed Games]])</f>
        <v>0.5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8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39">
        <f>Table21123[[#This Row],[Points]]/($AA$47-Table21123[[#This Row],[Missed Games]])</f>
        <v>0.66666666666666663</v>
      </c>
      <c r="AF61" s="139">
        <f>Table21123[[#This Row],[Finishes]]/($AA$47-Table21123[[#This Row],[Missed Games]])</f>
        <v>0.33333333333333331</v>
      </c>
      <c r="AG61" s="139">
        <f>Table21123[[#This Row],[Midranges]]/($AA$47-Table21123[[#This Row],[Missed Games]])</f>
        <v>0.33333333333333331</v>
      </c>
      <c r="AH61" s="139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'3107'!R15+'0108'!R15+'0208'!R15+'0308'!R15</f>
        <v>6</v>
      </c>
      <c r="AM61" s="31">
        <f>'3107'!S15+'0108'!S15+'0208'!S15+'0308'!S15</f>
        <v>6</v>
      </c>
      <c r="AN61" s="31">
        <f>'3107'!T15+'0108'!T15+'0208'!T15+'0308'!T15</f>
        <v>0</v>
      </c>
      <c r="AO61" s="31">
        <f>'3107'!U15+'0108'!U15+'0208'!U15+'0308'!U15</f>
        <v>0</v>
      </c>
      <c r="AP61" s="31">
        <f>AL61/($AL$47-Table21124[[#This Row],[Missed Games]])</f>
        <v>1.5</v>
      </c>
      <c r="AQ61" s="31">
        <f>AM61/($AL$47-Table21124[[#This Row],[Missed Games]])</f>
        <v>1.5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8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39">
        <f>Table21123[[#This Row],[Points]]/($AA$47-Table21123[[#This Row],[Missed Games]])</f>
        <v>0.33333333333333331</v>
      </c>
      <c r="AF62" s="139">
        <f>Table21123[[#This Row],[Finishes]]/($AA$47-Table21123[[#This Row],[Missed Games]])</f>
        <v>0.33333333333333331</v>
      </c>
      <c r="AG62" s="139">
        <f>Table21123[[#This Row],[Midranges]]/($AA$47-Table21123[[#This Row],[Missed Games]])</f>
        <v>0</v>
      </c>
      <c r="AH62" s="139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'3107'!R16+'0108'!R16+'0208'!R16+'0308'!R16</f>
        <v>4</v>
      </c>
      <c r="AM62" s="31">
        <f>'3107'!S16+'0108'!S16+'0208'!S16+'0308'!S16</f>
        <v>3</v>
      </c>
      <c r="AN62" s="31">
        <f>'3107'!T16+'0108'!T16+'0208'!T16+'0308'!T16</f>
        <v>1</v>
      </c>
      <c r="AO62" s="31">
        <f>'3107'!U16+'0108'!U16+'0208'!U16+'0308'!U16</f>
        <v>0</v>
      </c>
      <c r="AP62" s="31">
        <f>AL62/($AL$47-Table21124[[#This Row],[Missed Games]])</f>
        <v>1</v>
      </c>
      <c r="AQ62" s="31">
        <f>AM62/($AL$47-Table21124[[#This Row],[Missed Games]])</f>
        <v>0.75</v>
      </c>
      <c r="AR62" s="31">
        <f>AN62/($AL$47-Table21124[[#This Row],[Missed Games]])</f>
        <v>0.25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8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39">
        <f>Table21123[[#This Row],[Points]]/($AA$47-Table21123[[#This Row],[Missed Games]])</f>
        <v>1.6666666666666667</v>
      </c>
      <c r="AF63" s="139">
        <f>Table21123[[#This Row],[Finishes]]/($AA$47-Table21123[[#This Row],[Missed Games]])</f>
        <v>1</v>
      </c>
      <c r="AG63" s="139">
        <f>Table21123[[#This Row],[Midranges]]/($AA$47-Table21123[[#This Row],[Missed Games]])</f>
        <v>0.66666666666666663</v>
      </c>
      <c r="AH63" s="139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'3107'!R17+'0108'!R17+'0208'!R17+'0308'!R17</f>
        <v>13</v>
      </c>
      <c r="AM63" s="31">
        <f>'3107'!S17+'0108'!S17+'0208'!S17+'0308'!S17</f>
        <v>6</v>
      </c>
      <c r="AN63" s="31">
        <f>'3107'!T17+'0108'!T17+'0208'!T17+'0308'!T17</f>
        <v>1</v>
      </c>
      <c r="AO63" s="31">
        <f>'3107'!U17+'0108'!U17+'0208'!U17+'0308'!U17</f>
        <v>3</v>
      </c>
      <c r="AP63" s="31">
        <f>AL63/($AL$47-Table21124[[#This Row],[Missed Games]])</f>
        <v>3.25</v>
      </c>
      <c r="AQ63" s="31">
        <f>AM63/($AL$47-Table21124[[#This Row],[Missed Games]])</f>
        <v>1.5</v>
      </c>
      <c r="AR63" s="31">
        <f>AN63/($AL$47-Table21124[[#This Row],[Missed Games]])</f>
        <v>0.25</v>
      </c>
      <c r="AS63" s="31">
        <f>AO63/($AL$47-Table21124[[#This Row],[Missed Games]])</f>
        <v>0.75</v>
      </c>
      <c r="AT63" s="31">
        <f>COUNTIF('3107'!V17, "TRUE")+COUNTIF('0108'!V17, "TRUE")</f>
        <v>0</v>
      </c>
    </row>
    <row r="64" spans="19:48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39">
        <f>Table21123[[#This Row],[Points]]/($AA$47-Table21123[[#This Row],[Missed Games]])</f>
        <v>0.33333333333333331</v>
      </c>
      <c r="AF64" s="139">
        <f>Table21123[[#This Row],[Finishes]]/($AA$47-Table21123[[#This Row],[Missed Games]])</f>
        <v>0</v>
      </c>
      <c r="AG64" s="139">
        <f>Table21123[[#This Row],[Midranges]]/($AA$47-Table21123[[#This Row],[Missed Games]])</f>
        <v>0.33333333333333331</v>
      </c>
      <c r="AH64" s="139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'3107'!R18+'0108'!R18+'0208'!R18+'0308'!R18</f>
        <v>0</v>
      </c>
      <c r="AM64" s="31">
        <f>'3107'!S18+'0108'!S18+'0208'!S18+'0308'!S18</f>
        <v>0</v>
      </c>
      <c r="AN64" s="31">
        <f>'3107'!T18+'0108'!T18+'0208'!T18+'0308'!T18</f>
        <v>0</v>
      </c>
      <c r="AO64" s="31">
        <f>'3107'!U18+'0108'!U18+'0208'!U18+'0308'!U18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39">
        <f>Table21123[[#This Row],[Points]]/($AA$47-Table21123[[#This Row],[Missed Games]])</f>
        <v>0</v>
      </c>
      <c r="AF65" s="139">
        <f>Table21123[[#This Row],[Finishes]]/($AA$47-Table21123[[#This Row],[Missed Games]])</f>
        <v>0</v>
      </c>
      <c r="AG65" s="139">
        <f>Table21123[[#This Row],[Midranges]]/($AA$47-Table21123[[#This Row],[Missed Games]])</f>
        <v>0</v>
      </c>
      <c r="AH65" s="139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'3107'!R19+'0108'!R19+'0208'!R19+'0308'!R19</f>
        <v>4</v>
      </c>
      <c r="AM65" s="31">
        <f>'3107'!S19+'0108'!S19+'0208'!S19+'0308'!S19</f>
        <v>4</v>
      </c>
      <c r="AN65" s="31">
        <f>'3107'!T19+'0108'!T19+'0208'!T19+'0308'!T19</f>
        <v>0</v>
      </c>
      <c r="AO65" s="31">
        <f>'3107'!U19+'0108'!U19+'0208'!U19+'0308'!U19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3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3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>
        <f>'0808'!R3+'0908'!R3+'1008'!R3</f>
        <v>0</v>
      </c>
      <c r="AB69" s="31">
        <f>'0808'!S3+'0908'!S3+'1008'!S3</f>
        <v>0</v>
      </c>
      <c r="AC69" s="31">
        <f>'0808'!T3+'0908'!T3+'1008'!T3</f>
        <v>0</v>
      </c>
      <c r="AD69" s="31">
        <f>'0808'!U3+'0908'!U3+'1008'!U3</f>
        <v>0</v>
      </c>
      <c r="AE69" s="139">
        <f>Table21126[[#This Row],[Points]]/($AA$67-Table21126[[#This Row],[Missed Games]])</f>
        <v>0</v>
      </c>
      <c r="AF69" s="139">
        <f>Table21126[[#This Row],[Finishes]]/($AA$67-Table21126[[#This Row],[Missed Games]])</f>
        <v>0</v>
      </c>
      <c r="AG69" s="139">
        <f>Table21126[[#This Row],[Midranges]]/($AA$67-Table21126[[#This Row],[Missed Games]])</f>
        <v>0</v>
      </c>
      <c r="AH69" s="139">
        <f>Table21126[[#This Row],[Threes]]/($AA$67-Table21126[[#This Row],[Missed Games]])</f>
        <v>0</v>
      </c>
      <c r="AI69" s="31">
        <f>COUNTIF('0808'!V3, TRUE)+COUNTIF('0908'!V3, TRUE)+COUNTIF('1008'!V3, TRUE)</f>
        <v>0</v>
      </c>
      <c r="AJ69" s="35"/>
      <c r="AK69" s="47" t="s">
        <v>45</v>
      </c>
      <c r="AL69" s="31">
        <f>'1408'!R3+'1508'!R3+'1708'!R3</f>
        <v>0</v>
      </c>
      <c r="AM69" s="31">
        <f>'1408'!S3+'1508'!S3+'1708'!S3</f>
        <v>0</v>
      </c>
      <c r="AN69" s="31">
        <f>'1408'!T3+'1508'!T3+'1708'!T3</f>
        <v>0</v>
      </c>
      <c r="AO69" s="31">
        <f>'1408'!U3+'1508'!U3+'1708'!U3</f>
        <v>0</v>
      </c>
      <c r="AP69" s="31">
        <f>Table21125[[#This Row],[Points]]/($AL$67-Table21125[[#This Row],[Missed Games]])</f>
        <v>0</v>
      </c>
      <c r="AQ69" s="31">
        <f>Table21125[[#This Row],[Finishes]]/($AL$67-Table21125[[#This Row],[Missed Games]])</f>
        <v>0</v>
      </c>
      <c r="AR69" s="31">
        <f>Table21125[[#This Row],[Midranges]]/($AL$67-Table21125[[#This Row],[Missed Games]])</f>
        <v>0</v>
      </c>
      <c r="AS69" s="31">
        <f>Table21125[[#This Row],[Threes]]/($AL$67-Table21125[[#This Row],[Missed Games]])</f>
        <v>0</v>
      </c>
      <c r="AT69" s="31">
        <f>COUNTIF('1408'!V3, TRUE)+COUNTIF('1508'!V3, TRUE)+COUNTIF('1708'!V3, TRUE)</f>
        <v>0</v>
      </c>
    </row>
    <row r="70" spans="18:46" ht="14.25" customHeight="1" x14ac:dyDescent="0.45">
      <c r="Z70" s="47" t="s">
        <v>49</v>
      </c>
      <c r="AA70" s="31">
        <f>'0808'!R4+'0908'!R4+'1008'!R4</f>
        <v>0</v>
      </c>
      <c r="AB70" s="31">
        <f>'0808'!S4+'0908'!S4+'1008'!S4</f>
        <v>0</v>
      </c>
      <c r="AC70" s="31">
        <f>'0808'!T4+'0908'!T4+'1008'!T4</f>
        <v>0</v>
      </c>
      <c r="AD70" s="31">
        <f>'0808'!U4+'0908'!U4+'1008'!U4</f>
        <v>0</v>
      </c>
      <c r="AE70" s="31">
        <f>Table21126[[#This Row],[Points]]/($AA$67-Table21126[[#This Row],[Missed Games]])</f>
        <v>0</v>
      </c>
      <c r="AF70" s="31">
        <f>Table21126[[#This Row],[Finishes]]/($AA$67-Table21126[[#This Row],[Missed Games]])</f>
        <v>0</v>
      </c>
      <c r="AG70" s="31">
        <f>Table21126[[#This Row],[Midranges]]/($AA$67-Table21126[[#This Row],[Missed Games]])</f>
        <v>0</v>
      </c>
      <c r="AH70" s="31">
        <f>Table21126[[#This Row],[Threes]]/($AA$67-Table21126[[#This Row],[Missed Games]])</f>
        <v>0</v>
      </c>
      <c r="AI70" s="31">
        <f>COUNTIF('0808'!V4, TRUE)+COUNTIF('0908'!V4, TRUE)+COUNTIF('1008'!V4, TRUE)</f>
        <v>0</v>
      </c>
      <c r="AJ70" s="35"/>
      <c r="AK70" s="47" t="s">
        <v>49</v>
      </c>
      <c r="AL70" s="31">
        <f>'1408'!R4+'1508'!R4+'1708'!R4</f>
        <v>0</v>
      </c>
      <c r="AM70" s="31">
        <f>'1408'!S4+'1508'!S4+'1708'!S4</f>
        <v>0</v>
      </c>
      <c r="AN70" s="31">
        <f>'1408'!T4+'1508'!T4+'1708'!T4</f>
        <v>0</v>
      </c>
      <c r="AO70" s="31">
        <f>'1408'!U4+'1508'!U4+'1708'!U4</f>
        <v>0</v>
      </c>
      <c r="AP70" s="31">
        <f>Table21125[[#This Row],[Points]]/($AL$67-Table21125[[#This Row],[Missed Games]])</f>
        <v>0</v>
      </c>
      <c r="AQ70" s="31">
        <f>Table21125[[#This Row],[Finishes]]/($AL$67-Table21125[[#This Row],[Missed Games]])</f>
        <v>0</v>
      </c>
      <c r="AR70" s="31">
        <f>Table21125[[#This Row],[Midranges]]/($AL$67-Table21125[[#This Row],[Missed Games]])</f>
        <v>0</v>
      </c>
      <c r="AS70" s="31">
        <f>Table21125[[#This Row],[Threes]]/($AL$67-Table21125[[#This Row],[Missed Games]])</f>
        <v>0</v>
      </c>
      <c r="AT70" s="31">
        <f>COUNTIF('1408'!V4, TRUE)+COUNTIF('1508'!V4, TRUE)+COUNTIF('1708'!V4, TRUE)</f>
        <v>1</v>
      </c>
    </row>
    <row r="71" spans="18:46" ht="14.25" customHeight="1" x14ac:dyDescent="0.45">
      <c r="Z71" s="47" t="s">
        <v>51</v>
      </c>
      <c r="AA71" s="31">
        <f>'0808'!R5+'0908'!R5+'1008'!R5</f>
        <v>9</v>
      </c>
      <c r="AB71" s="31">
        <f>'0808'!S5+'0908'!S5+'1008'!S5</f>
        <v>9</v>
      </c>
      <c r="AC71" s="31">
        <f>'0808'!T5+'0908'!T5+'1008'!T5</f>
        <v>0</v>
      </c>
      <c r="AD71" s="31">
        <f>'0808'!U5+'0908'!U5+'1008'!U5</f>
        <v>0</v>
      </c>
      <c r="AE71" s="31">
        <f>Table21126[[#This Row],[Points]]/($AA$67-Table21126[[#This Row],[Missed Games]])</f>
        <v>4.5</v>
      </c>
      <c r="AF71" s="31">
        <f>Table21126[[#This Row],[Finishes]]/($AA$67-Table21126[[#This Row],[Missed Games]])</f>
        <v>4.5</v>
      </c>
      <c r="AG71" s="31">
        <f>Table21126[[#This Row],[Midranges]]/($AA$67-Table21126[[#This Row],[Missed Games]])</f>
        <v>0</v>
      </c>
      <c r="AH71" s="31">
        <f>Table21126[[#This Row],[Threes]]/($AA$67-Table21126[[#This Row],[Missed Games]])</f>
        <v>0</v>
      </c>
      <c r="AI71" s="31">
        <f>COUNTIF('0808'!V5, TRUE)+COUNTIF('0908'!V5, TRUE)+COUNTIF('1008'!V5, TRUE)</f>
        <v>1</v>
      </c>
      <c r="AJ71" s="35"/>
      <c r="AK71" s="47" t="s">
        <v>51</v>
      </c>
      <c r="AL71" s="31">
        <f>'1408'!R5+'1508'!R5+'1708'!R5</f>
        <v>6</v>
      </c>
      <c r="AM71" s="31">
        <f>'1408'!S5+'1508'!S5+'1708'!S5</f>
        <v>6</v>
      </c>
      <c r="AN71" s="31">
        <f>'1408'!T5+'1508'!T5+'1708'!T5</f>
        <v>0</v>
      </c>
      <c r="AO71" s="31">
        <f>'1408'!U5+'1508'!U5+'1708'!U5</f>
        <v>0</v>
      </c>
      <c r="AP71" s="31">
        <f>Table21125[[#This Row],[Points]]/($AL$67-Table21125[[#This Row],[Missed Games]])</f>
        <v>3</v>
      </c>
      <c r="AQ71" s="31">
        <f>Table21125[[#This Row],[Finishes]]/($AL$67-Table21125[[#This Row],[Missed Games]])</f>
        <v>3</v>
      </c>
      <c r="AR71" s="31">
        <f>Table21125[[#This Row],[Midranges]]/($AL$67-Table21125[[#This Row],[Missed Games]])</f>
        <v>0</v>
      </c>
      <c r="AS71" s="31">
        <f>Table21125[[#This Row],[Threes]]/($AL$67-Table21125[[#This Row],[Missed Games]])</f>
        <v>0</v>
      </c>
      <c r="AT71" s="31">
        <f>COUNTIF('1408'!V5, TRUE)+COUNTIF('1508'!V5, TRUE)+COUNTIF('1708'!V5, TRUE)</f>
        <v>1</v>
      </c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>
        <f>'0808'!R6+'0908'!R6+'1008'!R6</f>
        <v>7</v>
      </c>
      <c r="AB72" s="31">
        <f>'0808'!S6+'0908'!S6+'1008'!S6</f>
        <v>7</v>
      </c>
      <c r="AC72" s="31">
        <f>'0808'!T6+'0908'!T6+'1008'!T6</f>
        <v>0</v>
      </c>
      <c r="AD72" s="31">
        <f>'0808'!U6+'0908'!U6+'1008'!U6</f>
        <v>0</v>
      </c>
      <c r="AE72" s="31">
        <f>Table21126[[#This Row],[Points]]/($AA$67-Table21126[[#This Row],[Missed Games]])</f>
        <v>2.3333333333333335</v>
      </c>
      <c r="AF72" s="31">
        <f>Table21126[[#This Row],[Finishes]]/($AA$67-Table21126[[#This Row],[Missed Games]])</f>
        <v>2.3333333333333335</v>
      </c>
      <c r="AG72" s="31">
        <f>Table21126[[#This Row],[Midranges]]/($AA$67-Table21126[[#This Row],[Missed Games]])</f>
        <v>0</v>
      </c>
      <c r="AH72" s="31">
        <f>Table21126[[#This Row],[Threes]]/($AA$67-Table21126[[#This Row],[Missed Games]])</f>
        <v>0</v>
      </c>
      <c r="AI72" s="31">
        <f>COUNTIF('0808'!V6, TRUE)+COUNTIF('0908'!V6, TRUE)+COUNTIF('1008'!V6, TRUE)</f>
        <v>0</v>
      </c>
      <c r="AJ72" s="35"/>
      <c r="AK72" s="47" t="s">
        <v>54</v>
      </c>
      <c r="AL72" s="31">
        <f>'1408'!R6+'1508'!R6+'1708'!R6</f>
        <v>4</v>
      </c>
      <c r="AM72" s="31">
        <f>'1408'!S6+'1508'!S6+'1708'!S6</f>
        <v>4</v>
      </c>
      <c r="AN72" s="31">
        <f>'1408'!T6+'1508'!T6+'1708'!T6</f>
        <v>0</v>
      </c>
      <c r="AO72" s="31">
        <f>'1408'!U6+'1508'!U6+'1708'!U6</f>
        <v>0</v>
      </c>
      <c r="AP72" s="31">
        <f>Table21125[[#This Row],[Points]]/($AL$67-Table21125[[#This Row],[Missed Games]])</f>
        <v>2</v>
      </c>
      <c r="AQ72" s="31">
        <f>Table21125[[#This Row],[Finishes]]/($AL$67-Table21125[[#This Row],[Missed Games]])</f>
        <v>2</v>
      </c>
      <c r="AR72" s="31">
        <f>Table21125[[#This Row],[Midranges]]/($AL$67-Table21125[[#This Row],[Missed Games]])</f>
        <v>0</v>
      </c>
      <c r="AS72" s="31">
        <f>Table21125[[#This Row],[Threes]]/($AL$67-Table21125[[#This Row],[Missed Games]])</f>
        <v>0</v>
      </c>
      <c r="AT72" s="31">
        <f>COUNTIF('1408'!V6, TRUE)+COUNTIF('1508'!V6, TRUE)+COUNTIF('1708'!V6, TRUE)</f>
        <v>1</v>
      </c>
    </row>
    <row r="73" spans="18:46" ht="14.25" customHeight="1" x14ac:dyDescent="0.45">
      <c r="Z73" s="47" t="s">
        <v>57</v>
      </c>
      <c r="AA73" s="31">
        <f>'0808'!R7+'0908'!R7+'1008'!R7</f>
        <v>5</v>
      </c>
      <c r="AB73" s="31">
        <f>'0808'!S7+'0908'!S7+'1008'!S7</f>
        <v>2</v>
      </c>
      <c r="AC73" s="31">
        <f>'0808'!T7+'0908'!T7+'1008'!T7</f>
        <v>1</v>
      </c>
      <c r="AD73" s="31">
        <f>'0808'!U7+'0908'!U7+'1008'!U7</f>
        <v>1</v>
      </c>
      <c r="AE73" s="31">
        <f>Table21126[[#This Row],[Points]]/($AA$67-Table21126[[#This Row],[Missed Games]])</f>
        <v>1.6666666666666667</v>
      </c>
      <c r="AF73" s="31">
        <f>Table21126[[#This Row],[Finishes]]/($AA$67-Table21126[[#This Row],[Missed Games]])</f>
        <v>0.66666666666666663</v>
      </c>
      <c r="AG73" s="31">
        <f>Table21126[[#This Row],[Midranges]]/($AA$67-Table21126[[#This Row],[Missed Games]])</f>
        <v>0.33333333333333331</v>
      </c>
      <c r="AH73" s="31">
        <f>Table21126[[#This Row],[Threes]]/($AA$67-Table21126[[#This Row],[Missed Games]])</f>
        <v>0.33333333333333331</v>
      </c>
      <c r="AI73" s="31">
        <f>COUNTIF('0808'!V7, TRUE)+COUNTIF('0908'!V7, TRUE)+COUNTIF('1008'!V7, TRUE)</f>
        <v>0</v>
      </c>
      <c r="AJ73" s="35"/>
      <c r="AK73" s="47" t="s">
        <v>57</v>
      </c>
      <c r="AL73" s="31">
        <f>'1408'!R7+'1508'!R7+'1708'!R7</f>
        <v>4</v>
      </c>
      <c r="AM73" s="31">
        <f>'1408'!S7+'1508'!S7+'1708'!S7</f>
        <v>2</v>
      </c>
      <c r="AN73" s="31">
        <f>'1408'!T7+'1508'!T7+'1708'!T7</f>
        <v>2</v>
      </c>
      <c r="AO73" s="31">
        <f>'1408'!U7+'1508'!U7+'1708'!U7</f>
        <v>0</v>
      </c>
      <c r="AP73" s="31">
        <f>Table21125[[#This Row],[Points]]/($AL$67-Table21125[[#This Row],[Missed Games]])</f>
        <v>1.3333333333333333</v>
      </c>
      <c r="AQ73" s="31">
        <f>Table21125[[#This Row],[Finishes]]/($AL$67-Table21125[[#This Row],[Missed Games]])</f>
        <v>0.66666666666666663</v>
      </c>
      <c r="AR73" s="31">
        <f>Table21125[[#This Row],[Midranges]]/($AL$67-Table21125[[#This Row],[Missed Games]])</f>
        <v>0.66666666666666663</v>
      </c>
      <c r="AS73" s="31">
        <f>Table21125[[#This Row],[Threes]]/($AL$67-Table21125[[#This Row],[Missed Games]])</f>
        <v>0</v>
      </c>
      <c r="AT73" s="31">
        <f>COUNTIF('1408'!V7, TRUE)+COUNTIF('1508'!V7, TRUE)+COUNTIF('1708'!V7, TRUE)</f>
        <v>0</v>
      </c>
    </row>
    <row r="74" spans="18:46" ht="14.25" customHeight="1" x14ac:dyDescent="0.45">
      <c r="Z74" s="47" t="s">
        <v>60</v>
      </c>
      <c r="AA74" s="31">
        <f>'0808'!R8+'0908'!R8+'1008'!R8</f>
        <v>3</v>
      </c>
      <c r="AB74" s="31">
        <f>'0808'!S8+'0908'!S8+'1008'!S8</f>
        <v>3</v>
      </c>
      <c r="AC74" s="31">
        <f>'0808'!T8+'0908'!T8+'1008'!T8</f>
        <v>0</v>
      </c>
      <c r="AD74" s="31">
        <f>'0808'!U8+'0908'!U8+'1008'!U8</f>
        <v>0</v>
      </c>
      <c r="AE74" s="31">
        <f>Table21126[[#This Row],[Points]]/($AA$67-Table21126[[#This Row],[Missed Games]])</f>
        <v>1.5</v>
      </c>
      <c r="AF74" s="31">
        <f>Table21126[[#This Row],[Finishes]]/($AA$67-Table21126[[#This Row],[Missed Games]])</f>
        <v>1.5</v>
      </c>
      <c r="AG74" s="31">
        <f>Table21126[[#This Row],[Midranges]]/($AA$67-Table21126[[#This Row],[Missed Games]])</f>
        <v>0</v>
      </c>
      <c r="AH74" s="31">
        <f>Table21126[[#This Row],[Threes]]/($AA$67-Table21126[[#This Row],[Missed Games]])</f>
        <v>0</v>
      </c>
      <c r="AI74" s="31">
        <f>COUNTIF('0808'!V8, TRUE)+COUNTIF('0908'!V8, TRUE)+COUNTIF('1008'!V8, TRUE)</f>
        <v>1</v>
      </c>
      <c r="AJ74" s="35"/>
      <c r="AK74" s="47" t="s">
        <v>60</v>
      </c>
      <c r="AL74" s="31">
        <f>'1408'!R8+'1508'!R8+'1708'!R8</f>
        <v>7</v>
      </c>
      <c r="AM74" s="31">
        <f>'1408'!S8+'1508'!S8+'1708'!S8</f>
        <v>5</v>
      </c>
      <c r="AN74" s="31">
        <f>'1408'!T8+'1508'!T8+'1708'!T8</f>
        <v>2</v>
      </c>
      <c r="AO74" s="31">
        <f>'1408'!U8+'1508'!U8+'1708'!U8</f>
        <v>0</v>
      </c>
      <c r="AP74" s="31">
        <f>Table21125[[#This Row],[Points]]/($AL$67-Table21125[[#This Row],[Missed Games]])</f>
        <v>2.3333333333333335</v>
      </c>
      <c r="AQ74" s="31">
        <f>Table21125[[#This Row],[Finishes]]/($AL$67-Table21125[[#This Row],[Missed Games]])</f>
        <v>1.6666666666666667</v>
      </c>
      <c r="AR74" s="31">
        <f>Table21125[[#This Row],[Midranges]]/($AL$67-Table21125[[#This Row],[Missed Games]])</f>
        <v>0.66666666666666663</v>
      </c>
      <c r="AS74" s="31">
        <f>Table21125[[#This Row],[Threes]]/($AL$67-Table21125[[#This Row],[Missed Games]])</f>
        <v>0</v>
      </c>
      <c r="AT74" s="31">
        <f>COUNTIF('1408'!V8, TRUE)+COUNTIF('1508'!V8, TRUE)+COUNTIF('1708'!V8, TRUE)</f>
        <v>0</v>
      </c>
    </row>
    <row r="75" spans="18:46" ht="14.25" customHeight="1" x14ac:dyDescent="0.45">
      <c r="Z75" s="35" t="s">
        <v>93</v>
      </c>
      <c r="AA75" s="31">
        <f>'0808'!R9+'0908'!R9+'1008'!R9</f>
        <v>0</v>
      </c>
      <c r="AB75" s="31">
        <f>'0808'!S9+'0908'!S9+'1008'!S9</f>
        <v>0</v>
      </c>
      <c r="AC75" s="31">
        <f>'0808'!T9+'0908'!T9+'1008'!T9</f>
        <v>0</v>
      </c>
      <c r="AD75" s="31">
        <f>'0808'!U9+'0908'!U9+'1008'!U9</f>
        <v>0</v>
      </c>
      <c r="AE75" s="31">
        <f>Table21126[[#This Row],[Points]]/($AA$67-Table21126[[#This Row],[Missed Games]])</f>
        <v>0</v>
      </c>
      <c r="AF75" s="31">
        <f>Table21126[[#This Row],[Finishes]]/($AA$67-Table21126[[#This Row],[Missed Games]])</f>
        <v>0</v>
      </c>
      <c r="AG75" s="31">
        <f>Table21126[[#This Row],[Midranges]]/($AA$67-Table21126[[#This Row],[Missed Games]])</f>
        <v>0</v>
      </c>
      <c r="AH75" s="31">
        <f>Table21126[[#This Row],[Threes]]/($AA$67-Table21126[[#This Row],[Missed Games]])</f>
        <v>0</v>
      </c>
      <c r="AI75" s="31">
        <f>COUNTIF('0808'!V9, TRUE)+COUNTIF('0908'!V9, TRUE)+COUNTIF('1008'!V9, TRUE)</f>
        <v>0</v>
      </c>
      <c r="AJ75" s="35"/>
      <c r="AK75" s="35" t="s">
        <v>93</v>
      </c>
      <c r="AL75" s="31">
        <f>'1408'!R9+'1508'!R9+'1708'!R9</f>
        <v>5</v>
      </c>
      <c r="AM75" s="31">
        <f>'1408'!S9+'1508'!S9+'1708'!S9</f>
        <v>2</v>
      </c>
      <c r="AN75" s="31">
        <f>'1408'!T9+'1508'!T9+'1708'!T9</f>
        <v>1</v>
      </c>
      <c r="AO75" s="31">
        <f>'1408'!U9+'1508'!U9+'1708'!U9</f>
        <v>1</v>
      </c>
      <c r="AP75" s="31">
        <f>Table21125[[#This Row],[Points]]/($AL$67-Table21125[[#This Row],[Missed Games]])</f>
        <v>1.6666666666666667</v>
      </c>
      <c r="AQ75" s="31">
        <f>Table21125[[#This Row],[Finishes]]/($AL$67-Table21125[[#This Row],[Missed Games]])</f>
        <v>0.66666666666666663</v>
      </c>
      <c r="AR75" s="31">
        <f>Table21125[[#This Row],[Midranges]]/($AL$67-Table21125[[#This Row],[Missed Games]])</f>
        <v>0.33333333333333331</v>
      </c>
      <c r="AS75" s="31">
        <f>Table21125[[#This Row],[Threes]]/($AL$67-Table21125[[#This Row],[Missed Games]])</f>
        <v>0.33333333333333331</v>
      </c>
      <c r="AT75" s="31">
        <f>COUNTIF('1408'!V9, TRUE)+COUNTIF('1508'!V9, TRUE)+COUNTIF('1708'!V9, TRUE)</f>
        <v>0</v>
      </c>
    </row>
    <row r="76" spans="18:46" ht="14.25" customHeight="1" x14ac:dyDescent="0.45">
      <c r="T76" s="13" t="s">
        <v>145</v>
      </c>
      <c r="Z76" s="47" t="s">
        <v>63</v>
      </c>
      <c r="AA76" s="31">
        <f>'0808'!R10+'0908'!R10+'1008'!R10</f>
        <v>3</v>
      </c>
      <c r="AB76" s="31">
        <f>'0808'!S10+'0908'!S10+'1008'!S10</f>
        <v>0</v>
      </c>
      <c r="AC76" s="31">
        <f>'0808'!T10+'0908'!T10+'1008'!T10</f>
        <v>1</v>
      </c>
      <c r="AD76" s="31">
        <f>'0808'!U10+'0908'!U10+'1008'!U10</f>
        <v>1</v>
      </c>
      <c r="AE76" s="31">
        <f>Table21126[[#This Row],[Points]]/($AA$67-Table21126[[#This Row],[Missed Games]])</f>
        <v>1</v>
      </c>
      <c r="AF76" s="31">
        <f>Table21126[[#This Row],[Finishes]]/($AA$67-Table21126[[#This Row],[Missed Games]])</f>
        <v>0</v>
      </c>
      <c r="AG76" s="31">
        <f>Table21126[[#This Row],[Midranges]]/($AA$67-Table21126[[#This Row],[Missed Games]])</f>
        <v>0.33333333333333331</v>
      </c>
      <c r="AH76" s="31">
        <f>Table21126[[#This Row],[Threes]]/($AA$67-Table21126[[#This Row],[Missed Games]])</f>
        <v>0.33333333333333331</v>
      </c>
      <c r="AI76" s="31">
        <f>COUNTIF('0808'!V10, TRUE)+COUNTIF('0908'!V10, TRUE)+COUNTIF('1008'!V10, TRUE)</f>
        <v>0</v>
      </c>
      <c r="AJ76" s="35"/>
      <c r="AK76" s="47" t="s">
        <v>63</v>
      </c>
      <c r="AL76" s="31">
        <f>'1408'!R10+'1508'!R10+'1708'!R10</f>
        <v>6</v>
      </c>
      <c r="AM76" s="31">
        <f>'1408'!S10+'1508'!S10+'1708'!S10</f>
        <v>1</v>
      </c>
      <c r="AN76" s="31">
        <f>'1408'!T10+'1508'!T10+'1708'!T10</f>
        <v>1</v>
      </c>
      <c r="AO76" s="31">
        <f>'1408'!U10+'1508'!U10+'1708'!U10</f>
        <v>2</v>
      </c>
      <c r="AP76" s="31">
        <f>Table21125[[#This Row],[Points]]/($AL$67-Table21125[[#This Row],[Missed Games]])</f>
        <v>2</v>
      </c>
      <c r="AQ76" s="31">
        <f>Table21125[[#This Row],[Finishes]]/($AL$67-Table21125[[#This Row],[Missed Games]])</f>
        <v>0.33333333333333331</v>
      </c>
      <c r="AR76" s="31">
        <f>Table21125[[#This Row],[Midranges]]/($AL$67-Table21125[[#This Row],[Missed Games]])</f>
        <v>0.33333333333333331</v>
      </c>
      <c r="AS76" s="31">
        <f>Table21125[[#This Row],[Threes]]/($AL$67-Table21125[[#This Row],[Missed Games]])</f>
        <v>0.66666666666666663</v>
      </c>
      <c r="AT76" s="31">
        <f>COUNTIF('1408'!V10, TRUE)+COUNTIF('1508'!V10, TRUE)+COUNTIF('1708'!V10, TRUE)</f>
        <v>0</v>
      </c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>
        <f>'0808'!R11+'0908'!R11+'1008'!R11</f>
        <v>6</v>
      </c>
      <c r="AB77" s="31">
        <f>'0808'!S11+'0908'!S11+'1008'!S11</f>
        <v>2</v>
      </c>
      <c r="AC77" s="31">
        <f>'0808'!T11+'0908'!T11+'1008'!T11</f>
        <v>2</v>
      </c>
      <c r="AD77" s="31">
        <f>'0808'!U11+'0908'!U11+'1008'!U11</f>
        <v>1</v>
      </c>
      <c r="AE77" s="31">
        <f>Table21126[[#This Row],[Points]]/($AA$67-Table21126[[#This Row],[Missed Games]])</f>
        <v>3</v>
      </c>
      <c r="AF77" s="31">
        <f>Table21126[[#This Row],[Finishes]]/($AA$67-Table21126[[#This Row],[Missed Games]])</f>
        <v>1</v>
      </c>
      <c r="AG77" s="31">
        <f>Table21126[[#This Row],[Midranges]]/($AA$67-Table21126[[#This Row],[Missed Games]])</f>
        <v>1</v>
      </c>
      <c r="AH77" s="31">
        <f>Table21126[[#This Row],[Threes]]/($AA$67-Table21126[[#This Row],[Missed Games]])</f>
        <v>0.5</v>
      </c>
      <c r="AI77" s="31">
        <f>COUNTIF('0808'!V11, TRUE)+COUNTIF('0908'!V11, TRUE)+COUNTIF('1008'!V11, TRUE)</f>
        <v>1</v>
      </c>
      <c r="AJ77" s="35"/>
      <c r="AK77" s="47" t="s">
        <v>66</v>
      </c>
      <c r="AL77" s="31">
        <f>'1408'!R11+'1508'!R11+'1708'!R11</f>
        <v>5</v>
      </c>
      <c r="AM77" s="31">
        <f>'1408'!S11+'1508'!S11+'1708'!S11</f>
        <v>2</v>
      </c>
      <c r="AN77" s="31">
        <f>'1408'!T11+'1508'!T11+'1708'!T11</f>
        <v>3</v>
      </c>
      <c r="AO77" s="31">
        <f>'1408'!U11+'1508'!U11+'1708'!U11</f>
        <v>0</v>
      </c>
      <c r="AP77" s="31">
        <f>Table21125[[#This Row],[Points]]/($AL$67-Table21125[[#This Row],[Missed Games]])</f>
        <v>1.6666666666666667</v>
      </c>
      <c r="AQ77" s="31">
        <f>Table21125[[#This Row],[Finishes]]/($AL$67-Table21125[[#This Row],[Missed Games]])</f>
        <v>0.66666666666666663</v>
      </c>
      <c r="AR77" s="31">
        <f>Table21125[[#This Row],[Midranges]]/($AL$67-Table21125[[#This Row],[Missed Games]])</f>
        <v>1</v>
      </c>
      <c r="AS77" s="31">
        <f>Table21125[[#This Row],[Threes]]/($AL$67-Table21125[[#This Row],[Missed Games]])</f>
        <v>0</v>
      </c>
      <c r="AT77" s="31">
        <f>COUNTIF('1408'!V11, TRUE)+COUNTIF('1508'!V11, TRUE)+COUNTIF('1708'!V11, TRUE)</f>
        <v>0</v>
      </c>
    </row>
    <row r="78" spans="18:46" ht="14.25" customHeight="1" x14ac:dyDescent="0.45">
      <c r="R78">
        <v>1</v>
      </c>
      <c r="S78" s="46" t="str">
        <f>'Statistics LG'!A7</f>
        <v>17-July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>
        <f>'0808'!R12+'0908'!R12+'1008'!R12</f>
        <v>14</v>
      </c>
      <c r="AB78" s="31">
        <f>'0808'!S12+'0908'!S12+'1008'!S12</f>
        <v>2</v>
      </c>
      <c r="AC78" s="31">
        <f>'0808'!T12+'0908'!T12+'1008'!T12</f>
        <v>10</v>
      </c>
      <c r="AD78" s="31">
        <f>'0808'!U12+'0908'!U12+'1008'!U12</f>
        <v>1</v>
      </c>
      <c r="AE78" s="31">
        <f>Table21126[[#This Row],[Points]]/($AA$67-Table21126[[#This Row],[Missed Games]])</f>
        <v>7</v>
      </c>
      <c r="AF78" s="31">
        <f>Table21126[[#This Row],[Finishes]]/($AA$67-Table21126[[#This Row],[Missed Games]])</f>
        <v>1</v>
      </c>
      <c r="AG78" s="31">
        <f>Table21126[[#This Row],[Midranges]]/($AA$67-Table21126[[#This Row],[Missed Games]])</f>
        <v>5</v>
      </c>
      <c r="AH78" s="31">
        <f>Table21126[[#This Row],[Threes]]/($AA$67-Table21126[[#This Row],[Missed Games]])</f>
        <v>0.5</v>
      </c>
      <c r="AI78" s="31">
        <f>COUNTIF('0808'!V12, TRUE)+COUNTIF('0908'!V12, TRUE)+COUNTIF('1008'!V12, TRUE)</f>
        <v>1</v>
      </c>
      <c r="AJ78" s="35"/>
      <c r="AK78" s="47" t="s">
        <v>68</v>
      </c>
      <c r="AL78" s="31">
        <f>'1408'!R12+'1508'!R12+'1708'!R12</f>
        <v>14</v>
      </c>
      <c r="AM78" s="31">
        <f>'1408'!S12+'1508'!S12+'1708'!S12</f>
        <v>8</v>
      </c>
      <c r="AN78" s="31">
        <f>'1408'!T12+'1508'!T12+'1708'!T12</f>
        <v>6</v>
      </c>
      <c r="AO78" s="31">
        <f>'1408'!U12+'1508'!U12+'1708'!U12</f>
        <v>0</v>
      </c>
      <c r="AP78" s="31">
        <f>Table21125[[#This Row],[Points]]/($AL$67-Table21125[[#This Row],[Missed Games]])</f>
        <v>4.666666666666667</v>
      </c>
      <c r="AQ78" s="31">
        <f>Table21125[[#This Row],[Finishes]]/($AL$67-Table21125[[#This Row],[Missed Games]])</f>
        <v>2.6666666666666665</v>
      </c>
      <c r="AR78" s="31">
        <f>Table21125[[#This Row],[Midranges]]/($AL$67-Table21125[[#This Row],[Missed Games]])</f>
        <v>2</v>
      </c>
      <c r="AS78" s="31">
        <f>Table21125[[#This Row],[Threes]]/($AL$67-Table21125[[#This Row],[Missed Games]])</f>
        <v>0</v>
      </c>
      <c r="AT78" s="31">
        <f>COUNTIF('1408'!V12, TRUE)+COUNTIF('1508'!V12, TRUE)+COUNTIF('1708'!V12, TRUE)</f>
        <v>0</v>
      </c>
    </row>
    <row r="79" spans="18:46" ht="14.25" customHeight="1" x14ac:dyDescent="0.45">
      <c r="R79">
        <v>2</v>
      </c>
      <c r="S79" s="46" t="str">
        <f>'Statistics LG'!A8</f>
        <v>18-July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>
        <f>'0808'!R13+'0908'!R13+'1008'!R13</f>
        <v>1</v>
      </c>
      <c r="AB79" s="31">
        <f>'0808'!S13+'0908'!S13+'1008'!S13</f>
        <v>0</v>
      </c>
      <c r="AC79" s="31">
        <f>'0808'!T13+'0908'!T13+'1008'!T13</f>
        <v>1</v>
      </c>
      <c r="AD79" s="31">
        <f>'0808'!U13+'0908'!U13+'1008'!U13</f>
        <v>0</v>
      </c>
      <c r="AE79" s="31">
        <f>Table21126[[#This Row],[Points]]/($AA$67-Table21126[[#This Row],[Missed Games]])</f>
        <v>0.33333333333333331</v>
      </c>
      <c r="AF79" s="31">
        <f>Table21126[[#This Row],[Finishes]]/($AA$67-Table21126[[#This Row],[Missed Games]])</f>
        <v>0</v>
      </c>
      <c r="AG79" s="31">
        <f>Table21126[[#This Row],[Midranges]]/($AA$67-Table21126[[#This Row],[Missed Games]])</f>
        <v>0.33333333333333331</v>
      </c>
      <c r="AH79" s="31">
        <f>Table21126[[#This Row],[Threes]]/($AA$67-Table21126[[#This Row],[Missed Games]])</f>
        <v>0</v>
      </c>
      <c r="AI79" s="31">
        <f>COUNTIF('0808'!V13, TRUE)+COUNTIF('0908'!V13, TRUE)+COUNTIF('1008'!V13, TRUE)</f>
        <v>0</v>
      </c>
      <c r="AJ79" s="35"/>
      <c r="AK79" s="47" t="s">
        <v>69</v>
      </c>
      <c r="AL79" s="31">
        <f>'1408'!R13+'1508'!R13+'1708'!R13</f>
        <v>2</v>
      </c>
      <c r="AM79" s="31">
        <f>'1408'!S13+'1508'!S13+'1708'!S13</f>
        <v>1</v>
      </c>
      <c r="AN79" s="31">
        <f>'1408'!T13+'1508'!T13+'1708'!T13</f>
        <v>1</v>
      </c>
      <c r="AO79" s="31">
        <f>'1408'!U13+'1508'!U13+'1708'!U13</f>
        <v>0</v>
      </c>
      <c r="AP79" s="31">
        <f>Table21125[[#This Row],[Points]]/($AL$67-Table21125[[#This Row],[Missed Games]])</f>
        <v>0.66666666666666663</v>
      </c>
      <c r="AQ79" s="31">
        <f>Table21125[[#This Row],[Finishes]]/($AL$67-Table21125[[#This Row],[Missed Games]])</f>
        <v>0.33333333333333331</v>
      </c>
      <c r="AR79" s="31">
        <f>Table21125[[#This Row],[Midranges]]/($AL$67-Table21125[[#This Row],[Missed Games]])</f>
        <v>0.33333333333333331</v>
      </c>
      <c r="AS79" s="31">
        <f>Table21125[[#This Row],[Threes]]/($AL$67-Table21125[[#This Row],[Missed Games]])</f>
        <v>0</v>
      </c>
      <c r="AT79" s="31">
        <f>COUNTIF('1408'!V13, TRUE)+COUNTIF('1508'!V13, TRUE)+COUNTIF('1708'!V13, TRUE)</f>
        <v>0</v>
      </c>
    </row>
    <row r="80" spans="18:46" ht="14.25" customHeight="1" x14ac:dyDescent="0.45">
      <c r="R80" s="16">
        <v>3</v>
      </c>
      <c r="S80" s="46" t="str">
        <f>'Statistics LG'!A9</f>
        <v>19-July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200</v>
      </c>
      <c r="AA80" s="31">
        <f>'0808'!R14+'0908'!R14+'1008'!R14</f>
        <v>0</v>
      </c>
      <c r="AB80" s="31">
        <f>'0808'!S14+'0908'!S14+'1008'!S14</f>
        <v>0</v>
      </c>
      <c r="AC80" s="31">
        <f>'0808'!T14+'0908'!T14+'1008'!T14</f>
        <v>0</v>
      </c>
      <c r="AD80" s="31">
        <f>'0808'!U14+'0908'!U14+'1008'!U14</f>
        <v>0</v>
      </c>
      <c r="AE80" s="31" t="e">
        <f>Table21126[[#This Row],[Points]]/($AA$67-Table21126[[#This Row],[Missed Games]])</f>
        <v>#DIV/0!</v>
      </c>
      <c r="AF80" s="31" t="e">
        <f>Table21126[[#This Row],[Finishes]]/($AA$67-Table21126[[#This Row],[Missed Games]])</f>
        <v>#DIV/0!</v>
      </c>
      <c r="AG80" s="31" t="e">
        <f>Table21126[[#This Row],[Midranges]]/($AA$67-Table21126[[#This Row],[Missed Games]])</f>
        <v>#DIV/0!</v>
      </c>
      <c r="AH80" s="31" t="e">
        <f>Table21126[[#This Row],[Threes]]/($AA$67-Table21126[[#This Row],[Missed Games]])</f>
        <v>#DIV/0!</v>
      </c>
      <c r="AI80" s="31">
        <f>COUNTIF('0808'!V14, TRUE)+COUNTIF('0908'!V14, TRUE)+COUNTIF('1008'!V14, TRUE)</f>
        <v>3</v>
      </c>
      <c r="AJ80" s="35"/>
      <c r="AK80" s="35" t="s">
        <v>200</v>
      </c>
      <c r="AL80" s="31">
        <f>'1408'!R14+'1508'!R14+'1708'!R14</f>
        <v>0</v>
      </c>
      <c r="AM80" s="31">
        <f>'1408'!S14+'1508'!S14+'1708'!S14</f>
        <v>0</v>
      </c>
      <c r="AN80" s="31">
        <f>'1408'!T14+'1508'!T14+'1708'!T14</f>
        <v>0</v>
      </c>
      <c r="AO80" s="31">
        <f>'1408'!U14+'1508'!U14+'1708'!U14</f>
        <v>0</v>
      </c>
      <c r="AP80" s="31" t="e">
        <f>Table21125[[#This Row],[Points]]/($AL$67-Table21125[[#This Row],[Missed Games]])</f>
        <v>#DIV/0!</v>
      </c>
      <c r="AQ80" s="31" t="e">
        <f>Table21125[[#This Row],[Finishes]]/($AL$67-Table21125[[#This Row],[Missed Games]])</f>
        <v>#DIV/0!</v>
      </c>
      <c r="AR80" s="31" t="e">
        <f>Table21125[[#This Row],[Midranges]]/($AL$67-Table21125[[#This Row],[Missed Games]])</f>
        <v>#DIV/0!</v>
      </c>
      <c r="AS80" s="31" t="e">
        <f>Table21125[[#This Row],[Threes]]/($AL$67-Table21125[[#This Row],[Missed Games]])</f>
        <v>#DIV/0!</v>
      </c>
      <c r="AT80" s="31">
        <f>COUNTIF('1408'!V14, TRUE)+COUNTIF('1508'!V14, TRUE)+COUNTIF('1708'!V14, TRUE)</f>
        <v>3</v>
      </c>
    </row>
    <row r="81" spans="18:46" ht="14.25" customHeight="1" x14ac:dyDescent="0.45">
      <c r="R81" s="16">
        <v>4</v>
      </c>
      <c r="S81" s="46" t="str">
        <f>'Statistics LG'!A10</f>
        <v>20-July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>
        <f>'0808'!R15+'0908'!R15+'1008'!R15</f>
        <v>1</v>
      </c>
      <c r="AB81" s="31">
        <f>'0808'!S15+'0908'!S15+'1008'!S15</f>
        <v>1</v>
      </c>
      <c r="AC81" s="31">
        <f>'0808'!T15+'0908'!T15+'1008'!T15</f>
        <v>0</v>
      </c>
      <c r="AD81" s="31">
        <f>'0808'!U15+'0908'!U15+'1008'!U15</f>
        <v>0</v>
      </c>
      <c r="AE81" s="31">
        <f>Table21126[[#This Row],[Points]]/($AA$67-Table21126[[#This Row],[Missed Games]])</f>
        <v>0.5</v>
      </c>
      <c r="AF81" s="31">
        <f>Table21126[[#This Row],[Finishes]]/($AA$67-Table21126[[#This Row],[Missed Games]])</f>
        <v>0.5</v>
      </c>
      <c r="AG81" s="31">
        <f>Table21126[[#This Row],[Midranges]]/($AA$67-Table21126[[#This Row],[Missed Games]])</f>
        <v>0</v>
      </c>
      <c r="AH81" s="31">
        <f>Table21126[[#This Row],[Threes]]/($AA$67-Table21126[[#This Row],[Missed Games]])</f>
        <v>0</v>
      </c>
      <c r="AI81" s="31">
        <f>COUNTIF('0808'!V15, TRUE)+COUNTIF('0908'!V15, TRUE)+COUNTIF('1008'!V15, TRUE)</f>
        <v>1</v>
      </c>
      <c r="AJ81" s="35"/>
      <c r="AK81" s="35" t="s">
        <v>128</v>
      </c>
      <c r="AL81" s="31">
        <f>'1408'!R15+'1508'!R15+'1708'!R15</f>
        <v>2</v>
      </c>
      <c r="AM81" s="31">
        <f>'1408'!S15+'1508'!S15+'1708'!S15</f>
        <v>0</v>
      </c>
      <c r="AN81" s="31">
        <f>'1408'!T15+'1508'!T15+'1708'!T15</f>
        <v>0</v>
      </c>
      <c r="AO81" s="31">
        <f>'1408'!U15+'1508'!U15+'1708'!U15</f>
        <v>1</v>
      </c>
      <c r="AP81" s="31">
        <f>Table21125[[#This Row],[Points]]/($AL$67-Table21125[[#This Row],[Missed Games]])</f>
        <v>2</v>
      </c>
      <c r="AQ81" s="31">
        <f>Table21125[[#This Row],[Finishes]]/($AL$67-Table21125[[#This Row],[Missed Games]])</f>
        <v>0</v>
      </c>
      <c r="AR81" s="31">
        <f>Table21125[[#This Row],[Midranges]]/($AL$67-Table21125[[#This Row],[Missed Games]])</f>
        <v>0</v>
      </c>
      <c r="AS81" s="31">
        <f>Table21125[[#This Row],[Threes]]/($AL$67-Table21125[[#This Row],[Missed Games]])</f>
        <v>1</v>
      </c>
      <c r="AT81" s="31">
        <f>COUNTIF('1408'!V15, TRUE)+COUNTIF('1508'!V15, TRUE)+COUNTIF('1708'!V15, TRUE)</f>
        <v>2</v>
      </c>
    </row>
    <row r="82" spans="18:46" ht="14.25" customHeight="1" x14ac:dyDescent="0.45">
      <c r="R82" s="16">
        <v>5</v>
      </c>
      <c r="S82" s="46" t="str">
        <f>'Statistics LG'!A11</f>
        <v>24-July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>
        <f>'0808'!R16+'0908'!R16+'1008'!R16</f>
        <v>3</v>
      </c>
      <c r="AB82" s="31">
        <f>'0808'!S16+'0908'!S16+'1008'!S16</f>
        <v>3</v>
      </c>
      <c r="AC82" s="31">
        <f>'0808'!T16+'0908'!T16+'1008'!T16</f>
        <v>0</v>
      </c>
      <c r="AD82" s="31">
        <f>'0808'!U16+'0908'!U16+'1008'!U16</f>
        <v>0</v>
      </c>
      <c r="AE82" s="31">
        <f>Table21126[[#This Row],[Points]]/($AA$67-Table21126[[#This Row],[Missed Games]])</f>
        <v>1</v>
      </c>
      <c r="AF82" s="31">
        <f>Table21126[[#This Row],[Finishes]]/($AA$67-Table21126[[#This Row],[Missed Games]])</f>
        <v>1</v>
      </c>
      <c r="AG82" s="31">
        <f>Table21126[[#This Row],[Midranges]]/($AA$67-Table21126[[#This Row],[Missed Games]])</f>
        <v>0</v>
      </c>
      <c r="AH82" s="31">
        <f>Table21126[[#This Row],[Threes]]/($AA$67-Table21126[[#This Row],[Missed Games]])</f>
        <v>0</v>
      </c>
      <c r="AI82" s="31">
        <f>COUNTIF('0808'!V16, TRUE)+COUNTIF('0908'!V16, TRUE)+COUNTIF('1008'!V16, TRUE)</f>
        <v>0</v>
      </c>
      <c r="AJ82" s="35"/>
      <c r="AK82" s="35" t="s">
        <v>127</v>
      </c>
      <c r="AL82" s="31">
        <f>'1408'!R16+'1508'!R16+'1708'!R16</f>
        <v>4</v>
      </c>
      <c r="AM82" s="31">
        <f>'1408'!S16+'1508'!S16+'1708'!S16</f>
        <v>2</v>
      </c>
      <c r="AN82" s="31">
        <f>'1408'!T16+'1508'!T16+'1708'!T16</f>
        <v>2</v>
      </c>
      <c r="AO82" s="31">
        <f>'1408'!U16+'1508'!U16+'1708'!U16</f>
        <v>0</v>
      </c>
      <c r="AP82" s="31">
        <f>Table21125[[#This Row],[Points]]/($AL$67-Table21125[[#This Row],[Missed Games]])</f>
        <v>1.3333333333333333</v>
      </c>
      <c r="AQ82" s="31">
        <f>Table21125[[#This Row],[Finishes]]/($AL$67-Table21125[[#This Row],[Missed Games]])</f>
        <v>0.66666666666666663</v>
      </c>
      <c r="AR82" s="31">
        <f>Table21125[[#This Row],[Midranges]]/($AL$67-Table21125[[#This Row],[Missed Games]])</f>
        <v>0.66666666666666663</v>
      </c>
      <c r="AS82" s="31">
        <f>Table21125[[#This Row],[Threes]]/($AL$67-Table21125[[#This Row],[Missed Games]])</f>
        <v>0</v>
      </c>
      <c r="AT82" s="31">
        <f>COUNTIF('1408'!V16, TRUE)+COUNTIF('1508'!V16, TRUE)+COUNTIF('1708'!V16, TRUE)</f>
        <v>0</v>
      </c>
    </row>
    <row r="83" spans="18:46" ht="14.25" customHeight="1" x14ac:dyDescent="0.45">
      <c r="R83" s="16">
        <v>6</v>
      </c>
      <c r="S83" s="46" t="str">
        <f>'Statistics LG'!A12</f>
        <v>26-July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>
        <f>'0808'!R17+'0908'!R17+'1008'!R17</f>
        <v>7</v>
      </c>
      <c r="AB83" s="31">
        <f>'0808'!S17+'0908'!S17+'1008'!S17</f>
        <v>4</v>
      </c>
      <c r="AC83" s="31">
        <f>'0808'!T17+'0908'!T17+'1008'!T17</f>
        <v>1</v>
      </c>
      <c r="AD83" s="31">
        <f>'0808'!U17+'0908'!U17+'1008'!U17</f>
        <v>1</v>
      </c>
      <c r="AE83" s="31">
        <f>Table21126[[#This Row],[Points]]/($AA$67-Table21126[[#This Row],[Missed Games]])</f>
        <v>2.3333333333333335</v>
      </c>
      <c r="AF83" s="31">
        <f>Table21126[[#This Row],[Finishes]]/($AA$67-Table21126[[#This Row],[Missed Games]])</f>
        <v>1.3333333333333333</v>
      </c>
      <c r="AG83" s="31">
        <f>Table21126[[#This Row],[Midranges]]/($AA$67-Table21126[[#This Row],[Missed Games]])</f>
        <v>0.33333333333333331</v>
      </c>
      <c r="AH83" s="31">
        <f>Table21126[[#This Row],[Threes]]/($AA$67-Table21126[[#This Row],[Missed Games]])</f>
        <v>0.33333333333333331</v>
      </c>
      <c r="AI83" s="31">
        <f>COUNTIF('0808'!V17, TRUE)+COUNTIF('0908'!V17, TRUE)+COUNTIF('1008'!V17, TRUE)</f>
        <v>0</v>
      </c>
      <c r="AJ83" s="35"/>
      <c r="AK83" s="35" t="s">
        <v>73</v>
      </c>
      <c r="AL83" s="31">
        <f>'1408'!R17+'1508'!R17+'1708'!R17</f>
        <v>3</v>
      </c>
      <c r="AM83" s="31">
        <f>'1408'!S17+'1508'!S17+'1708'!S17</f>
        <v>1</v>
      </c>
      <c r="AN83" s="31">
        <f>'1408'!T17+'1508'!T17+'1708'!T17</f>
        <v>0</v>
      </c>
      <c r="AO83" s="31">
        <f>'1408'!U17+'1508'!U17+'1708'!U17</f>
        <v>1</v>
      </c>
      <c r="AP83" s="31">
        <f>Table21125[[#This Row],[Points]]/($AL$67-Table21125[[#This Row],[Missed Games]])</f>
        <v>1.5</v>
      </c>
      <c r="AQ83" s="31">
        <f>Table21125[[#This Row],[Finishes]]/($AL$67-Table21125[[#This Row],[Missed Games]])</f>
        <v>0.5</v>
      </c>
      <c r="AR83" s="31">
        <f>Table21125[[#This Row],[Midranges]]/($AL$67-Table21125[[#This Row],[Missed Games]])</f>
        <v>0</v>
      </c>
      <c r="AS83" s="31">
        <f>Table21125[[#This Row],[Threes]]/($AL$67-Table21125[[#This Row],[Missed Games]])</f>
        <v>0.5</v>
      </c>
      <c r="AT83" s="31">
        <f>COUNTIF('1408'!V17, TRUE)+COUNTIF('1508'!V17, TRUE)+COUNTIF('1708'!V17, TRUE)</f>
        <v>1</v>
      </c>
    </row>
    <row r="84" spans="18:46" ht="14.25" customHeight="1" x14ac:dyDescent="0.45">
      <c r="R84" s="16">
        <v>7</v>
      </c>
      <c r="S84" s="46" t="str">
        <f>'Statistics LG'!A13</f>
        <v>27-July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>
        <f>'0808'!R18+'0908'!R18+'1008'!R18</f>
        <v>0</v>
      </c>
      <c r="AB84" s="31">
        <f>'0808'!S18+'0908'!S18+'1008'!S18</f>
        <v>0</v>
      </c>
      <c r="AC84" s="31">
        <f>'0808'!T18+'0908'!T18+'1008'!T18</f>
        <v>0</v>
      </c>
      <c r="AD84" s="31">
        <f>'0808'!U18+'0908'!U18+'1008'!U18</f>
        <v>0</v>
      </c>
      <c r="AE84" s="31">
        <f>Table21126[[#This Row],[Points]]/($AA$67-Table21126[[#This Row],[Missed Games]])</f>
        <v>0</v>
      </c>
      <c r="AF84" s="31">
        <f>Table21126[[#This Row],[Finishes]]/($AA$67-Table21126[[#This Row],[Missed Games]])</f>
        <v>0</v>
      </c>
      <c r="AG84" s="31">
        <f>Table21126[[#This Row],[Midranges]]/($AA$67-Table21126[[#This Row],[Missed Games]])</f>
        <v>0</v>
      </c>
      <c r="AH84" s="31">
        <f>Table21126[[#This Row],[Threes]]/($AA$67-Table21126[[#This Row],[Missed Games]])</f>
        <v>0</v>
      </c>
      <c r="AI84" s="31">
        <f>COUNTIF('0808'!V18, TRUE)+COUNTIF('0908'!V18, TRUE)+COUNTIF('1008'!V18, TRUE)</f>
        <v>0</v>
      </c>
      <c r="AJ84" s="35"/>
      <c r="AK84" s="35" t="s">
        <v>74</v>
      </c>
      <c r="AL84" s="31">
        <f>'1408'!R18+'1508'!R18+'1708'!R18</f>
        <v>0</v>
      </c>
      <c r="AM84" s="31">
        <f>'1408'!S18+'1508'!S18+'1708'!S18</f>
        <v>0</v>
      </c>
      <c r="AN84" s="31">
        <f>'1408'!T18+'1508'!T18+'1708'!T18</f>
        <v>0</v>
      </c>
      <c r="AO84" s="31">
        <f>'1408'!U18+'1508'!U18+'1708'!U18</f>
        <v>0</v>
      </c>
      <c r="AP84" s="31">
        <f>Table21125[[#This Row],[Points]]/($AL$67-Table21125[[#This Row],[Missed Games]])</f>
        <v>0</v>
      </c>
      <c r="AQ84" s="31">
        <f>Table21125[[#This Row],[Finishes]]/($AL$67-Table21125[[#This Row],[Missed Games]])</f>
        <v>0</v>
      </c>
      <c r="AR84" s="31">
        <f>Table21125[[#This Row],[Midranges]]/($AL$67-Table21125[[#This Row],[Missed Games]])</f>
        <v>0</v>
      </c>
      <c r="AS84" s="31">
        <f>Table21125[[#This Row],[Threes]]/($AL$67-Table21125[[#This Row],[Missed Games]])</f>
        <v>0</v>
      </c>
      <c r="AT84" s="31">
        <f>COUNTIF('1408'!V18, TRUE)+COUNTIF('1508'!V18, TRUE)+COUNTIF('1708'!V18, TRUE)</f>
        <v>0</v>
      </c>
    </row>
    <row r="85" spans="18:46" ht="14.25" customHeight="1" x14ac:dyDescent="0.45">
      <c r="R85" s="16">
        <v>8</v>
      </c>
      <c r="S85" s="46" t="str">
        <f>'Statistics LG'!A14</f>
        <v>31-July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>
        <f>'0808'!R19+'0908'!R19+'1008'!R19</f>
        <v>0</v>
      </c>
      <c r="AB85" s="31">
        <f>'0808'!S19+'0908'!S19+'1008'!S19</f>
        <v>0</v>
      </c>
      <c r="AC85" s="31">
        <f>'0808'!T19+'0908'!T19+'1008'!T19</f>
        <v>0</v>
      </c>
      <c r="AD85" s="31">
        <f>'0808'!U19+'0908'!U19+'1008'!U19</f>
        <v>0</v>
      </c>
      <c r="AE85" s="31">
        <f>Table21126[[#This Row],[Points]]/($AA$67-Table21126[[#This Row],[Missed Games]])</f>
        <v>0</v>
      </c>
      <c r="AF85" s="31">
        <f>Table21126[[#This Row],[Finishes]]/($AA$67-Table21126[[#This Row],[Missed Games]])</f>
        <v>0</v>
      </c>
      <c r="AG85" s="31">
        <f>Table21126[[#This Row],[Midranges]]/($AA$67-Table21126[[#This Row],[Missed Games]])</f>
        <v>0</v>
      </c>
      <c r="AH85" s="31">
        <f>Table21126[[#This Row],[Threes]]/($AA$67-Table21126[[#This Row],[Missed Games]])</f>
        <v>0</v>
      </c>
      <c r="AI85" s="31">
        <f>COUNTIF('0808'!V19, TRUE)+COUNTIF('0908'!V19, TRUE)+COUNTIF('1008'!V19, TRUE)</f>
        <v>1</v>
      </c>
      <c r="AJ85" s="35"/>
      <c r="AK85" s="47" t="s">
        <v>75</v>
      </c>
      <c r="AL85" s="31">
        <f>'1408'!R19+'1508'!R19+'1708'!R19</f>
        <v>2</v>
      </c>
      <c r="AM85" s="31">
        <f>'1408'!S19+'1508'!S19+'1708'!S19</f>
        <v>0</v>
      </c>
      <c r="AN85" s="31">
        <f>'1408'!T19+'1508'!T19+'1708'!T19</f>
        <v>0</v>
      </c>
      <c r="AO85" s="31">
        <f>'1408'!U19+'1508'!U19+'1708'!U19</f>
        <v>1</v>
      </c>
      <c r="AP85" s="31">
        <f>Table21125[[#This Row],[Points]]/($AL$67-Table21125[[#This Row],[Missed Games]])</f>
        <v>0.66666666666666663</v>
      </c>
      <c r="AQ85" s="31">
        <f>Table21125[[#This Row],[Finishes]]/($AL$67-Table21125[[#This Row],[Missed Games]])</f>
        <v>0</v>
      </c>
      <c r="AR85" s="31">
        <f>Table21125[[#This Row],[Midranges]]/($AL$67-Table21125[[#This Row],[Missed Games]])</f>
        <v>0</v>
      </c>
      <c r="AS85" s="31">
        <f>Table21125[[#This Row],[Threes]]/($AL$67-Table21125[[#This Row],[Missed Games]])</f>
        <v>0.33333333333333331</v>
      </c>
      <c r="AT85" s="31">
        <f>COUNTIF('1408'!V19, TRUE)+COUNTIF('1508'!V19, TRUE)+COUNTIF('1708'!V19, TRUE)</f>
        <v>0</v>
      </c>
    </row>
    <row r="86" spans="18:46" ht="14.25" customHeight="1" x14ac:dyDescent="0.45">
      <c r="R86" s="16">
        <v>9</v>
      </c>
      <c r="S86" s="46" t="str">
        <f>'Statistics LG'!A15</f>
        <v>1-August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LG'!A16</f>
        <v>2-August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268</v>
      </c>
      <c r="AA87" s="11">
        <v>1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201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LG'!A17</f>
        <v>3-August</v>
      </c>
      <c r="T88" s="16">
        <f>T87+'Statistics LG'!D17</f>
        <v>25</v>
      </c>
      <c r="U88" s="16">
        <f>U87+'Statistics WW'!D17</f>
        <v>18</v>
      </c>
      <c r="V88" s="16">
        <f>V87+'Statistics 5M'!D17</f>
        <v>23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LG'!A18</f>
        <v>8-August</v>
      </c>
      <c r="T89" s="16">
        <f>T88+'Statistics LG'!D18</f>
        <v>26</v>
      </c>
      <c r="U89" s="16">
        <f>U88+'Statistics WW'!D18</f>
        <v>20</v>
      </c>
      <c r="V89" s="16">
        <f>V88+'Statistics 5M'!D18</f>
        <v>26</v>
      </c>
      <c r="Z89" s="47" t="s">
        <v>45</v>
      </c>
      <c r="AA89" s="31">
        <f>'Finals 1'!R3</f>
        <v>0</v>
      </c>
      <c r="AB89" s="31">
        <f>'Finals 1'!S3</f>
        <v>0</v>
      </c>
      <c r="AC89" s="31">
        <f>'Finals 1'!T3</f>
        <v>0</v>
      </c>
      <c r="AD89" s="31">
        <f>'Finals 1'!U3</f>
        <v>0</v>
      </c>
      <c r="AE89" s="31">
        <f>Table21127[[#This Row],[Points]]/($AA$87-Table21127[[#This Row],[Missed Games]])</f>
        <v>0</v>
      </c>
      <c r="AF89" s="31">
        <f>Table21127[[#This Row],[Finishes]]/($AA$87-Table21127[[#This Row],[Missed Games]])</f>
        <v>0</v>
      </c>
      <c r="AG89" s="31">
        <f>Table21127[[#This Row],[Midranges]]/($AA$87-Table21127[[#This Row],[Missed Games]])</f>
        <v>0</v>
      </c>
      <c r="AH89" s="31">
        <f>Table21127[[#This Row],[Threes]]/($AA$87-Table21127[[#This Row],[Missed Games]])</f>
        <v>0</v>
      </c>
      <c r="AI89" s="31">
        <f>COUNTIF('Finals 1'!V3, TRUE)</f>
        <v>0</v>
      </c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 t="str">
        <f>'Statistics LG'!A19</f>
        <v>9-August</v>
      </c>
      <c r="T90" s="16">
        <f>T89+'Statistics LG'!D19</f>
        <v>28</v>
      </c>
      <c r="U90" s="16">
        <f>U89+'Statistics WW'!D19</f>
        <v>21</v>
      </c>
      <c r="V90" s="16">
        <f>V89+'Statistics 5M'!D19</f>
        <v>29</v>
      </c>
      <c r="Z90" s="47" t="s">
        <v>49</v>
      </c>
      <c r="AA90" s="31">
        <f>'Finals 1'!R4</f>
        <v>0</v>
      </c>
      <c r="AB90" s="31">
        <f>'Finals 1'!S4</f>
        <v>0</v>
      </c>
      <c r="AC90" s="31">
        <f>'Finals 1'!T4</f>
        <v>0</v>
      </c>
      <c r="AD90" s="31">
        <f>'Finals 1'!U4</f>
        <v>0</v>
      </c>
      <c r="AE90" s="31">
        <f>Table21127[[#This Row],[Points]]/($AA$87-Table21127[[#This Row],[Missed Games]])</f>
        <v>0</v>
      </c>
      <c r="AF90" s="31">
        <f>Table21127[[#This Row],[Finishes]]/($AA$87-Table21127[[#This Row],[Missed Games]])</f>
        <v>0</v>
      </c>
      <c r="AG90" s="31">
        <f>Table21127[[#This Row],[Midranges]]/($AA$87-Table21127[[#This Row],[Missed Games]])</f>
        <v>0</v>
      </c>
      <c r="AH90" s="31">
        <f>Table21127[[#This Row],[Threes]]/($AA$87-Table21127[[#This Row],[Missed Games]])</f>
        <v>0</v>
      </c>
      <c r="AI90" s="31">
        <f>COUNTIF('Finals 1'!V4, TRUE)</f>
        <v>0</v>
      </c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 t="str">
        <f>'Statistics LG'!A20</f>
        <v>10-August</v>
      </c>
      <c r="T91" s="16">
        <f>T90+'Statistics LG'!D20</f>
        <v>30</v>
      </c>
      <c r="U91" s="16">
        <f>U90+'Statistics WW'!D20</f>
        <v>24</v>
      </c>
      <c r="V91" s="16">
        <f>V90+'Statistics 5M'!D20</f>
        <v>30</v>
      </c>
      <c r="Z91" s="47" t="s">
        <v>51</v>
      </c>
      <c r="AA91" s="31">
        <f>'Finals 1'!R5</f>
        <v>0</v>
      </c>
      <c r="AB91" s="31">
        <f>'Finals 1'!S5</f>
        <v>0</v>
      </c>
      <c r="AC91" s="31">
        <f>'Finals 1'!T5</f>
        <v>0</v>
      </c>
      <c r="AD91" s="31">
        <f>'Finals 1'!U5</f>
        <v>0</v>
      </c>
      <c r="AE91" s="31">
        <f>Table21127[[#This Row],[Points]]/($AA$87-Table21127[[#This Row],[Missed Games]])</f>
        <v>0</v>
      </c>
      <c r="AF91" s="31">
        <f>Table21127[[#This Row],[Finishes]]/($AA$87-Table21127[[#This Row],[Missed Games]])</f>
        <v>0</v>
      </c>
      <c r="AG91" s="31">
        <f>Table21127[[#This Row],[Midranges]]/($AA$87-Table21127[[#This Row],[Missed Games]])</f>
        <v>0</v>
      </c>
      <c r="AH91" s="31">
        <f>Table21127[[#This Row],[Threes]]/($AA$87-Table21127[[#This Row],[Missed Games]])</f>
        <v>0</v>
      </c>
      <c r="AI91" s="31">
        <f>COUNTIF('Finals 1'!V5, TRUE)</f>
        <v>0</v>
      </c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/>
      <c r="S92" s="46"/>
      <c r="T92" s="16"/>
      <c r="U92" s="16"/>
      <c r="V92" s="16"/>
      <c r="Z92" s="47" t="s">
        <v>54</v>
      </c>
      <c r="AA92" s="31">
        <f>'Finals 1'!R6</f>
        <v>0</v>
      </c>
      <c r="AB92" s="31">
        <f>'Finals 1'!S6</f>
        <v>0</v>
      </c>
      <c r="AC92" s="31">
        <f>'Finals 1'!T6</f>
        <v>0</v>
      </c>
      <c r="AD92" s="31">
        <f>'Finals 1'!U6</f>
        <v>0</v>
      </c>
      <c r="AE92" s="31">
        <f>Table21127[[#This Row],[Points]]/($AA$87-Table21127[[#This Row],[Missed Games]])</f>
        <v>0</v>
      </c>
      <c r="AF92" s="31">
        <f>Table21127[[#This Row],[Finishes]]/($AA$87-Table21127[[#This Row],[Missed Games]])</f>
        <v>0</v>
      </c>
      <c r="AG92" s="31">
        <f>Table21127[[#This Row],[Midranges]]/($AA$87-Table21127[[#This Row],[Missed Games]])</f>
        <v>0</v>
      </c>
      <c r="AH92" s="31">
        <f>Table21127[[#This Row],[Threes]]/($AA$87-Table21127[[#This Row],[Missed Games]])</f>
        <v>0</v>
      </c>
      <c r="AI92" s="31">
        <f>COUNTIF('Finals 1'!V6, TRUE)</f>
        <v>0</v>
      </c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Z93" s="47" t="s">
        <v>57</v>
      </c>
      <c r="AA93" s="31">
        <f>'Finals 1'!R7</f>
        <v>0</v>
      </c>
      <c r="AB93" s="31">
        <f>'Finals 1'!S7</f>
        <v>0</v>
      </c>
      <c r="AC93" s="31">
        <f>'Finals 1'!T7</f>
        <v>0</v>
      </c>
      <c r="AD93" s="31">
        <f>'Finals 1'!U7</f>
        <v>0</v>
      </c>
      <c r="AE93" s="31">
        <f>Table21127[[#This Row],[Points]]/($AA$87-Table21127[[#This Row],[Missed Games]])</f>
        <v>0</v>
      </c>
      <c r="AF93" s="31">
        <f>Table21127[[#This Row],[Finishes]]/($AA$87-Table21127[[#This Row],[Missed Games]])</f>
        <v>0</v>
      </c>
      <c r="AG93" s="31">
        <f>Table21127[[#This Row],[Midranges]]/($AA$87-Table21127[[#This Row],[Missed Games]])</f>
        <v>0</v>
      </c>
      <c r="AH93" s="31">
        <f>Table21127[[#This Row],[Threes]]/($AA$87-Table21127[[#This Row],[Missed Games]])</f>
        <v>0</v>
      </c>
      <c r="AI93" s="31">
        <f>COUNTIF('Finals 1'!V7, TRUE)</f>
        <v>0</v>
      </c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Z94" s="47" t="s">
        <v>60</v>
      </c>
      <c r="AA94" s="31">
        <f>'Finals 1'!R8</f>
        <v>0</v>
      </c>
      <c r="AB94" s="31">
        <f>'Finals 1'!S8</f>
        <v>0</v>
      </c>
      <c r="AC94" s="31">
        <f>'Finals 1'!T8</f>
        <v>0</v>
      </c>
      <c r="AD94" s="31">
        <f>'Finals 1'!U8</f>
        <v>0</v>
      </c>
      <c r="AE94" s="31">
        <f>Table21127[[#This Row],[Points]]/($AA$87-Table21127[[#This Row],[Missed Games]])</f>
        <v>0</v>
      </c>
      <c r="AF94" s="31">
        <f>Table21127[[#This Row],[Finishes]]/($AA$87-Table21127[[#This Row],[Missed Games]])</f>
        <v>0</v>
      </c>
      <c r="AG94" s="31">
        <f>Table21127[[#This Row],[Midranges]]/($AA$87-Table21127[[#This Row],[Missed Games]])</f>
        <v>0</v>
      </c>
      <c r="AH94" s="31">
        <f>Table21127[[#This Row],[Threes]]/($AA$87-Table21127[[#This Row],[Missed Games]])</f>
        <v>0</v>
      </c>
      <c r="AI94" s="31">
        <f>COUNTIF('Finals 1'!V8, TRUE)</f>
        <v>0</v>
      </c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Z95" s="35" t="s">
        <v>93</v>
      </c>
      <c r="AA95" s="31">
        <f>'Finals 1'!R9</f>
        <v>0</v>
      </c>
      <c r="AB95" s="31">
        <f>'Finals 1'!S9</f>
        <v>0</v>
      </c>
      <c r="AC95" s="31">
        <f>'Finals 1'!T9</f>
        <v>0</v>
      </c>
      <c r="AD95" s="31">
        <f>'Finals 1'!U9</f>
        <v>0</v>
      </c>
      <c r="AE95" s="31">
        <f>Table21127[[#This Row],[Points]]/($AA$87-Table21127[[#This Row],[Missed Games]])</f>
        <v>0</v>
      </c>
      <c r="AF95" s="31">
        <f>Table21127[[#This Row],[Finishes]]/($AA$87-Table21127[[#This Row],[Missed Games]])</f>
        <v>0</v>
      </c>
      <c r="AG95" s="31">
        <f>Table21127[[#This Row],[Midranges]]/($AA$87-Table21127[[#This Row],[Missed Games]])</f>
        <v>0</v>
      </c>
      <c r="AH95" s="31">
        <f>Table21127[[#This Row],[Threes]]/($AA$87-Table21127[[#This Row],[Missed Games]])</f>
        <v>0</v>
      </c>
      <c r="AI95" s="31">
        <f>COUNTIF('Finals 1'!V9, TRUE)</f>
        <v>0</v>
      </c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Z96" s="47" t="s">
        <v>63</v>
      </c>
      <c r="AA96" s="31">
        <f>'Finals 1'!R10</f>
        <v>0</v>
      </c>
      <c r="AB96" s="31">
        <f>'Finals 1'!S10</f>
        <v>0</v>
      </c>
      <c r="AC96" s="31">
        <f>'Finals 1'!T10</f>
        <v>0</v>
      </c>
      <c r="AD96" s="31">
        <f>'Finals 1'!U10</f>
        <v>0</v>
      </c>
      <c r="AE96" s="31">
        <f>Table21127[[#This Row],[Points]]/($AA$87-Table21127[[#This Row],[Missed Games]])</f>
        <v>0</v>
      </c>
      <c r="AF96" s="31">
        <f>Table21127[[#This Row],[Finishes]]/($AA$87-Table21127[[#This Row],[Missed Games]])</f>
        <v>0</v>
      </c>
      <c r="AG96" s="31">
        <f>Table21127[[#This Row],[Midranges]]/($AA$87-Table21127[[#This Row],[Missed Games]])</f>
        <v>0</v>
      </c>
      <c r="AH96" s="31">
        <f>Table21127[[#This Row],[Threes]]/($AA$87-Table21127[[#This Row],[Missed Games]])</f>
        <v>0</v>
      </c>
      <c r="AI96" s="31">
        <f>COUNTIF('Finals 1'!V10, TRUE)</f>
        <v>0</v>
      </c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Z97" s="47" t="s">
        <v>66</v>
      </c>
      <c r="AA97" s="31">
        <f>'Finals 1'!R11</f>
        <v>0</v>
      </c>
      <c r="AB97" s="31">
        <f>'Finals 1'!S11</f>
        <v>0</v>
      </c>
      <c r="AC97" s="31">
        <f>'Finals 1'!T11</f>
        <v>0</v>
      </c>
      <c r="AD97" s="31">
        <f>'Finals 1'!U11</f>
        <v>0</v>
      </c>
      <c r="AE97" s="31">
        <f>Table21127[[#This Row],[Points]]/($AA$87-Table21127[[#This Row],[Missed Games]])</f>
        <v>0</v>
      </c>
      <c r="AF97" s="31">
        <f>Table21127[[#This Row],[Finishes]]/($AA$87-Table21127[[#This Row],[Missed Games]])</f>
        <v>0</v>
      </c>
      <c r="AG97" s="31">
        <f>Table21127[[#This Row],[Midranges]]/($AA$87-Table21127[[#This Row],[Missed Games]])</f>
        <v>0</v>
      </c>
      <c r="AH97" s="31">
        <f>Table21127[[#This Row],[Threes]]/($AA$87-Table21127[[#This Row],[Missed Games]])</f>
        <v>0</v>
      </c>
      <c r="AI97" s="31">
        <f>COUNTIF('Finals 1'!V11, TRUE)</f>
        <v>0</v>
      </c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Z98" s="47" t="s">
        <v>68</v>
      </c>
      <c r="AA98" s="31">
        <f>'Finals 1'!R12</f>
        <v>0</v>
      </c>
      <c r="AB98" s="31">
        <f>'Finals 1'!S12</f>
        <v>0</v>
      </c>
      <c r="AC98" s="31">
        <f>'Finals 1'!T12</f>
        <v>0</v>
      </c>
      <c r="AD98" s="31">
        <f>'Finals 1'!U12</f>
        <v>0</v>
      </c>
      <c r="AE98" s="31">
        <f>Table21127[[#This Row],[Points]]/($AA$87-Table21127[[#This Row],[Missed Games]])</f>
        <v>0</v>
      </c>
      <c r="AF98" s="31">
        <f>Table21127[[#This Row],[Finishes]]/($AA$87-Table21127[[#This Row],[Missed Games]])</f>
        <v>0</v>
      </c>
      <c r="AG98" s="31">
        <f>Table21127[[#This Row],[Midranges]]/($AA$87-Table21127[[#This Row],[Missed Games]])</f>
        <v>0</v>
      </c>
      <c r="AH98" s="31">
        <f>Table21127[[#This Row],[Threes]]/($AA$87-Table21127[[#This Row],[Missed Games]])</f>
        <v>0</v>
      </c>
      <c r="AI98" s="31">
        <f>COUNTIF('Finals 1'!V12, TRUE)</f>
        <v>0</v>
      </c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>
        <f>'Finals 1'!R13</f>
        <v>0</v>
      </c>
      <c r="AB99" s="31">
        <f>'Finals 1'!S13</f>
        <v>0</v>
      </c>
      <c r="AC99" s="31">
        <f>'Finals 1'!T13</f>
        <v>0</v>
      </c>
      <c r="AD99" s="31">
        <f>'Finals 1'!U13</f>
        <v>0</v>
      </c>
      <c r="AE99" s="31">
        <f>Table21127[[#This Row],[Points]]/($AA$87-Table21127[[#This Row],[Missed Games]])</f>
        <v>0</v>
      </c>
      <c r="AF99" s="31">
        <f>Table21127[[#This Row],[Finishes]]/($AA$87-Table21127[[#This Row],[Missed Games]])</f>
        <v>0</v>
      </c>
      <c r="AG99" s="31">
        <f>Table21127[[#This Row],[Midranges]]/($AA$87-Table21127[[#This Row],[Missed Games]])</f>
        <v>0</v>
      </c>
      <c r="AH99" s="31">
        <f>Table21127[[#This Row],[Threes]]/($AA$87-Table21127[[#This Row],[Missed Games]])</f>
        <v>0</v>
      </c>
      <c r="AI99" s="31">
        <f>COUNTIF('Finals 1'!V13, TRUE)</f>
        <v>0</v>
      </c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200</v>
      </c>
      <c r="AA100" s="31">
        <f>'Finals 1'!R14</f>
        <v>0</v>
      </c>
      <c r="AB100" s="31">
        <f>'Finals 1'!S14</f>
        <v>0</v>
      </c>
      <c r="AC100" s="31">
        <f>'Finals 1'!T14</f>
        <v>0</v>
      </c>
      <c r="AD100" s="31">
        <f>'Finals 1'!U14</f>
        <v>0</v>
      </c>
      <c r="AE100" s="31">
        <f>Table21127[[#This Row],[Points]]/($AA$87-Table21127[[#This Row],[Missed Games]])</f>
        <v>0</v>
      </c>
      <c r="AF100" s="31">
        <f>Table21127[[#This Row],[Finishes]]/($AA$87-Table21127[[#This Row],[Missed Games]])</f>
        <v>0</v>
      </c>
      <c r="AG100" s="31">
        <f>Table21127[[#This Row],[Midranges]]/($AA$87-Table21127[[#This Row],[Missed Games]])</f>
        <v>0</v>
      </c>
      <c r="AH100" s="31">
        <f>Table21127[[#This Row],[Threes]]/($AA$87-Table21127[[#This Row],[Missed Games]])</f>
        <v>0</v>
      </c>
      <c r="AI100" s="31">
        <f>COUNTIF('Finals 1'!V14, TRUE)</f>
        <v>0</v>
      </c>
      <c r="AJ100" s="35"/>
      <c r="AK100" s="35" t="s">
        <v>200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>
        <f>'Finals 1'!R15</f>
        <v>0</v>
      </c>
      <c r="AB101" s="31">
        <f>'Finals 1'!S15</f>
        <v>0</v>
      </c>
      <c r="AC101" s="31">
        <f>'Finals 1'!T15</f>
        <v>0</v>
      </c>
      <c r="AD101" s="31">
        <f>'Finals 1'!U15</f>
        <v>0</v>
      </c>
      <c r="AE101" s="31">
        <f>Table21127[[#This Row],[Points]]/($AA$87-Table21127[[#This Row],[Missed Games]])</f>
        <v>0</v>
      </c>
      <c r="AF101" s="31">
        <f>Table21127[[#This Row],[Finishes]]/($AA$87-Table21127[[#This Row],[Missed Games]])</f>
        <v>0</v>
      </c>
      <c r="AG101" s="31">
        <f>Table21127[[#This Row],[Midranges]]/($AA$87-Table21127[[#This Row],[Missed Games]])</f>
        <v>0</v>
      </c>
      <c r="AH101" s="31">
        <f>Table21127[[#This Row],[Threes]]/($AA$87-Table21127[[#This Row],[Missed Games]])</f>
        <v>0</v>
      </c>
      <c r="AI101" s="31">
        <f>COUNTIF('Finals 1'!V15, TRUE)</f>
        <v>0</v>
      </c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>
        <f>'Finals 1'!R16</f>
        <v>0</v>
      </c>
      <c r="AB102" s="31">
        <f>'Finals 1'!S16</f>
        <v>0</v>
      </c>
      <c r="AC102" s="31">
        <f>'Finals 1'!T16</f>
        <v>0</v>
      </c>
      <c r="AD102" s="31">
        <f>'Finals 1'!U16</f>
        <v>0</v>
      </c>
      <c r="AE102" s="31">
        <f>Table21127[[#This Row],[Points]]/($AA$87-Table21127[[#This Row],[Missed Games]])</f>
        <v>0</v>
      </c>
      <c r="AF102" s="31">
        <f>Table21127[[#This Row],[Finishes]]/($AA$87-Table21127[[#This Row],[Missed Games]])</f>
        <v>0</v>
      </c>
      <c r="AG102" s="31">
        <f>Table21127[[#This Row],[Midranges]]/($AA$87-Table21127[[#This Row],[Missed Games]])</f>
        <v>0</v>
      </c>
      <c r="AH102" s="31">
        <f>Table21127[[#This Row],[Threes]]/($AA$87-Table21127[[#This Row],[Missed Games]])</f>
        <v>0</v>
      </c>
      <c r="AI102" s="31">
        <f>COUNTIF('Finals 1'!V16, TRUE)</f>
        <v>0</v>
      </c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>
        <f>'Finals 1'!R17</f>
        <v>0</v>
      </c>
      <c r="AB103" s="31">
        <f>'Finals 1'!S17</f>
        <v>0</v>
      </c>
      <c r="AC103" s="31">
        <f>'Finals 1'!T17</f>
        <v>0</v>
      </c>
      <c r="AD103" s="31">
        <f>'Finals 1'!U17</f>
        <v>0</v>
      </c>
      <c r="AE103" s="31">
        <f>Table21127[[#This Row],[Points]]/($AA$87-Table21127[[#This Row],[Missed Games]])</f>
        <v>0</v>
      </c>
      <c r="AF103" s="31">
        <f>Table21127[[#This Row],[Finishes]]/($AA$87-Table21127[[#This Row],[Missed Games]])</f>
        <v>0</v>
      </c>
      <c r="AG103" s="31">
        <f>Table21127[[#This Row],[Midranges]]/($AA$87-Table21127[[#This Row],[Missed Games]])</f>
        <v>0</v>
      </c>
      <c r="AH103" s="31">
        <f>Table21127[[#This Row],[Threes]]/($AA$87-Table21127[[#This Row],[Missed Games]])</f>
        <v>0</v>
      </c>
      <c r="AI103" s="31">
        <f>COUNTIF('Finals 1'!V17, TRUE)</f>
        <v>0</v>
      </c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>
        <f>'Finals 1'!R18</f>
        <v>0</v>
      </c>
      <c r="AB104" s="31">
        <f>'Finals 1'!S18</f>
        <v>0</v>
      </c>
      <c r="AC104" s="31">
        <f>'Finals 1'!T18</f>
        <v>0</v>
      </c>
      <c r="AD104" s="31">
        <f>'Finals 1'!U18</f>
        <v>0</v>
      </c>
      <c r="AE104" s="31">
        <f>Table21127[[#This Row],[Points]]/($AA$87-Table21127[[#This Row],[Missed Games]])</f>
        <v>0</v>
      </c>
      <c r="AF104" s="31">
        <f>Table21127[[#This Row],[Finishes]]/($AA$87-Table21127[[#This Row],[Missed Games]])</f>
        <v>0</v>
      </c>
      <c r="AG104" s="31">
        <f>Table21127[[#This Row],[Midranges]]/($AA$87-Table21127[[#This Row],[Missed Games]])</f>
        <v>0</v>
      </c>
      <c r="AH104" s="31">
        <f>Table21127[[#This Row],[Threes]]/($AA$87-Table21127[[#This Row],[Missed Games]])</f>
        <v>0</v>
      </c>
      <c r="AI104" s="31">
        <f>COUNTIF('Finals 1'!V18, TRUE)</f>
        <v>0</v>
      </c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>
        <f>'Finals 1'!R19</f>
        <v>0</v>
      </c>
      <c r="AB105" s="31">
        <f>'Finals 1'!S19</f>
        <v>0</v>
      </c>
      <c r="AC105" s="31">
        <f>'Finals 1'!T19</f>
        <v>0</v>
      </c>
      <c r="AD105" s="31">
        <f>'Finals 1'!U19</f>
        <v>0</v>
      </c>
      <c r="AE105" s="31">
        <f>Table21127[[#This Row],[Points]]/($AA$87-Table21127[[#This Row],[Missed Games]])</f>
        <v>0</v>
      </c>
      <c r="AF105" s="31">
        <f>Table21127[[#This Row],[Finishes]]/($AA$87-Table21127[[#This Row],[Missed Games]])</f>
        <v>0</v>
      </c>
      <c r="AG105" s="31">
        <f>Table21127[[#This Row],[Midranges]]/($AA$87-Table21127[[#This Row],[Missed Games]])</f>
        <v>0</v>
      </c>
      <c r="AH105" s="31">
        <f>Table21127[[#This Row],[Threes]]/($AA$87-Table21127[[#This Row],[Missed Games]])</f>
        <v>0</v>
      </c>
      <c r="AI105" s="31">
        <f>COUNTIF('Finals 1'!V19, TRUE)</f>
        <v>0</v>
      </c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3" type="noConversion"/>
  <conditionalFormatting sqref="U109:U118 W103:W108">
    <cfRule type="cellIs" dxfId="371" priority="11" operator="greaterThan">
      <formula>0</formula>
    </cfRule>
  </conditionalFormatting>
  <conditionalFormatting sqref="U109:U118 W103:W108">
    <cfRule type="cellIs" dxfId="370" priority="10" operator="lessThan">
      <formula>0</formula>
    </cfRule>
  </conditionalFormatting>
  <conditionalFormatting sqref="AQ8:AQ24">
    <cfRule type="cellIs" dxfId="369" priority="5" operator="equal">
      <formula>$AA$4</formula>
    </cfRule>
    <cfRule type="cellIs" dxfId="368" priority="6" operator="lessThan">
      <formula>$AA$4</formula>
    </cfRule>
    <cfRule type="cellIs" dxfId="367" priority="7" operator="greaterThan">
      <formula>$AA$4</formula>
    </cfRule>
  </conditionalFormatting>
  <conditionalFormatting sqref="AT8:AT24">
    <cfRule type="cellIs" dxfId="366" priority="3" operator="lessThan">
      <formula>0</formula>
    </cfRule>
    <cfRule type="cellIs" dxfId="365" priority="4" operator="greaterThan">
      <formula>0</formula>
    </cfRule>
  </conditionalFormatting>
  <conditionalFormatting sqref="AU8:AU24">
    <cfRule type="cellIs" dxfId="364" priority="1" operator="lessThan">
      <formula>0</formula>
    </cfRule>
    <cfRule type="cellIs" dxfId="363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204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Table615[[#This Row],[Finishes]]+Table615[[#This Row],[Midranges]]+Table615[[#This Row],[Threes]]+Table615[[#This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Table615[[#This Row],[Finishes]]+Table615[[#This Row],[Midranges]]+Table615[[#This Row],[Threes]]+Table615[[#This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Table615[[#This Row],[Finishes]]+Table615[[#This Row],[Midranges]]+Table615[[#This Row],[Threes]]+Table615[[#This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Table615[[#This Row],[Finishes]]+Table615[[#This Row],[Midranges]]+Table615[[#This Row],[Threes]]+Table615[[#This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Table615[[#This Row],[Finishes]]+Table615[[#This Row],[Midranges]]+Table615[[#This Row],[Threes]]+Table615[[#This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Table615[[#This Row],[Finishes]]+Table615[[#This Row],[Midranges]]+Table615[[#This Row],[Threes]]+Table615[[#This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Table615[[#This Row],[Finishes]]+Table615[[#This Row],[Midranges]]+Table615[[#This Row],[Threes]]+Table615[[#This Row],[Threes]]</f>
        <v>1</v>
      </c>
      <c r="AD30" s="156">
        <f>COUNTIFS(D4:D35, "Loose Gooses", E$4:E$35,AB30,F$4:F$35,"Finish")</f>
        <v>1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Table615[[#This Row],[Finishes]]+Table615[[#This Row],[Midranges]]+Table615[[#This Row],[Threes]]+Table615[[#This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Table615[[#This Row],[Finishes]]+Table615[[#This Row],[Midranges]]+Table615[[#This Row],[Threes]]+Table615[[#This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Table615[[#This Row],[Finishes]]+Table615[[#This Row],[Midranges]]+Table615[[#This Row],[Threes]]+Table615[[#This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Table615[[#This Row],[Finishes]]+Table615[[#This Row],[Midranges]]+Table615[[#This Row],[Threes]]+Table615[[#This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Table615[[#This Row],[Finishes]]+Table615[[#This Row],[Midranges]]+Table615[[#This Row],[Threes]]+Table615[[#This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38"/>
      <c r="AD36" s="138"/>
      <c r="AE36" s="138"/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38"/>
      <c r="AD37" s="138"/>
      <c r="AE37" s="138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38"/>
      <c r="AD38" s="138"/>
      <c r="AE38" s="138"/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25"/>
      <c r="AC39" s="138"/>
      <c r="AD39" s="138"/>
      <c r="AE39" s="138"/>
    </row>
    <row r="40" spans="2:32" ht="14.25" customHeight="1" x14ac:dyDescent="0.45">
      <c r="B40" s="73"/>
      <c r="S40" s="8"/>
      <c r="T40" s="8"/>
      <c r="U40" s="8"/>
      <c r="AB40" s="125"/>
      <c r="AC40" s="138"/>
      <c r="AD40" s="138"/>
      <c r="AE40" s="13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"Date":["24-July"],</v>
      </c>
    </row>
    <row r="45" spans="2:32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204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204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Table610[[#This Row],[Finishes]]+Table610[[#This Row],[Midranges]]+Table610[[#This Row],[Threes]]+Table610[[#This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Table610[[#This Row],[Finishes]]+Table610[[#This Row],[Midranges]]+Table610[[#This Row],[Threes]]+Table610[[#This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Table610[[#This Row],[Finishes]]+Table610[[#This Row],[Midranges]]+Table610[[#This Row],[Threes]]+Table610[[#This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Table610[[#This Row],[Finishes]]+Table610[[#This Row],[Midranges]]+Table610[[#This Row],[Threes]]+Table610[[#This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Table610[[#This Row],[Finishes]]+Table610[[#This Row],[Midranges]]+Table610[[#This Row],[Threes]]+Table610[[#This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Table610[[#This Row],[Finishes]]+Table610[[#This Row],[Midranges]]+Table610[[#This Row],[Threes]]+Table610[[#This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Table610[[#This Row],[Finishes]]+Table610[[#This Row],[Midranges]]+Table610[[#This Row],[Threes]]+Table610[[#This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Table610[[#This Row],[Finishes]]+Table610[[#This Row],[Midranges]]+Table610[[#This Row],[Threes]]+Table610[[#This Row],[Threes]]</f>
        <v>1</v>
      </c>
      <c r="AD31" s="157">
        <f>COUNTIFS(D4:D35, "Loose Gooses", E$4:E$35,AB31,F$4:F$35,"Finish")</f>
        <v>1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Table610[[#This Row],[Finishes]]+Table610[[#This Row],[Midranges]]+Table610[[#This Row],[Threes]]+Table610[[#This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Table610[[#This Row],[Finishes]]+Table610[[#This Row],[Midranges]]+Table610[[#This Row],[Threes]]+Table610[[#This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Table610[[#This Row],[Finishes]]+Table610[[#This Row],[Midranges]]+Table610[[#This Row],[Threes]]+Table610[[#This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Table610[[#This Row],[Finishes]]+Table610[[#This Row],[Midranges]]+Table610[[#This Row],[Threes]]+Table610[[#This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"Date":["20-July"],</v>
      </c>
    </row>
    <row r="45" spans="2:32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204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204</v>
      </c>
      <c r="G14" s="25">
        <v>11</v>
      </c>
      <c r="H14" s="25">
        <v>6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204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205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205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Table69[[#This Row],[Finishes]]+Table69[[#This Row],[Midranges]]+Table69[[#This Row],[Threes]]+Table69[[#This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Table69[[#This Row],[Finishes]]+Table69[[#This Row],[Midranges]]+Table69[[#This Row],[Threes]]+Table69[[#This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Table69[[#This Row],[Finishes]]+Table69[[#This Row],[Midranges]]+Table69[[#This Row],[Threes]]+Table69[[#This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Table69[[#This Row],[Finishes]]+Table69[[#This Row],[Midranges]]+Table69[[#This Row],[Threes]]+Table69[[#This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Table69[[#This Row],[Finishes]]+Table69[[#This Row],[Midranges]]+Table69[[#This Row],[Threes]]+Table69[[#This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Table69[[#This Row],[Finishes]]+Table69[[#This Row],[Midranges]]+Table69[[#This Row],[Threes]]+Table69[[#This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Table69[[#This Row],[Finishes]]+Table69[[#This Row],[Midranges]]+Table69[[#This Row],[Threes]]+Table69[[#This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Table69[[#This Row],[Finishes]]+Table69[[#This Row],[Midranges]]+Table69[[#This Row],[Threes]]+Table69[[#This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Table69[[#This Row],[Finishes]]+Table69[[#This Row],[Midranges]]+Table69[[#This Row],[Threes]]+Table69[[#This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Table69[[#This Row],[Finishes]]+Table69[[#This Row],[Midranges]]+Table69[[#This Row],[Threes]]+Table69[[#This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Table69[[#This Row],[Finishes]]+Table69[[#This Row],[Midranges]]+Table69[[#This Row],[Threes]]+Table69[[#This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Table69[[#This Row],[Finishes]]+Table69[[#This Row],[Midranges]]+Table69[[#This Row],[Threes]]+Table69[[#This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"Date":["19-July"],</v>
      </c>
    </row>
    <row r="45" spans="2:32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F1000"/>
  <sheetViews>
    <sheetView topLeftCell="I1" zoomScale="79" workbookViewId="0">
      <selection activeCell="AD26" sqref="AD2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205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204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204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24"/>
      <c r="AC21" s="124"/>
      <c r="AD21" s="124"/>
      <c r="AE21" s="124"/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Table68[[#This Row],[Finishes]]+Table68[[#This Row],[Midranges]]+Table68[[#This Row],[Threes]]+Table68[[#This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Table68[[#This Row],[Finishes]]+Table68[[#This Row],[Midranges]]+Table68[[#This Row],[Threes]]+Table68[[#This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Table68[[#This Row],[Finishes]]+Table68[[#This Row],[Midranges]]+Table68[[#This Row],[Threes]]+Table68[[#This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Table68[[#This Row],[Finishes]]+Table68[[#This Row],[Midranges]]+Table68[[#This Row],[Threes]]+Table68[[#This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Table68[[#This Row],[Finishes]]+Table68[[#This Row],[Midranges]]+Table68[[#This Row],[Threes]]+Table68[[#This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Table68[[#This Row],[Finishes]]+Table68[[#This Row],[Midranges]]+Table68[[#This Row],[Threes]]+Table68[[#This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Table68[[#This Row],[Finishes]]+Table68[[#This Row],[Midranges]]+Table68[[#This Row],[Threes]]+Table68[[#This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Table68[[#This Row],[Finishes]]+Table68[[#This Row],[Midranges]]+Table68[[#This Row],[Threes]]+Table68[[#This Row],[Threes]]</f>
        <v>1</v>
      </c>
      <c r="AD31" s="157">
        <f>COUNTIFS(D4:D35, "Loose Gooses", E$4:E$35,AB31,F$4:F$35,"Finish")</f>
        <v>0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Table68[[#This Row],[Finishes]]+Table68[[#This Row],[Midranges]]+Table68[[#This Row],[Threes]]+Table68[[#This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Table68[[#This Row],[Finishes]]+Table68[[#This Row],[Midranges]]+Table68[[#This Row],[Threes]]+Table68[[#This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Table68[[#This Row],[Finishes]]+Table68[[#This Row],[Midranges]]+Table68[[#This Row],[Threes]]+Table68[[#This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Table68[[#This Row],[Finishes]]+Table68[[#This Row],[Midranges]]+Table68[[#This Row],[Threes]]+Table68[[#This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24"/>
      <c r="AD36" s="124"/>
      <c r="AE36" s="124"/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24"/>
      <c r="AD37" s="124"/>
      <c r="AE37" s="124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24"/>
      <c r="AD38" s="124"/>
      <c r="AE38" s="124"/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"Date":["18-July"],</v>
      </c>
    </row>
    <row r="45" spans="2:32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F1000"/>
  <sheetViews>
    <sheetView zoomScale="55" zoomScaleNormal="55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88" t="s">
        <v>218</v>
      </c>
      <c r="Y2" s="188"/>
      <c r="Z2" s="188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4</v>
      </c>
      <c r="H14" s="25">
        <v>3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204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Table6[[#This Row],[Finishes]]+Table6[[#This Row],[Midranges]]+Table6[[#This Row],[Threes]]+Table6[[#This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Table6[[#This Row],[Finishes]]+Table6[[#This Row],[Midranges]]+Table6[[#This Row],[Threes]]+Table6[[#This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Table6[[#This Row],[Finishes]]+Table6[[#This Row],[Midranges]]+Table6[[#This Row],[Threes]]+Table6[[#This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Table6[[#This Row],[Finishes]]+Table6[[#This Row],[Midranges]]+Table6[[#This Row],[Threes]]+Table6[[#This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Table6[[#This Row],[Finishes]]+Table6[[#This Row],[Midranges]]+Table6[[#This Row],[Threes]]+Table6[[#This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Table6[[#This Row],[Finishes]]+Table6[[#This Row],[Midranges]]+Table6[[#This Row],[Threes]]+Table6[[#This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Table6[[#This Row],[Finishes]]+Table6[[#This Row],[Midranges]]+Table6[[#This Row],[Threes]]+Table6[[#This Row],[Threes]]</f>
        <v>3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1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Table6[[#This Row],[Finishes]]+Table6[[#This Row],[Midranges]]+Table6[[#This Row],[Threes]]+Table6[[#This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Table6[[#This Row],[Finishes]]+Table6[[#This Row],[Midranges]]+Table6[[#This Row],[Threes]]+Table6[[#This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Table6[[#This Row],[Finishes]]+Table6[[#This Row],[Midranges]]+Table6[[#This Row],[Threes]]+Table6[[#This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Table6[[#This Row],[Finishes]]+Table6[[#This Row],[Midranges]]+Table6[[#This Row],[Threes]]+Table6[[#This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Table6[[#This Row],[Finishes]]+Table6[[#This Row],[Midranges]]+Table6[[#This Row],[Threes]]+Table6[[#This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32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4"/>
      <c r="S41" s="94"/>
      <c r="T41" s="187" t="s">
        <v>119</v>
      </c>
      <c r="U41" s="187"/>
      <c r="V41" s="187"/>
    </row>
    <row r="42" spans="2:32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"Date":["17-July"],</v>
      </c>
    </row>
    <row r="45" spans="2:32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205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204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4</v>
      </c>
      <c r="H14" s="25">
        <v>3</v>
      </c>
      <c r="I14" s="25">
        <v>4</v>
      </c>
      <c r="Q14" s="2" t="s">
        <v>200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204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87" t="s">
        <v>119</v>
      </c>
      <c r="U41" s="187"/>
      <c r="V41" s="187"/>
    </row>
    <row r="42" spans="2:26" ht="14.25" customHeight="1" x14ac:dyDescent="0.9">
      <c r="R42" s="94"/>
      <c r="S42" s="94"/>
      <c r="T42" s="187"/>
      <c r="U42" s="187"/>
      <c r="V42" s="187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204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204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205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204</v>
      </c>
      <c r="G14" s="25">
        <v>2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204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204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204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205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204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204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204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204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204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87" t="s">
        <v>119</v>
      </c>
      <c r="U41" s="187"/>
      <c r="V41" s="187"/>
    </row>
    <row r="42" spans="2:26" ht="14.25" customHeight="1" x14ac:dyDescent="0.9">
      <c r="R42" s="94"/>
      <c r="S42" s="94"/>
      <c r="T42" s="187"/>
      <c r="U42" s="187"/>
      <c r="V42" s="187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204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205</v>
      </c>
      <c r="G14" s="25">
        <v>9</v>
      </c>
      <c r="H14" s="25">
        <v>5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204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205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87" t="s">
        <v>119</v>
      </c>
      <c r="U41" s="187"/>
      <c r="V41" s="187"/>
    </row>
    <row r="42" spans="2:26" ht="14.25" customHeight="1" x14ac:dyDescent="0.9">
      <c r="R42" s="94"/>
      <c r="S42" s="94"/>
      <c r="T42" s="187"/>
      <c r="U42" s="187"/>
      <c r="V42" s="187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O1000"/>
  <sheetViews>
    <sheetView zoomScaleNormal="100" workbookViewId="0">
      <selection activeCell="A3" sqref="A3:F23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17.7304687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7" width="10.6640625" style="76" customWidth="1"/>
    <col min="38" max="39" width="14.3984375" style="76" customWidth="1"/>
    <col min="40" max="16384" width="14.3984375" style="76"/>
  </cols>
  <sheetData>
    <row r="1" spans="1:41" ht="14.35" customHeight="1" x14ac:dyDescent="0.45">
      <c r="L1" s="56"/>
      <c r="M1" s="56"/>
      <c r="N1" s="78"/>
      <c r="O1" s="56"/>
      <c r="P1" s="56"/>
    </row>
    <row r="2" spans="1:41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98" t="s">
        <v>192</v>
      </c>
      <c r="AA2" s="56"/>
      <c r="AC2" s="56" t="s">
        <v>273</v>
      </c>
      <c r="AD2" s="154" t="s">
        <v>0</v>
      </c>
      <c r="AE2" s="154" t="s">
        <v>1</v>
      </c>
      <c r="AF2" s="154" t="s">
        <v>2</v>
      </c>
      <c r="AG2" s="154" t="s">
        <v>3</v>
      </c>
      <c r="AH2" s="154" t="s">
        <v>274</v>
      </c>
      <c r="AI2" s="154" t="s">
        <v>275</v>
      </c>
      <c r="AJ2" s="154" t="s">
        <v>276</v>
      </c>
      <c r="AK2" s="154" t="s">
        <v>277</v>
      </c>
      <c r="AL2" s="154" t="s">
        <v>278</v>
      </c>
      <c r="AM2" s="154" t="s">
        <v>281</v>
      </c>
      <c r="AN2" s="154" t="s">
        <v>279</v>
      </c>
      <c r="AO2" s="154" t="s">
        <v>280</v>
      </c>
    </row>
    <row r="3" spans="1:41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96</v>
      </c>
      <c r="I3" s="81">
        <f>SUM(C7:C40)</f>
        <v>89</v>
      </c>
      <c r="J3" s="78">
        <f>SUM(D7:D40)</f>
        <v>33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99" t="s">
        <v>4</v>
      </c>
      <c r="S3" s="100" t="s">
        <v>0</v>
      </c>
      <c r="T3" s="100" t="s">
        <v>85</v>
      </c>
      <c r="U3" s="101" t="s">
        <v>1</v>
      </c>
      <c r="V3" s="102" t="s">
        <v>80</v>
      </c>
      <c r="W3" s="102" t="s">
        <v>2</v>
      </c>
      <c r="X3" s="102" t="s">
        <v>117</v>
      </c>
      <c r="Y3" s="101" t="s">
        <v>3</v>
      </c>
      <c r="Z3" s="102" t="s">
        <v>118</v>
      </c>
      <c r="AA3" s="102" t="s">
        <v>120</v>
      </c>
      <c r="AC3" s="152" t="s">
        <v>30</v>
      </c>
      <c r="AD3" s="155">
        <f>'1707'!AC24+'1807'!AC24+'1907'!AC24+'2007'!AC24+'2407'!AC24+'2607'!AC24+'2707'!AC24+'3107'!AC24+'0108'!AC24+'0208'!AC24+'0308'!AC24+'0808'!AC24+'0908'!AC24+'1008'!AC24</f>
        <v>11</v>
      </c>
      <c r="AE3" s="155">
        <f>'1707'!AD24+'1807'!AD24+'1907'!AD24+'2007'!AD24+'2407'!AD24+'2607'!AD24+'2707'!AD24+'3107'!AD24+'0108'!AD24+'0208'!AD24+'0308'!AD24+'0808'!AD24+'0908'!AD24+'1008'!AD24</f>
        <v>11</v>
      </c>
      <c r="AF3" s="155">
        <f>'1707'!AE24+'1807'!AE24+'1907'!AE24+'2007'!AE24+'2407'!AE24+'2607'!AE24+'2707'!AE24+'3107'!AE24+'0108'!AE24+'0208'!AE24+'0308'!AE24+'0808'!AE24+'0908'!AE24+'1008'!AE24</f>
        <v>0</v>
      </c>
      <c r="AG3" s="155">
        <f>'1707'!AF24+'1807'!AF24+'1907'!AF24+'2007'!AF24+'2407'!AF24+'2607'!AF24+'2707'!AF24+'3107'!AF24+'0108'!AF24+'0208'!AF24+'0308'!AF24+'0808'!AF24+'0908'!AF24+'1008'!AF24</f>
        <v>0</v>
      </c>
      <c r="AH3" s="168">
        <f>Table3[[#This Row],[Points]]/('Stats Global'!$AA$6-'Stats Global'!$AJ$10)</f>
        <v>1.1000000000000001</v>
      </c>
      <c r="AI3" s="168">
        <f>Table3[[#This Row],[Finishes]]/('Stats Global'!$AA$6-'Stats Global'!$AJ$10)</f>
        <v>1.1000000000000001</v>
      </c>
      <c r="AJ3" s="168">
        <f>Table3[[#This Row],[Midranges]]/('Stats Global'!$AA$6-'Stats Global'!$AJ$10)</f>
        <v>0</v>
      </c>
      <c r="AK3" s="168">
        <f>Table3[[#This Row],[Threes]]/('Stats Global'!$AA$6-'Stats Global'!$AJ$10)</f>
        <v>0</v>
      </c>
      <c r="AL3" s="168">
        <f>'Stats Global'!AB10-Table3[[#This Row],[AVG P]]</f>
        <v>1.9</v>
      </c>
      <c r="AM3" s="168">
        <f>'Stats Global'!AD10-Table3[[#This Row],[AVG F]]</f>
        <v>1.6999999999999997</v>
      </c>
      <c r="AN3" s="168">
        <f>'Stats Global'!AF10-Table3[[#This Row],[AVG M]]</f>
        <v>0</v>
      </c>
      <c r="AO3" s="168">
        <f>'Stats Global'!AH10-Table3[[#This Row],[AVG T]]</f>
        <v>0.1</v>
      </c>
    </row>
    <row r="4" spans="1:41" ht="14.35" customHeight="1" x14ac:dyDescent="0.45">
      <c r="A4" s="116" t="str">
        <f>'Stats Global'!B5</f>
        <v>11-July</v>
      </c>
      <c r="B4" s="117">
        <f>'Stats Global'!F5</f>
        <v>5</v>
      </c>
      <c r="C4" s="117">
        <f>'Stats Global'!G5+'Stats Global'!H5</f>
        <v>6</v>
      </c>
      <c r="D4" s="117">
        <f>'Stats Global'!O5</f>
        <v>2</v>
      </c>
      <c r="E4" s="118" t="s">
        <v>46</v>
      </c>
      <c r="F4" s="118" t="s">
        <v>206</v>
      </c>
      <c r="J4" s="83"/>
      <c r="L4" s="119">
        <f>'Stats Global'!J5</f>
        <v>2</v>
      </c>
      <c r="M4" s="119">
        <f>'Stats Global'!G5</f>
        <v>0</v>
      </c>
      <c r="N4" s="85"/>
      <c r="O4" s="119">
        <f>'Stats Global'!M5</f>
        <v>3</v>
      </c>
      <c r="P4" s="119">
        <f>'Stats Global'!H5</f>
        <v>6</v>
      </c>
      <c r="R4" s="103" t="s">
        <v>61</v>
      </c>
      <c r="S4" s="93">
        <f>'Stats Global'!AA22</f>
        <v>44</v>
      </c>
      <c r="T4" s="93">
        <f>'Stats Global'!AB22</f>
        <v>2.5882352941176472</v>
      </c>
      <c r="U4" s="93">
        <f>'Stats Global'!AC22</f>
        <v>22</v>
      </c>
      <c r="V4" s="93">
        <f>'Stats Global'!AD22</f>
        <v>1.2941176470588236</v>
      </c>
      <c r="W4" s="93">
        <f>'Stats Global'!AE22</f>
        <v>8</v>
      </c>
      <c r="X4" s="93">
        <f>'Stats Global'!AF22</f>
        <v>0.47058823529411764</v>
      </c>
      <c r="Y4" s="93">
        <f>'Stats Global'!AG22</f>
        <v>7</v>
      </c>
      <c r="Z4" s="93">
        <f>'Stats Global'!AH22</f>
        <v>0.41176470588235292</v>
      </c>
      <c r="AA4" s="93">
        <f>'Stats Global'!AJ22</f>
        <v>1</v>
      </c>
      <c r="AC4" s="152" t="s">
        <v>35</v>
      </c>
      <c r="AD4" s="155">
        <f>'1707'!AC25+'1807'!AC25+'1907'!AC25+'2007'!AC25+'2407'!AC25+'2607'!AC25+'2707'!AC25+'3107'!AC25+'0108'!AC25+'0208'!AC25+'0308'!AC25+'0808'!AC25+'0908'!AC25+'1008'!AC25</f>
        <v>7</v>
      </c>
      <c r="AE4" s="155">
        <f>'1707'!AD25+'1807'!AD25+'1907'!AD25+'2007'!AD25+'2407'!AD25+'2607'!AD25+'2707'!AD25+'3107'!AD25+'0108'!AD25+'0208'!AD25+'0308'!AD25+'0808'!AD25+'0908'!AD25+'1008'!AD25</f>
        <v>7</v>
      </c>
      <c r="AF4" s="155">
        <f>'1707'!AE25+'1807'!AE25+'1907'!AE25+'2007'!AE25+'2407'!AE25+'2607'!AE25+'2707'!AE25+'3107'!AE25+'0108'!AE25+'0208'!AE25+'0308'!AE25+'0808'!AE25+'0908'!AE25+'1008'!AE25</f>
        <v>0</v>
      </c>
      <c r="AG4" s="155">
        <f>'1707'!AF25+'1807'!AF25+'1907'!AF25+'2007'!AF25+'2407'!AF25+'2607'!AF25+'2707'!AF25+'3107'!AF25+'0108'!AF25+'0208'!AF25+'0308'!AF25+'0808'!AF25+'0908'!AF25+'1008'!AF25</f>
        <v>0</v>
      </c>
      <c r="AH4" s="169">
        <f>Table3[[#This Row],[Points]]/('Stats Global'!$AA$6-'Stats Global'!$AJ$11)</f>
        <v>0.53846153846153844</v>
      </c>
      <c r="AI4" s="169">
        <f>Table3[[#This Row],[Finishes]]/('Stats Global'!$AA$6-'Stats Global'!$AJ$11)</f>
        <v>0.53846153846153844</v>
      </c>
      <c r="AJ4" s="169">
        <f>Table3[[#This Row],[Midranges]]/('Stats Global'!$AA$6-'Stats Global'!$AJ$11)</f>
        <v>0</v>
      </c>
      <c r="AK4" s="169">
        <f>Table3[[#This Row],[Threes]]/('Stats Global'!$AA$6-'Stats Global'!$AJ$11)</f>
        <v>0</v>
      </c>
      <c r="AL4" s="169">
        <f>'Stats Global'!AB11-Table3[[#This Row],[AVG P]]</f>
        <v>0.6923076923076924</v>
      </c>
      <c r="AM4" s="169">
        <f>'Stats Global'!AD11-Table3[[#This Row],[AVG F]]</f>
        <v>0.6923076923076924</v>
      </c>
      <c r="AN4" s="169">
        <f>'Stats Global'!AF11-Table3[[#This Row],[AVG M]]</f>
        <v>0</v>
      </c>
      <c r="AO4" s="169">
        <f>'Stats Global'!AH11-Table3[[#This Row],[AVG T]]</f>
        <v>0</v>
      </c>
    </row>
    <row r="5" spans="1:41" ht="14.35" customHeight="1" x14ac:dyDescent="0.45">
      <c r="A5" s="116" t="str">
        <f>'Stats Global'!B6</f>
        <v>12-July</v>
      </c>
      <c r="B5" s="117">
        <f>'Stats Global'!F6</f>
        <v>9</v>
      </c>
      <c r="C5" s="117">
        <f>'Stats Global'!G6+'Stats Global'!H6</f>
        <v>8</v>
      </c>
      <c r="D5" s="117">
        <f>'Stats Global'!O6</f>
        <v>2</v>
      </c>
      <c r="E5" s="118" t="s">
        <v>61</v>
      </c>
      <c r="F5" s="118" t="s">
        <v>209</v>
      </c>
      <c r="I5" s="81"/>
      <c r="J5" s="83"/>
      <c r="L5" s="119">
        <f>'Stats Global'!J6</f>
        <v>4</v>
      </c>
      <c r="M5" s="119">
        <f>'Stats Global'!G6</f>
        <v>1</v>
      </c>
      <c r="N5" s="85"/>
      <c r="O5" s="119">
        <f>'Stats Global'!M6</f>
        <v>5</v>
      </c>
      <c r="P5" s="119">
        <f>'Stats Global'!H6</f>
        <v>7</v>
      </c>
      <c r="R5" s="83" t="s">
        <v>46</v>
      </c>
      <c r="S5" s="93">
        <f>'Stats Global'!AA16</f>
        <v>28</v>
      </c>
      <c r="T5" s="93">
        <f>'Stats Global'!AB16</f>
        <v>1.75</v>
      </c>
      <c r="U5" s="93">
        <f>'Stats Global'!AC16</f>
        <v>11</v>
      </c>
      <c r="V5" s="93">
        <f>'Stats Global'!AD16</f>
        <v>0.6875</v>
      </c>
      <c r="W5" s="93">
        <f>'Stats Global'!AE16</f>
        <v>11</v>
      </c>
      <c r="X5" s="93">
        <f>'Stats Global'!AF16</f>
        <v>0.6875</v>
      </c>
      <c r="Y5" s="93">
        <f>'Stats Global'!AG16</f>
        <v>3</v>
      </c>
      <c r="Z5" s="93">
        <f>'Stats Global'!AH16</f>
        <v>0.1875</v>
      </c>
      <c r="AA5" s="93">
        <f>'Stats Global'!AJ16</f>
        <v>2</v>
      </c>
      <c r="AC5" s="152" t="s">
        <v>37</v>
      </c>
      <c r="AD5" s="155">
        <f>'1707'!AC26+'1807'!AC26+'1907'!AC26+'2007'!AC26+'2407'!AC26+'2607'!AC26+'2707'!AC26+'3107'!AC26+'0108'!AC26+'0208'!AC26+'0308'!AC26+'0808'!AC26+'0908'!AC26+'1008'!AC26</f>
        <v>8</v>
      </c>
      <c r="AE5" s="155">
        <f>'1707'!AD26+'1807'!AD26+'1907'!AD26+'2007'!AD26+'2407'!AD26+'2607'!AD26+'2707'!AD26+'3107'!AD26+'0108'!AD26+'0208'!AD26+'0308'!AD26+'0808'!AD26+'0908'!AD26+'1008'!AD26</f>
        <v>3</v>
      </c>
      <c r="AF5" s="155">
        <f>'1707'!AE26+'1807'!AE26+'1907'!AE26+'2007'!AE26+'2407'!AE26+'2607'!AE26+'2707'!AE26+'3107'!AE26+'0108'!AE26+'0208'!AE26+'0308'!AE26+'0808'!AE26+'0908'!AE26+'1008'!AE26</f>
        <v>3</v>
      </c>
      <c r="AG5" s="155">
        <f>'1707'!AF26+'1807'!AF26+'1907'!AF26+'2007'!AF26+'2407'!AF26+'2607'!AF26+'2707'!AF26+'3107'!AF26+'0108'!AF26+'0208'!AF26+'0308'!AF26+'0808'!AF26+'0908'!AF26+'1008'!AF26</f>
        <v>1</v>
      </c>
      <c r="AH5" s="169">
        <f>Table3[[#This Row],[Points]]/('Stats Global'!$AA$6-'Stats Global'!$AJ$12)</f>
        <v>0.5</v>
      </c>
      <c r="AI5" s="169">
        <f>Table3[[#This Row],[Finishes]]/('Stats Global'!$AA$6-'Stats Global'!$AJ$12)</f>
        <v>0.1875</v>
      </c>
      <c r="AJ5" s="169">
        <f>Table3[[#This Row],[Midranges]]/('Stats Global'!$AA$6-'Stats Global'!$AJ$12)</f>
        <v>0.1875</v>
      </c>
      <c r="AK5" s="169">
        <f>Table3[[#This Row],[Threes]]/('Stats Global'!$AA$6-'Stats Global'!$AJ$12)</f>
        <v>6.25E-2</v>
      </c>
      <c r="AL5" s="169">
        <f>'Stats Global'!AB12-Table3[[#This Row],[AVG P]]</f>
        <v>0.6875</v>
      </c>
      <c r="AM5" s="169">
        <f>'Stats Global'!AD12-Table3[[#This Row],[AVG F]]</f>
        <v>0.3125</v>
      </c>
      <c r="AN5" s="169">
        <f>'Stats Global'!AF12-Table3[[#This Row],[AVG M]]</f>
        <v>0.25</v>
      </c>
      <c r="AO5" s="169">
        <f>'Stats Global'!AH12-Table3[[#This Row],[AVG T]]</f>
        <v>6.25E-2</v>
      </c>
    </row>
    <row r="6" spans="1:41" ht="14.35" customHeight="1" x14ac:dyDescent="0.45">
      <c r="A6" s="116" t="str">
        <f>'Stats Global'!B7</f>
        <v>13-July</v>
      </c>
      <c r="B6" s="117">
        <f>'Stats Global'!F7</f>
        <v>8</v>
      </c>
      <c r="C6" s="117">
        <f>'Stats Global'!G7+'Stats Global'!H7</f>
        <v>2</v>
      </c>
      <c r="D6" s="117">
        <f>'Stats Global'!O7</f>
        <v>3</v>
      </c>
      <c r="E6" s="118" t="s">
        <v>61</v>
      </c>
      <c r="F6" s="118" t="s">
        <v>61</v>
      </c>
      <c r="I6" s="81"/>
      <c r="J6" s="83"/>
      <c r="L6" s="119">
        <f>'Stats Global'!J7</f>
        <v>4</v>
      </c>
      <c r="M6" s="119">
        <f>'Stats Global'!G7</f>
        <v>2</v>
      </c>
      <c r="N6" s="85"/>
      <c r="O6" s="119">
        <f>'Stats Global'!M7</f>
        <v>4</v>
      </c>
      <c r="P6" s="119">
        <f>'Stats Global'!H7</f>
        <v>0</v>
      </c>
      <c r="R6" s="83" t="s">
        <v>58</v>
      </c>
      <c r="S6" s="93">
        <f>'Stats Global'!AA21</f>
        <v>20</v>
      </c>
      <c r="T6" s="93">
        <f>'Stats Global'!AB21</f>
        <v>1.1111111111111112</v>
      </c>
      <c r="U6" s="93">
        <f>'Stats Global'!AC21</f>
        <v>13</v>
      </c>
      <c r="V6" s="93">
        <f>'Stats Global'!AD21</f>
        <v>0.72222222222222221</v>
      </c>
      <c r="W6" s="93">
        <f>'Stats Global'!AE21</f>
        <v>5</v>
      </c>
      <c r="X6" s="93">
        <f>'Stats Global'!AF21</f>
        <v>0.27777777777777779</v>
      </c>
      <c r="Y6" s="93">
        <f>'Stats Global'!AG21</f>
        <v>1</v>
      </c>
      <c r="Z6" s="93">
        <f>'Stats Global'!AH21</f>
        <v>5.5555555555555552E-2</v>
      </c>
      <c r="AA6" s="93">
        <f>'Stats Global'!AJ21</f>
        <v>0</v>
      </c>
      <c r="AC6" s="152" t="s">
        <v>42</v>
      </c>
      <c r="AD6" s="155">
        <f>'1707'!AC27+'1807'!AC27+'1907'!AC27+'2007'!AC27+'2407'!AC27+'2607'!AC27+'2707'!AC27+'3107'!AC27+'0108'!AC27+'0208'!AC27+'0308'!AC27+'0808'!AC27+'0908'!AC27+'1008'!AC27</f>
        <v>4</v>
      </c>
      <c r="AE6" s="155">
        <f>'1707'!AD27+'1807'!AD27+'1907'!AD27+'2007'!AD27+'2407'!AD27+'2607'!AD27+'2707'!AD27+'3107'!AD27+'0108'!AD27+'0208'!AD27+'0308'!AD27+'0808'!AD27+'0908'!AD27+'1008'!AD27</f>
        <v>4</v>
      </c>
      <c r="AF6" s="155">
        <f>'1707'!AE27+'1807'!AE27+'1907'!AE27+'2007'!AE27+'2407'!AE27+'2607'!AE27+'2707'!AE27+'3107'!AE27+'0108'!AE27+'0208'!AE27+'0308'!AE27+'0808'!AE27+'0908'!AE27+'1008'!AE27</f>
        <v>0</v>
      </c>
      <c r="AG6" s="155">
        <f>'1707'!AF27+'1807'!AF27+'1907'!AF27+'2007'!AF27+'2407'!AF27+'2607'!AF27+'2707'!AF27+'3107'!AF27+'0108'!AF27+'0208'!AF27+'0308'!AF27+'0808'!AF27+'0908'!AF27+'1008'!AF27</f>
        <v>0</v>
      </c>
      <c r="AH6" s="169">
        <f>Table3[[#This Row],[Points]]/('Stats Global'!$AA$6-'Stats Global'!$AJ$13)</f>
        <v>0.26666666666666666</v>
      </c>
      <c r="AI6" s="169">
        <f>Table3[[#This Row],[Finishes]]/('Stats Global'!$AA$6-'Stats Global'!$AJ$13)</f>
        <v>0.26666666666666666</v>
      </c>
      <c r="AJ6" s="169">
        <f>Table3[[#This Row],[Midranges]]/('Stats Global'!$AA$6-'Stats Global'!$AJ$13)</f>
        <v>0</v>
      </c>
      <c r="AK6" s="169">
        <f>Table3[[#This Row],[Threes]]/('Stats Global'!$AA$6-'Stats Global'!$AJ$13)</f>
        <v>0</v>
      </c>
      <c r="AL6" s="169">
        <f>'Stats Global'!AB13-Table3[[#This Row],[AVG P]]</f>
        <v>0.60000000000000009</v>
      </c>
      <c r="AM6" s="169">
        <f>'Stats Global'!AD13-Table3[[#This Row],[AVG F]]</f>
        <v>0.39999999999999997</v>
      </c>
      <c r="AN6" s="169">
        <f>'Stats Global'!AF13-Table3[[#This Row],[AVG M]]</f>
        <v>0.2</v>
      </c>
      <c r="AO6" s="169">
        <f>'Stats Global'!AH13-Table3[[#This Row],[AVG T]]</f>
        <v>0</v>
      </c>
    </row>
    <row r="7" spans="1:41" ht="14.35" customHeight="1" x14ac:dyDescent="0.45">
      <c r="A7" s="75" t="str">
        <f>'Stats Global'!B8</f>
        <v>17-July</v>
      </c>
      <c r="B7" s="82">
        <f>'Stats Global'!F8</f>
        <v>8</v>
      </c>
      <c r="C7" s="82">
        <f>'Stats Global'!G8+'Stats Global'!H8</f>
        <v>3</v>
      </c>
      <c r="D7" s="82">
        <f>'Stats Global'!O8</f>
        <v>3</v>
      </c>
      <c r="E7" s="80" t="s">
        <v>61</v>
      </c>
      <c r="F7" s="80" t="s">
        <v>61</v>
      </c>
      <c r="I7" s="81"/>
      <c r="J7" s="83"/>
      <c r="L7" s="84">
        <f>'Stats Global'!J8</f>
        <v>5</v>
      </c>
      <c r="M7" s="84">
        <f>'Stats Global'!G8</f>
        <v>0</v>
      </c>
      <c r="N7" s="85"/>
      <c r="O7" s="84">
        <f>'Stats Global'!M8</f>
        <v>3</v>
      </c>
      <c r="P7" s="84">
        <f>'Stats Global'!H8</f>
        <v>3</v>
      </c>
      <c r="R7" s="83" t="s">
        <v>25</v>
      </c>
      <c r="S7" s="93">
        <f>'Stats Global'!AA8</f>
        <v>3</v>
      </c>
      <c r="T7" s="93">
        <f>'Stats Global'!AB8</f>
        <v>0.16666666666666666</v>
      </c>
      <c r="U7" s="93">
        <f>'Stats Global'!AC8</f>
        <v>0</v>
      </c>
      <c r="V7" s="93">
        <f>'Stats Global'!AD8</f>
        <v>0</v>
      </c>
      <c r="W7" s="93">
        <f>'Stats Global'!AE8</f>
        <v>3</v>
      </c>
      <c r="X7" s="93">
        <f>'Stats Global'!AF8</f>
        <v>0.16666666666666666</v>
      </c>
      <c r="Y7" s="93">
        <f>'Stats Global'!AG8</f>
        <v>0</v>
      </c>
      <c r="Z7" s="93">
        <f>'Stats Global'!AH8</f>
        <v>0</v>
      </c>
      <c r="AA7" s="93">
        <f>'Stats Global'!AJ8</f>
        <v>0</v>
      </c>
      <c r="AC7" s="152" t="s">
        <v>115</v>
      </c>
      <c r="AD7" s="155">
        <f>'1707'!AC28+'1807'!AC28+'1907'!AC28+'2007'!AC28+'2407'!AC28+'2607'!AC28+'2707'!AC28+'3107'!AC28+'0108'!AC28+'0208'!AC28+'0308'!AC28+'0808'!AC28+'0908'!AC28+'1008'!AC28</f>
        <v>3</v>
      </c>
      <c r="AE7" s="155">
        <f>'1707'!AD28+'1807'!AD28+'1907'!AD28+'2007'!AD28+'2407'!AD28+'2607'!AD28+'2707'!AD28+'3107'!AD28+'0108'!AD28+'0208'!AD28+'0308'!AD28+'0808'!AD28+'0908'!AD28+'1008'!AD28</f>
        <v>2</v>
      </c>
      <c r="AF7" s="155">
        <f>'1707'!AE28+'1807'!AE28+'1907'!AE28+'2007'!AE28+'2407'!AE28+'2607'!AE28+'2707'!AE28+'3107'!AE28+'0108'!AE28+'0208'!AE28+'0308'!AE28+'0808'!AE28+'0908'!AE28+'1008'!AE28</f>
        <v>1</v>
      </c>
      <c r="AG7" s="155">
        <f>'1707'!AF28+'1807'!AF28+'1907'!AF28+'2007'!AF28+'2407'!AF28+'2607'!AF28+'2707'!AF28+'3107'!AF28+'0108'!AF28+'0208'!AF28+'0308'!AF28+'0808'!AF28+'0908'!AF28+'1008'!AF28</f>
        <v>0</v>
      </c>
      <c r="AH7" s="169">
        <f>Table3[[#This Row],[Points]]/('Stats Global'!$AA$6-'Stats Global'!$AJ$14)</f>
        <v>0.16666666666666666</v>
      </c>
      <c r="AI7" s="169">
        <f>Table3[[#This Row],[Finishes]]/('Stats Global'!$AA$6-'Stats Global'!$AJ$14)</f>
        <v>0.1111111111111111</v>
      </c>
      <c r="AJ7" s="169">
        <f>Table3[[#This Row],[Midranges]]/('Stats Global'!$AA$6-'Stats Global'!$AJ$14)</f>
        <v>5.5555555555555552E-2</v>
      </c>
      <c r="AK7" s="169">
        <f>Table3[[#This Row],[Threes]]/('Stats Global'!$AA$6-'Stats Global'!$AJ$14)</f>
        <v>0</v>
      </c>
      <c r="AL7" s="169">
        <f>'Stats Global'!AB14-Table3[[#This Row],[AVG P]]</f>
        <v>0.44444444444444453</v>
      </c>
      <c r="AM7" s="169">
        <f>'Stats Global'!AD14-Table3[[#This Row],[AVG F]]</f>
        <v>0.22222222222222221</v>
      </c>
      <c r="AN7" s="169">
        <f>'Stats Global'!AF14-Table3[[#This Row],[AVG M]]</f>
        <v>0.1111111111111111</v>
      </c>
      <c r="AO7" s="169">
        <f>'Stats Global'!AH14-Table3[[#This Row],[AVG T]]</f>
        <v>5.5555555555555552E-2</v>
      </c>
    </row>
    <row r="8" spans="1:41" ht="14.35" customHeight="1" x14ac:dyDescent="0.45">
      <c r="A8" s="75" t="str">
        <f>'Stats Global'!B9</f>
        <v>18-July</v>
      </c>
      <c r="B8" s="82">
        <f>'Stats Global'!F9</f>
        <v>12</v>
      </c>
      <c r="C8" s="82">
        <f>'Stats Global'!G9+'Stats Global'!H9</f>
        <v>1</v>
      </c>
      <c r="D8" s="82">
        <f>'Stats Global'!O9</f>
        <v>3</v>
      </c>
      <c r="E8" s="80" t="s">
        <v>61</v>
      </c>
      <c r="F8" s="80" t="s">
        <v>224</v>
      </c>
      <c r="I8" s="81"/>
      <c r="J8" s="83"/>
      <c r="L8" s="84">
        <f>'Stats Global'!J9</f>
        <v>6</v>
      </c>
      <c r="M8" s="84">
        <f>'Stats Global'!G9</f>
        <v>1</v>
      </c>
      <c r="N8" s="85"/>
      <c r="O8" s="84">
        <f>'Stats Global'!M9</f>
        <v>6</v>
      </c>
      <c r="P8" s="84">
        <f>'Stats Global'!H9</f>
        <v>0</v>
      </c>
      <c r="R8" s="83" t="s">
        <v>28</v>
      </c>
      <c r="S8" s="93">
        <f>'Stats Global'!AA9</f>
        <v>12</v>
      </c>
      <c r="T8" s="93">
        <f>'Stats Global'!AB9</f>
        <v>0.75</v>
      </c>
      <c r="U8" s="93">
        <f>'Stats Global'!AC9</f>
        <v>12</v>
      </c>
      <c r="V8" s="93">
        <f>'Stats Global'!AD9</f>
        <v>0.75</v>
      </c>
      <c r="W8" s="93">
        <f>'Stats Global'!AE9</f>
        <v>0</v>
      </c>
      <c r="X8" s="93">
        <f>'Stats Global'!AF9</f>
        <v>0</v>
      </c>
      <c r="Y8" s="93">
        <f>'Stats Global'!AG9</f>
        <v>0</v>
      </c>
      <c r="Z8" s="93">
        <f>'Stats Global'!AH9</f>
        <v>0</v>
      </c>
      <c r="AA8" s="93">
        <f>'Stats Global'!AJ9</f>
        <v>2</v>
      </c>
      <c r="AC8" s="152" t="s">
        <v>44</v>
      </c>
      <c r="AD8" s="155">
        <f>'1707'!AC29+'1807'!AC29+'1907'!AC29+'2007'!AC29+'2407'!AC29+'2607'!AC29+'2707'!AC29+'3107'!AC29+'0108'!AC29+'0208'!AC29+'0308'!AC29+'0808'!AC29+'0908'!AC29+'1008'!AC29</f>
        <v>5</v>
      </c>
      <c r="AE8" s="155">
        <f>'1707'!AD29+'1807'!AD29+'1907'!AD29+'2007'!AD29+'2407'!AD29+'2607'!AD29+'2707'!AD29+'3107'!AD29+'0108'!AD29+'0208'!AD29+'0308'!AD29+'0808'!AD29+'0908'!AD29+'1008'!AD29</f>
        <v>0</v>
      </c>
      <c r="AF8" s="155">
        <f>'1707'!AE29+'1807'!AE29+'1907'!AE29+'2007'!AE29+'2407'!AE29+'2607'!AE29+'2707'!AE29+'3107'!AE29+'0108'!AE29+'0208'!AE29+'0308'!AE29+'0808'!AE29+'0908'!AE29+'1008'!AE29</f>
        <v>1</v>
      </c>
      <c r="AG8" s="155">
        <f>'1707'!AF29+'1807'!AF29+'1907'!AF29+'2007'!AF29+'2407'!AF29+'2607'!AF29+'2707'!AF29+'3107'!AF29+'0108'!AF29+'0208'!AF29+'0308'!AF29+'0808'!AF29+'0908'!AF29+'1008'!AF29</f>
        <v>2</v>
      </c>
      <c r="AH8" s="169">
        <f>Table3[[#This Row],[Points]]/('Stats Global'!$AA$6-'Stats Global'!$AJ$15)</f>
        <v>0.41666666666666669</v>
      </c>
      <c r="AI8" s="169">
        <f>Table3[[#This Row],[Finishes]]/('Stats Global'!$AA$6-'Stats Global'!$AJ$15)</f>
        <v>0</v>
      </c>
      <c r="AJ8" s="169">
        <f>Table3[[#This Row],[Midranges]]/('Stats Global'!$AA$6-'Stats Global'!$AJ$15)</f>
        <v>8.3333333333333329E-2</v>
      </c>
      <c r="AK8" s="169">
        <f>Table3[[#This Row],[Threes]]/('Stats Global'!$AA$6-'Stats Global'!$AJ$15)</f>
        <v>0.16666666666666666</v>
      </c>
      <c r="AL8" s="169">
        <f>'Stats Global'!AB15-Table3[[#This Row],[AVG P]]</f>
        <v>1</v>
      </c>
      <c r="AM8" s="169">
        <f>'Stats Global'!AD15-Table3[[#This Row],[AVG F]]</f>
        <v>8.3333333333333329E-2</v>
      </c>
      <c r="AN8" s="169">
        <f>'Stats Global'!AF15-Table3[[#This Row],[AVG M]]</f>
        <v>8.3333333333333329E-2</v>
      </c>
      <c r="AO8" s="169">
        <f>'Stats Global'!AH15-Table3[[#This Row],[AVG T]]</f>
        <v>0.41666666666666674</v>
      </c>
    </row>
    <row r="9" spans="1:41" ht="14.35" customHeight="1" x14ac:dyDescent="0.45">
      <c r="A9" s="75" t="str">
        <f>'Stats Global'!B10</f>
        <v>19-July</v>
      </c>
      <c r="B9" s="82">
        <f>'Stats Global'!F10</f>
        <v>15</v>
      </c>
      <c r="C9" s="82">
        <f>'Stats Global'!G10+'Stats Global'!H10</f>
        <v>0</v>
      </c>
      <c r="D9" s="82">
        <f>'Stats Global'!O10</f>
        <v>3</v>
      </c>
      <c r="E9" s="80" t="s">
        <v>46</v>
      </c>
      <c r="F9" s="80" t="s">
        <v>61</v>
      </c>
      <c r="I9" s="81"/>
      <c r="J9" s="83"/>
      <c r="L9" s="84">
        <f>'Stats Global'!J10</f>
        <v>8</v>
      </c>
      <c r="M9" s="84">
        <f>'Stats Global'!G10</f>
        <v>0</v>
      </c>
      <c r="N9" s="85"/>
      <c r="O9" s="84">
        <f>'Stats Global'!M10</f>
        <v>7</v>
      </c>
      <c r="P9" s="84">
        <f>'Stats Global'!H10</f>
        <v>0</v>
      </c>
      <c r="R9" s="55"/>
      <c r="S9" s="39"/>
      <c r="T9" s="39"/>
      <c r="U9" s="39"/>
      <c r="V9" s="39"/>
      <c r="W9" s="39"/>
      <c r="AC9" s="152" t="s">
        <v>50</v>
      </c>
      <c r="AD9" s="155">
        <f>'1707'!AC30+'1807'!AC30+'1907'!AC30+'2007'!AC30+'2407'!AC30+'2607'!AC30+'2707'!AC30+'3107'!AC30+'0108'!AC30+'0208'!AC30+'0308'!AC30+'0808'!AC30+'0908'!AC30+'1008'!AC30</f>
        <v>23</v>
      </c>
      <c r="AE9" s="155">
        <f>'1707'!AD30+'1807'!AD30+'1907'!AD30+'2007'!AD30+'2407'!AD30+'2607'!AD30+'2707'!AD30+'3107'!AD30+'0108'!AD30+'0208'!AD30+'0308'!AD30+'0808'!AD30+'0908'!AD30+'1008'!AD30</f>
        <v>4</v>
      </c>
      <c r="AF9" s="155">
        <f>'1707'!AE30+'1807'!AE30+'1907'!AE30+'2007'!AE30+'2407'!AE30+'2607'!AE30+'2707'!AE30+'3107'!AE30+'0108'!AE30+'0208'!AE30+'0308'!AE30+'0808'!AE30+'0908'!AE30+'1008'!AE30</f>
        <v>13</v>
      </c>
      <c r="AG9" s="155">
        <f>'1707'!AF30+'1807'!AF30+'1907'!AF30+'2007'!AF30+'2407'!AF30+'2607'!AF30+'2707'!AF30+'3107'!AF30+'0108'!AF30+'0208'!AF30+'0308'!AF30+'0808'!AF30+'0908'!AF30+'1008'!AF30</f>
        <v>3</v>
      </c>
      <c r="AH9" s="169">
        <f>Table3[[#This Row],[Points]]/('Stats Global'!$AA$6-'Stats Global'!$AJ$17)</f>
        <v>1.3529411764705883</v>
      </c>
      <c r="AI9" s="169">
        <f>Table3[[#This Row],[Finishes]]/('Stats Global'!$AA$6-'Stats Global'!$AJ$17)</f>
        <v>0.23529411764705882</v>
      </c>
      <c r="AJ9" s="169">
        <f>Table3[[#This Row],[Midranges]]/('Stats Global'!$AA$6-'Stats Global'!$AJ$17)</f>
        <v>0.76470588235294112</v>
      </c>
      <c r="AK9" s="169">
        <f>Table3[[#This Row],[Threes]]/('Stats Global'!$AA$6-'Stats Global'!$AJ$17)</f>
        <v>0.17647058823529413</v>
      </c>
      <c r="AL9" s="169">
        <f>'Stats Global'!AB17-Table3[[#This Row],[AVG P]]</f>
        <v>2.1176470588235294</v>
      </c>
      <c r="AM9" s="169">
        <f>'Stats Global'!AD17-Table3[[#This Row],[AVG F]]</f>
        <v>0.64705882352941169</v>
      </c>
      <c r="AN9" s="169">
        <f>'Stats Global'!AF17-Table3[[#This Row],[AVG M]]</f>
        <v>1.2352941176470589</v>
      </c>
      <c r="AO9" s="169">
        <f>'Stats Global'!AH17-Table3[[#This Row],[AVG T]]</f>
        <v>0.11764705882352941</v>
      </c>
    </row>
    <row r="10" spans="1:41" ht="14.35" customHeight="1" x14ac:dyDescent="0.45">
      <c r="A10" s="75" t="str">
        <f>'Stats Global'!B11</f>
        <v>20-July</v>
      </c>
      <c r="B10" s="82">
        <f>'Stats Global'!F11</f>
        <v>3</v>
      </c>
      <c r="C10" s="82">
        <f>'Stats Global'!G11+'Stats Global'!H11</f>
        <v>4</v>
      </c>
      <c r="D10" s="82">
        <f>'Stats Global'!O11</f>
        <v>2</v>
      </c>
      <c r="E10" s="80" t="s">
        <v>236</v>
      </c>
      <c r="F10" s="80" t="s">
        <v>46</v>
      </c>
      <c r="I10" s="81"/>
      <c r="J10" s="83"/>
      <c r="L10" s="84">
        <f>'Stats Global'!J11</f>
        <v>2</v>
      </c>
      <c r="M10" s="84">
        <f>'Stats Global'!G11</f>
        <v>3</v>
      </c>
      <c r="N10" s="85"/>
      <c r="O10" s="84">
        <f>'Stats Global'!M11</f>
        <v>1</v>
      </c>
      <c r="P10" s="84">
        <f>'Stats Global'!H11</f>
        <v>1</v>
      </c>
      <c r="R10" s="56"/>
      <c r="S10" s="56"/>
      <c r="T10" s="39"/>
      <c r="U10" s="39"/>
      <c r="V10" s="39"/>
      <c r="W10" s="39"/>
      <c r="AC10" s="152" t="s">
        <v>52</v>
      </c>
      <c r="AD10" s="155">
        <f>'1707'!AC31+'1807'!AC31+'1907'!AC31+'2007'!AC31+'2407'!AC31+'2607'!AC31+'2707'!AC31+'3107'!AC31+'0108'!AC31+'0208'!AC31+'0308'!AC31+'0808'!AC31+'0908'!AC31+'1008'!AC31</f>
        <v>2</v>
      </c>
      <c r="AE10" s="155">
        <f>'1707'!AD31+'1807'!AD31+'1907'!AD31+'2007'!AD31+'2407'!AD31+'2607'!AD31+'2707'!AD31+'3107'!AD31+'0108'!AD31+'0208'!AD31+'0308'!AD31+'0808'!AD31+'0908'!AD31+'1008'!AD31</f>
        <v>1</v>
      </c>
      <c r="AF10" s="155">
        <f>'1707'!AE31+'1807'!AE31+'1907'!AE31+'2007'!AE31+'2407'!AE31+'2607'!AE31+'2707'!AE31+'3107'!AE31+'0108'!AE31+'0208'!AE31+'0308'!AE31+'0808'!AE31+'0908'!AE31+'1008'!AE31</f>
        <v>1</v>
      </c>
      <c r="AG10" s="155">
        <f>'1707'!AF31+'1807'!AF31+'1907'!AF31+'2007'!AF31+'2407'!AF31+'2607'!AF31+'2707'!AF31+'3107'!AF31+'0108'!AF31+'0208'!AF31+'0308'!AF31+'0808'!AF31+'0908'!AF31+'1008'!AF31</f>
        <v>0</v>
      </c>
      <c r="AH10" s="169">
        <f>Table3[[#This Row],[Points]]/('Stats Global'!$AA$6-'Stats Global'!$AJ$18)</f>
        <v>0.1111111111111111</v>
      </c>
      <c r="AI10" s="169">
        <f>Table3[[#This Row],[Finishes]]/('Stats Global'!$AA$6-'Stats Global'!$AJ$18)</f>
        <v>5.5555555555555552E-2</v>
      </c>
      <c r="AJ10" s="169">
        <f>Table3[[#This Row],[Midranges]]/('Stats Global'!$AA$6-'Stats Global'!$AJ$18)</f>
        <v>5.5555555555555552E-2</v>
      </c>
      <c r="AK10" s="169">
        <f>Table3[[#This Row],[Threes]]/('Stats Global'!$AA$6-'Stats Global'!$AJ$18)</f>
        <v>0</v>
      </c>
      <c r="AL10" s="169">
        <f>'Stats Global'!AB18-Table3[[#This Row],[AVG P]]</f>
        <v>0.44444444444444448</v>
      </c>
      <c r="AM10" s="169">
        <f>'Stats Global'!AD18-Table3[[#This Row],[AVG F]]</f>
        <v>5.5555555555555552E-2</v>
      </c>
      <c r="AN10" s="169">
        <f>'Stats Global'!AF18-Table3[[#This Row],[AVG M]]</f>
        <v>0.38888888888888884</v>
      </c>
      <c r="AO10" s="169">
        <f>'Stats Global'!AH18-Table3[[#This Row],[AVG T]]</f>
        <v>0</v>
      </c>
    </row>
    <row r="11" spans="1:41" ht="14.35" customHeight="1" x14ac:dyDescent="0.45">
      <c r="A11" s="75" t="str">
        <f>'Stats Global'!B12</f>
        <v>24-July</v>
      </c>
      <c r="B11" s="82">
        <f>'Stats Global'!F12</f>
        <v>1</v>
      </c>
      <c r="C11" s="82">
        <f>'Stats Global'!G12+'Stats Global'!H12</f>
        <v>5</v>
      </c>
      <c r="D11" s="82">
        <f>'Stats Global'!O12</f>
        <v>2</v>
      </c>
      <c r="E11" s="80" t="s">
        <v>46</v>
      </c>
      <c r="F11" s="80" t="s">
        <v>207</v>
      </c>
      <c r="I11" s="81"/>
      <c r="J11" s="83"/>
      <c r="L11" s="84">
        <f>'Stats Global'!J12</f>
        <v>1</v>
      </c>
      <c r="M11" s="84">
        <f>'Stats Global'!G12</f>
        <v>0</v>
      </c>
      <c r="N11" s="85"/>
      <c r="O11" s="84">
        <f>'Stats Global'!M12</f>
        <v>0</v>
      </c>
      <c r="P11" s="84">
        <f>'Stats Global'!H12</f>
        <v>5</v>
      </c>
      <c r="R11" s="53"/>
      <c r="S11" s="54"/>
      <c r="T11" s="56"/>
      <c r="U11" s="56"/>
      <c r="V11" s="56"/>
      <c r="W11" s="56"/>
      <c r="AC11" s="152" t="s">
        <v>200</v>
      </c>
      <c r="AD11" s="155">
        <f>'1707'!AC32+'1807'!AC32+'1907'!AC32+'2007'!AC32+'2407'!AC32+'2607'!AC32+'2707'!AC32+'3107'!AC32+'0108'!AC32+'0208'!AC32+'0308'!AC32+'0808'!AC32+'0908'!AC32+'1008'!AC32</f>
        <v>1</v>
      </c>
      <c r="AE11" s="155">
        <f>'1707'!AD32+'1807'!AD32+'1907'!AD32+'2007'!AD32+'2407'!AD32+'2607'!AD32+'2707'!AD32+'3107'!AD32+'0108'!AD32+'0208'!AD32+'0308'!AD32+'0808'!AD32+'0908'!AD32+'1008'!AD32</f>
        <v>0</v>
      </c>
      <c r="AF11" s="155">
        <f>'1707'!AE32+'1807'!AE32+'1907'!AE32+'2007'!AE32+'2407'!AE32+'2607'!AE32+'2707'!AE32+'3107'!AE32+'0108'!AE32+'0208'!AE32+'0308'!AE32+'0808'!AE32+'0908'!AE32+'1008'!AE32</f>
        <v>1</v>
      </c>
      <c r="AG11" s="155">
        <f>'1707'!AF32+'1807'!AF32+'1907'!AF32+'2007'!AF32+'2407'!AF32+'2607'!AF32+'2707'!AF32+'3107'!AF32+'0108'!AF32+'0208'!AF32+'0308'!AF32+'0808'!AF32+'0908'!AF32+'1008'!AF32</f>
        <v>0</v>
      </c>
      <c r="AH11" s="169">
        <f>Table3[[#This Row],[Points]]/('Stats Global'!$AA$6-'Stats Global'!$AJ$19)</f>
        <v>0.14285714285714285</v>
      </c>
      <c r="AI11" s="169">
        <f>Table3[[#This Row],[Finishes]]/('Stats Global'!$AA$6-'Stats Global'!$AJ$19)</f>
        <v>0</v>
      </c>
      <c r="AJ11" s="169">
        <f>Table3[[#This Row],[Midranges]]/('Stats Global'!$AA$6-'Stats Global'!$AJ$19)</f>
        <v>0.14285714285714285</v>
      </c>
      <c r="AK11" s="169">
        <f>Table3[[#This Row],[Threes]]/('Stats Global'!$AA$6-'Stats Global'!$AJ$19)</f>
        <v>0</v>
      </c>
      <c r="AL11" s="169">
        <f>'Stats Global'!AB19-Table3[[#This Row],[AVG P]]</f>
        <v>0</v>
      </c>
      <c r="AM11" s="169">
        <f>'Stats Global'!AD19-Table3[[#This Row],[AVG F]]</f>
        <v>0</v>
      </c>
      <c r="AN11" s="169">
        <f>'Stats Global'!AF19-Table3[[#This Row],[AVG M]]</f>
        <v>0</v>
      </c>
      <c r="AO11" s="169">
        <f>'Stats Global'!AH19-Table3[[#This Row],[AVG T]]</f>
        <v>0</v>
      </c>
    </row>
    <row r="12" spans="1:41" ht="14.35" customHeight="1" x14ac:dyDescent="0.45">
      <c r="A12" s="75" t="str">
        <f>'Stats Global'!B13</f>
        <v>26-July</v>
      </c>
      <c r="B12" s="82">
        <f>'Stats Global'!F13</f>
        <v>6</v>
      </c>
      <c r="C12" s="82">
        <f>'Stats Global'!G13+'Stats Global'!H13</f>
        <v>5</v>
      </c>
      <c r="D12" s="82">
        <f>'Stats Global'!O13</f>
        <v>2</v>
      </c>
      <c r="E12" s="80" t="s">
        <v>61</v>
      </c>
      <c r="F12" s="80" t="s">
        <v>242</v>
      </c>
      <c r="I12" s="81"/>
      <c r="J12" s="83"/>
      <c r="L12" s="84">
        <f>'Stats Global'!J13</f>
        <v>2</v>
      </c>
      <c r="M12" s="84">
        <f>'Stats Global'!G13</f>
        <v>2</v>
      </c>
      <c r="N12" s="85"/>
      <c r="O12" s="84">
        <f>'Stats Global'!M13</f>
        <v>4</v>
      </c>
      <c r="P12" s="84">
        <f>'Stats Global'!H13</f>
        <v>3</v>
      </c>
      <c r="R12" s="56"/>
      <c r="S12" s="56"/>
      <c r="T12" s="54"/>
      <c r="U12" s="54"/>
      <c r="V12" s="54"/>
      <c r="W12" s="54"/>
      <c r="AC12" s="152" t="s">
        <v>55</v>
      </c>
      <c r="AD12" s="155">
        <f>'1707'!AC33+'1807'!AC33+'1907'!AC33+'2007'!AC33+'2407'!AC33+'2607'!AC33+'2707'!AC33+'3107'!AC33+'0108'!AC33+'0208'!AC33+'0308'!AC33+'0808'!AC33+'0908'!AC33+'1008'!AC33</f>
        <v>4</v>
      </c>
      <c r="AE12" s="155">
        <f>'1707'!AD33+'1807'!AD33+'1907'!AD33+'2007'!AD33+'2407'!AD33+'2607'!AD33+'2707'!AD33+'3107'!AD33+'0108'!AD33+'0208'!AD33+'0308'!AD33+'0808'!AD33+'0908'!AD33+'1008'!AD33</f>
        <v>3</v>
      </c>
      <c r="AF12" s="155">
        <f>'1707'!AE33+'1807'!AE33+'1907'!AE33+'2007'!AE33+'2407'!AE33+'2607'!AE33+'2707'!AE33+'3107'!AE33+'0108'!AE33+'0208'!AE33+'0308'!AE33+'0808'!AE33+'0908'!AE33+'1008'!AE33</f>
        <v>1</v>
      </c>
      <c r="AG12" s="155">
        <f>'1707'!AF33+'1807'!AF33+'1907'!AF33+'2007'!AF33+'2407'!AF33+'2607'!AF33+'2707'!AF33+'3107'!AF33+'0108'!AF33+'0208'!AF33+'0308'!AF33+'0808'!AF33+'0908'!AF33+'1008'!AF33</f>
        <v>0</v>
      </c>
      <c r="AH12" s="169">
        <f>Table3[[#This Row],[Points]]/('Stats Global'!$AA$6-'Stats Global'!$AJ$20)</f>
        <v>0.26666666666666666</v>
      </c>
      <c r="AI12" s="169">
        <f>Table3[[#This Row],[Finishes]]/('Stats Global'!$AA$6-'Stats Global'!$AJ$20)</f>
        <v>0.2</v>
      </c>
      <c r="AJ12" s="169">
        <f>Table3[[#This Row],[Midranges]]/('Stats Global'!$AA$6-'Stats Global'!$AJ$20)</f>
        <v>6.6666666666666666E-2</v>
      </c>
      <c r="AK12" s="169">
        <f>Table3[[#This Row],[Threes]]/('Stats Global'!$AA$6-'Stats Global'!$AJ$20)</f>
        <v>0</v>
      </c>
      <c r="AL12" s="169">
        <f>'Stats Global'!AB20-Table3[[#This Row],[AVG P]]</f>
        <v>0.53333333333333344</v>
      </c>
      <c r="AM12" s="169">
        <f>'Stats Global'!AD20-Table3[[#This Row],[AVG F]]</f>
        <v>0.39999999999999997</v>
      </c>
      <c r="AN12" s="169">
        <f>'Stats Global'!AF20-Table3[[#This Row],[AVG M]]</f>
        <v>0</v>
      </c>
      <c r="AO12" s="169">
        <f>'Stats Global'!AH20-Table3[[#This Row],[AVG T]]</f>
        <v>6.6666666666666666E-2</v>
      </c>
    </row>
    <row r="13" spans="1:41" ht="14.35" customHeight="1" x14ac:dyDescent="0.45">
      <c r="A13" s="75" t="str">
        <f>'Stats Global'!B14</f>
        <v>27-July</v>
      </c>
      <c r="B13" s="82">
        <f>'Stats Global'!F14</f>
        <v>3</v>
      </c>
      <c r="C13" s="82">
        <f>'Stats Global'!G14+'Stats Global'!H14</f>
        <v>5</v>
      </c>
      <c r="D13" s="82">
        <f>'Stats Global'!O14</f>
        <v>2</v>
      </c>
      <c r="E13" s="80" t="s">
        <v>252</v>
      </c>
      <c r="F13" s="80" t="s">
        <v>61</v>
      </c>
      <c r="J13" s="83"/>
      <c r="L13" s="84">
        <f>'Stats Global'!J14</f>
        <v>2</v>
      </c>
      <c r="M13" s="84">
        <f>'Stats Global'!G14</f>
        <v>1</v>
      </c>
      <c r="N13" s="85"/>
      <c r="O13" s="84">
        <f>'Stats Global'!M14</f>
        <v>1</v>
      </c>
      <c r="P13" s="84">
        <f>'Stats Global'!H14</f>
        <v>4</v>
      </c>
      <c r="R13" s="56"/>
      <c r="S13" s="56"/>
      <c r="T13" s="56"/>
      <c r="U13" s="56"/>
      <c r="V13" s="56"/>
      <c r="W13" s="56"/>
      <c r="AC13" s="152" t="s">
        <v>64</v>
      </c>
      <c r="AD13" s="155">
        <f>'1707'!AC34+'1807'!AC34+'1907'!AC34+'2007'!AC34+'2407'!AC34+'2607'!AC34+'2707'!AC34+'3107'!AC34+'0108'!AC34+'0208'!AC34+'0308'!AC34+'0808'!AC34+'0908'!AC34+'1008'!AC34</f>
        <v>0</v>
      </c>
      <c r="AE13" s="155">
        <f>'1707'!AD34+'1807'!AD34+'1907'!AD34+'2007'!AD34+'2407'!AD34+'2607'!AD34+'2707'!AD34+'3107'!AD34+'0108'!AD34+'0208'!AD34+'0308'!AD34+'0808'!AD34+'0908'!AD34+'1008'!AD34</f>
        <v>0</v>
      </c>
      <c r="AF13" s="155">
        <f>'1707'!AE34+'1807'!AE34+'1907'!AE34+'2007'!AE34+'2407'!AE34+'2607'!AE34+'2707'!AE34+'3107'!AE34+'0108'!AE34+'0208'!AE34+'0308'!AE34+'0808'!AE34+'0908'!AE34+'1008'!AE34</f>
        <v>0</v>
      </c>
      <c r="AG13" s="155">
        <f>'1707'!AF34+'1807'!AF34+'1907'!AF34+'2007'!AF34+'2407'!AF34+'2607'!AF34+'2707'!AF34+'3107'!AF34+'0108'!AF34+'0208'!AF34+'0308'!AF34+'0808'!AF34+'0908'!AF34+'1008'!AF34</f>
        <v>0</v>
      </c>
      <c r="AH13" s="169">
        <f>Table3[[#This Row],[Points]]/('Stats Global'!$AA$6-'Stats Global'!$AJ$23)</f>
        <v>0</v>
      </c>
      <c r="AI13" s="169">
        <f>Table3[[#This Row],[Finishes]]/('Stats Global'!$AA$6-'Stats Global'!$AJ$23)</f>
        <v>0</v>
      </c>
      <c r="AJ13" s="169">
        <f>Table3[[#This Row],[Midranges]]/('Stats Global'!$AA$6-'Stats Global'!$AJ$23)</f>
        <v>0</v>
      </c>
      <c r="AK13" s="169">
        <f>Table3[[#This Row],[Threes]]/('Stats Global'!$AA$6-'Stats Global'!$AJ$23)</f>
        <v>0</v>
      </c>
      <c r="AL13" s="169">
        <f>'Stats Global'!AB23-Table3[[#This Row],[AVG P]]</f>
        <v>5.5555555555555552E-2</v>
      </c>
      <c r="AM13" s="169">
        <f>'Stats Global'!AD23-Table3[[#This Row],[AVG F]]</f>
        <v>0</v>
      </c>
      <c r="AN13" s="169">
        <f>'Stats Global'!AF23-Table3[[#This Row],[AVG M]]</f>
        <v>5.5555555555555552E-2</v>
      </c>
      <c r="AO13" s="169">
        <f>'Stats Global'!AH23-Table3[[#This Row],[AVG T]]</f>
        <v>0</v>
      </c>
    </row>
    <row r="14" spans="1:41" ht="14.35" customHeight="1" x14ac:dyDescent="0.45">
      <c r="A14" s="75" t="str">
        <f>'Stats Global'!B15</f>
        <v>31-July</v>
      </c>
      <c r="B14" s="82">
        <f>'Stats Global'!F15</f>
        <v>9</v>
      </c>
      <c r="C14" s="82">
        <f>'Stats Global'!G15+'Stats Global'!H15</f>
        <v>3</v>
      </c>
      <c r="D14" s="82">
        <f>'Stats Global'!O15</f>
        <v>3</v>
      </c>
      <c r="E14" s="80" t="s">
        <v>61</v>
      </c>
      <c r="F14" s="80" t="s">
        <v>46</v>
      </c>
      <c r="J14" s="83"/>
      <c r="L14" s="84">
        <f>'Stats Global'!J15</f>
        <v>4</v>
      </c>
      <c r="M14" s="84">
        <f>'Stats Global'!G15</f>
        <v>2</v>
      </c>
      <c r="N14" s="85"/>
      <c r="O14" s="84">
        <f>'Stats Global'!M15</f>
        <v>5</v>
      </c>
      <c r="P14" s="84">
        <f>'Stats Global'!H15</f>
        <v>1</v>
      </c>
      <c r="R14" s="56"/>
      <c r="S14" s="56"/>
      <c r="T14" s="56"/>
      <c r="U14" s="56"/>
      <c r="V14" s="56"/>
      <c r="W14" s="56"/>
      <c r="AC14" s="153" t="s">
        <v>67</v>
      </c>
      <c r="AD14" s="155">
        <f>'1707'!AC35+'1807'!AC35+'1907'!AC35+'2007'!AC35+'2407'!AC35+'2607'!AC35+'2707'!AC35+'3107'!AC35+'0108'!AC35+'0208'!AC35+'0308'!AC35+'0808'!AC35+'0908'!AC35+'1008'!AC35</f>
        <v>3</v>
      </c>
      <c r="AE14" s="155">
        <f>'1707'!AD35+'1807'!AD35+'1907'!AD35+'2007'!AD35+'2407'!AD35+'2607'!AD35+'2707'!AD35+'3107'!AD35+'0108'!AD35+'0208'!AD35+'0308'!AD35+'0808'!AD35+'0908'!AD35+'1008'!AD35</f>
        <v>3</v>
      </c>
      <c r="AF14" s="155">
        <f>'1707'!AE35+'1807'!AE35+'1907'!AE35+'2007'!AE35+'2407'!AE35+'2607'!AE35+'2707'!AE35+'3107'!AE35+'0108'!AE35+'0208'!AE35+'0308'!AE35+'0808'!AE35+'0908'!AE35+'1008'!AE35</f>
        <v>0</v>
      </c>
      <c r="AG14" s="155">
        <f>'1707'!AF35+'1807'!AF35+'1907'!AF35+'2007'!AF35+'2407'!AF35+'2607'!AF35+'2707'!AF35+'3107'!AF35+'0108'!AF35+'0208'!AF35+'0308'!AF35+'0808'!AF35+'0908'!AF35+'1008'!AF35</f>
        <v>0</v>
      </c>
      <c r="AH14" s="170">
        <f>Table3[[#This Row],[Points]]/('Stats Global'!$AA$6-'Stats Global'!$AJ$24)</f>
        <v>0.25</v>
      </c>
      <c r="AI14" s="170">
        <f>Table3[[#This Row],[Finishes]]/('Stats Global'!$AA$6-'Stats Global'!$AJ$24)</f>
        <v>0.25</v>
      </c>
      <c r="AJ14" s="170">
        <f>Table3[[#This Row],[Midranges]]/('Stats Global'!$AA$6-'Stats Global'!$AJ$24)</f>
        <v>0</v>
      </c>
      <c r="AK14" s="170">
        <f>Table3[[#This Row],[Threes]]/('Stats Global'!$AA$6-'Stats Global'!$AJ$24)</f>
        <v>0</v>
      </c>
      <c r="AL14" s="170">
        <f>'Stats Global'!AB24-Table3[[#This Row],[AVG P]]</f>
        <v>0.25</v>
      </c>
      <c r="AM14" s="170">
        <f>'Stats Global'!AD24-Table3[[#This Row],[AVG F]]</f>
        <v>8.3333333333333315E-2</v>
      </c>
      <c r="AN14" s="170">
        <f>'Stats Global'!AF24-Table3[[#This Row],[AVG M]]</f>
        <v>0</v>
      </c>
      <c r="AO14" s="170">
        <f>'Stats Global'!AH24-Table3[[#This Row],[AVG T]]</f>
        <v>8.3333333333333329E-2</v>
      </c>
    </row>
    <row r="15" spans="1:41" ht="14.35" customHeight="1" x14ac:dyDescent="0.45">
      <c r="A15" s="75" t="str">
        <f>'Stats Global'!B16</f>
        <v>1-August</v>
      </c>
      <c r="B15" s="82">
        <f>'Stats Global'!F16</f>
        <v>3</v>
      </c>
      <c r="C15" s="82">
        <f>'Stats Global'!G16+'Stats Global'!H16</f>
        <v>6</v>
      </c>
      <c r="D15" s="82">
        <f>'Stats Global'!O16</f>
        <v>1</v>
      </c>
      <c r="E15" s="80" t="s">
        <v>61</v>
      </c>
      <c r="F15" s="80" t="s">
        <v>262</v>
      </c>
      <c r="J15" s="83"/>
      <c r="L15" s="84">
        <f>'Stats Global'!J16</f>
        <v>1</v>
      </c>
      <c r="M15" s="84">
        <f>'Stats Global'!G16</f>
        <v>3</v>
      </c>
      <c r="N15" s="85"/>
      <c r="O15" s="84">
        <f>'Stats Global'!M16</f>
        <v>2</v>
      </c>
      <c r="P15" s="84">
        <f>'Stats Global'!H16</f>
        <v>3</v>
      </c>
      <c r="R15" s="56"/>
      <c r="S15" s="56"/>
      <c r="T15" s="56"/>
      <c r="U15" s="56"/>
      <c r="V15" s="56"/>
      <c r="W15" s="56"/>
    </row>
    <row r="16" spans="1:41" ht="14.35" customHeight="1" x14ac:dyDescent="0.45">
      <c r="A16" s="75" t="str">
        <f>'Stats Global'!B17</f>
        <v>2-August</v>
      </c>
      <c r="B16" s="82">
        <f>'Stats Global'!F17</f>
        <v>4</v>
      </c>
      <c r="C16" s="82">
        <f>'Stats Global'!G17+'Stats Global'!H17</f>
        <v>11</v>
      </c>
      <c r="D16" s="82">
        <f>'Stats Global'!O17</f>
        <v>1</v>
      </c>
      <c r="E16" s="80" t="s">
        <v>207</v>
      </c>
      <c r="F16" s="80" t="s">
        <v>58</v>
      </c>
      <c r="J16" s="83"/>
      <c r="L16" s="84">
        <f>'Stats Global'!J17</f>
        <v>4</v>
      </c>
      <c r="M16" s="84">
        <f>'Stats Global'!G17</f>
        <v>3</v>
      </c>
      <c r="N16" s="85"/>
      <c r="O16" s="84">
        <f>'Stats Global'!M17</f>
        <v>0</v>
      </c>
      <c r="P16" s="84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 t="str">
        <f>'Stats Global'!B18</f>
        <v>3-August</v>
      </c>
      <c r="B17" s="82">
        <f>'Stats Global'!F18</f>
        <v>7</v>
      </c>
      <c r="C17" s="82">
        <f>'Stats Global'!G18+'Stats Global'!H18</f>
        <v>2</v>
      </c>
      <c r="D17" s="82">
        <f>'Stats Global'!O18</f>
        <v>3</v>
      </c>
      <c r="E17" s="146" t="s">
        <v>61</v>
      </c>
      <c r="F17" s="146" t="s">
        <v>61</v>
      </c>
      <c r="J17" s="83"/>
      <c r="L17" s="84">
        <f>'Stats Global'!J18</f>
        <v>3</v>
      </c>
      <c r="M17" s="84">
        <f>'Stats Global'!G18</f>
        <v>2</v>
      </c>
      <c r="N17" s="85"/>
      <c r="O17" s="84">
        <f>'Stats Global'!M18</f>
        <v>4</v>
      </c>
      <c r="P17" s="84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 t="str">
        <f>'Stats Global'!B19</f>
        <v>8-August</v>
      </c>
      <c r="B18" s="82">
        <f>'Stats Global'!F19</f>
        <v>1</v>
      </c>
      <c r="C18" s="82">
        <f>'Stats Global'!G19+'Stats Global'!H19</f>
        <v>9</v>
      </c>
      <c r="D18" s="82">
        <f>'Stats Global'!O19</f>
        <v>1</v>
      </c>
      <c r="E18" s="148" t="s">
        <v>207</v>
      </c>
      <c r="F18" s="148" t="s">
        <v>58</v>
      </c>
      <c r="J18" s="83"/>
      <c r="L18" s="84">
        <f>'Stats Global'!J19</f>
        <v>0</v>
      </c>
      <c r="M18" s="84">
        <f>'Stats Global'!G19</f>
        <v>1</v>
      </c>
      <c r="N18" s="85"/>
      <c r="O18" s="84">
        <f>'Stats Global'!M19</f>
        <v>1</v>
      </c>
      <c r="P18" s="84">
        <f>'Stats Global'!H19</f>
        <v>8</v>
      </c>
    </row>
    <row r="19" spans="1:23" ht="14.35" customHeight="1" x14ac:dyDescent="0.45">
      <c r="A19" s="75" t="str">
        <f>'Stats Global'!B20</f>
        <v>9-August</v>
      </c>
      <c r="B19" s="82">
        <f>'Stats Global'!F20</f>
        <v>3</v>
      </c>
      <c r="C19" s="82">
        <f>'Stats Global'!G20+'Stats Global'!H20</f>
        <v>5</v>
      </c>
      <c r="D19" s="82">
        <f>'Stats Global'!O20</f>
        <v>2</v>
      </c>
      <c r="E19" s="151" t="s">
        <v>61</v>
      </c>
      <c r="F19" s="151" t="s">
        <v>271</v>
      </c>
      <c r="J19" s="83"/>
      <c r="L19" s="84">
        <f>'Stats Global'!J20</f>
        <v>1</v>
      </c>
      <c r="M19" s="84">
        <f>'Stats Global'!G20</f>
        <v>1</v>
      </c>
      <c r="N19" s="85"/>
      <c r="O19" s="84">
        <f>'Stats Global'!M20</f>
        <v>2</v>
      </c>
      <c r="P19" s="84">
        <f>'Stats Global'!H20</f>
        <v>4</v>
      </c>
    </row>
    <row r="20" spans="1:23" ht="14.35" customHeight="1" x14ac:dyDescent="0.45">
      <c r="A20" s="75" t="str">
        <f>'Stats Global'!B21</f>
        <v>10-August</v>
      </c>
      <c r="B20" s="82">
        <f>'Stats Global'!F21</f>
        <v>10</v>
      </c>
      <c r="C20" s="82">
        <f>'Stats Global'!G21+'Stats Global'!H21</f>
        <v>6</v>
      </c>
      <c r="D20" s="82">
        <f>'Stats Global'!O21</f>
        <v>2</v>
      </c>
      <c r="E20" s="173" t="s">
        <v>61</v>
      </c>
      <c r="F20" s="173" t="s">
        <v>46</v>
      </c>
      <c r="J20" s="83"/>
      <c r="L20" s="84">
        <f>'Stats Global'!J21</f>
        <v>4</v>
      </c>
      <c r="M20" s="84">
        <f>'Stats Global'!G21</f>
        <v>6</v>
      </c>
      <c r="N20" s="85"/>
      <c r="O20" s="84">
        <f>'Stats Global'!M21</f>
        <v>4</v>
      </c>
      <c r="P20" s="84">
        <f>'Stats Global'!H21</f>
        <v>0</v>
      </c>
    </row>
    <row r="21" spans="1:23" ht="14.35" customHeight="1" x14ac:dyDescent="0.45">
      <c r="A21" s="75" t="str">
        <f>'Stats Global'!B22</f>
        <v>14-August</v>
      </c>
      <c r="B21" s="82">
        <f>'Stats Global'!F22</f>
        <v>2</v>
      </c>
      <c r="C21" s="82">
        <f>'Stats Global'!G22+'Stats Global'!H22</f>
        <v>5</v>
      </c>
      <c r="D21" s="82">
        <f>'Stats Global'!O22</f>
        <v>1</v>
      </c>
      <c r="E21" s="80" t="s">
        <v>61</v>
      </c>
      <c r="F21" s="80" t="s">
        <v>46</v>
      </c>
      <c r="J21" s="83"/>
      <c r="L21" s="84">
        <f>'Stats Global'!J22</f>
        <v>1</v>
      </c>
      <c r="M21" s="84">
        <f>'Stats Global'!G22</f>
        <v>2</v>
      </c>
      <c r="N21" s="85"/>
      <c r="O21" s="84">
        <f>'Stats Global'!M22</f>
        <v>1</v>
      </c>
      <c r="P21" s="84">
        <f>'Stats Global'!H22</f>
        <v>3</v>
      </c>
    </row>
    <row r="22" spans="1:23" ht="14.35" customHeight="1" x14ac:dyDescent="0.45">
      <c r="A22" s="75" t="str">
        <f>'Stats Global'!B23</f>
        <v>15-August</v>
      </c>
      <c r="B22" s="82">
        <f>'Stats Global'!F23</f>
        <v>5</v>
      </c>
      <c r="C22" s="82">
        <f>'Stats Global'!G23+'Stats Global'!H23</f>
        <v>13</v>
      </c>
      <c r="D22" s="82">
        <f>'Stats Global'!O23</f>
        <v>1</v>
      </c>
      <c r="E22" s="80" t="s">
        <v>207</v>
      </c>
      <c r="F22" s="80" t="s">
        <v>58</v>
      </c>
      <c r="H22" s="87"/>
      <c r="J22" s="83"/>
      <c r="L22" s="84">
        <f>'Stats Global'!J23</f>
        <v>0</v>
      </c>
      <c r="M22" s="84">
        <f>'Stats Global'!G23</f>
        <v>5</v>
      </c>
      <c r="N22" s="85"/>
      <c r="O22" s="84">
        <f>'Stats Global'!M23</f>
        <v>5</v>
      </c>
      <c r="P22" s="84">
        <f>'Stats Global'!H23</f>
        <v>8</v>
      </c>
    </row>
    <row r="23" spans="1:23" ht="14.35" customHeight="1" x14ac:dyDescent="0.45">
      <c r="A23" s="75" t="str">
        <f>'Stats Global'!B24</f>
        <v>17-August</v>
      </c>
      <c r="B23" s="82">
        <f>'Stats Global'!F24</f>
        <v>4</v>
      </c>
      <c r="C23" s="82">
        <f>'Stats Global'!G24+'Stats Global'!H24</f>
        <v>6</v>
      </c>
      <c r="D23" s="82">
        <f>'Stats Global'!O24</f>
        <v>1</v>
      </c>
      <c r="E23" s="185" t="s">
        <v>61</v>
      </c>
      <c r="F23" s="186" t="s">
        <v>46</v>
      </c>
      <c r="H23" s="87"/>
      <c r="J23" s="83"/>
      <c r="L23" s="84">
        <f>'Stats Global'!J24</f>
        <v>2</v>
      </c>
      <c r="M23" s="84">
        <f>'Stats Global'!G24</f>
        <v>3</v>
      </c>
      <c r="N23" s="85"/>
      <c r="O23" s="84">
        <f>'Stats Global'!M24</f>
        <v>2</v>
      </c>
      <c r="P23" s="84">
        <f>'Stats Global'!H24</f>
        <v>3</v>
      </c>
    </row>
    <row r="24" spans="1:23" ht="14.35" customHeight="1" x14ac:dyDescent="0.45">
      <c r="A24" s="75" t="str">
        <f>'Stats Global'!B25</f>
        <v>21-August</v>
      </c>
      <c r="B24" s="82">
        <f>'Stats Global'!F25</f>
        <v>0</v>
      </c>
      <c r="C24" s="82">
        <f>'Stats Global'!G25+'Stats Global'!H25</f>
        <v>0</v>
      </c>
      <c r="D24" s="82">
        <f>'Stats Global'!O25</f>
        <v>0</v>
      </c>
      <c r="E24" s="86"/>
      <c r="F24" s="80"/>
      <c r="H24" s="87"/>
      <c r="J24" s="83"/>
      <c r="L24" s="84">
        <f>'Stats Global'!J25</f>
        <v>0</v>
      </c>
      <c r="M24" s="84">
        <f>'Stats Global'!G25</f>
        <v>0</v>
      </c>
      <c r="N24" s="85"/>
      <c r="O24" s="84">
        <f>'Stats Global'!M25</f>
        <v>0</v>
      </c>
      <c r="P24" s="84">
        <f>'Stats Global'!H25</f>
        <v>0</v>
      </c>
    </row>
    <row r="25" spans="1:23" ht="14.35" customHeight="1" x14ac:dyDescent="0.45">
      <c r="A25" s="75">
        <f>'Stats Global'!B26</f>
        <v>0</v>
      </c>
      <c r="B25" s="82">
        <f>'Stats Global'!F26</f>
        <v>0</v>
      </c>
      <c r="C25" s="82">
        <f>'Stats Global'!G26+'Stats Global'!H26</f>
        <v>0</v>
      </c>
      <c r="D25" s="82">
        <f>'Stats Global'!O26</f>
        <v>0</v>
      </c>
      <c r="E25" s="86"/>
      <c r="F25" s="80"/>
      <c r="J25" s="83"/>
      <c r="L25" s="84">
        <f>'Stats Global'!J26</f>
        <v>0</v>
      </c>
      <c r="M25" s="84">
        <f>'Stats Global'!G26</f>
        <v>0</v>
      </c>
      <c r="N25" s="85"/>
      <c r="O25" s="84">
        <f>'Stats Global'!M26</f>
        <v>0</v>
      </c>
      <c r="P25" s="84">
        <f>'Stats Global'!H26</f>
        <v>0</v>
      </c>
    </row>
    <row r="26" spans="1:23" ht="14.35" customHeight="1" x14ac:dyDescent="0.45">
      <c r="A26" s="75">
        <f>'Stats Global'!B27</f>
        <v>0</v>
      </c>
      <c r="B26" s="82">
        <f>'Stats Global'!F27</f>
        <v>0</v>
      </c>
      <c r="C26" s="82">
        <f>'Stats Global'!G27+'Stats Global'!H27</f>
        <v>0</v>
      </c>
      <c r="D26" s="82">
        <f>'Stats Global'!O27</f>
        <v>0</v>
      </c>
      <c r="E26" s="80"/>
      <c r="F26" s="80"/>
      <c r="J26" s="83"/>
      <c r="L26" s="84">
        <f>'Stats Global'!J27</f>
        <v>0</v>
      </c>
      <c r="M26" s="84">
        <f>'Stats Global'!G27</f>
        <v>0</v>
      </c>
      <c r="N26" s="85"/>
      <c r="O26" s="84">
        <f>'Stats Global'!M27</f>
        <v>0</v>
      </c>
      <c r="P26" s="84">
        <f>'Stats Global'!H27</f>
        <v>0</v>
      </c>
    </row>
    <row r="27" spans="1:23" ht="14.35" customHeight="1" x14ac:dyDescent="0.45">
      <c r="A27" s="75">
        <f>'Stats Global'!B28</f>
        <v>0</v>
      </c>
      <c r="B27" s="82">
        <f>'Stats Global'!F28</f>
        <v>0</v>
      </c>
      <c r="C27" s="82">
        <f>'Stats Global'!G28+'Stats Global'!H28</f>
        <v>0</v>
      </c>
      <c r="D27" s="82">
        <f>'Stats Global'!O28</f>
        <v>0</v>
      </c>
      <c r="E27" s="80"/>
      <c r="F27" s="80"/>
      <c r="J27" s="83"/>
      <c r="L27" s="84">
        <f>'Stats Global'!J28</f>
        <v>0</v>
      </c>
      <c r="M27" s="84">
        <f>'Stats Global'!G28</f>
        <v>0</v>
      </c>
      <c r="N27" s="85"/>
      <c r="O27" s="84">
        <f>'Stats Global'!M28</f>
        <v>0</v>
      </c>
      <c r="P27" s="84">
        <f>'Stats Global'!H28</f>
        <v>0</v>
      </c>
    </row>
    <row r="28" spans="1:23" ht="14.35" customHeight="1" x14ac:dyDescent="0.45">
      <c r="A28" s="75">
        <f>'Stats Global'!B29</f>
        <v>0</v>
      </c>
      <c r="B28" s="82">
        <f>'Stats Global'!F29</f>
        <v>0</v>
      </c>
      <c r="C28" s="82">
        <f>'Stats Global'!G29+'Stats Global'!H29</f>
        <v>0</v>
      </c>
      <c r="D28" s="82">
        <f>'Stats Global'!O29</f>
        <v>0</v>
      </c>
      <c r="E28" s="80"/>
      <c r="F28" s="80"/>
      <c r="J28" s="83"/>
      <c r="L28" s="84">
        <f>'Stats Global'!J29</f>
        <v>0</v>
      </c>
      <c r="M28" s="84">
        <f>'Stats Global'!G29</f>
        <v>0</v>
      </c>
      <c r="N28" s="85"/>
      <c r="O28" s="84">
        <f>'Stats Global'!M29</f>
        <v>0</v>
      </c>
      <c r="P28" s="84">
        <f>'Stats Global'!H29</f>
        <v>0</v>
      </c>
    </row>
    <row r="29" spans="1:23" ht="14.35" customHeight="1" x14ac:dyDescent="0.45">
      <c r="A29" s="75">
        <f>'Stats Global'!B30</f>
        <v>0</v>
      </c>
      <c r="B29" s="82">
        <f>'Stats Global'!F30</f>
        <v>0</v>
      </c>
      <c r="C29" s="82">
        <f>'Stats Global'!G30+'Stats Global'!H30</f>
        <v>0</v>
      </c>
      <c r="D29" s="82">
        <f>'Stats Global'!O30</f>
        <v>0</v>
      </c>
      <c r="E29" s="80"/>
      <c r="F29" s="80"/>
      <c r="J29" s="83"/>
      <c r="L29" s="84">
        <f>'Stats Global'!J30</f>
        <v>0</v>
      </c>
      <c r="M29" s="84">
        <f>'Stats Global'!G30</f>
        <v>0</v>
      </c>
      <c r="N29" s="85"/>
      <c r="O29" s="84">
        <f>'Stats Global'!M30</f>
        <v>0</v>
      </c>
      <c r="P29" s="84">
        <f>'Stats Global'!H30</f>
        <v>0</v>
      </c>
    </row>
    <row r="30" spans="1:23" ht="14.35" customHeight="1" x14ac:dyDescent="0.45">
      <c r="A30" s="75">
        <f>'Stats Global'!B31</f>
        <v>0</v>
      </c>
      <c r="B30" s="82">
        <f>'Stats Global'!F31</f>
        <v>0</v>
      </c>
      <c r="C30" s="82">
        <f>'Stats Global'!G31+'Stats Global'!H31</f>
        <v>0</v>
      </c>
      <c r="D30" s="82">
        <f>'Stats Global'!O31</f>
        <v>0</v>
      </c>
      <c r="E30" s="80"/>
      <c r="F30" s="80"/>
      <c r="L30" s="84">
        <f>'Stats Global'!J31</f>
        <v>0</v>
      </c>
      <c r="M30" s="84">
        <f>'Stats Global'!G31</f>
        <v>0</v>
      </c>
      <c r="N30" s="85"/>
      <c r="O30" s="84">
        <f>'Stats Global'!M31</f>
        <v>0</v>
      </c>
      <c r="P30" s="84">
        <f>'Stats Global'!H31</f>
        <v>0</v>
      </c>
    </row>
    <row r="31" spans="1:23" ht="14.35" customHeight="1" x14ac:dyDescent="0.45">
      <c r="A31" s="75">
        <f>'Stats Global'!B32</f>
        <v>0</v>
      </c>
      <c r="B31" s="82">
        <f>'Stats Global'!F32</f>
        <v>0</v>
      </c>
      <c r="C31" s="82">
        <f>'Stats Global'!G32+'Stats Global'!H32</f>
        <v>0</v>
      </c>
      <c r="D31" s="82">
        <f>'Stats Global'!O32</f>
        <v>0</v>
      </c>
      <c r="E31" s="80"/>
      <c r="F31" s="80"/>
      <c r="L31" s="84">
        <f>'Stats Global'!J32</f>
        <v>0</v>
      </c>
      <c r="M31" s="84">
        <f>'Stats Global'!G32</f>
        <v>0</v>
      </c>
      <c r="N31" s="85"/>
      <c r="O31" s="84">
        <f>'Stats Global'!M32</f>
        <v>0</v>
      </c>
      <c r="P31" s="84">
        <f>'Stats Global'!H32</f>
        <v>0</v>
      </c>
    </row>
    <row r="32" spans="1:23" ht="14.35" customHeight="1" x14ac:dyDescent="0.45">
      <c r="A32" s="75">
        <f>'Stats Global'!B33</f>
        <v>0</v>
      </c>
      <c r="B32" s="82">
        <f>'Stats Global'!F33</f>
        <v>0</v>
      </c>
      <c r="C32" s="82">
        <f>'Stats Global'!G33+'Stats Global'!H33</f>
        <v>0</v>
      </c>
      <c r="D32" s="82">
        <f>'Stats Global'!O33</f>
        <v>0</v>
      </c>
      <c r="E32" s="80"/>
      <c r="F32" s="80"/>
      <c r="L32" s="84">
        <f>'Stats Global'!J33</f>
        <v>0</v>
      </c>
      <c r="M32" s="84">
        <f>'Stats Global'!G33</f>
        <v>0</v>
      </c>
      <c r="N32" s="85"/>
      <c r="O32" s="84">
        <f>'Stats Global'!M33</f>
        <v>0</v>
      </c>
      <c r="P32" s="84">
        <f>'Stats Global'!H33</f>
        <v>0</v>
      </c>
    </row>
    <row r="33" spans="1:16" ht="14.35" customHeight="1" x14ac:dyDescent="0.45">
      <c r="A33" s="75">
        <f>'Stats Global'!B34</f>
        <v>0</v>
      </c>
      <c r="B33" s="82">
        <f>'Stats Global'!F34</f>
        <v>0</v>
      </c>
      <c r="C33" s="82">
        <f>'Stats Global'!G34+'Stats Global'!H34</f>
        <v>0</v>
      </c>
      <c r="D33" s="82">
        <f>'Stats Global'!O34</f>
        <v>0</v>
      </c>
      <c r="E33" s="80"/>
      <c r="F33" s="80"/>
      <c r="L33" s="84">
        <f>'Stats Global'!J34</f>
        <v>0</v>
      </c>
      <c r="M33" s="84">
        <f>'Stats Global'!G34</f>
        <v>0</v>
      </c>
      <c r="N33" s="85"/>
      <c r="O33" s="84">
        <f>'Stats Global'!M34</f>
        <v>0</v>
      </c>
      <c r="P33" s="84">
        <f>'Stats Global'!H34</f>
        <v>0</v>
      </c>
    </row>
    <row r="34" spans="1:16" ht="14.25" customHeight="1" x14ac:dyDescent="0.45">
      <c r="A34" s="75">
        <f>'Stats Global'!B35</f>
        <v>0</v>
      </c>
      <c r="B34" s="82">
        <f>'Stats Global'!F35</f>
        <v>0</v>
      </c>
      <c r="C34" s="82">
        <f>'Stats Global'!G35+'Stats Global'!H35</f>
        <v>0</v>
      </c>
      <c r="D34" s="82">
        <f>'Stats Global'!O35</f>
        <v>0</v>
      </c>
      <c r="E34" s="80"/>
      <c r="F34" s="80"/>
      <c r="L34" s="84">
        <f>'Stats Global'!J35</f>
        <v>0</v>
      </c>
      <c r="M34" s="84">
        <f>'Stats Global'!G35</f>
        <v>0</v>
      </c>
      <c r="N34" s="85"/>
      <c r="O34" s="84">
        <f>'Stats Global'!M35</f>
        <v>0</v>
      </c>
      <c r="P34" s="84">
        <f>'Stats Global'!H35</f>
        <v>0</v>
      </c>
    </row>
    <row r="35" spans="1:16" ht="14.25" customHeight="1" x14ac:dyDescent="0.45">
      <c r="A35" s="75">
        <f>'Stats Global'!B36</f>
        <v>0</v>
      </c>
      <c r="B35" s="82">
        <f>'Stats Global'!F36</f>
        <v>0</v>
      </c>
      <c r="C35" s="82">
        <f>'Stats Global'!G36+'Stats Global'!H36</f>
        <v>0</v>
      </c>
      <c r="D35" s="82">
        <f>'Stats Global'!O36</f>
        <v>0</v>
      </c>
      <c r="E35" s="80"/>
      <c r="F35" s="80"/>
      <c r="L35" s="84">
        <f>'Stats Global'!J36</f>
        <v>0</v>
      </c>
      <c r="M35" s="84">
        <f>'Stats Global'!G36</f>
        <v>0</v>
      </c>
      <c r="N35" s="85"/>
      <c r="O35" s="84">
        <f>'Stats Global'!M36</f>
        <v>0</v>
      </c>
      <c r="P35" s="84">
        <f>'Stats Global'!H36</f>
        <v>0</v>
      </c>
    </row>
    <row r="36" spans="1:16" ht="14.25" customHeight="1" x14ac:dyDescent="0.45">
      <c r="A36" s="75">
        <f>'Stats Global'!B37</f>
        <v>0</v>
      </c>
      <c r="B36" s="82">
        <f>'Stats Global'!F37</f>
        <v>0</v>
      </c>
      <c r="C36" s="82">
        <f>'Stats Global'!G37+'Stats Global'!H37</f>
        <v>0</v>
      </c>
      <c r="D36" s="82">
        <f>'Stats Global'!O37</f>
        <v>0</v>
      </c>
      <c r="E36" s="80"/>
      <c r="F36" s="80"/>
      <c r="L36" s="84">
        <f>'Stats Global'!J37</f>
        <v>0</v>
      </c>
      <c r="M36" s="84">
        <f>'Stats Global'!G37</f>
        <v>0</v>
      </c>
      <c r="N36" s="85"/>
      <c r="O36" s="84">
        <f>'Stats Global'!M37</f>
        <v>0</v>
      </c>
      <c r="P36" s="84">
        <f>'Stats Global'!H37</f>
        <v>0</v>
      </c>
    </row>
    <row r="37" spans="1:16" ht="14.25" customHeight="1" x14ac:dyDescent="0.45">
      <c r="A37" s="75">
        <f>'Stats Global'!B38</f>
        <v>0</v>
      </c>
      <c r="B37" s="82">
        <f>'Stats Global'!F38</f>
        <v>0</v>
      </c>
      <c r="C37" s="82">
        <f>'Stats Global'!G38+'Stats Global'!H38</f>
        <v>0</v>
      </c>
      <c r="D37" s="82">
        <f>'Stats Global'!O38</f>
        <v>0</v>
      </c>
      <c r="E37" s="80"/>
      <c r="F37" s="80"/>
      <c r="L37" s="84">
        <f>'Stats Global'!J38</f>
        <v>0</v>
      </c>
      <c r="M37" s="84">
        <f>'Stats Global'!G38</f>
        <v>0</v>
      </c>
      <c r="N37" s="85"/>
      <c r="O37" s="84">
        <f>'Stats Global'!M38</f>
        <v>0</v>
      </c>
      <c r="P37" s="84">
        <f>'Stats Global'!H38</f>
        <v>0</v>
      </c>
    </row>
    <row r="38" spans="1:16" ht="14.25" customHeight="1" x14ac:dyDescent="0.45">
      <c r="A38" s="75">
        <f>'Stats Global'!B39</f>
        <v>0</v>
      </c>
      <c r="B38" s="82">
        <f>'Stats Global'!F39</f>
        <v>0</v>
      </c>
      <c r="C38" s="82">
        <f>'Stats Global'!G39+'Stats Global'!H39</f>
        <v>0</v>
      </c>
      <c r="D38" s="82">
        <f>'Stats Global'!O39</f>
        <v>0</v>
      </c>
      <c r="E38" s="80"/>
      <c r="F38" s="80"/>
      <c r="L38" s="84">
        <f>'Stats Global'!J39</f>
        <v>0</v>
      </c>
      <c r="M38" s="84">
        <f>'Stats Global'!G39</f>
        <v>0</v>
      </c>
      <c r="N38" s="85"/>
      <c r="O38" s="84">
        <f>'Stats Global'!M39</f>
        <v>0</v>
      </c>
      <c r="P38" s="84">
        <f>'Stats Global'!H39</f>
        <v>0</v>
      </c>
    </row>
    <row r="39" spans="1:16" ht="14.25" customHeight="1" x14ac:dyDescent="0.45">
      <c r="A39" s="75">
        <f>'Stats Global'!B40</f>
        <v>0</v>
      </c>
      <c r="B39" s="82">
        <f>'Stats Global'!F40</f>
        <v>0</v>
      </c>
      <c r="C39" s="82">
        <f>'Stats Global'!G40+'Stats Global'!H40</f>
        <v>0</v>
      </c>
      <c r="D39" s="82">
        <f>'Stats Global'!O40</f>
        <v>0</v>
      </c>
      <c r="E39" s="80"/>
      <c r="F39" s="80"/>
      <c r="L39" s="84">
        <f>'Stats Global'!J40</f>
        <v>0</v>
      </c>
      <c r="M39" s="84">
        <f>'Stats Global'!G40</f>
        <v>0</v>
      </c>
      <c r="N39" s="85"/>
      <c r="O39" s="84">
        <f>'Stats Global'!M40</f>
        <v>0</v>
      </c>
      <c r="P39" s="84">
        <f>'Stats Global'!H40</f>
        <v>0</v>
      </c>
    </row>
    <row r="40" spans="1:16" ht="14.25" customHeight="1" x14ac:dyDescent="0.45">
      <c r="A40" s="75">
        <f>'Stats Global'!B41</f>
        <v>0</v>
      </c>
      <c r="B40" s="82">
        <f>'Stats Global'!F41</f>
        <v>0</v>
      </c>
      <c r="C40" s="82">
        <f>'Stats Global'!G41+'Stats Global'!H41</f>
        <v>0</v>
      </c>
      <c r="D40" s="82">
        <f>'Stats Global'!O41</f>
        <v>0</v>
      </c>
      <c r="E40" s="80"/>
      <c r="F40" s="80"/>
      <c r="L40" s="84">
        <f>'Stats Global'!J41</f>
        <v>0</v>
      </c>
      <c r="M40" s="84">
        <f>'Stats Global'!G41</f>
        <v>0</v>
      </c>
      <c r="N40" s="85"/>
      <c r="O40" s="84">
        <f>'Stats Global'!M41</f>
        <v>0</v>
      </c>
      <c r="P40" s="84">
        <f>'Stats Global'!H41</f>
        <v>0</v>
      </c>
    </row>
    <row r="41" spans="1:16" ht="14.25" customHeight="1" x14ac:dyDescent="0.45">
      <c r="C41" s="113">
        <f>SUM(B7:B40)/SUM(B7:C40)</f>
        <v>0.51891891891891895</v>
      </c>
      <c r="J41" s="83"/>
      <c r="K41" s="81" t="s">
        <v>94</v>
      </c>
      <c r="L41" s="97">
        <f>SUM(L7:L40)</f>
        <v>46</v>
      </c>
      <c r="M41" s="97">
        <f>SUM(M7:M40)</f>
        <v>35</v>
      </c>
      <c r="N41" s="83"/>
      <c r="O41" s="97">
        <f>SUM(O7:O40)</f>
        <v>48</v>
      </c>
      <c r="P41" s="97">
        <f>SUM(P7:P40)</f>
        <v>54</v>
      </c>
    </row>
    <row r="42" spans="1:16" ht="14.25" customHeight="1" x14ac:dyDescent="0.45">
      <c r="L42" s="88">
        <f>L41/(M41+L41)</f>
        <v>0.5679012345679012</v>
      </c>
      <c r="O42" s="88">
        <f>O41/(P41+O41)</f>
        <v>0.47058823529411764</v>
      </c>
    </row>
    <row r="43" spans="1:16" ht="14.25" customHeight="1" x14ac:dyDescent="0.45">
      <c r="I43" s="89" t="str">
        <f>K43&amp;H3&amp;","&amp;I3&amp;","&amp;J3&amp;"],"</f>
        <v>"PartA":[96,89,33],</v>
      </c>
      <c r="K43" s="76" t="s">
        <v>135</v>
      </c>
      <c r="M43" s="76" t="s">
        <v>139</v>
      </c>
      <c r="O43" s="90">
        <f>ROUND((SUM('Stats Global'!AA8,'Stats Global'!AA9,'Stats Global'!AA16,'Stats Global'!AA21,'Stats Global'!AA22))/'Stats Global'!AA6,1)</f>
        <v>5.9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"PartB":[44,"Angus Walker",22,"Angus Walker",11,"William Kim",7,"Angus Walker"],</v>
      </c>
      <c r="K44" s="76" t="s">
        <v>136</v>
      </c>
      <c r="M44" s="91">
        <f>MAX(Table1114[Points])</f>
        <v>44</v>
      </c>
      <c r="N44" s="76" t="str">
        <f>IF(M44&lt;&gt;0,IF(M44=S4,R4,IF(M44=S5,R5,IF(S6=M44,R6,IF(S7=M44,R7,R8)))),"N/A")</f>
        <v>Angus Walker</v>
      </c>
      <c r="O44" s="90">
        <f>ROUND(SUM('Stats Global'!AC8,'Stats Global'!AC9,'Stats Global'!AC16,'Stats Global'!AC21,'Stats Global'!AC22)/'Stats Global'!AA6,1)</f>
        <v>3.2</v>
      </c>
    </row>
    <row r="45" spans="1:16" ht="14.25" customHeight="1" x14ac:dyDescent="0.45">
      <c r="I45" s="76" t="str">
        <f>K45&amp;O43&amp;","&amp;O44&amp;","&amp;O45&amp;","&amp;O46&amp;","&amp;O47&amp;","&amp;O48&amp;"],"</f>
        <v>"PartC":[5.9,3.2,1.5,0.6,5.3,4.9],</v>
      </c>
      <c r="K45" s="76" t="s">
        <v>137</v>
      </c>
      <c r="M45" s="91">
        <f>MAX(Table1114[Finishes])</f>
        <v>22</v>
      </c>
      <c r="N45" s="98" t="str">
        <f>IF(M45&lt;&gt;0,IF(M45=U4,R4,IF(M45=U5,R5,IF(U6=M45,R6,IF(U7=M45,R7,R8)))),"N/A")</f>
        <v>Angus Walker</v>
      </c>
      <c r="O45" s="90">
        <f>ROUND(SUM('Stats Global'!AE8,'Stats Global'!AE9,'Stats Global'!AE16,'Stats Global'!AE21,'Stats Global'!AE22)/'Stats Global'!AA6,1)</f>
        <v>1.5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"PartD":[46,35,56.8,48,54,47.1],</v>
      </c>
      <c r="K46" s="76" t="s">
        <v>138</v>
      </c>
      <c r="M46" s="91">
        <f>MAX(Table1114[Midranges])</f>
        <v>11</v>
      </c>
      <c r="N46" s="98" t="str">
        <f>IF(M46&lt;&gt;0,IF(M46=W4,R4,IF(M46=W5,R5,IF(W6=M46,R6,IF(W7=M46,R7,R8)))),"N/A")</f>
        <v>William Kim</v>
      </c>
      <c r="O46" s="90">
        <f>ROUND(SUM('Stats Global'!AG8,'Stats Global'!AG9,'Stats Global'!AG16,'Stats Global'!AG21,'Stats Global'!AG22)/'Stats Global'!AA6,1)</f>
        <v>0.6</v>
      </c>
    </row>
    <row r="47" spans="1:16" ht="14.25" customHeight="1" x14ac:dyDescent="0.45">
      <c r="M47" s="91">
        <f>MAX(Table1114[Threes])</f>
        <v>7</v>
      </c>
      <c r="N47" s="76" t="str">
        <f>IF(M47&lt;&gt;0,IF(M47=Y4,R4,IF(M47=Y5,R5,IF(Y6=M47,R6,IF(Y7=M47,R7,R8)))),"N/A")</f>
        <v>Angus Walker</v>
      </c>
      <c r="O47" s="76">
        <f>ROUND(H3/'Stats Global'!AA6,1)</f>
        <v>5.3</v>
      </c>
    </row>
    <row r="48" spans="1:16" ht="14.25" customHeight="1" x14ac:dyDescent="0.45">
      <c r="O48" s="76">
        <f>ROUND(I3/'Stats Global'!AA6,1)</f>
        <v>4.9000000000000004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conditionalFormatting sqref="AL3:AO14">
    <cfRule type="cellIs" dxfId="250" priority="1" operator="equal">
      <formula>AH3</formula>
    </cfRule>
    <cfRule type="cellIs" dxfId="249" priority="2" operator="lessThan">
      <formula>AH3</formula>
    </cfRule>
    <cfRule type="cellIs" dxfId="248" priority="3" operator="greaterThan">
      <formula>AH3</formula>
    </cfRule>
  </conditionalFormatting>
  <pageMargins left="0.7" right="0.7" top="0.75" bottom="0.75" header="0" footer="0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23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H2" s="81" t="s">
        <v>90</v>
      </c>
      <c r="I2" s="81" t="s">
        <v>91</v>
      </c>
      <c r="J2" s="56" t="s">
        <v>92</v>
      </c>
      <c r="L2" s="81" t="s">
        <v>87</v>
      </c>
      <c r="N2" s="56"/>
      <c r="O2" s="98" t="s">
        <v>192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70</v>
      </c>
      <c r="I3" s="81">
        <f>SUM(C7:C40)</f>
        <v>101</v>
      </c>
      <c r="J3" s="78">
        <f>SUM(D7:D40)</f>
        <v>31</v>
      </c>
      <c r="L3" s="81" t="s">
        <v>88</v>
      </c>
      <c r="M3" s="81" t="s">
        <v>89</v>
      </c>
      <c r="N3" s="78"/>
      <c r="O3" s="99" t="s">
        <v>4</v>
      </c>
      <c r="P3" s="100" t="s">
        <v>0</v>
      </c>
      <c r="Q3" s="100" t="s">
        <v>85</v>
      </c>
      <c r="R3" s="101" t="s">
        <v>1</v>
      </c>
      <c r="S3" s="102" t="s">
        <v>80</v>
      </c>
      <c r="T3" s="102" t="s">
        <v>2</v>
      </c>
      <c r="U3" s="102" t="s">
        <v>117</v>
      </c>
      <c r="V3" s="101" t="s">
        <v>3</v>
      </c>
      <c r="W3" s="102" t="s">
        <v>118</v>
      </c>
      <c r="X3" s="102" t="s">
        <v>120</v>
      </c>
    </row>
    <row r="4" spans="1:24" ht="14.25" customHeight="1" x14ac:dyDescent="0.45">
      <c r="A4" s="116" t="str">
        <f>'Stats Global'!B5</f>
        <v>11-July</v>
      </c>
      <c r="B4" s="117">
        <f>'Stats Global'!I5</f>
        <v>0</v>
      </c>
      <c r="C4" s="117">
        <f>'Stats Global'!J5+'Stats Global'!K5</f>
        <v>8</v>
      </c>
      <c r="D4" s="117">
        <f>'Stats Global'!P5</f>
        <v>1</v>
      </c>
      <c r="E4" s="118" t="s">
        <v>207</v>
      </c>
      <c r="F4" s="118" t="s">
        <v>207</v>
      </c>
      <c r="L4" s="119">
        <f>'Stats Global'!N5</f>
        <v>0</v>
      </c>
      <c r="M4" s="119">
        <f>'Stats Global'!K5</f>
        <v>6</v>
      </c>
      <c r="N4" s="85"/>
      <c r="O4" s="83" t="s">
        <v>35</v>
      </c>
      <c r="P4" s="93">
        <f>'Stats Global'!AA11</f>
        <v>16</v>
      </c>
      <c r="Q4" s="93">
        <f>'Stats Global'!AB11</f>
        <v>1.2307692307692308</v>
      </c>
      <c r="R4" s="93">
        <f>'Stats Global'!AC11</f>
        <v>16</v>
      </c>
      <c r="S4" s="93">
        <f>'Stats Global'!AD11</f>
        <v>1.2307692307692308</v>
      </c>
      <c r="T4" s="93">
        <f>'Stats Global'!AE11</f>
        <v>0</v>
      </c>
      <c r="U4" s="93">
        <f>'Stats Global'!AF11</f>
        <v>0</v>
      </c>
      <c r="V4" s="93">
        <f>'Stats Global'!AG11</f>
        <v>0</v>
      </c>
      <c r="W4" s="93">
        <f>'Stats Global'!AH11</f>
        <v>0</v>
      </c>
      <c r="X4" s="93">
        <f>'Stats Global'!AJ11</f>
        <v>5</v>
      </c>
    </row>
    <row r="5" spans="1:24" ht="14.25" customHeight="1" x14ac:dyDescent="0.45">
      <c r="A5" s="116" t="str">
        <f>'Stats Global'!B6</f>
        <v>12-July</v>
      </c>
      <c r="B5" s="117">
        <f>'Stats Global'!I6</f>
        <v>2</v>
      </c>
      <c r="C5" s="117">
        <f>'Stats Global'!J6+'Stats Global'!K6</f>
        <v>12</v>
      </c>
      <c r="D5" s="117">
        <f>'Stats Global'!P6</f>
        <v>1</v>
      </c>
      <c r="E5" s="118" t="s">
        <v>42</v>
      </c>
      <c r="F5" s="118" t="s">
        <v>52</v>
      </c>
      <c r="J5" s="83"/>
      <c r="L5" s="119">
        <f>'Stats Global'!N6</f>
        <v>1</v>
      </c>
      <c r="M5" s="119">
        <f>'Stats Global'!K6</f>
        <v>8</v>
      </c>
      <c r="N5" s="85"/>
      <c r="O5" s="83" t="s">
        <v>37</v>
      </c>
      <c r="P5" s="93">
        <f>'Stats Global'!AA12</f>
        <v>19</v>
      </c>
      <c r="Q5" s="93">
        <f>'Stats Global'!AB12</f>
        <v>1.1875</v>
      </c>
      <c r="R5" s="93">
        <f>'Stats Global'!AC12</f>
        <v>8</v>
      </c>
      <c r="S5" s="93">
        <f>'Stats Global'!AD12</f>
        <v>0.5</v>
      </c>
      <c r="T5" s="93">
        <f>'Stats Global'!AE12</f>
        <v>7</v>
      </c>
      <c r="U5" s="93">
        <f>'Stats Global'!AF12</f>
        <v>0.4375</v>
      </c>
      <c r="V5" s="93">
        <f>'Stats Global'!AG12</f>
        <v>2</v>
      </c>
      <c r="W5" s="93">
        <f>'Stats Global'!AH12</f>
        <v>0.125</v>
      </c>
      <c r="X5" s="93">
        <f>'Stats Global'!AJ12</f>
        <v>2</v>
      </c>
    </row>
    <row r="6" spans="1:24" ht="14.25" customHeight="1" x14ac:dyDescent="0.45">
      <c r="A6" s="116" t="str">
        <f>'Stats Global'!B7</f>
        <v>13-July</v>
      </c>
      <c r="B6" s="117">
        <f>'Stats Global'!I7</f>
        <v>4</v>
      </c>
      <c r="C6" s="117">
        <f>'Stats Global'!J7+'Stats Global'!K7</f>
        <v>5</v>
      </c>
      <c r="D6" s="117">
        <f>'Stats Global'!P7</f>
        <v>2</v>
      </c>
      <c r="E6" s="118" t="s">
        <v>214</v>
      </c>
      <c r="F6" s="118" t="s">
        <v>215</v>
      </c>
      <c r="I6" s="81"/>
      <c r="J6" s="83"/>
      <c r="L6" s="119">
        <f>'Stats Global'!N7</f>
        <v>2</v>
      </c>
      <c r="M6" s="119">
        <f>'Stats Global'!K7</f>
        <v>1</v>
      </c>
      <c r="N6" s="85"/>
      <c r="O6" s="83" t="s">
        <v>55</v>
      </c>
      <c r="P6" s="93">
        <f>'Stats Global'!AA20</f>
        <v>12</v>
      </c>
      <c r="Q6" s="93">
        <f>'Stats Global'!AB20</f>
        <v>0.8</v>
      </c>
      <c r="R6" s="93">
        <f>'Stats Global'!AC20</f>
        <v>9</v>
      </c>
      <c r="S6" s="93">
        <f>'Stats Global'!AD20</f>
        <v>0.6</v>
      </c>
      <c r="T6" s="93">
        <f>'Stats Global'!AE20</f>
        <v>1</v>
      </c>
      <c r="U6" s="93">
        <f>'Stats Global'!AF20</f>
        <v>6.6666666666666666E-2</v>
      </c>
      <c r="V6" s="93">
        <f>'Stats Global'!AG20</f>
        <v>1</v>
      </c>
      <c r="W6" s="93">
        <f>'Stats Global'!AH20</f>
        <v>6.6666666666666666E-2</v>
      </c>
      <c r="X6" s="93">
        <f>'Stats Global'!AJ20</f>
        <v>3</v>
      </c>
    </row>
    <row r="7" spans="1:24" ht="14.25" customHeight="1" x14ac:dyDescent="0.45">
      <c r="A7" s="75" t="str">
        <f>'Stats Global'!B8</f>
        <v>17-July</v>
      </c>
      <c r="B7" s="82">
        <f>'Stats Global'!I8</f>
        <v>2</v>
      </c>
      <c r="C7" s="82">
        <f>'Stats Global'!J8+'Stats Global'!K8</f>
        <v>5</v>
      </c>
      <c r="D7" s="82">
        <f>'Stats Global'!P8</f>
        <v>1</v>
      </c>
      <c r="E7" s="80" t="s">
        <v>207</v>
      </c>
      <c r="F7" s="80" t="s">
        <v>52</v>
      </c>
      <c r="I7" s="81"/>
      <c r="J7" s="83"/>
      <c r="L7" s="84">
        <f>'Stats Global'!N8</f>
        <v>2</v>
      </c>
      <c r="M7" s="84">
        <f>'Stats Global'!K8</f>
        <v>0</v>
      </c>
      <c r="N7" s="85"/>
      <c r="O7" s="83" t="s">
        <v>52</v>
      </c>
      <c r="P7" s="93">
        <f>'Stats Global'!AA18</f>
        <v>10</v>
      </c>
      <c r="Q7" s="93">
        <f>'Stats Global'!AB18</f>
        <v>0.55555555555555558</v>
      </c>
      <c r="R7" s="93">
        <f>'Stats Global'!AC18</f>
        <v>2</v>
      </c>
      <c r="S7" s="93">
        <f>'Stats Global'!AD18</f>
        <v>0.1111111111111111</v>
      </c>
      <c r="T7" s="93">
        <f>'Stats Global'!AE18</f>
        <v>8</v>
      </c>
      <c r="U7" s="93">
        <f>'Stats Global'!AF18</f>
        <v>0.44444444444444442</v>
      </c>
      <c r="V7" s="93">
        <f>'Stats Global'!AG18</f>
        <v>0</v>
      </c>
      <c r="W7" s="93">
        <f>'Stats Global'!AH18</f>
        <v>0</v>
      </c>
      <c r="X7" s="93">
        <f>'Stats Global'!AJ18</f>
        <v>0</v>
      </c>
    </row>
    <row r="8" spans="1:24" ht="14.25" customHeight="1" x14ac:dyDescent="0.45">
      <c r="A8" s="75" t="str">
        <f>'Stats Global'!B9</f>
        <v>18-July</v>
      </c>
      <c r="B8" s="82">
        <f>'Stats Global'!I9</f>
        <v>1</v>
      </c>
      <c r="C8" s="82">
        <f>'Stats Global'!J9+'Stats Global'!K9</f>
        <v>7</v>
      </c>
      <c r="D8" s="82">
        <f>'Stats Global'!P9</f>
        <v>1</v>
      </c>
      <c r="E8" s="80" t="s">
        <v>52</v>
      </c>
      <c r="F8" s="80" t="s">
        <v>207</v>
      </c>
      <c r="I8" s="81"/>
      <c r="J8" s="83"/>
      <c r="L8" s="84">
        <f>'Stats Global'!N9</f>
        <v>0</v>
      </c>
      <c r="M8" s="84">
        <f>'Stats Global'!K9</f>
        <v>1</v>
      </c>
      <c r="N8" s="85"/>
      <c r="O8" s="83"/>
      <c r="P8" s="93"/>
      <c r="Q8" s="93"/>
      <c r="R8" s="93"/>
      <c r="S8" s="93"/>
      <c r="T8" s="93"/>
      <c r="U8" s="93"/>
      <c r="V8" s="93"/>
      <c r="W8" s="93"/>
      <c r="X8" s="93"/>
    </row>
    <row r="9" spans="1:24" ht="14.25" customHeight="1" x14ac:dyDescent="0.45">
      <c r="A9" s="75" t="str">
        <f>'Stats Global'!B10</f>
        <v>19-July</v>
      </c>
      <c r="B9" s="82">
        <f>'Stats Global'!I10</f>
        <v>0</v>
      </c>
      <c r="C9" s="82">
        <f>'Stats Global'!J10+'Stats Global'!K10</f>
        <v>8</v>
      </c>
      <c r="D9" s="82">
        <f>'Stats Global'!P10</f>
        <v>1</v>
      </c>
      <c r="E9" s="80" t="s">
        <v>207</v>
      </c>
      <c r="F9" s="80" t="s">
        <v>207</v>
      </c>
      <c r="I9" s="81"/>
      <c r="J9" s="83"/>
      <c r="L9" s="84">
        <f>'Stats Global'!N10</f>
        <v>0</v>
      </c>
      <c r="M9" s="84">
        <f>'Stats Global'!K10</f>
        <v>0</v>
      </c>
      <c r="N9" s="85"/>
      <c r="O9" s="83" t="s">
        <v>44</v>
      </c>
      <c r="P9" s="110">
        <f>'Stats Global'!AA15</f>
        <v>17</v>
      </c>
      <c r="Q9" s="110">
        <f>'Stats Global'!AB15</f>
        <v>1.4166666666666667</v>
      </c>
      <c r="R9" s="110">
        <f>'Stats Global'!AC15</f>
        <v>1</v>
      </c>
      <c r="S9" s="110">
        <f>'Stats Global'!AD15</f>
        <v>8.3333333333333329E-2</v>
      </c>
      <c r="T9" s="110">
        <f>'Stats Global'!AE15</f>
        <v>2</v>
      </c>
      <c r="U9" s="110">
        <f>'Stats Global'!AF15</f>
        <v>0.16666666666666666</v>
      </c>
      <c r="V9" s="110">
        <f>'Stats Global'!AG15</f>
        <v>7</v>
      </c>
      <c r="W9" s="110">
        <f>'Stats Global'!AH15</f>
        <v>0.58333333333333337</v>
      </c>
      <c r="X9" s="110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2">
        <f>'Stats Global'!I11</f>
        <v>6</v>
      </c>
      <c r="C10" s="82">
        <f>'Stats Global'!J11+'Stats Global'!K11</f>
        <v>3</v>
      </c>
      <c r="D10" s="82">
        <f>'Stats Global'!P11</f>
        <v>3</v>
      </c>
      <c r="E10" s="80" t="s">
        <v>237</v>
      </c>
      <c r="F10" s="80" t="s">
        <v>35</v>
      </c>
      <c r="I10" s="81"/>
      <c r="J10" s="83"/>
      <c r="L10" s="84">
        <f>'Stats Global'!N11</f>
        <v>3</v>
      </c>
      <c r="M10" s="84">
        <f>'Stats Global'!K11</f>
        <v>1</v>
      </c>
      <c r="N10" s="85"/>
      <c r="O10" s="83" t="s">
        <v>67</v>
      </c>
      <c r="P10" s="110">
        <f>'Stats Global'!AA24</f>
        <v>6</v>
      </c>
      <c r="Q10" s="110">
        <f>'Stats Global'!AB24</f>
        <v>0.5</v>
      </c>
      <c r="R10" s="110">
        <f>'Stats Global'!AC24</f>
        <v>4</v>
      </c>
      <c r="S10" s="110">
        <f>'Stats Global'!AD24</f>
        <v>0.33333333333333331</v>
      </c>
      <c r="T10" s="110">
        <f>'Stats Global'!AE24</f>
        <v>0</v>
      </c>
      <c r="U10" s="110">
        <f>'Stats Global'!AF24</f>
        <v>0</v>
      </c>
      <c r="V10" s="110">
        <f>'Stats Global'!AG24</f>
        <v>1</v>
      </c>
      <c r="W10" s="110">
        <f>'Stats Global'!AH24</f>
        <v>8.3333333333333329E-2</v>
      </c>
      <c r="X10" s="110">
        <f>'Stats Global'!AJ24</f>
        <v>6</v>
      </c>
    </row>
    <row r="11" spans="1:24" ht="14.25" customHeight="1" x14ac:dyDescent="0.45">
      <c r="A11" s="75" t="str">
        <f>'Stats Global'!B12</f>
        <v>24-July</v>
      </c>
      <c r="B11" s="82">
        <f>'Stats Global'!I12</f>
        <v>1</v>
      </c>
      <c r="C11" s="82">
        <f>'Stats Global'!J12+'Stats Global'!K12</f>
        <v>5</v>
      </c>
      <c r="D11" s="82">
        <f>'Stats Global'!P12</f>
        <v>1</v>
      </c>
      <c r="E11" s="80" t="s">
        <v>207</v>
      </c>
      <c r="F11" s="80" t="s">
        <v>37</v>
      </c>
      <c r="I11" s="81"/>
      <c r="J11" s="83"/>
      <c r="L11" s="84">
        <f>'Stats Global'!N12</f>
        <v>1</v>
      </c>
      <c r="M11" s="84">
        <f>'Stats Global'!K12</f>
        <v>4</v>
      </c>
      <c r="N11" s="85"/>
      <c r="O11" s="83"/>
      <c r="P11" s="56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Global'!I13</f>
        <v>3</v>
      </c>
      <c r="C12" s="82">
        <f>'Stats Global'!J13+'Stats Global'!K13</f>
        <v>7</v>
      </c>
      <c r="D12" s="82">
        <f>'Stats Global'!P13</f>
        <v>1</v>
      </c>
      <c r="E12" s="80" t="s">
        <v>243</v>
      </c>
      <c r="F12" s="80" t="s">
        <v>202</v>
      </c>
      <c r="I12" s="81"/>
      <c r="J12" s="83"/>
      <c r="L12" s="84">
        <f>'Stats Global'!N13</f>
        <v>1</v>
      </c>
      <c r="M12" s="84">
        <f>'Stats Global'!K13</f>
        <v>5</v>
      </c>
      <c r="N12" s="85"/>
      <c r="O12" s="83"/>
      <c r="P12" s="56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Global'!I14</f>
        <v>3</v>
      </c>
      <c r="C13" s="82">
        <f>'Stats Global'!J14+'Stats Global'!K14</f>
        <v>6</v>
      </c>
      <c r="D13" s="82">
        <f>'Stats Global'!P14</f>
        <v>1</v>
      </c>
      <c r="E13" s="80" t="s">
        <v>35</v>
      </c>
      <c r="F13" s="80" t="s">
        <v>52</v>
      </c>
      <c r="I13" s="81"/>
      <c r="J13" s="83"/>
      <c r="L13" s="84">
        <f>'Stats Global'!N14</f>
        <v>2</v>
      </c>
      <c r="M13" s="84">
        <f>'Stats Global'!K14</f>
        <v>4</v>
      </c>
      <c r="N13" s="85"/>
      <c r="O13" s="83"/>
      <c r="P13" s="56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Global'!I15</f>
        <v>4</v>
      </c>
      <c r="C14" s="82">
        <f>'Stats Global'!J15+'Stats Global'!K15</f>
        <v>6</v>
      </c>
      <c r="D14" s="82">
        <f>'Stats Global'!P15</f>
        <v>2</v>
      </c>
      <c r="E14" s="80" t="s">
        <v>257</v>
      </c>
      <c r="F14" s="80" t="s">
        <v>37</v>
      </c>
      <c r="J14" s="83"/>
      <c r="L14" s="84">
        <f>'Stats Global'!N15</f>
        <v>2</v>
      </c>
      <c r="M14" s="84">
        <f>'Stats Global'!K15</f>
        <v>2</v>
      </c>
      <c r="N14" s="85"/>
      <c r="O14" s="83"/>
      <c r="P14" s="56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Global'!I16</f>
        <v>6</v>
      </c>
      <c r="C15" s="82">
        <f>'Stats Global'!J16+'Stats Global'!K16</f>
        <v>4</v>
      </c>
      <c r="D15" s="82">
        <f>'Stats Global'!P16</f>
        <v>3</v>
      </c>
      <c r="E15" s="80" t="s">
        <v>37</v>
      </c>
      <c r="F15" s="80" t="s">
        <v>55</v>
      </c>
      <c r="J15" s="83"/>
      <c r="L15" s="84">
        <f>'Stats Global'!N16</f>
        <v>3</v>
      </c>
      <c r="M15" s="84">
        <f>'Stats Global'!K16</f>
        <v>3</v>
      </c>
      <c r="N15" s="85"/>
      <c r="O15" s="83"/>
      <c r="P15" s="56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Global'!I17</f>
        <v>10</v>
      </c>
      <c r="C16" s="82">
        <f>'Stats Global'!J17+'Stats Global'!K17</f>
        <v>8</v>
      </c>
      <c r="D16" s="82">
        <f>'Stats Global'!P17</f>
        <v>2</v>
      </c>
      <c r="E16" s="80" t="s">
        <v>67</v>
      </c>
      <c r="F16" s="80" t="s">
        <v>44</v>
      </c>
      <c r="J16" s="83"/>
      <c r="L16" s="84">
        <f>'Stats Global'!N17</f>
        <v>7</v>
      </c>
      <c r="M16" s="84">
        <f>'Stats Global'!K17</f>
        <v>4</v>
      </c>
      <c r="N16" s="85"/>
      <c r="O16" s="83"/>
      <c r="P16" s="56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Global'!I18</f>
        <v>3</v>
      </c>
      <c r="C17" s="82">
        <f>'Stats Global'!J18+'Stats Global'!K18</f>
        <v>3</v>
      </c>
      <c r="D17" s="82">
        <f>'Stats Global'!P18</f>
        <v>2</v>
      </c>
      <c r="E17" s="146" t="s">
        <v>266</v>
      </c>
      <c r="F17" s="146" t="s">
        <v>55</v>
      </c>
      <c r="J17" s="83"/>
      <c r="L17" s="84">
        <f>'Stats Global'!N18</f>
        <v>1</v>
      </c>
      <c r="M17" s="84">
        <f>'Stats Global'!K18</f>
        <v>0</v>
      </c>
      <c r="N17" s="83"/>
      <c r="O17" s="83"/>
      <c r="P17" s="56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Global'!I19</f>
        <v>1</v>
      </c>
      <c r="C18" s="82">
        <f>'Stats Global'!J19+'Stats Global'!K19</f>
        <v>9</v>
      </c>
      <c r="D18" s="82">
        <f>'Stats Global'!P19</f>
        <v>2</v>
      </c>
      <c r="E18" s="148" t="s">
        <v>207</v>
      </c>
      <c r="F18" s="148" t="s">
        <v>35</v>
      </c>
      <c r="J18" s="83"/>
      <c r="L18" s="84">
        <f>'Stats Global'!N19</f>
        <v>0</v>
      </c>
      <c r="M18" s="84">
        <f>'Stats Global'!K19</f>
        <v>9</v>
      </c>
      <c r="N18" s="83"/>
      <c r="O18" s="83"/>
      <c r="P18" s="56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Global'!I20</f>
        <v>2</v>
      </c>
      <c r="C19" s="82">
        <f>'Stats Global'!J20+'Stats Global'!K20</f>
        <v>5</v>
      </c>
      <c r="D19" s="82">
        <f>'Stats Global'!P20</f>
        <v>1</v>
      </c>
      <c r="E19" s="151" t="s">
        <v>37</v>
      </c>
      <c r="F19" s="151" t="s">
        <v>37</v>
      </c>
      <c r="J19" s="83"/>
      <c r="L19" s="84">
        <f>'Stats Global'!N20</f>
        <v>1</v>
      </c>
      <c r="M19" s="84">
        <f>'Stats Global'!K20</f>
        <v>4</v>
      </c>
      <c r="N19" s="83"/>
      <c r="O19" s="83"/>
      <c r="P19" s="56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Global'!I21</f>
        <v>12</v>
      </c>
      <c r="C20" s="82">
        <f>'Stats Global'!J21+'Stats Global'!K21</f>
        <v>4</v>
      </c>
      <c r="D20" s="82">
        <f>'Stats Global'!P21</f>
        <v>3</v>
      </c>
      <c r="E20" s="173" t="s">
        <v>44</v>
      </c>
      <c r="F20" s="173" t="s">
        <v>35</v>
      </c>
      <c r="J20" s="83"/>
      <c r="L20" s="84">
        <f>'Stats Global'!N21</f>
        <v>6</v>
      </c>
      <c r="M20" s="84">
        <f>'Stats Global'!K21</f>
        <v>0</v>
      </c>
      <c r="N20" s="83"/>
      <c r="O20" s="83"/>
      <c r="P20" s="56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Global'!I22</f>
        <v>4</v>
      </c>
      <c r="C21" s="82">
        <f>'Stats Global'!J22+'Stats Global'!K22</f>
        <v>5</v>
      </c>
      <c r="D21" s="82">
        <f>'Stats Global'!P22</f>
        <v>2</v>
      </c>
      <c r="E21" s="80" t="s">
        <v>44</v>
      </c>
      <c r="F21" s="80" t="s">
        <v>44</v>
      </c>
      <c r="J21" s="83"/>
      <c r="L21" s="84">
        <f>'Stats Global'!N22</f>
        <v>2</v>
      </c>
      <c r="M21" s="84">
        <f>'Stats Global'!K22</f>
        <v>4</v>
      </c>
      <c r="N21" s="83"/>
      <c r="O21" s="83"/>
      <c r="P21" s="56"/>
      <c r="W21" s="83"/>
      <c r="X21" s="83"/>
    </row>
    <row r="22" spans="1:24" ht="14.25" customHeight="1" x14ac:dyDescent="0.45">
      <c r="A22" s="75" t="str">
        <f>'Stats Global'!B23</f>
        <v>15-August</v>
      </c>
      <c r="B22" s="82">
        <f>'Stats Global'!I23</f>
        <v>5</v>
      </c>
      <c r="C22" s="82">
        <f>'Stats Global'!J23+'Stats Global'!K23</f>
        <v>12</v>
      </c>
      <c r="D22" s="82">
        <f>'Stats Global'!P23</f>
        <v>2</v>
      </c>
      <c r="E22" s="80" t="s">
        <v>52</v>
      </c>
      <c r="F22" s="80" t="s">
        <v>207</v>
      </c>
      <c r="J22" s="83"/>
      <c r="L22" s="84">
        <f>'Stats Global'!N23</f>
        <v>0</v>
      </c>
      <c r="M22" s="84">
        <f>'Stats Global'!K23</f>
        <v>12</v>
      </c>
      <c r="N22" s="83"/>
      <c r="O22" s="83"/>
      <c r="P22" s="56"/>
      <c r="W22" s="83"/>
      <c r="X22" s="83"/>
    </row>
    <row r="23" spans="1:24" ht="14.25" customHeight="1" x14ac:dyDescent="0.45">
      <c r="A23" s="75" t="str">
        <f>'Stats Global'!B24</f>
        <v>17-August</v>
      </c>
      <c r="B23" s="82">
        <f>'Stats Global'!I24</f>
        <v>7</v>
      </c>
      <c r="C23" s="82">
        <f>'Stats Global'!J24+'Stats Global'!K24</f>
        <v>4</v>
      </c>
      <c r="D23" s="82">
        <f>'Stats Global'!P24</f>
        <v>3</v>
      </c>
      <c r="E23" s="185" t="s">
        <v>35</v>
      </c>
      <c r="F23" s="186" t="s">
        <v>35</v>
      </c>
      <c r="H23" s="87"/>
      <c r="J23" s="83"/>
      <c r="L23" s="84">
        <f>'Stats Global'!N24</f>
        <v>4</v>
      </c>
      <c r="M23" s="84">
        <f>'Stats Global'!K24</f>
        <v>2</v>
      </c>
      <c r="N23" s="83"/>
      <c r="O23" s="83"/>
      <c r="P23" s="56"/>
      <c r="W23" s="83"/>
      <c r="X23" s="83"/>
    </row>
    <row r="24" spans="1:24" ht="14.25" customHeight="1" x14ac:dyDescent="0.45">
      <c r="A24" s="75" t="str">
        <f>'Stats Global'!B25</f>
        <v>21-August</v>
      </c>
      <c r="B24" s="82">
        <f>'Stats Global'!I25</f>
        <v>0</v>
      </c>
      <c r="C24" s="82">
        <f>'Stats Global'!J25+'Stats Global'!K25</f>
        <v>0</v>
      </c>
      <c r="D24" s="82">
        <f>'Stats Global'!P25</f>
        <v>0</v>
      </c>
      <c r="E24" s="86"/>
      <c r="F24" s="80"/>
      <c r="H24" s="87"/>
      <c r="J24" s="83"/>
      <c r="L24" s="84">
        <f>'Stats Global'!N25</f>
        <v>0</v>
      </c>
      <c r="M24" s="84">
        <f>'Stats Global'!K25</f>
        <v>0</v>
      </c>
      <c r="N24" s="83"/>
      <c r="O24" s="83"/>
      <c r="P24" s="56"/>
      <c r="W24" s="83"/>
      <c r="X24" s="83"/>
    </row>
    <row r="25" spans="1:24" ht="14.25" customHeight="1" x14ac:dyDescent="0.45">
      <c r="A25" s="75">
        <f>'Stats Global'!B26</f>
        <v>0</v>
      </c>
      <c r="B25" s="82">
        <f>'Stats Global'!I26</f>
        <v>0</v>
      </c>
      <c r="C25" s="82">
        <f>'Stats Global'!J26+'Stats Global'!K26</f>
        <v>0</v>
      </c>
      <c r="D25" s="82">
        <f>'Stats Global'!P26</f>
        <v>0</v>
      </c>
      <c r="E25" s="86"/>
      <c r="F25" s="80"/>
      <c r="H25" s="87"/>
      <c r="J25" s="83"/>
      <c r="L25" s="84">
        <f>'Stats Global'!N26</f>
        <v>0</v>
      </c>
      <c r="M25" s="84">
        <f>'Stats Global'!K26</f>
        <v>0</v>
      </c>
      <c r="N25" s="83"/>
      <c r="O25" s="83"/>
      <c r="P25" s="56"/>
      <c r="W25" s="83"/>
      <c r="X25" s="83"/>
    </row>
    <row r="26" spans="1:24" ht="14.25" customHeight="1" x14ac:dyDescent="0.45">
      <c r="A26" s="75">
        <f>'Stats Global'!B27</f>
        <v>0</v>
      </c>
      <c r="B26" s="82">
        <f>'Stats Global'!I27</f>
        <v>0</v>
      </c>
      <c r="C26" s="82">
        <f>'Stats Global'!J27+'Stats Global'!K27</f>
        <v>0</v>
      </c>
      <c r="D26" s="82">
        <f>'Stats Global'!P27</f>
        <v>0</v>
      </c>
      <c r="E26" s="80"/>
      <c r="F26" s="80"/>
      <c r="J26" s="83"/>
      <c r="L26" s="84">
        <f>'Stats Global'!N27</f>
        <v>0</v>
      </c>
      <c r="M26" s="84">
        <f>'Stats Global'!K27</f>
        <v>0</v>
      </c>
      <c r="N26" s="83"/>
      <c r="O26" s="83"/>
      <c r="P26" s="56"/>
      <c r="W26" s="83"/>
      <c r="X26" s="83"/>
    </row>
    <row r="27" spans="1:24" ht="14.25" customHeight="1" x14ac:dyDescent="0.45">
      <c r="A27" s="75">
        <f>'Stats Global'!B28</f>
        <v>0</v>
      </c>
      <c r="B27" s="82">
        <f>'Stats Global'!I28</f>
        <v>0</v>
      </c>
      <c r="C27" s="82">
        <f>'Stats Global'!J28+'Stats Global'!K28</f>
        <v>0</v>
      </c>
      <c r="D27" s="82">
        <f>'Stats Global'!P28</f>
        <v>0</v>
      </c>
      <c r="E27" s="80"/>
      <c r="F27" s="80"/>
      <c r="J27" s="83"/>
      <c r="L27" s="84">
        <f>'Stats Global'!N28</f>
        <v>0</v>
      </c>
      <c r="M27" s="84">
        <f>'Stats Global'!K28</f>
        <v>0</v>
      </c>
      <c r="N27" s="83"/>
      <c r="O27" s="83"/>
      <c r="P27" s="56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Global'!I29</f>
        <v>0</v>
      </c>
      <c r="C28" s="82">
        <f>'Stats Global'!J29+'Stats Global'!K29</f>
        <v>0</v>
      </c>
      <c r="D28" s="82">
        <f>'Stats Global'!P29</f>
        <v>0</v>
      </c>
      <c r="E28" s="80"/>
      <c r="F28" s="80"/>
      <c r="J28" s="83"/>
      <c r="L28" s="84">
        <f>'Stats Global'!N29</f>
        <v>0</v>
      </c>
      <c r="M28" s="84">
        <f>'Stats Global'!K29</f>
        <v>0</v>
      </c>
      <c r="N28" s="83"/>
      <c r="O28" s="83"/>
      <c r="P28" s="56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Global'!I30</f>
        <v>0</v>
      </c>
      <c r="C29" s="82">
        <f>'Stats Global'!J30+'Stats Global'!K30</f>
        <v>0</v>
      </c>
      <c r="D29" s="82">
        <f>'Stats Global'!P30</f>
        <v>0</v>
      </c>
      <c r="E29" s="80"/>
      <c r="F29" s="80"/>
      <c r="J29" s="83"/>
      <c r="L29" s="84">
        <f>'Stats Global'!N30</f>
        <v>0</v>
      </c>
      <c r="M29" s="84">
        <f>'Stats Global'!K30</f>
        <v>0</v>
      </c>
      <c r="N29" s="83"/>
      <c r="O29" s="83"/>
      <c r="P29" s="56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Global'!I31</f>
        <v>0</v>
      </c>
      <c r="C30" s="82">
        <f>'Stats Global'!J31+'Stats Global'!K31</f>
        <v>0</v>
      </c>
      <c r="D30" s="82">
        <f>'Stats Global'!P31</f>
        <v>0</v>
      </c>
      <c r="E30" s="80"/>
      <c r="F30" s="80"/>
      <c r="L30" s="84">
        <f>'Stats Global'!N31</f>
        <v>0</v>
      </c>
      <c r="M30" s="84">
        <f>'Stats Global'!K31</f>
        <v>0</v>
      </c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Global'!I32</f>
        <v>0</v>
      </c>
      <c r="C31" s="82">
        <f>'Stats Global'!J32+'Stats Global'!K32</f>
        <v>0</v>
      </c>
      <c r="D31" s="82">
        <f>'Stats Global'!P32</f>
        <v>0</v>
      </c>
      <c r="E31" s="80"/>
      <c r="F31" s="80"/>
      <c r="L31" s="84">
        <f>'Stats Global'!N32</f>
        <v>0</v>
      </c>
      <c r="M31" s="84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Global'!I33</f>
        <v>0</v>
      </c>
      <c r="C32" s="82">
        <f>'Stats Global'!J33+'Stats Global'!K33</f>
        <v>0</v>
      </c>
      <c r="D32" s="82">
        <f>'Stats Global'!P33</f>
        <v>0</v>
      </c>
      <c r="E32" s="80"/>
      <c r="F32" s="80"/>
      <c r="L32" s="84">
        <f>'Stats Global'!N33</f>
        <v>0</v>
      </c>
      <c r="M32" s="84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2">
        <f>'Stats Global'!I34</f>
        <v>0</v>
      </c>
      <c r="C33" s="82">
        <f>'Stats Global'!J34+'Stats Global'!K34</f>
        <v>0</v>
      </c>
      <c r="D33" s="82">
        <f>'Stats Global'!P34</f>
        <v>0</v>
      </c>
      <c r="E33" s="80"/>
      <c r="F33" s="80"/>
      <c r="L33" s="84">
        <f>'Stats Global'!N34</f>
        <v>0</v>
      </c>
      <c r="M33" s="84">
        <f>'Stats Global'!K34</f>
        <v>0</v>
      </c>
    </row>
    <row r="34" spans="1:16" ht="14.25" customHeight="1" x14ac:dyDescent="0.45">
      <c r="A34" s="75">
        <f>'Stats Global'!B35</f>
        <v>0</v>
      </c>
      <c r="B34" s="82">
        <f>'Stats Global'!I35</f>
        <v>0</v>
      </c>
      <c r="C34" s="82">
        <f>'Stats Global'!J35+'Stats Global'!K35</f>
        <v>0</v>
      </c>
      <c r="D34" s="82">
        <f>'Stats Global'!P35</f>
        <v>0</v>
      </c>
      <c r="E34" s="80"/>
      <c r="F34" s="80"/>
      <c r="L34" s="84">
        <f>'Stats Global'!N35</f>
        <v>0</v>
      </c>
      <c r="M34" s="84">
        <f>'Stats Global'!K35</f>
        <v>0</v>
      </c>
    </row>
    <row r="35" spans="1:16" ht="14.25" customHeight="1" x14ac:dyDescent="0.45">
      <c r="A35" s="75">
        <f>'Stats Global'!B36</f>
        <v>0</v>
      </c>
      <c r="B35" s="82">
        <f>'Stats Global'!I36</f>
        <v>0</v>
      </c>
      <c r="C35" s="82">
        <f>'Stats Global'!J36+'Stats Global'!K36</f>
        <v>0</v>
      </c>
      <c r="D35" s="82">
        <f>'Stats Global'!P36</f>
        <v>0</v>
      </c>
      <c r="E35" s="80"/>
      <c r="F35" s="80"/>
      <c r="L35" s="84">
        <f>'Stats Global'!N36</f>
        <v>0</v>
      </c>
      <c r="M35" s="84">
        <f>'Stats Global'!K36</f>
        <v>0</v>
      </c>
    </row>
    <row r="36" spans="1:16" ht="14.25" customHeight="1" x14ac:dyDescent="0.45">
      <c r="A36" s="75">
        <f>'Stats Global'!B37</f>
        <v>0</v>
      </c>
      <c r="B36" s="82">
        <f>'Stats Global'!I37</f>
        <v>0</v>
      </c>
      <c r="C36" s="82">
        <f>'Stats Global'!J37+'Stats Global'!K37</f>
        <v>0</v>
      </c>
      <c r="D36" s="82">
        <f>'Stats Global'!P37</f>
        <v>0</v>
      </c>
      <c r="E36" s="80"/>
      <c r="F36" s="80"/>
      <c r="L36" s="84">
        <f>'Stats Global'!N37</f>
        <v>0</v>
      </c>
      <c r="M36" s="84">
        <f>'Stats Global'!K37</f>
        <v>0</v>
      </c>
    </row>
    <row r="37" spans="1:16" ht="14.25" customHeight="1" x14ac:dyDescent="0.45">
      <c r="A37" s="75">
        <f>'Stats Global'!B38</f>
        <v>0</v>
      </c>
      <c r="B37" s="82">
        <f>'Stats Global'!I38</f>
        <v>0</v>
      </c>
      <c r="C37" s="82">
        <f>'Stats Global'!J38+'Stats Global'!K38</f>
        <v>0</v>
      </c>
      <c r="D37" s="82">
        <f>'Stats Global'!P38</f>
        <v>0</v>
      </c>
      <c r="E37" s="80"/>
      <c r="F37" s="80"/>
      <c r="L37" s="84">
        <f>'Stats Global'!N38</f>
        <v>0</v>
      </c>
      <c r="M37" s="84">
        <f>'Stats Global'!K38</f>
        <v>0</v>
      </c>
    </row>
    <row r="38" spans="1:16" ht="14.25" customHeight="1" x14ac:dyDescent="0.45">
      <c r="A38" s="75">
        <f>'Stats Global'!B39</f>
        <v>0</v>
      </c>
      <c r="B38" s="82">
        <f>'Stats Global'!I39</f>
        <v>0</v>
      </c>
      <c r="C38" s="82">
        <f>'Stats Global'!J39+'Stats Global'!K39</f>
        <v>0</v>
      </c>
      <c r="D38" s="82">
        <f>'Stats Global'!P39</f>
        <v>0</v>
      </c>
      <c r="E38" s="80"/>
      <c r="F38" s="80"/>
      <c r="L38" s="84">
        <f>'Stats Global'!N39</f>
        <v>0</v>
      </c>
      <c r="M38" s="84">
        <f>'Stats Global'!K39</f>
        <v>0</v>
      </c>
    </row>
    <row r="39" spans="1:16" ht="14.25" customHeight="1" x14ac:dyDescent="0.45">
      <c r="A39" s="75">
        <f>'Stats Global'!B40</f>
        <v>0</v>
      </c>
      <c r="B39" s="82">
        <f>'Stats Global'!I40</f>
        <v>0</v>
      </c>
      <c r="C39" s="82">
        <f>'Stats Global'!J40+'Stats Global'!K40</f>
        <v>0</v>
      </c>
      <c r="D39" s="82">
        <f>'Stats Global'!P40</f>
        <v>0</v>
      </c>
      <c r="E39" s="80"/>
      <c r="F39" s="80"/>
      <c r="L39" s="84">
        <f>'Stats Global'!N40</f>
        <v>0</v>
      </c>
      <c r="M39" s="84">
        <f>'Stats Global'!K40</f>
        <v>0</v>
      </c>
    </row>
    <row r="40" spans="1:16" ht="14.25" customHeight="1" x14ac:dyDescent="0.45">
      <c r="A40" s="75">
        <f>'Stats Global'!B41</f>
        <v>0</v>
      </c>
      <c r="B40" s="82">
        <f>'Stats Global'!I41</f>
        <v>0</v>
      </c>
      <c r="C40" s="82">
        <f>'Stats Global'!J41+'Stats Global'!K41</f>
        <v>0</v>
      </c>
      <c r="D40" s="82">
        <f>'Stats Global'!P41</f>
        <v>0</v>
      </c>
      <c r="E40" s="80"/>
      <c r="F40" s="80"/>
      <c r="L40" s="84">
        <f>'Stats Global'!N41</f>
        <v>0</v>
      </c>
      <c r="M40" s="84">
        <f>'Stats Global'!K41</f>
        <v>0</v>
      </c>
    </row>
    <row r="41" spans="1:16" ht="14.25" customHeight="1" x14ac:dyDescent="0.45">
      <c r="C41" s="113">
        <f>SUM(B7:B40)/SUM(B7:C40)</f>
        <v>0.40935672514619881</v>
      </c>
      <c r="J41" s="83"/>
      <c r="K41" s="76" t="s">
        <v>94</v>
      </c>
      <c r="L41" s="97">
        <f>SUM(L7:L40)</f>
        <v>35</v>
      </c>
      <c r="M41" s="97">
        <f>SUM(M7:M40)</f>
        <v>55</v>
      </c>
      <c r="N41" s="83"/>
      <c r="O41" s="83"/>
      <c r="P41" s="56"/>
    </row>
    <row r="42" spans="1:16" ht="14.25" customHeight="1" x14ac:dyDescent="0.45">
      <c r="L42" s="88">
        <f>L41/(M41+L41)</f>
        <v>0.3888888888888889</v>
      </c>
      <c r="P42" s="56"/>
    </row>
    <row r="43" spans="1:16" ht="14.25" customHeight="1" x14ac:dyDescent="0.45">
      <c r="J43" s="89" t="str">
        <f>L43&amp;H3&amp;","&amp;I3&amp;","&amp;J3&amp;"],"</f>
        <v>"PartA":[70,101,31],</v>
      </c>
      <c r="K43" s="81"/>
      <c r="L43" s="76" t="s">
        <v>135</v>
      </c>
      <c r="N43" s="76" t="s">
        <v>139</v>
      </c>
      <c r="P43" s="90">
        <f>ROUND(SUM('Stats Global'!AA11,'Stats Global'!AA12,'Stats Global'!AA20,'Stats Global'!AA15,'Stats Global'!AA19,'Stats Global'!AA18)/'Stats Global'!AA6,1)</f>
        <v>4.2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"PartB":[19,"Michael Iffland",16,"Rudy Hoschke",8,"Ryan Pattemore",7,"Clarrie Jones"],</v>
      </c>
      <c r="L44" s="76" t="s">
        <v>136</v>
      </c>
      <c r="N44" s="91">
        <f>MAX(Table1113[Points])</f>
        <v>19</v>
      </c>
      <c r="O44" s="76" t="str">
        <f>IF(N44&lt;&gt;0,IF(N44=P4,O4,IF(N44=P5,O5,IF(P6=N44,O6,IF(P7=N44,O7,IF(P8=N44,O8,IF(P9=N44,O9,O10)))))),"N/A")</f>
        <v>Michael Iffland</v>
      </c>
      <c r="P44" s="90">
        <f>ROUND(SUM('Stats Global'!AC11,'Stats Global'!AC12,'Stats Global'!AC20,'Stats Global'!AC15,'Stats Global'!AC19,'Stats Global'!AC18)/'Stats Global'!AA6,1)</f>
        <v>2</v>
      </c>
    </row>
    <row r="45" spans="1:16" ht="14.25" customHeight="1" x14ac:dyDescent="0.45">
      <c r="J45" s="76" t="str">
        <f>L45&amp;P43&amp;","&amp;P44&amp;","&amp;P45&amp;","&amp;P46&amp;","&amp;P47&amp;","&amp;P48&amp;"],"</f>
        <v>"PartC":[4.2,2,1.1,0.6,3.9,5.6],</v>
      </c>
      <c r="L45" s="76" t="s">
        <v>137</v>
      </c>
      <c r="N45" s="91">
        <f>MAX(Table1113[Finishes])</f>
        <v>16</v>
      </c>
      <c r="O45" s="76" t="str">
        <f>IF(N45&lt;&gt;0,IF(N45=R4,O4,IF(N45=R5,O5,IF(R6=N45,O6,IF(R7=N45,O7,IF(R8=N45,O8,IF(R9=N45,O9,O10)))))),"N/A")</f>
        <v>Rudy Hoschke</v>
      </c>
      <c r="P45" s="90">
        <f>ROUND(SUM('Stats Global'!AE11,'Stats Global'!AE12,'Stats Global'!AE20,'Stats Global'!AE15,'Stats Global'!AE19,'Stats Global'!AE18)/'Stats Global'!AA6,1)</f>
        <v>1.1000000000000001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"PartD":[35,46,43.2,35,55,38.9],</v>
      </c>
      <c r="L46" s="76" t="s">
        <v>138</v>
      </c>
      <c r="N46" s="91">
        <f>MAX(Table1113[Midranges])</f>
        <v>8</v>
      </c>
      <c r="O46" s="76" t="str">
        <f>IF(N46&lt;&gt;0,IF(N46=T4,O4,IF(N46=T5,O5,IF(T6=N46,O6,IF(T7=N46,O7,IF(T8=N46,O8,IF(T9=N46,O9,O10)))))),"N/A")</f>
        <v>Ryan Pattemore</v>
      </c>
      <c r="P46" s="90">
        <f>ROUND(SUM('Stats Global'!AG11,'Stats Global'!AG12,'Stats Global'!AG20,'Stats Global'!AG15,'Stats Global'!AG19,'Stats Global'!AG18)/'Stats Global'!AA6,1)</f>
        <v>0.6</v>
      </c>
    </row>
    <row r="47" spans="1:16" ht="14.25" customHeight="1" x14ac:dyDescent="0.45">
      <c r="N47" s="91">
        <f>MAX(Table1113[Threes])</f>
        <v>7</v>
      </c>
      <c r="O47" s="98" t="str">
        <f>IF(N47&lt;&gt;0,IF(N47=V4,O4,IF(N47=V5,O5,IF(V6=N47,O6,IF(V7=N47,O7,IF(V8=N47,O8,IF(V9=N47,O9,O10)))))),"N/A")</f>
        <v>Clarrie Jones</v>
      </c>
      <c r="P47" s="76">
        <f>ROUND(H3/'Stats Global'!AA6,1)</f>
        <v>3.9</v>
      </c>
    </row>
    <row r="48" spans="1:16" ht="14.25" customHeight="1" x14ac:dyDescent="0.45">
      <c r="P48" s="76">
        <f>ROUND(I3/'Stats Global'!AA6,1)</f>
        <v>5.6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K32" sqref="K32:K35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H2" s="81" t="s">
        <v>90</v>
      </c>
      <c r="I2" s="81" t="s">
        <v>91</v>
      </c>
      <c r="J2" s="81" t="s">
        <v>92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109</v>
      </c>
      <c r="I3" s="81">
        <f>SUM(C7:C40)</f>
        <v>83</v>
      </c>
      <c r="J3" s="78">
        <f>SUM(D7:D40)</f>
        <v>38</v>
      </c>
      <c r="K3" s="78"/>
      <c r="L3" s="98" t="s">
        <v>192</v>
      </c>
      <c r="U3" s="56"/>
      <c r="V3" s="78"/>
      <c r="W3" s="78"/>
      <c r="X3" s="78"/>
    </row>
    <row r="4" spans="1:24" ht="14.25" customHeight="1" x14ac:dyDescent="0.45">
      <c r="A4" s="116" t="str">
        <f>'Stats Global'!B5</f>
        <v>11-July</v>
      </c>
      <c r="B4" s="117">
        <f>'Stats Global'!L5</f>
        <v>12</v>
      </c>
      <c r="C4" s="117">
        <f>'Stats Global'!M5+'Stats Global'!N5</f>
        <v>3</v>
      </c>
      <c r="D4" s="117">
        <f>'Stats Global'!Q5</f>
        <v>3</v>
      </c>
      <c r="E4" s="118" t="s">
        <v>30</v>
      </c>
      <c r="F4" s="118" t="s">
        <v>50</v>
      </c>
      <c r="K4" s="83"/>
      <c r="L4" s="99" t="s">
        <v>4</v>
      </c>
      <c r="M4" s="100" t="s">
        <v>0</v>
      </c>
      <c r="N4" s="100" t="s">
        <v>85</v>
      </c>
      <c r="O4" s="101" t="s">
        <v>1</v>
      </c>
      <c r="P4" s="102" t="s">
        <v>80</v>
      </c>
      <c r="Q4" s="102" t="s">
        <v>2</v>
      </c>
      <c r="R4" s="102" t="s">
        <v>117</v>
      </c>
      <c r="S4" s="101" t="s">
        <v>3</v>
      </c>
      <c r="T4" s="102" t="s">
        <v>118</v>
      </c>
      <c r="U4" s="102" t="s">
        <v>120</v>
      </c>
      <c r="V4" s="83"/>
      <c r="W4" s="83"/>
      <c r="X4" s="83"/>
    </row>
    <row r="5" spans="1:24" ht="14.25" customHeight="1" x14ac:dyDescent="0.45">
      <c r="A5" s="116" t="str">
        <f>'Stats Global'!B6</f>
        <v>12-July</v>
      </c>
      <c r="B5" s="117">
        <f>'Stats Global'!L6</f>
        <v>15</v>
      </c>
      <c r="C5" s="117">
        <f>'Stats Global'!M6+'Stats Global'!N6</f>
        <v>6</v>
      </c>
      <c r="D5" s="117">
        <f>'Stats Global'!Q6</f>
        <v>3</v>
      </c>
      <c r="E5" s="118" t="s">
        <v>30</v>
      </c>
      <c r="F5" s="118" t="s">
        <v>50</v>
      </c>
      <c r="K5" s="83"/>
      <c r="L5" s="83" t="s">
        <v>50</v>
      </c>
      <c r="M5" s="93">
        <f>'Stats Global'!AA17</f>
        <v>59</v>
      </c>
      <c r="N5" s="93">
        <f>'Stats Global'!AB17</f>
        <v>3.4705882352941178</v>
      </c>
      <c r="O5" s="93">
        <f>'Stats Global'!AC17</f>
        <v>15</v>
      </c>
      <c r="P5" s="93">
        <f>'Stats Global'!AD17</f>
        <v>0.88235294117647056</v>
      </c>
      <c r="Q5" s="93">
        <f>'Stats Global'!AE17</f>
        <v>34</v>
      </c>
      <c r="R5" s="93">
        <f>'Stats Global'!AF17</f>
        <v>2</v>
      </c>
      <c r="S5" s="93">
        <f>'Stats Global'!AG17</f>
        <v>5</v>
      </c>
      <c r="T5" s="93">
        <f>'Stats Global'!AH17</f>
        <v>0.29411764705882354</v>
      </c>
      <c r="U5" s="93">
        <f>'Stats Global'!AJ17</f>
        <v>1</v>
      </c>
      <c r="V5" s="83"/>
      <c r="W5" s="83"/>
      <c r="X5" s="83"/>
    </row>
    <row r="6" spans="1:24" ht="14.25" customHeight="1" x14ac:dyDescent="0.45">
      <c r="A6" s="116" t="str">
        <f>'Stats Global'!B7</f>
        <v>13-July</v>
      </c>
      <c r="B6" s="117">
        <f>'Stats Global'!L7</f>
        <v>1</v>
      </c>
      <c r="C6" s="117">
        <f>'Stats Global'!M7+'Stats Global'!N7</f>
        <v>6</v>
      </c>
      <c r="D6" s="117">
        <f>'Stats Global'!Q7</f>
        <v>1</v>
      </c>
      <c r="E6" s="118" t="s">
        <v>207</v>
      </c>
      <c r="F6" s="118" t="s">
        <v>55</v>
      </c>
      <c r="H6" s="81"/>
      <c r="I6" s="92"/>
      <c r="K6" s="83"/>
      <c r="L6" s="83" t="s">
        <v>30</v>
      </c>
      <c r="M6" s="93">
        <f>'Stats Global'!AA10</f>
        <v>30</v>
      </c>
      <c r="N6" s="93">
        <f>'Stats Global'!AB10</f>
        <v>3</v>
      </c>
      <c r="O6" s="93">
        <f>'Stats Global'!AC10</f>
        <v>28</v>
      </c>
      <c r="P6" s="93">
        <f>'Stats Global'!AD10</f>
        <v>2.8</v>
      </c>
      <c r="Q6" s="93">
        <f>'Stats Global'!AE10</f>
        <v>0</v>
      </c>
      <c r="R6" s="93">
        <f>'Stats Global'!AF10</f>
        <v>0</v>
      </c>
      <c r="S6" s="93">
        <f>'Stats Global'!AG10</f>
        <v>1</v>
      </c>
      <c r="T6" s="93">
        <f>'Stats Global'!AH10</f>
        <v>0.1</v>
      </c>
      <c r="U6" s="93">
        <f>'Stats Global'!AJ10</f>
        <v>8</v>
      </c>
      <c r="V6" s="83"/>
      <c r="W6" s="83"/>
      <c r="X6" s="83"/>
    </row>
    <row r="7" spans="1:24" ht="14.25" customHeight="1" x14ac:dyDescent="0.45">
      <c r="A7" s="75" t="str">
        <f>'Stats Global'!B8</f>
        <v>17-July</v>
      </c>
      <c r="B7" s="82">
        <f>'Stats Global'!L8</f>
        <v>3</v>
      </c>
      <c r="C7" s="82">
        <f>'Stats Global'!M8+'Stats Global'!N8</f>
        <v>5</v>
      </c>
      <c r="D7" s="82">
        <f>'Stats Global'!Q8</f>
        <v>2</v>
      </c>
      <c r="E7" s="80" t="s">
        <v>50</v>
      </c>
      <c r="F7" s="80" t="s">
        <v>207</v>
      </c>
      <c r="H7" s="81"/>
      <c r="I7" s="92"/>
      <c r="K7" s="83"/>
      <c r="L7" s="83" t="s">
        <v>42</v>
      </c>
      <c r="M7" s="93">
        <f>'Stats Global'!AA13</f>
        <v>13</v>
      </c>
      <c r="N7" s="93">
        <f>'Stats Global'!AB13</f>
        <v>0.8666666666666667</v>
      </c>
      <c r="O7" s="93">
        <f>'Stats Global'!AC13</f>
        <v>10</v>
      </c>
      <c r="P7" s="93">
        <f>'Stats Global'!AD13</f>
        <v>0.66666666666666663</v>
      </c>
      <c r="Q7" s="93">
        <f>'Stats Global'!AE13</f>
        <v>3</v>
      </c>
      <c r="R7" s="93">
        <f>'Stats Global'!AF13</f>
        <v>0.2</v>
      </c>
      <c r="S7" s="93">
        <f>'Stats Global'!AG13</f>
        <v>0</v>
      </c>
      <c r="T7" s="93">
        <f>'Stats Global'!AH13</f>
        <v>0</v>
      </c>
      <c r="U7" s="93">
        <f>'Stats Global'!AJ13</f>
        <v>3</v>
      </c>
      <c r="V7" s="83"/>
      <c r="W7" s="83"/>
      <c r="X7" s="83"/>
    </row>
    <row r="8" spans="1:24" ht="14.25" customHeight="1" x14ac:dyDescent="0.45">
      <c r="A8" s="75" t="str">
        <f>'Stats Global'!B9</f>
        <v>18-July</v>
      </c>
      <c r="B8" s="82">
        <f>'Stats Global'!L9</f>
        <v>1</v>
      </c>
      <c r="C8" s="82">
        <f>'Stats Global'!M9+'Stats Global'!N9</f>
        <v>6</v>
      </c>
      <c r="D8" s="82">
        <f>'Stats Global'!Q9</f>
        <v>2</v>
      </c>
      <c r="E8" s="80" t="s">
        <v>207</v>
      </c>
      <c r="F8" s="80" t="s">
        <v>50</v>
      </c>
      <c r="H8" s="81"/>
      <c r="I8" s="92"/>
      <c r="K8" s="83"/>
      <c r="L8" s="83" t="s">
        <v>115</v>
      </c>
      <c r="M8" s="93">
        <f>'Stats Global'!AA14</f>
        <v>11</v>
      </c>
      <c r="N8" s="93">
        <f>'Stats Global'!AB14</f>
        <v>0.61111111111111116</v>
      </c>
      <c r="O8" s="93">
        <f>'Stats Global'!AC14</f>
        <v>6</v>
      </c>
      <c r="P8" s="93">
        <f>'Stats Global'!AD14</f>
        <v>0.33333333333333331</v>
      </c>
      <c r="Q8" s="93">
        <f>'Stats Global'!AE14</f>
        <v>3</v>
      </c>
      <c r="R8" s="93">
        <f>'Stats Global'!AF14</f>
        <v>0.16666666666666666</v>
      </c>
      <c r="S8" s="93">
        <f>'Stats Global'!AG14</f>
        <v>1</v>
      </c>
      <c r="T8" s="93">
        <f>'Stats Global'!AH14</f>
        <v>5.5555555555555552E-2</v>
      </c>
      <c r="U8" s="93">
        <f>'Stats Global'!AJ14</f>
        <v>0</v>
      </c>
      <c r="V8" s="83"/>
      <c r="W8" s="83"/>
      <c r="X8" s="83"/>
    </row>
    <row r="9" spans="1:24" ht="14.25" customHeight="1" x14ac:dyDescent="0.45">
      <c r="A9" s="75" t="str">
        <f>'Stats Global'!B10</f>
        <v>19-July</v>
      </c>
      <c r="B9" s="82">
        <f>'Stats Global'!L10</f>
        <v>0</v>
      </c>
      <c r="C9" s="82">
        <f>'Stats Global'!M10+'Stats Global'!N10</f>
        <v>7</v>
      </c>
      <c r="D9" s="82">
        <f>'Stats Global'!Q10</f>
        <v>2</v>
      </c>
      <c r="E9" s="80" t="s">
        <v>207</v>
      </c>
      <c r="F9" s="80" t="s">
        <v>207</v>
      </c>
      <c r="H9" s="81"/>
      <c r="I9" s="92"/>
      <c r="K9" s="83"/>
      <c r="L9" s="83" t="s">
        <v>200</v>
      </c>
      <c r="M9" s="93">
        <f>'Stats Global'!AA19</f>
        <v>1</v>
      </c>
      <c r="N9" s="93">
        <f>'Stats Global'!AB19</f>
        <v>0.14285714285714285</v>
      </c>
      <c r="O9" s="93">
        <f>'Stats Global'!AC19</f>
        <v>0</v>
      </c>
      <c r="P9" s="93">
        <f>'Stats Global'!AD19</f>
        <v>0</v>
      </c>
      <c r="Q9" s="93">
        <f>'Stats Global'!AE19</f>
        <v>1</v>
      </c>
      <c r="R9" s="93">
        <f>'Stats Global'!AF19</f>
        <v>0.14285714285714285</v>
      </c>
      <c r="S9" s="93">
        <f>'Stats Global'!AG19</f>
        <v>0</v>
      </c>
      <c r="T9" s="93">
        <f>'Stats Global'!AH19</f>
        <v>0</v>
      </c>
      <c r="U9" s="93">
        <f>'Stats Global'!AJ19</f>
        <v>11</v>
      </c>
      <c r="V9" s="83"/>
      <c r="W9" s="83"/>
      <c r="X9" s="83"/>
    </row>
    <row r="10" spans="1:24" ht="14.25" customHeight="1" x14ac:dyDescent="0.45">
      <c r="A10" s="75" t="str">
        <f>'Stats Global'!B11</f>
        <v>20-July</v>
      </c>
      <c r="B10" s="82">
        <f>'Stats Global'!L11</f>
        <v>2</v>
      </c>
      <c r="C10" s="82">
        <f>'Stats Global'!M11+'Stats Global'!N11</f>
        <v>4</v>
      </c>
      <c r="D10" s="82">
        <f>'Stats Global'!Q11</f>
        <v>1</v>
      </c>
      <c r="E10" s="80" t="s">
        <v>50</v>
      </c>
      <c r="F10" s="80" t="s">
        <v>50</v>
      </c>
      <c r="H10" s="81"/>
      <c r="I10" s="92"/>
      <c r="K10" s="56"/>
      <c r="L10" s="137" t="s">
        <v>202</v>
      </c>
      <c r="M10" s="110">
        <f>'Stats Global'!AA23</f>
        <v>1</v>
      </c>
      <c r="N10" s="110">
        <f>'Stats Global'!AB23</f>
        <v>5.5555555555555552E-2</v>
      </c>
      <c r="O10" s="110">
        <f>'Stats Global'!AC23</f>
        <v>0</v>
      </c>
      <c r="P10" s="110">
        <f>'Stats Global'!AD23</f>
        <v>0</v>
      </c>
      <c r="Q10" s="110">
        <f>'Stats Global'!AE23</f>
        <v>1</v>
      </c>
      <c r="R10" s="110">
        <f>'Stats Global'!AF23</f>
        <v>5.5555555555555552E-2</v>
      </c>
      <c r="S10" s="110">
        <f>'Stats Global'!AG23</f>
        <v>0</v>
      </c>
      <c r="T10" s="110">
        <f>'Stats Global'!AH23</f>
        <v>0</v>
      </c>
      <c r="U10" s="110">
        <f>'Stats Global'!AJ23</f>
        <v>0</v>
      </c>
      <c r="V10" s="83"/>
      <c r="W10" s="83"/>
      <c r="X10" s="83"/>
    </row>
    <row r="11" spans="1:24" ht="14.25" customHeight="1" x14ac:dyDescent="0.45">
      <c r="A11" s="75" t="str">
        <f>'Stats Global'!B12</f>
        <v>24-July</v>
      </c>
      <c r="B11" s="82">
        <f>'Stats Global'!L12</f>
        <v>9</v>
      </c>
      <c r="C11" s="82">
        <f>'Stats Global'!M12+'Stats Global'!N12</f>
        <v>1</v>
      </c>
      <c r="D11" s="82">
        <f>'Stats Global'!Q12</f>
        <v>3</v>
      </c>
      <c r="E11" s="80" t="s">
        <v>30</v>
      </c>
      <c r="F11" s="80" t="s">
        <v>115</v>
      </c>
      <c r="H11" s="81"/>
      <c r="I11" s="92"/>
      <c r="K11" s="83"/>
      <c r="L11" s="83"/>
      <c r="M11" s="83"/>
      <c r="N11" s="83"/>
      <c r="O11" s="83"/>
      <c r="Q11" s="83"/>
      <c r="R11" s="83"/>
      <c r="S11" s="83"/>
      <c r="T11" s="83"/>
      <c r="U11" s="56"/>
      <c r="V11" s="83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Global'!L13</f>
        <v>8</v>
      </c>
      <c r="C12" s="82">
        <f>'Stats Global'!M13+'Stats Global'!N13</f>
        <v>5</v>
      </c>
      <c r="D12" s="82">
        <f>'Stats Global'!Q13</f>
        <v>3</v>
      </c>
      <c r="E12" s="80" t="s">
        <v>30</v>
      </c>
      <c r="F12" s="80" t="s">
        <v>50</v>
      </c>
      <c r="H12" s="81"/>
      <c r="I12" s="92"/>
      <c r="K12" s="83"/>
      <c r="L12" s="83"/>
      <c r="M12" s="83"/>
      <c r="N12" s="83"/>
      <c r="O12" s="83"/>
      <c r="Q12" s="83"/>
      <c r="R12" s="83"/>
      <c r="S12" s="83"/>
      <c r="T12" s="83"/>
      <c r="U12" s="56"/>
      <c r="V12" s="83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Global'!L14</f>
        <v>8</v>
      </c>
      <c r="C13" s="82">
        <f>'Stats Global'!M14+'Stats Global'!N14</f>
        <v>3</v>
      </c>
      <c r="D13" s="82">
        <f>'Stats Global'!Q14</f>
        <v>3</v>
      </c>
      <c r="E13" s="80" t="s">
        <v>253</v>
      </c>
      <c r="F13" s="80" t="s">
        <v>30</v>
      </c>
      <c r="H13" s="81"/>
      <c r="I13" s="92"/>
      <c r="K13" s="83"/>
      <c r="L13" s="83"/>
      <c r="M13" s="83"/>
      <c r="N13" s="83"/>
      <c r="O13" s="83"/>
      <c r="Q13" s="83"/>
      <c r="R13" s="83"/>
      <c r="S13" s="83"/>
      <c r="T13" s="83"/>
      <c r="U13" s="56"/>
      <c r="V13" s="83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Global'!L15</f>
        <v>3</v>
      </c>
      <c r="C14" s="82">
        <f>'Stats Global'!M15+'Stats Global'!N15</f>
        <v>7</v>
      </c>
      <c r="D14" s="82">
        <f>'Stats Global'!Q15</f>
        <v>1</v>
      </c>
      <c r="E14" s="80" t="s">
        <v>50</v>
      </c>
      <c r="F14" s="80" t="s">
        <v>258</v>
      </c>
      <c r="K14" s="83"/>
      <c r="L14" s="83"/>
      <c r="M14" s="83"/>
      <c r="N14" s="83"/>
      <c r="O14" s="83"/>
      <c r="Q14" s="83"/>
      <c r="R14" s="83"/>
      <c r="S14" s="83"/>
      <c r="T14" s="83"/>
      <c r="U14" s="56"/>
      <c r="V14" s="83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Global'!L16</f>
        <v>6</v>
      </c>
      <c r="C15" s="82">
        <f>'Stats Global'!M16+'Stats Global'!N16</f>
        <v>5</v>
      </c>
      <c r="D15" s="82">
        <f>'Stats Global'!Q16</f>
        <v>2</v>
      </c>
      <c r="E15" s="80" t="s">
        <v>50</v>
      </c>
      <c r="F15" s="80" t="s">
        <v>50</v>
      </c>
      <c r="K15" s="83"/>
      <c r="L15" s="83"/>
      <c r="M15" s="83"/>
      <c r="N15" s="83"/>
      <c r="O15" s="83"/>
      <c r="Q15" s="83"/>
      <c r="R15" s="83"/>
      <c r="S15" s="83"/>
      <c r="T15" s="83"/>
      <c r="U15" s="56"/>
      <c r="V15" s="83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Global'!L17</f>
        <v>12</v>
      </c>
      <c r="C16" s="82">
        <f>'Stats Global'!M17+'Stats Global'!N17</f>
        <v>7</v>
      </c>
      <c r="D16" s="82">
        <f>'Stats Global'!Q17</f>
        <v>3</v>
      </c>
      <c r="E16" s="80" t="s">
        <v>30</v>
      </c>
      <c r="F16" s="80" t="s">
        <v>50</v>
      </c>
      <c r="K16" s="83"/>
      <c r="L16" s="83"/>
      <c r="M16" s="83"/>
      <c r="N16" s="83"/>
      <c r="O16" s="83"/>
      <c r="Q16" s="83"/>
      <c r="R16" s="83"/>
      <c r="S16" s="83"/>
      <c r="T16" s="83"/>
      <c r="U16" s="56"/>
      <c r="V16" s="83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Global'!L18</f>
        <v>0</v>
      </c>
      <c r="C17" s="82">
        <f>'Stats Global'!M18+'Stats Global'!N18</f>
        <v>5</v>
      </c>
      <c r="D17" s="82">
        <f>'Stats Global'!Q18</f>
        <v>1</v>
      </c>
      <c r="E17" s="146" t="s">
        <v>207</v>
      </c>
      <c r="F17" s="146" t="s">
        <v>207</v>
      </c>
      <c r="K17" s="83"/>
      <c r="L17" s="83"/>
      <c r="M17" s="83"/>
      <c r="N17" s="83"/>
      <c r="O17" s="83"/>
      <c r="Q17" s="83"/>
      <c r="R17" s="83"/>
      <c r="S17" s="83"/>
      <c r="T17" s="83"/>
      <c r="U17" s="56"/>
      <c r="V17" s="83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Global'!L19</f>
        <v>17</v>
      </c>
      <c r="C18" s="82">
        <f>'Stats Global'!M19+'Stats Global'!N19</f>
        <v>1</v>
      </c>
      <c r="D18" s="82">
        <f>'Stats Global'!Q19</f>
        <v>3</v>
      </c>
      <c r="E18" s="148" t="s">
        <v>50</v>
      </c>
      <c r="F18" s="148" t="s">
        <v>50</v>
      </c>
      <c r="K18" s="83"/>
      <c r="L18" s="83"/>
      <c r="M18" s="83"/>
      <c r="N18" s="83"/>
      <c r="O18" s="83"/>
      <c r="Q18" s="83"/>
      <c r="R18" s="83"/>
      <c r="S18" s="83"/>
      <c r="T18" s="83"/>
      <c r="U18" s="56"/>
      <c r="V18" s="83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Global'!L20</f>
        <v>8</v>
      </c>
      <c r="C19" s="82">
        <f>'Stats Global'!M20+'Stats Global'!N20</f>
        <v>3</v>
      </c>
      <c r="D19" s="82">
        <f>'Stats Global'!Q20</f>
        <v>3</v>
      </c>
      <c r="E19" s="151" t="s">
        <v>50</v>
      </c>
      <c r="F19" s="151" t="s">
        <v>30</v>
      </c>
      <c r="K19" s="83"/>
      <c r="L19" s="83"/>
      <c r="M19" s="83"/>
      <c r="N19" s="83"/>
      <c r="O19" s="83"/>
      <c r="Q19" s="83"/>
      <c r="R19" s="83"/>
      <c r="S19" s="83"/>
      <c r="T19" s="83"/>
      <c r="U19" s="56"/>
      <c r="V19" s="83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Global'!L21</f>
        <v>0</v>
      </c>
      <c r="C20" s="82">
        <f>'Stats Global'!M21+'Stats Global'!N21</f>
        <v>10</v>
      </c>
      <c r="D20" s="82">
        <f>'Stats Global'!Q21</f>
        <v>1</v>
      </c>
      <c r="E20" s="173" t="s">
        <v>207</v>
      </c>
      <c r="F20" s="173" t="s">
        <v>207</v>
      </c>
      <c r="K20" s="83"/>
      <c r="L20" s="83"/>
      <c r="M20" s="83"/>
      <c r="N20" s="83"/>
      <c r="O20" s="83"/>
      <c r="Q20" s="83"/>
      <c r="R20" s="83"/>
      <c r="S20" s="83"/>
      <c r="T20" s="83"/>
      <c r="U20" s="56"/>
      <c r="V20" s="83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Global'!L22</f>
        <v>7</v>
      </c>
      <c r="C21" s="82">
        <f>'Stats Global'!M22+'Stats Global'!N22</f>
        <v>3</v>
      </c>
      <c r="D21" s="82">
        <f>'Stats Global'!Q22</f>
        <v>3</v>
      </c>
      <c r="E21" s="80" t="s">
        <v>30</v>
      </c>
      <c r="F21" s="80" t="s">
        <v>284</v>
      </c>
      <c r="K21" s="83"/>
      <c r="L21" s="83"/>
      <c r="M21" s="83"/>
      <c r="N21" s="83"/>
      <c r="O21" s="83"/>
      <c r="Q21" s="83"/>
      <c r="R21" s="83"/>
      <c r="S21" s="83"/>
      <c r="T21" s="83"/>
      <c r="U21" s="56"/>
      <c r="V21" s="83"/>
      <c r="W21" s="83"/>
      <c r="X21" s="83"/>
    </row>
    <row r="22" spans="1:24" ht="14.25" customHeight="1" x14ac:dyDescent="0.45">
      <c r="A22" s="75" t="str">
        <f>'Stats Global'!B23</f>
        <v>15-August</v>
      </c>
      <c r="B22" s="82">
        <f>'Stats Global'!L23</f>
        <v>20</v>
      </c>
      <c r="C22" s="82">
        <f>'Stats Global'!M23+'Stats Global'!N23</f>
        <v>5</v>
      </c>
      <c r="D22" s="82">
        <f>'Stats Global'!Q23</f>
        <v>3</v>
      </c>
      <c r="E22" s="80" t="s">
        <v>50</v>
      </c>
      <c r="F22" s="80" t="s">
        <v>50</v>
      </c>
      <c r="K22" s="83"/>
      <c r="L22" s="83"/>
      <c r="M22" s="83"/>
      <c r="N22" s="83"/>
      <c r="O22" s="83"/>
      <c r="Q22" s="83"/>
      <c r="R22" s="83"/>
      <c r="S22" s="83"/>
      <c r="T22" s="83"/>
      <c r="U22" s="56"/>
      <c r="V22" s="83"/>
      <c r="W22" s="83"/>
      <c r="X22" s="83"/>
    </row>
    <row r="23" spans="1:24" ht="14.25" customHeight="1" x14ac:dyDescent="0.45">
      <c r="A23" s="75" t="str">
        <f>'Stats Global'!B24</f>
        <v>17-August</v>
      </c>
      <c r="B23" s="82">
        <f>'Stats Global'!L24</f>
        <v>5</v>
      </c>
      <c r="C23" s="82">
        <f>'Stats Global'!M24+'Stats Global'!N24</f>
        <v>6</v>
      </c>
      <c r="D23" s="82">
        <f>'Stats Global'!Q24</f>
        <v>2</v>
      </c>
      <c r="E23" s="185" t="s">
        <v>42</v>
      </c>
      <c r="F23" s="186" t="s">
        <v>30</v>
      </c>
      <c r="G23" s="87"/>
      <c r="K23" s="83"/>
      <c r="L23" s="83"/>
      <c r="M23" s="83"/>
      <c r="N23" s="83"/>
      <c r="O23" s="83"/>
      <c r="Q23" s="83"/>
      <c r="R23" s="83"/>
      <c r="S23" s="83"/>
      <c r="T23" s="83"/>
      <c r="U23" s="56"/>
      <c r="V23" s="83"/>
      <c r="W23" s="83"/>
      <c r="X23" s="83"/>
    </row>
    <row r="24" spans="1:24" ht="14.25" customHeight="1" x14ac:dyDescent="0.45">
      <c r="A24" s="75" t="str">
        <f>'Stats Global'!B25</f>
        <v>21-August</v>
      </c>
      <c r="B24" s="82">
        <f>'Stats Global'!L25</f>
        <v>0</v>
      </c>
      <c r="C24" s="82">
        <f>'Stats Global'!M25+'Stats Global'!N25</f>
        <v>0</v>
      </c>
      <c r="D24" s="82">
        <f>'Stats Global'!Q25</f>
        <v>0</v>
      </c>
      <c r="E24" s="86"/>
      <c r="F24" s="80"/>
      <c r="G24" s="87"/>
      <c r="K24" s="83"/>
      <c r="L24" s="83"/>
      <c r="M24" s="83"/>
      <c r="N24" s="83"/>
      <c r="O24" s="83"/>
      <c r="Q24" s="83"/>
      <c r="R24" s="83"/>
      <c r="S24" s="83"/>
      <c r="T24" s="83"/>
      <c r="U24" s="56"/>
      <c r="V24" s="83"/>
      <c r="W24" s="83"/>
      <c r="X24" s="83"/>
    </row>
    <row r="25" spans="1:24" ht="14.25" customHeight="1" x14ac:dyDescent="0.45">
      <c r="A25" s="75">
        <f>'Stats Global'!B26</f>
        <v>0</v>
      </c>
      <c r="B25" s="82">
        <f>'Stats Global'!L26</f>
        <v>0</v>
      </c>
      <c r="C25" s="82">
        <f>'Stats Global'!M26+'Stats Global'!N26</f>
        <v>0</v>
      </c>
      <c r="D25" s="82">
        <f>'Stats Global'!Q26</f>
        <v>0</v>
      </c>
      <c r="E25" s="86"/>
      <c r="F25" s="80"/>
      <c r="G25" s="87"/>
      <c r="K25" s="83"/>
      <c r="L25" s="83"/>
      <c r="M25" s="83"/>
      <c r="N25" s="83"/>
      <c r="O25" s="83"/>
      <c r="Q25" s="83"/>
      <c r="R25" s="83"/>
      <c r="S25" s="83"/>
      <c r="T25" s="83"/>
      <c r="U25" s="56"/>
      <c r="V25" s="83"/>
      <c r="W25" s="83"/>
      <c r="X25" s="83"/>
    </row>
    <row r="26" spans="1:24" ht="14.25" customHeight="1" x14ac:dyDescent="0.45">
      <c r="A26" s="75">
        <f>'Stats Global'!B27</f>
        <v>0</v>
      </c>
      <c r="B26" s="82">
        <f>'Stats Global'!L27</f>
        <v>0</v>
      </c>
      <c r="C26" s="82">
        <f>'Stats Global'!M27+'Stats Global'!N27</f>
        <v>0</v>
      </c>
      <c r="D26" s="82">
        <f>'Stats Global'!Q27</f>
        <v>0</v>
      </c>
      <c r="E26" s="80"/>
      <c r="F26" s="80"/>
      <c r="K26" s="83"/>
      <c r="L26" s="83"/>
      <c r="M26" s="83"/>
      <c r="N26" s="83"/>
      <c r="O26" s="83"/>
      <c r="Q26" s="83"/>
      <c r="R26" s="83"/>
      <c r="S26" s="83"/>
      <c r="T26" s="83"/>
      <c r="U26" s="56"/>
      <c r="V26" s="83"/>
      <c r="W26" s="83"/>
      <c r="X26" s="83"/>
    </row>
    <row r="27" spans="1:24" ht="14.25" customHeight="1" x14ac:dyDescent="0.45">
      <c r="A27" s="75">
        <f>'Stats Global'!B28</f>
        <v>0</v>
      </c>
      <c r="B27" s="82">
        <f>'Stats Global'!L28</f>
        <v>0</v>
      </c>
      <c r="C27" s="82">
        <f>'Stats Global'!M28+'Stats Global'!N28</f>
        <v>0</v>
      </c>
      <c r="D27" s="82">
        <f>'Stats Global'!Q28</f>
        <v>0</v>
      </c>
      <c r="E27" s="80"/>
      <c r="F27" s="80"/>
      <c r="K27" s="83"/>
      <c r="L27" s="83"/>
      <c r="M27" s="83"/>
      <c r="N27" s="83"/>
      <c r="O27" s="83"/>
      <c r="Q27" s="83"/>
      <c r="R27" s="83"/>
      <c r="S27" s="83"/>
      <c r="T27" s="83"/>
      <c r="U27" s="56"/>
      <c r="V27" s="83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Global'!L29</f>
        <v>0</v>
      </c>
      <c r="C28" s="82">
        <f>'Stats Global'!M29+'Stats Global'!N29</f>
        <v>0</v>
      </c>
      <c r="D28" s="82">
        <f>'Stats Global'!Q29</f>
        <v>0</v>
      </c>
      <c r="E28" s="80"/>
      <c r="F28" s="80"/>
      <c r="K28" s="83"/>
      <c r="L28" s="83"/>
      <c r="M28" s="83"/>
      <c r="N28" s="83"/>
      <c r="O28" s="83"/>
      <c r="Q28" s="83"/>
      <c r="R28" s="83"/>
      <c r="S28" s="83"/>
      <c r="T28" s="83"/>
      <c r="U28" s="56"/>
      <c r="V28" s="83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Global'!L30</f>
        <v>0</v>
      </c>
      <c r="C29" s="82">
        <f>'Stats Global'!M30+'Stats Global'!N30</f>
        <v>0</v>
      </c>
      <c r="D29" s="82">
        <f>'Stats Global'!Q30</f>
        <v>0</v>
      </c>
      <c r="E29" s="80"/>
      <c r="F29" s="80"/>
      <c r="K29" s="83"/>
      <c r="L29" s="83"/>
      <c r="M29" s="83"/>
      <c r="N29" s="83"/>
      <c r="O29" s="83"/>
      <c r="Q29" s="83"/>
      <c r="R29" s="83"/>
      <c r="S29" s="83"/>
      <c r="T29" s="83"/>
      <c r="U29" s="56"/>
      <c r="V29" s="93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Global'!L31</f>
        <v>0</v>
      </c>
      <c r="C30" s="82">
        <f>'Stats Global'!M31+'Stats Global'!N31</f>
        <v>0</v>
      </c>
      <c r="D30" s="82">
        <f>'Stats Global'!Q31</f>
        <v>0</v>
      </c>
      <c r="E30" s="80"/>
      <c r="F30" s="80"/>
      <c r="K30" s="83"/>
      <c r="L30" s="83"/>
      <c r="M30" s="83"/>
      <c r="N30" s="83"/>
      <c r="O30" s="83"/>
      <c r="P30" s="81"/>
      <c r="Q30" s="83"/>
      <c r="R30" s="83"/>
      <c r="S30" s="83"/>
      <c r="T30" s="83"/>
      <c r="U30" s="56"/>
      <c r="V30" s="83"/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Global'!L32</f>
        <v>0</v>
      </c>
      <c r="C31" s="82">
        <f>'Stats Global'!M32+'Stats Global'!N32</f>
        <v>0</v>
      </c>
      <c r="D31" s="82">
        <f>'Stats Global'!Q32</f>
        <v>0</v>
      </c>
      <c r="E31" s="80"/>
      <c r="F31" s="80"/>
      <c r="J31" s="81"/>
      <c r="Q31" s="88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Global'!L33</f>
        <v>0</v>
      </c>
      <c r="C32" s="82">
        <f>'Stats Global'!M33+'Stats Global'!N33</f>
        <v>0</v>
      </c>
      <c r="D32" s="82">
        <f>'Stats Global'!Q33</f>
        <v>0</v>
      </c>
      <c r="E32" s="80"/>
      <c r="F32" s="80"/>
      <c r="J32" s="81"/>
      <c r="K32" s="89" t="str">
        <f>M32&amp;H3&amp;","&amp;I3&amp;","&amp;J3&amp;"],"</f>
        <v>"PartA":[109,83,38],</v>
      </c>
      <c r="L32" s="81"/>
      <c r="M32" s="76" t="s">
        <v>135</v>
      </c>
      <c r="O32" s="76" t="s">
        <v>139</v>
      </c>
      <c r="Q32" s="90">
        <f>ROUND(SUM('Stats Global'!AA10,'Stats Global'!AA14,'Stats Global'!AA17,'Stats Global'!AA13,'Stats Global'!AA24,'Stats Global'!AA23)/'Stats Global'!AA6,1)</f>
        <v>6.7</v>
      </c>
    </row>
    <row r="33" spans="1:17" ht="14.25" customHeight="1" x14ac:dyDescent="0.45">
      <c r="A33" s="75">
        <f>'Stats Global'!B34</f>
        <v>0</v>
      </c>
      <c r="B33" s="82">
        <f>'Stats Global'!L34</f>
        <v>0</v>
      </c>
      <c r="C33" s="82">
        <f>'Stats Global'!M34+'Stats Global'!N34</f>
        <v>0</v>
      </c>
      <c r="D33" s="82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"PartB":[59,"Samuel McConaghy",28,"Alexander Galt",34,"Samuel McConaghy",5,"Samuel McConaghy"],</v>
      </c>
      <c r="M33" s="76" t="s">
        <v>136</v>
      </c>
      <c r="O33" s="91">
        <f>MAX(Table11[Points])</f>
        <v>59</v>
      </c>
      <c r="P33" s="76" t="str">
        <f>IF(O33&lt;&gt;0,IF(O33=M5,L5,IF(O33=M6,L6,IF(M7=O33,L7,IF(M8=O33,L8,L9)))),"N/A")</f>
        <v>Samuel McConaghy</v>
      </c>
      <c r="Q33" s="90">
        <f>ROUND(SUM('Stats Global'!AC10,'Stats Global'!AC14,'Stats Global'!AC17,'Stats Global'!AC13,'Stats Global'!AC24,'Stats Global'!AC23)/'Stats Global'!AA6,1)</f>
        <v>3.5</v>
      </c>
    </row>
    <row r="34" spans="1:17" ht="14.25" customHeight="1" x14ac:dyDescent="0.45">
      <c r="A34" s="75">
        <f>'Stats Global'!B35</f>
        <v>0</v>
      </c>
      <c r="B34" s="82">
        <f>'Stats Global'!L35</f>
        <v>0</v>
      </c>
      <c r="C34" s="82">
        <f>'Stats Global'!M35+'Stats Global'!N35</f>
        <v>0</v>
      </c>
      <c r="D34" s="82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"PartC":[6.7,3.5,2.3,0.4,6.1,4.6],</v>
      </c>
      <c r="M34" s="76" t="s">
        <v>137</v>
      </c>
      <c r="O34" s="91">
        <f>MAX(Table11[Finishes])</f>
        <v>28</v>
      </c>
      <c r="P34" s="76" t="str">
        <f>IF(O34&lt;&gt;0,IF(O34=O5,L5,IF(O34=O6,L6,IF(O7=O34,L7,IF(O8=O34,L8,L9)))),"N/A")</f>
        <v>Alexander Galt</v>
      </c>
      <c r="Q34" s="90">
        <f>ROUND(SUM('Stats Global'!AE10,'Stats Global'!AE14,'Stats Global'!AE17,'Stats Global'!AE13,'Stats Global'!AE24,'Stats Global'!AE23)/'Stats Global'!AA6,1)</f>
        <v>2.2999999999999998</v>
      </c>
    </row>
    <row r="35" spans="1:17" ht="14.25" customHeight="1" x14ac:dyDescent="0.45">
      <c r="A35" s="75">
        <f>'Stats Global'!B36</f>
        <v>0</v>
      </c>
      <c r="B35" s="82">
        <f>'Stats Global'!L36</f>
        <v>0</v>
      </c>
      <c r="C35" s="82">
        <f>'Stats Global'!M36+'Stats Global'!N36</f>
        <v>0</v>
      </c>
      <c r="D35" s="82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"PartD":[54,48,52.9,55,35,61.1],</v>
      </c>
      <c r="M35" s="76" t="s">
        <v>138</v>
      </c>
      <c r="O35" s="91">
        <f>MAX(Table11[Midranges])</f>
        <v>34</v>
      </c>
      <c r="P35" s="76" t="str">
        <f>IF(O35&lt;&gt;0,IF(O35=Q5,L5,IF(O35=Q6,L6,IF(Q7=O35,L7,IF(Q8=O35,L8,L9)))),"N/A")</f>
        <v>Samuel McConaghy</v>
      </c>
      <c r="Q35" s="90">
        <f>ROUND(SUM('Stats Global'!AG10,'Stats Global'!AG14,'Stats Global'!AG17,'Stats Global'!AG13,'Stats Global'!AG24,'Stats Global'!AG23)/'Stats Global'!AA6,1)</f>
        <v>0.4</v>
      </c>
    </row>
    <row r="36" spans="1:17" ht="14.25" customHeight="1" x14ac:dyDescent="0.45">
      <c r="A36" s="75">
        <f>'Stats Global'!B37</f>
        <v>0</v>
      </c>
      <c r="B36" s="82">
        <f>'Stats Global'!L37</f>
        <v>0</v>
      </c>
      <c r="C36" s="82">
        <f>'Stats Global'!M37+'Stats Global'!N37</f>
        <v>0</v>
      </c>
      <c r="D36" s="82">
        <f>'Stats Global'!Q37</f>
        <v>0</v>
      </c>
      <c r="E36" s="80"/>
      <c r="F36" s="80"/>
      <c r="O36" s="91">
        <f>MAX(Table11[Threes])</f>
        <v>5</v>
      </c>
      <c r="P36" s="76" t="str">
        <f>IF(O36&lt;&gt;0,IF(O36=S5,L5,IF(O36=S6,L6,IF(S7=O36,L7,IF(S8=O36,L8,L9)))),"N/A")</f>
        <v>Samuel McConaghy</v>
      </c>
      <c r="Q36" s="76">
        <f>ROUND(H3/'Stats Global'!AA6,1)</f>
        <v>6.1</v>
      </c>
    </row>
    <row r="37" spans="1:17" ht="14.25" customHeight="1" x14ac:dyDescent="0.45">
      <c r="A37" s="75">
        <f>'Stats Global'!B38</f>
        <v>0</v>
      </c>
      <c r="B37" s="82">
        <f>'Stats Global'!L38</f>
        <v>0</v>
      </c>
      <c r="C37" s="82">
        <f>'Stats Global'!M38+'Stats Global'!N38</f>
        <v>0</v>
      </c>
      <c r="D37" s="82">
        <f>'Stats Global'!Q38</f>
        <v>0</v>
      </c>
      <c r="E37" s="80"/>
      <c r="F37" s="80"/>
      <c r="Q37" s="76">
        <f>ROUND(I3/'Stats Global'!AA6,1)</f>
        <v>4.5999999999999996</v>
      </c>
    </row>
    <row r="38" spans="1:17" ht="14.25" customHeight="1" x14ac:dyDescent="0.45">
      <c r="A38" s="75">
        <f>'Stats Global'!B39</f>
        <v>0</v>
      </c>
      <c r="B38" s="82">
        <f>'Stats Global'!L39</f>
        <v>0</v>
      </c>
      <c r="C38" s="82">
        <f>'Stats Global'!M39+'Stats Global'!N39</f>
        <v>0</v>
      </c>
      <c r="D38" s="82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2">
        <f>'Stats Global'!L40</f>
        <v>0</v>
      </c>
      <c r="C39" s="82">
        <f>'Stats Global'!M40+'Stats Global'!N40</f>
        <v>0</v>
      </c>
      <c r="D39" s="82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2">
        <f>'Stats Global'!L41</f>
        <v>0</v>
      </c>
      <c r="C40" s="82">
        <f>'Stats Global'!M41+'Stats Global'!N41</f>
        <v>0</v>
      </c>
      <c r="D40" s="82">
        <f>'Stats Global'!Q41</f>
        <v>0</v>
      </c>
      <c r="E40" s="80"/>
      <c r="F40" s="80"/>
    </row>
    <row r="41" spans="1:17" ht="14.25" customHeight="1" x14ac:dyDescent="0.45">
      <c r="C41" s="113">
        <f>SUM(B7:B40)/SUM(B7:C40)</f>
        <v>0.56770833333333337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  <c r="AB24" s="158" t="s">
        <v>30</v>
      </c>
      <c r="AC24" s="165">
        <f>Table631[[#This Row],[Finishes]]+Table631[[#This Row],[Midranges]]+Table631[[#This Row],[Threes]]+Table631[[#This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  <c r="AB25" s="159" t="s">
        <v>35</v>
      </c>
      <c r="AC25" s="166">
        <f>Table631[[#This Row],[Finishes]]+Table631[[#This Row],[Midranges]]+Table631[[#This Row],[Threes]]+Table631[[#This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  <c r="AB26" s="158" t="s">
        <v>37</v>
      </c>
      <c r="AC26" s="165">
        <f>Table631[[#This Row],[Finishes]]+Table631[[#This Row],[Midranges]]+Table631[[#This Row],[Threes]]+Table631[[#This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  <c r="AB27" s="159" t="s">
        <v>42</v>
      </c>
      <c r="AC27" s="166">
        <f>Table631[[#This Row],[Finishes]]+Table631[[#This Row],[Midranges]]+Table631[[#This Row],[Threes]]+Table631[[#This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  <c r="AB28" s="158" t="s">
        <v>115</v>
      </c>
      <c r="AC28" s="165">
        <f>Table631[[#This Row],[Finishes]]+Table631[[#This Row],[Midranges]]+Table631[[#This Row],[Threes]]+Table631[[#This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  <c r="AB29" s="159" t="s">
        <v>44</v>
      </c>
      <c r="AC29" s="166">
        <f>Table631[[#This Row],[Finishes]]+Table631[[#This Row],[Midranges]]+Table631[[#This Row],[Threes]]+Table631[[#This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  <c r="AB30" s="158" t="s">
        <v>50</v>
      </c>
      <c r="AC30" s="165">
        <f>Table631[[#This Row],[Finishes]]+Table631[[#This Row],[Midranges]]+Table631[[#This Row],[Threes]]+Table631[[#This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  <c r="AB31" s="159" t="s">
        <v>52</v>
      </c>
      <c r="AC31" s="166">
        <f>Table631[[#This Row],[Finishes]]+Table631[[#This Row],[Midranges]]+Table631[[#This Row],[Threes]]+Table631[[#This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  <c r="AB32" s="158" t="s">
        <v>200</v>
      </c>
      <c r="AC32" s="165">
        <f>Table631[[#This Row],[Finishes]]+Table631[[#This Row],[Midranges]]+Table631[[#This Row],[Threes]]+Table631[[#This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  <c r="AB33" s="159" t="s">
        <v>55</v>
      </c>
      <c r="AC33" s="166">
        <f>Table631[[#This Row],[Finishes]]+Table631[[#This Row],[Midranges]]+Table631[[#This Row],[Threes]]+Table631[[#This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  <c r="AB34" s="158" t="s">
        <v>64</v>
      </c>
      <c r="AC34" s="165">
        <f>Table631[[#This Row],[Finishes]]+Table631[[#This Row],[Midranges]]+Table631[[#This Row],[Threes]]+Table631[[#This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  <c r="AB35" s="160" t="s">
        <v>67</v>
      </c>
      <c r="AC35" s="167">
        <f>Table631[[#This Row],[Finishes]]+Table631[[#This Row],[Midranges]]+Table631[[#This Row],[Threes]]+Table631[[#This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32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"Date":["12-August"],</v>
      </c>
    </row>
    <row r="45" spans="2:32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5FB2-8B2F-4995-81D9-788FC04F683F}">
  <dimension ref="B1:AF1000"/>
  <sheetViews>
    <sheetView tabSelected="1" zoomScale="79" workbookViewId="0">
      <selection activeCell="C3" sqref="C3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Table63134[[#This Row],[Finishes]]+Table63134[[#This Row],[Midranges]]+Table63134[[#This Row],[Threes]]+Table63134[[#This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0,</v>
      </c>
      <c r="S25" s="16" t="str">
        <f t="shared" si="9"/>
        <v>0,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Table63134[[#This Row],[Finishes]]+Table63134[[#This Row],[Midranges]]+Table63134[[#This Row],[Threes]]+Table63134[[#This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Table63134[[#This Row],[Finishes]]+Table63134[[#This Row],[Midranges]]+Table63134[[#This Row],[Threes]]+Table63134[[#This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Table63134[[#This Row],[Finishes]]+Table63134[[#This Row],[Midranges]]+Table63134[[#This Row],[Threes]]+Table63134[[#This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Table63134[[#This Row],[Finishes]]+Table63134[[#This Row],[Midranges]]+Table63134[[#This Row],[Threes]]+Table63134[[#This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Table63134[[#This Row],[Finishes]]+Table63134[[#This Row],[Midranges]]+Table63134[[#This Row],[Threes]]+Table63134[[#This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Table63134[[#This Row],[Finishes]]+Table63134[[#This Row],[Midranges]]+Table63134[[#This Row],[Threes]]+Table63134[[#This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Table63134[[#This Row],[Finishes]]+Table63134[[#This Row],[Midranges]]+Table63134[[#This Row],[Threes]]+Table63134[[#This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Table63134[[#This Row],[Finishes]]+Table63134[[#This Row],[Midranges]]+Table63134[[#This Row],[Threes]]+Table63134[[#This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Table63134[[#This Row],[Finishes]]+Table63134[[#This Row],[Midranges]]+Table63134[[#This Row],[Threes]]+Table63134[[#This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Table63134[[#This Row],[Finishes]]+Table63134[[#This Row],[Midranges]]+Table63134[[#This Row],[Threes]]+Table63134[[#This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Table63134[[#This Row],[Finishes]]+Table63134[[#This Row],[Midranges]]+Table63134[[#This Row],[Threes]]+Table63134[[#This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"Date":["21-August"],</v>
      </c>
    </row>
    <row r="45" spans="2:32" ht="14.25" customHeight="1" x14ac:dyDescent="0.45">
      <c r="B45" s="74" t="str">
        <f>C2</f>
        <v>21-August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A8D5-11BE-4397-9F7A-64BFF140AB1E}">
  <dimension ref="B1:AF1000"/>
  <sheetViews>
    <sheetView zoomScale="79" workbookViewId="0">
      <selection activeCell="K37" sqref="K37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6</v>
      </c>
      <c r="N3" s="10">
        <f>L3/(L3+M3)</f>
        <v>0.4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46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5</v>
      </c>
      <c r="M4" s="11">
        <f>COUNTIF(D3:D40, "5 Musketeers")</f>
        <v>6</v>
      </c>
      <c r="N4" s="10">
        <f t="shared" ref="N4:N5" si="4">L4/(L4+M4)</f>
        <v>0.45454545454545453</v>
      </c>
      <c r="O4" s="11">
        <f>IF(M4&lt;&gt;0,IF(AND(N4&gt;N3,N4&gt;N5),3,IF(OR(N4&gt;N3,N4&gt;N5),2,1)),0)</f>
        <v>2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99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7</v>
      </c>
      <c r="M5" s="11">
        <f>COUNTIF(D3:D40, "Wet Willies")</f>
        <v>4</v>
      </c>
      <c r="N5" s="10">
        <f t="shared" si="4"/>
        <v>0.63636363636363635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2</v>
      </c>
      <c r="S5" s="9">
        <f t="shared" si="1"/>
        <v>2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61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4</v>
      </c>
      <c r="S6" s="9">
        <f t="shared" si="1"/>
        <v>4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37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42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2</v>
      </c>
      <c r="H9" s="25">
        <v>2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37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35</v>
      </c>
      <c r="F11" s="25" t="s">
        <v>204</v>
      </c>
      <c r="G11" s="25">
        <v>2</v>
      </c>
      <c r="H11" s="25">
        <v>3</v>
      </c>
      <c r="I11" s="25">
        <v>1</v>
      </c>
      <c r="Q11" s="2" t="s">
        <v>46</v>
      </c>
      <c r="R11" s="8">
        <f t="shared" si="0"/>
        <v>2</v>
      </c>
      <c r="S11" s="9">
        <f t="shared" si="1"/>
        <v>1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35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1</v>
      </c>
      <c r="S12" s="9">
        <f t="shared" si="1"/>
        <v>1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58</v>
      </c>
      <c r="F13" s="25" t="s">
        <v>204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42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30</v>
      </c>
      <c r="F15" s="25" t="s">
        <v>204</v>
      </c>
      <c r="G15" s="25">
        <v>2</v>
      </c>
      <c r="H15" s="25">
        <v>2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26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2</v>
      </c>
      <c r="S17" s="9">
        <f t="shared" si="1"/>
        <v>0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>WW/5M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47</v>
      </c>
      <c r="E18" s="25" t="s">
        <v>35</v>
      </c>
      <c r="F18" s="25" t="s">
        <v>204</v>
      </c>
      <c r="G18" s="25">
        <v>2</v>
      </c>
      <c r="H18" s="25">
        <v>3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WW/LG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44</v>
      </c>
      <c r="F19" s="25" t="s">
        <v>205</v>
      </c>
      <c r="G19" s="25">
        <v>3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Table63133[[#This Row],[Finishes]]+Table63133[[#This Row],[Midranges]]+Table63133[[#This Row],[Threes]]+Table63133[[#This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2,</v>
      </c>
      <c r="S25" s="16" t="str">
        <f t="shared" si="9"/>
        <v>2,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Table63133[[#This Row],[Finishes]]+Table63133[[#This Row],[Midranges]]+Table63133[[#This Row],[Threes]]+Table63133[[#This Row],[Threes]]</f>
        <v>2</v>
      </c>
      <c r="AD25" s="157">
        <f>COUNTIFS(D4:D35, "Loose Gooses", E$4:E$35,AB25,F$4:F$35,"Finish")</f>
        <v>2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4,</v>
      </c>
      <c r="S26" s="16" t="str">
        <f t="shared" si="9"/>
        <v>4,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Table63133[[#This Row],[Finishes]]+Table63133[[#This Row],[Midranges]]+Table63133[[#This Row],[Threes]]+Table63133[[#This Row],[Threes]]</f>
        <v>1</v>
      </c>
      <c r="AD26" s="156">
        <f>COUNTIFS(D4:D35, "Loose Gooses", E$4:E$35,AB26,F$4:F$35,"Finish")</f>
        <v>0</v>
      </c>
      <c r="AE26" s="156">
        <f>COUNTIFS(D4:D35, "Loose Gooses", E$4:E$35,AB26,F$4:F$35,"Midrange")</f>
        <v>1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Table63133[[#This Row],[Finishes]]+Table63133[[#This Row],[Midranges]]+Table63133[[#This Row],[Threes]]+Table63133[[#This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Table63133[[#This Row],[Finishes]]+Table63133[[#This Row],[Midranges]]+Table63133[[#This Row],[Threes]]+Table63133[[#This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Table63133[[#This Row],[Finishes]]+Table63133[[#This Row],[Midranges]]+Table63133[[#This Row],[Threes]]+Table63133[[#This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Table63133[[#This Row],[Finishes]]+Table63133[[#This Row],[Midranges]]+Table63133[[#This Row],[Threes]]+Table63133[[#This Row],[Threes]]</f>
        <v>1</v>
      </c>
      <c r="AD30" s="156">
        <f>COUNTIFS(D4:D35, "Loose Gooses", E$4:E$35,AB30,F$4:F$35,"Finish")</f>
        <v>1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2,</v>
      </c>
      <c r="S31" s="16" t="str">
        <f t="shared" si="9"/>
        <v>1,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Table63133[[#This Row],[Finishes]]+Table63133[[#This Row],[Midranges]]+Table63133[[#This Row],[Threes]]+Table63133[[#This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1,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Table63133[[#This Row],[Finishes]]+Table63133[[#This Row],[Midranges]]+Table63133[[#This Row],[Threes]]+Table63133[[#This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Table63133[[#This Row],[Finishes]]+Table63133[[#This Row],[Midranges]]+Table63133[[#This Row],[Threes]]+Table63133[[#This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Table63133[[#This Row],[Finishes]]+Table63133[[#This Row],[Midranges]]+Table63133[[#This Row],[Threes]]+Table63133[[#This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Table63133[[#This Row],[Finishes]]+Table63133[[#This Row],[Midranges]]+Table63133[[#This Row],[Threes]]+Table63133[[#This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0,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"Date":["17-August"],</v>
      </c>
    </row>
    <row r="45" spans="2:32" ht="14.25" customHeight="1" x14ac:dyDescent="0.45">
      <c r="B45" s="74" t="str">
        <f>C2</f>
        <v>17-August</v>
      </c>
      <c r="C45" s="16">
        <f>MAX(L3:L5)</f>
        <v>7</v>
      </c>
      <c r="D45" s="16">
        <f>COUNT(B4:B42)-C45-E45</f>
        <v>5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3</v>
      </c>
      <c r="I45" s="16">
        <f>L5</f>
        <v>7</v>
      </c>
      <c r="J45" s="16">
        <f>COUNTIF(X4:X39, "LG/WW")</f>
        <v>2</v>
      </c>
      <c r="K45" s="16">
        <f>COUNTIF(Z4:Z39, "5M/WW")</f>
        <v>2</v>
      </c>
      <c r="L45" s="16">
        <f>L4</f>
        <v>5</v>
      </c>
      <c r="M45" s="16">
        <f>COUNTIF(X4:X39, "LG/5M")</f>
        <v>2</v>
      </c>
      <c r="N45" s="16">
        <f>COUNTIF(Y4:Y39, "WW/5M")</f>
        <v>4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"Points":[0,0,2,4,2,2,0,2,2,1,0,"Did not Play","Did not Play",1,2,0,0],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"Finishes":[0,0,2,4,0,2,0,0,1,1,0,"Did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"Midrange":[0,0,0,0,2,0,0,0,1,0,0,"Did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"ThreePointers":[0,0,0,0,0,0,0,1,0,0,0,"Did not Play","Did not Play",0,1,0,0]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E862-8CE5-4231-9B7D-B24E0E62539F}">
  <dimension ref="B1:AF1000"/>
  <sheetViews>
    <sheetView zoomScale="79" workbookViewId="0">
      <selection activeCell="C31" activeCellId="3" sqref="C6:E10 C13:E21 C24:E28 C31:E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13</v>
      </c>
      <c r="N3" s="10">
        <f>L3/(L3+M3)</f>
        <v>0.27777777777777779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84">
        <v>1</v>
      </c>
      <c r="C4" s="184" t="s">
        <v>47</v>
      </c>
      <c r="D4" s="184" t="s">
        <v>26</v>
      </c>
      <c r="E4" s="184" t="s">
        <v>46</v>
      </c>
      <c r="F4" s="184" t="s">
        <v>99</v>
      </c>
      <c r="G4" s="184">
        <v>1</v>
      </c>
      <c r="H4" s="184">
        <v>1</v>
      </c>
      <c r="I4" s="184">
        <v>1</v>
      </c>
      <c r="K4" s="11" t="s">
        <v>110</v>
      </c>
      <c r="L4" s="11">
        <f>COUNTIF(C3:C40, "5 Musketeers")</f>
        <v>20</v>
      </c>
      <c r="M4" s="11">
        <f>COUNTIF(D3:D40, "5 Musketeers")</f>
        <v>5</v>
      </c>
      <c r="N4" s="10">
        <f t="shared" ref="N4:N5" si="4">L4/(L4+M4)</f>
        <v>0.8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84">
        <v>2</v>
      </c>
      <c r="C5" s="184" t="s">
        <v>31</v>
      </c>
      <c r="D5" s="184" t="s">
        <v>47</v>
      </c>
      <c r="E5" s="184" t="s">
        <v>52</v>
      </c>
      <c r="F5" s="184" t="s">
        <v>204</v>
      </c>
      <c r="G5" s="184">
        <v>1</v>
      </c>
      <c r="H5" s="184">
        <v>1</v>
      </c>
      <c r="I5" s="184">
        <v>1</v>
      </c>
      <c r="K5" s="11" t="s">
        <v>109</v>
      </c>
      <c r="L5" s="11">
        <f>COUNTIF(C3:C40, "Wet Willies")</f>
        <v>5</v>
      </c>
      <c r="M5" s="11">
        <f>COUNTIF(D3:D40, "Wet Willies")</f>
        <v>12</v>
      </c>
      <c r="N5" s="10">
        <f t="shared" si="4"/>
        <v>0.29411764705882354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84">
        <v>3</v>
      </c>
      <c r="C6" s="184" t="s">
        <v>26</v>
      </c>
      <c r="D6" s="184" t="s">
        <v>31</v>
      </c>
      <c r="E6" s="184" t="s">
        <v>115</v>
      </c>
      <c r="F6" s="184" t="s">
        <v>204</v>
      </c>
      <c r="G6" s="184">
        <v>1</v>
      </c>
      <c r="H6" s="184">
        <v>1</v>
      </c>
      <c r="I6" s="184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5">
      <c r="B7" s="184">
        <v>4</v>
      </c>
      <c r="C7" s="184" t="s">
        <v>26</v>
      </c>
      <c r="D7" s="184" t="s">
        <v>47</v>
      </c>
      <c r="E7" s="184" t="s">
        <v>115</v>
      </c>
      <c r="F7" s="184" t="s">
        <v>99</v>
      </c>
      <c r="G7" s="184">
        <v>2</v>
      </c>
      <c r="H7" s="184">
        <v>2</v>
      </c>
      <c r="I7" s="184">
        <v>2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5">
      <c r="B8" s="184">
        <v>5</v>
      </c>
      <c r="C8" s="184" t="s">
        <v>26</v>
      </c>
      <c r="D8" s="184" t="s">
        <v>31</v>
      </c>
      <c r="E8" s="184" t="s">
        <v>42</v>
      </c>
      <c r="F8" s="184" t="s">
        <v>99</v>
      </c>
      <c r="G8" s="184">
        <v>3</v>
      </c>
      <c r="H8" s="184">
        <v>2</v>
      </c>
      <c r="I8" s="184">
        <v>1</v>
      </c>
      <c r="Q8" s="2" t="s">
        <v>42</v>
      </c>
      <c r="R8" s="8">
        <f t="shared" si="0"/>
        <v>5</v>
      </c>
      <c r="S8" s="9">
        <f t="shared" si="1"/>
        <v>3</v>
      </c>
      <c r="T8" s="9">
        <f t="shared" si="2"/>
        <v>2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5">
      <c r="B9" s="184">
        <v>6</v>
      </c>
      <c r="C9" s="184" t="s">
        <v>26</v>
      </c>
      <c r="D9" s="184" t="s">
        <v>47</v>
      </c>
      <c r="E9" s="184" t="s">
        <v>115</v>
      </c>
      <c r="F9" s="184" t="s">
        <v>204</v>
      </c>
      <c r="G9" s="184">
        <v>4</v>
      </c>
      <c r="H9" s="184">
        <v>3</v>
      </c>
      <c r="I9" s="184">
        <v>1</v>
      </c>
      <c r="Q9" s="16" t="s">
        <v>115</v>
      </c>
      <c r="R9" s="18">
        <f t="shared" si="0"/>
        <v>5</v>
      </c>
      <c r="S9" s="9">
        <f t="shared" si="1"/>
        <v>2</v>
      </c>
      <c r="T9" s="9">
        <f t="shared" si="2"/>
        <v>1</v>
      </c>
      <c r="U9" s="9">
        <f t="shared" si="3"/>
        <v>1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5">
      <c r="B10" s="184">
        <v>7</v>
      </c>
      <c r="C10" s="184" t="s">
        <v>26</v>
      </c>
      <c r="D10" s="184" t="s">
        <v>31</v>
      </c>
      <c r="E10" s="184" t="s">
        <v>42</v>
      </c>
      <c r="F10" s="184" t="s">
        <v>204</v>
      </c>
      <c r="G10" s="184">
        <v>5</v>
      </c>
      <c r="H10" s="184">
        <v>3</v>
      </c>
      <c r="I10" s="184">
        <v>1</v>
      </c>
      <c r="Q10" s="2" t="s">
        <v>44</v>
      </c>
      <c r="R10" s="8">
        <f t="shared" si="0"/>
        <v>1</v>
      </c>
      <c r="S10" s="9">
        <f t="shared" si="1"/>
        <v>0</v>
      </c>
      <c r="T10" s="9">
        <f t="shared" si="2"/>
        <v>1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5">
      <c r="B11" s="184">
        <v>8</v>
      </c>
      <c r="C11" s="184" t="s">
        <v>47</v>
      </c>
      <c r="D11" s="184" t="s">
        <v>26</v>
      </c>
      <c r="E11" s="184" t="s">
        <v>46</v>
      </c>
      <c r="F11" s="184" t="s">
        <v>204</v>
      </c>
      <c r="G11" s="184">
        <v>1</v>
      </c>
      <c r="H11" s="184">
        <v>1</v>
      </c>
      <c r="I11" s="184">
        <v>1</v>
      </c>
      <c r="Q11" s="2" t="s">
        <v>46</v>
      </c>
      <c r="R11" s="8">
        <f t="shared" si="0"/>
        <v>2</v>
      </c>
      <c r="S11" s="9">
        <f t="shared" si="1"/>
        <v>1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5">
      <c r="B12" s="184">
        <v>9</v>
      </c>
      <c r="C12" s="184" t="s">
        <v>31</v>
      </c>
      <c r="D12" s="184" t="s">
        <v>47</v>
      </c>
      <c r="E12" s="184" t="s">
        <v>44</v>
      </c>
      <c r="F12" s="184" t="s">
        <v>99</v>
      </c>
      <c r="G12" s="184">
        <v>1</v>
      </c>
      <c r="H12" s="184">
        <v>1</v>
      </c>
      <c r="I12" s="184">
        <v>1</v>
      </c>
      <c r="Q12" s="2" t="s">
        <v>50</v>
      </c>
      <c r="R12" s="8">
        <f t="shared" si="0"/>
        <v>10</v>
      </c>
      <c r="S12" s="9">
        <f t="shared" si="1"/>
        <v>6</v>
      </c>
      <c r="T12" s="9">
        <f t="shared" si="2"/>
        <v>4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84">
        <v>10</v>
      </c>
      <c r="C13" s="184" t="s">
        <v>26</v>
      </c>
      <c r="D13" s="184" t="s">
        <v>31</v>
      </c>
      <c r="E13" s="184" t="s">
        <v>50</v>
      </c>
      <c r="F13" s="184" t="s">
        <v>204</v>
      </c>
      <c r="G13" s="184">
        <v>1</v>
      </c>
      <c r="H13" s="184">
        <v>1</v>
      </c>
      <c r="I13" s="184">
        <v>1</v>
      </c>
      <c r="Q13" s="2" t="s">
        <v>52</v>
      </c>
      <c r="R13" s="8">
        <f t="shared" si="0"/>
        <v>2</v>
      </c>
      <c r="S13" s="9">
        <f t="shared" si="1"/>
        <v>1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84">
        <v>11</v>
      </c>
      <c r="C14" s="184" t="s">
        <v>26</v>
      </c>
      <c r="D14" s="184" t="s">
        <v>47</v>
      </c>
      <c r="E14" s="184" t="s">
        <v>50</v>
      </c>
      <c r="F14" s="184" t="s">
        <v>204</v>
      </c>
      <c r="G14" s="184">
        <v>2</v>
      </c>
      <c r="H14" s="184">
        <v>2</v>
      </c>
      <c r="I14" s="184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5">
      <c r="B15" s="184">
        <v>12</v>
      </c>
      <c r="C15" s="184" t="s">
        <v>26</v>
      </c>
      <c r="D15" s="184" t="s">
        <v>31</v>
      </c>
      <c r="E15" s="184" t="s">
        <v>42</v>
      </c>
      <c r="F15" s="184" t="s">
        <v>204</v>
      </c>
      <c r="G15" s="184">
        <v>3</v>
      </c>
      <c r="H15" s="184">
        <v>2</v>
      </c>
      <c r="I15" s="184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5">
      <c r="B16" s="184">
        <v>13</v>
      </c>
      <c r="C16" s="184" t="s">
        <v>26</v>
      </c>
      <c r="D16" s="184" t="s">
        <v>47</v>
      </c>
      <c r="E16" s="184" t="s">
        <v>50</v>
      </c>
      <c r="F16" s="184" t="s">
        <v>204</v>
      </c>
      <c r="G16" s="184">
        <v>4</v>
      </c>
      <c r="H16" s="184">
        <v>3</v>
      </c>
      <c r="I16" s="184">
        <v>1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2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/>
    </row>
    <row r="17" spans="2:32" ht="14.25" customHeight="1" x14ac:dyDescent="0.5">
      <c r="B17" s="184">
        <v>14</v>
      </c>
      <c r="C17" s="184" t="s">
        <v>26</v>
      </c>
      <c r="D17" s="184" t="s">
        <v>31</v>
      </c>
      <c r="E17" s="184" t="s">
        <v>42</v>
      </c>
      <c r="F17" s="184" t="s">
        <v>204</v>
      </c>
      <c r="G17" s="184">
        <v>5</v>
      </c>
      <c r="H17" s="184">
        <v>3</v>
      </c>
      <c r="I17" s="184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1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5">
      <c r="B18" s="184">
        <v>15</v>
      </c>
      <c r="C18" s="184" t="s">
        <v>26</v>
      </c>
      <c r="D18" s="184" t="s">
        <v>47</v>
      </c>
      <c r="E18" s="184" t="s">
        <v>50</v>
      </c>
      <c r="F18" s="184" t="s">
        <v>204</v>
      </c>
      <c r="G18" s="184">
        <v>6</v>
      </c>
      <c r="H18" s="184">
        <v>4</v>
      </c>
      <c r="I18" s="184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5">
      <c r="B19" s="184">
        <v>16</v>
      </c>
      <c r="C19" s="184" t="s">
        <v>26</v>
      </c>
      <c r="D19" s="184" t="s">
        <v>31</v>
      </c>
      <c r="E19" s="184" t="s">
        <v>50</v>
      </c>
      <c r="F19" s="184" t="s">
        <v>204</v>
      </c>
      <c r="G19" s="184">
        <v>7</v>
      </c>
      <c r="H19" s="184">
        <v>4</v>
      </c>
      <c r="I19" s="184">
        <v>2</v>
      </c>
      <c r="Q19" s="2" t="s">
        <v>67</v>
      </c>
      <c r="R19" s="8">
        <f t="shared" si="0"/>
        <v>2</v>
      </c>
      <c r="S19" s="9">
        <f t="shared" si="1"/>
        <v>0</v>
      </c>
      <c r="T19" s="9">
        <f t="shared" si="2"/>
        <v>0</v>
      </c>
      <c r="U19" s="9">
        <f t="shared" si="3"/>
        <v>1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32" ht="14.25" customHeight="1" x14ac:dyDescent="0.5">
      <c r="B20" s="184">
        <v>17</v>
      </c>
      <c r="C20" s="184" t="s">
        <v>26</v>
      </c>
      <c r="D20" s="184" t="s">
        <v>47</v>
      </c>
      <c r="E20" s="184" t="s">
        <v>50</v>
      </c>
      <c r="F20" s="184" t="s">
        <v>99</v>
      </c>
      <c r="G20" s="184">
        <v>8</v>
      </c>
      <c r="H20" s="184">
        <v>5</v>
      </c>
      <c r="I20" s="184">
        <v>3</v>
      </c>
      <c r="X20" s="52" t="str">
        <f t="shared" si="5"/>
        <v/>
      </c>
      <c r="Y20" s="52" t="str">
        <f t="shared" si="6"/>
        <v/>
      </c>
      <c r="Z20" s="52" t="str">
        <f t="shared" si="7"/>
        <v>5M/LG</v>
      </c>
    </row>
    <row r="21" spans="2:32" ht="14.25" customHeight="1" x14ac:dyDescent="0.5">
      <c r="B21" s="184">
        <v>18</v>
      </c>
      <c r="C21" s="184" t="s">
        <v>26</v>
      </c>
      <c r="D21" s="184" t="s">
        <v>31</v>
      </c>
      <c r="E21" s="184" t="s">
        <v>42</v>
      </c>
      <c r="F21" s="184" t="s">
        <v>99</v>
      </c>
      <c r="G21" s="184">
        <v>9</v>
      </c>
      <c r="H21" s="184">
        <v>5</v>
      </c>
      <c r="I21" s="184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5M/WW</v>
      </c>
    </row>
    <row r="22" spans="2:32" ht="14.25" customHeight="1" x14ac:dyDescent="0.5">
      <c r="B22" s="184">
        <v>19</v>
      </c>
      <c r="C22" s="184" t="s">
        <v>47</v>
      </c>
      <c r="D22" s="184" t="s">
        <v>26</v>
      </c>
      <c r="E22" s="184" t="s">
        <v>58</v>
      </c>
      <c r="F22" s="184" t="s">
        <v>204</v>
      </c>
      <c r="G22" s="184">
        <v>1</v>
      </c>
      <c r="H22" s="184">
        <v>1</v>
      </c>
      <c r="I22" s="184">
        <v>1</v>
      </c>
      <c r="X22" s="52" t="str">
        <f t="shared" si="5"/>
        <v>LG/5M</v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5">
      <c r="B23" s="184">
        <v>20</v>
      </c>
      <c r="C23" s="184" t="s">
        <v>31</v>
      </c>
      <c r="D23" s="184" t="s">
        <v>47</v>
      </c>
      <c r="E23" s="184" t="s">
        <v>67</v>
      </c>
      <c r="F23" s="184" t="s">
        <v>205</v>
      </c>
      <c r="G23" s="184">
        <v>1</v>
      </c>
      <c r="H23" s="184">
        <v>1</v>
      </c>
      <c r="I23" s="184">
        <v>1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84">
        <v>21</v>
      </c>
      <c r="C24" s="184" t="s">
        <v>26</v>
      </c>
      <c r="D24" s="184" t="s">
        <v>31</v>
      </c>
      <c r="E24" s="184" t="s">
        <v>202</v>
      </c>
      <c r="F24" s="184" t="s">
        <v>99</v>
      </c>
      <c r="G24" s="184">
        <v>1</v>
      </c>
      <c r="H24" s="184">
        <v>1</v>
      </c>
      <c r="I24" s="184">
        <v>1</v>
      </c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  <c r="AB24" s="158" t="s">
        <v>30</v>
      </c>
      <c r="AC24" s="165">
        <f>Table63132[[#This Row],[Finishes]]+Table63132[[#This Row],[Midranges]]+Table63132[[#This Row],[Threes]]+Table63132[[#This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84">
        <v>22</v>
      </c>
      <c r="C25" s="184" t="s">
        <v>26</v>
      </c>
      <c r="D25" s="184" t="s">
        <v>47</v>
      </c>
      <c r="E25" s="184" t="s">
        <v>115</v>
      </c>
      <c r="F25" s="184" t="s">
        <v>205</v>
      </c>
      <c r="G25" s="184">
        <v>2</v>
      </c>
      <c r="H25" s="184">
        <v>2</v>
      </c>
      <c r="I25" s="184">
        <v>1</v>
      </c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>5M/LG</v>
      </c>
      <c r="AB25" s="159" t="s">
        <v>35</v>
      </c>
      <c r="AC25" s="166">
        <f>Table63132[[#This Row],[Finishes]]+Table63132[[#This Row],[Midranges]]+Table63132[[#This Row],[Threes]]+Table63132[[#This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5">
      <c r="B26" s="184">
        <v>23</v>
      </c>
      <c r="C26" s="184" t="s">
        <v>26</v>
      </c>
      <c r="D26" s="184" t="s">
        <v>31</v>
      </c>
      <c r="E26" s="184" t="s">
        <v>50</v>
      </c>
      <c r="F26" s="184" t="s">
        <v>204</v>
      </c>
      <c r="G26" s="184">
        <v>3</v>
      </c>
      <c r="H26" s="184">
        <v>2</v>
      </c>
      <c r="I26" s="184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>5M/WW</v>
      </c>
      <c r="AB26" s="158" t="s">
        <v>37</v>
      </c>
      <c r="AC26" s="165">
        <f>Table63132[[#This Row],[Finishes]]+Table63132[[#This Row],[Midranges]]+Table63132[[#This Row],[Threes]]+Table63132[[#This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5">
      <c r="B27" s="184">
        <v>24</v>
      </c>
      <c r="C27" s="184" t="s">
        <v>26</v>
      </c>
      <c r="D27" s="184" t="s">
        <v>47</v>
      </c>
      <c r="E27" s="184" t="s">
        <v>50</v>
      </c>
      <c r="F27" s="184" t="s">
        <v>99</v>
      </c>
      <c r="G27" s="184">
        <v>4</v>
      </c>
      <c r="H27" s="184">
        <v>3</v>
      </c>
      <c r="I27" s="184">
        <v>2</v>
      </c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>5M/LG</v>
      </c>
      <c r="AB27" s="159" t="s">
        <v>42</v>
      </c>
      <c r="AC27" s="166">
        <f>Table63132[[#This Row],[Finishes]]+Table63132[[#This Row],[Midranges]]+Table63132[[#This Row],[Threes]]+Table63132[[#This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5">
      <c r="B28" s="184">
        <v>25</v>
      </c>
      <c r="C28" s="184" t="s">
        <v>26</v>
      </c>
      <c r="D28" s="184" t="s">
        <v>31</v>
      </c>
      <c r="E28" s="184" t="s">
        <v>50</v>
      </c>
      <c r="F28" s="184" t="s">
        <v>99</v>
      </c>
      <c r="G28" s="184">
        <v>5</v>
      </c>
      <c r="H28" s="184">
        <v>3</v>
      </c>
      <c r="I28" s="184">
        <v>3</v>
      </c>
      <c r="R28" s="16" t="str">
        <f t="shared" si="9"/>
        <v>5,</v>
      </c>
      <c r="S28" s="16" t="str">
        <f t="shared" si="9"/>
        <v>3,</v>
      </c>
      <c r="T28" s="16" t="str">
        <f t="shared" si="9"/>
        <v>2,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>5M/WW</v>
      </c>
      <c r="AB28" s="158" t="s">
        <v>115</v>
      </c>
      <c r="AC28" s="165">
        <f>Table63132[[#This Row],[Finishes]]+Table63132[[#This Row],[Midranges]]+Table63132[[#This Row],[Threes]]+Table63132[[#This Row],[Threes]]</f>
        <v>4</v>
      </c>
      <c r="AD28" s="156">
        <f>COUNTIFS(D4:D35, "Loose Gooses", E$4:E$35,AB28,F$4:F$35,"Finish")</f>
        <v>1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1</v>
      </c>
    </row>
    <row r="29" spans="2:32" ht="14.25" customHeight="1" x14ac:dyDescent="0.5">
      <c r="B29" s="184">
        <v>26</v>
      </c>
      <c r="C29" s="184" t="s">
        <v>47</v>
      </c>
      <c r="D29" s="184" t="s">
        <v>26</v>
      </c>
      <c r="E29" s="184" t="s">
        <v>58</v>
      </c>
      <c r="F29" s="184" t="s">
        <v>99</v>
      </c>
      <c r="G29" s="184">
        <v>1</v>
      </c>
      <c r="H29" s="184">
        <v>1</v>
      </c>
      <c r="I29" s="184">
        <v>1</v>
      </c>
      <c r="R29" s="16" t="str">
        <f t="shared" si="9"/>
        <v>5,</v>
      </c>
      <c r="S29" s="16" t="str">
        <f t="shared" si="9"/>
        <v>2,</v>
      </c>
      <c r="T29" s="16" t="str">
        <f t="shared" si="9"/>
        <v>1,</v>
      </c>
      <c r="U29" s="16" t="str">
        <f t="shared" si="9"/>
        <v>1,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Table63132[[#This Row],[Finishes]]+Table63132[[#This Row],[Midranges]]+Table63132[[#This Row],[Threes]]+Table63132[[#This Row],[Threes]]</f>
        <v>1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0</v>
      </c>
    </row>
    <row r="30" spans="2:32" ht="14.25" customHeight="1" x14ac:dyDescent="0.5">
      <c r="B30" s="184">
        <v>27</v>
      </c>
      <c r="C30" s="184" t="s">
        <v>31</v>
      </c>
      <c r="D30" s="184" t="s">
        <v>47</v>
      </c>
      <c r="E30" s="184" t="s">
        <v>52</v>
      </c>
      <c r="F30" s="184" t="s">
        <v>99</v>
      </c>
      <c r="G30" s="184">
        <v>1</v>
      </c>
      <c r="H30" s="184">
        <v>1</v>
      </c>
      <c r="I30" s="184">
        <v>1</v>
      </c>
      <c r="R30" s="16" t="str">
        <f t="shared" si="9"/>
        <v>1,</v>
      </c>
      <c r="S30" s="16" t="str">
        <f t="shared" si="9"/>
        <v>0,</v>
      </c>
      <c r="T30" s="16" t="str">
        <f t="shared" si="9"/>
        <v>1,</v>
      </c>
      <c r="U30" s="16" t="str">
        <f t="shared" si="9"/>
        <v>0,</v>
      </c>
      <c r="X30" s="52" t="str">
        <f t="shared" si="5"/>
        <v/>
      </c>
      <c r="Y30" s="52" t="str">
        <f t="shared" si="6"/>
        <v>WW/LG</v>
      </c>
      <c r="Z30" s="52" t="str">
        <f t="shared" si="7"/>
        <v/>
      </c>
      <c r="AB30" s="158" t="s">
        <v>50</v>
      </c>
      <c r="AC30" s="165">
        <f>Table63132[[#This Row],[Finishes]]+Table63132[[#This Row],[Midranges]]+Table63132[[#This Row],[Threes]]+Table63132[[#This Row],[Threes]]</f>
        <v>5</v>
      </c>
      <c r="AD30" s="156">
        <f>COUNTIFS(D4:D35, "Loose Gooses", E$4:E$35,AB30,F$4:F$35,"Finish")</f>
        <v>3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5">
      <c r="B31" s="184">
        <v>28</v>
      </c>
      <c r="C31" s="184" t="s">
        <v>26</v>
      </c>
      <c r="D31" s="184" t="s">
        <v>31</v>
      </c>
      <c r="E31" s="184" t="s">
        <v>50</v>
      </c>
      <c r="F31" s="184" t="s">
        <v>99</v>
      </c>
      <c r="G31" s="184">
        <v>1</v>
      </c>
      <c r="H31" s="184">
        <v>1</v>
      </c>
      <c r="I31" s="184">
        <v>1</v>
      </c>
      <c r="R31" s="16" t="str">
        <f t="shared" si="9"/>
        <v>2,</v>
      </c>
      <c r="S31" s="16" t="str">
        <f t="shared" si="9"/>
        <v>1,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>5M/WW</v>
      </c>
      <c r="AB31" s="159" t="s">
        <v>52</v>
      </c>
      <c r="AC31" s="166">
        <f>Table63132[[#This Row],[Finishes]]+Table63132[[#This Row],[Midranges]]+Table63132[[#This Row],[Threes]]+Table63132[[#This Row],[Threes]]</f>
        <v>2</v>
      </c>
      <c r="AD31" s="157">
        <f>COUNTIFS(D4:D35, "Loose Gooses", E$4:E$35,AB31,F$4:F$35,"Finish")</f>
        <v>1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5">
      <c r="B32" s="184">
        <v>29</v>
      </c>
      <c r="C32" s="184" t="s">
        <v>47</v>
      </c>
      <c r="D32" s="184" t="s">
        <v>26</v>
      </c>
      <c r="E32" s="184" t="s">
        <v>58</v>
      </c>
      <c r="F32" s="184" t="s">
        <v>99</v>
      </c>
      <c r="G32" s="184">
        <v>1</v>
      </c>
      <c r="H32" s="184">
        <v>1</v>
      </c>
      <c r="I32" s="184">
        <v>1</v>
      </c>
      <c r="R32" s="16" t="str">
        <f t="shared" si="9"/>
        <v>10,</v>
      </c>
      <c r="S32" s="16" t="str">
        <f t="shared" si="9"/>
        <v>6,</v>
      </c>
      <c r="T32" s="16" t="str">
        <f t="shared" si="9"/>
        <v>4,</v>
      </c>
      <c r="U32" s="16" t="str">
        <f t="shared" si="9"/>
        <v>0,</v>
      </c>
      <c r="X32" s="52" t="str">
        <f t="shared" si="5"/>
        <v>LG/5M</v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Table63132[[#This Row],[Finishes]]+Table63132[[#This Row],[Midranges]]+Table63132[[#This Row],[Threes]]+Table63132[[#This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5">
      <c r="B33" s="184">
        <v>30</v>
      </c>
      <c r="C33" s="184" t="s">
        <v>31</v>
      </c>
      <c r="D33" s="184" t="s">
        <v>47</v>
      </c>
      <c r="E33" s="184" t="s">
        <v>37</v>
      </c>
      <c r="F33" s="184" t="s">
        <v>204</v>
      </c>
      <c r="G33" s="184">
        <v>1</v>
      </c>
      <c r="H33" s="184">
        <v>1</v>
      </c>
      <c r="I33" s="184">
        <v>1</v>
      </c>
      <c r="R33" s="16" t="str">
        <f t="shared" si="9"/>
        <v>2,</v>
      </c>
      <c r="S33" s="16" t="str">
        <f t="shared" si="9"/>
        <v>1,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>WW/LG</v>
      </c>
      <c r="Z33" s="52" t="str">
        <f t="shared" si="7"/>
        <v/>
      </c>
      <c r="AB33" s="159" t="s">
        <v>55</v>
      </c>
      <c r="AC33" s="166">
        <f>Table63132[[#This Row],[Finishes]]+Table63132[[#This Row],[Midranges]]+Table63132[[#This Row],[Threes]]+Table63132[[#This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Table63132[[#This Row],[Finishes]]+Table63132[[#This Row],[Midranges]]+Table63132[[#This Row],[Threes]]+Table63132[[#This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Table63132[[#This Row],[Finishes]]+Table63132[[#This Row],[Midranges]]+Table63132[[#This Row],[Threes]]+Table63132[[#This Row],[Threes]]</f>
        <v>2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1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2,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"Did not Play",</v>
      </c>
      <c r="S37" s="16" t="str">
        <f t="shared" si="9"/>
        <v>"Did not Play",</v>
      </c>
      <c r="T37" s="16" t="str">
        <f t="shared" si="9"/>
        <v>"Did not Play",</v>
      </c>
      <c r="U37" s="16" t="str">
        <f t="shared" si="9"/>
        <v>"Did not Play",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1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87" t="s">
        <v>119</v>
      </c>
      <c r="U41" s="187"/>
      <c r="V41" s="187"/>
    </row>
    <row r="42" spans="2:32" ht="14.25" customHeight="1" x14ac:dyDescent="0.9">
      <c r="R42" s="94"/>
      <c r="S42" s="94"/>
      <c r="T42" s="187"/>
      <c r="U42" s="187"/>
      <c r="V42" s="187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"Date":["15-August"],</v>
      </c>
    </row>
    <row r="45" spans="2:32" ht="14.25" customHeight="1" x14ac:dyDescent="0.45">
      <c r="B45" s="74" t="str">
        <f>C2</f>
        <v>15-August</v>
      </c>
      <c r="C45" s="16">
        <f>MAX(L3:L5)</f>
        <v>20</v>
      </c>
      <c r="D45" s="16">
        <f>COUNT(B4:B42)-C45-E45</f>
        <v>5</v>
      </c>
      <c r="E45" s="16">
        <f>MIN(L3:L5)</f>
        <v>5</v>
      </c>
      <c r="F45" s="16">
        <f>L3</f>
        <v>5</v>
      </c>
      <c r="G45" s="16">
        <f>COUNTIF(Y4:Y39, "WW/LG")</f>
        <v>5</v>
      </c>
      <c r="H45" s="16">
        <f>COUNTIF(Z4:Z39, "5M/LG")</f>
        <v>8</v>
      </c>
      <c r="I45" s="16">
        <f>L5</f>
        <v>5</v>
      </c>
      <c r="J45" s="16">
        <f>COUNTIF(X4:X39, "LG/WW")</f>
        <v>0</v>
      </c>
      <c r="K45" s="16">
        <f>COUNTIF(Z4:Z39, "5M/WW")</f>
        <v>12</v>
      </c>
      <c r="L45" s="16">
        <f>L4</f>
        <v>20</v>
      </c>
      <c r="M45" s="16">
        <f>COUNTIF(X4:X39, "LG/5M")</f>
        <v>5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Play","Did not Play",1,5,5,1,2,10,2,"Did not Play","Did not Play",3,"Did not Play",0,2],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Play","Did not Play",1,3,2,0,1,6,1,"Did not Play","Did not Play",1,"Did not Play",0,0],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Play","Did not Play",0,2,1,1,1,4,1,"Did not Play","Did not Play",2,"Did not Play",0,0],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Play","Did not Play",0,0,1,0,0,0,0,"Did not Play","Did not Play",0,"Did not Play",0,1]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SfW</vt:lpstr>
      <vt:lpstr>Stats Global</vt:lpstr>
      <vt:lpstr>Statistics LG</vt:lpstr>
      <vt:lpstr>Statistics WW</vt:lpstr>
      <vt:lpstr>Statistics 5M</vt:lpstr>
      <vt:lpstr>Template</vt:lpstr>
      <vt:lpstr>Finals 1</vt:lpstr>
      <vt:lpstr>1708</vt:lpstr>
      <vt:lpstr>1508</vt:lpstr>
      <vt:lpstr>1408</vt:lpstr>
      <vt:lpstr>1008</vt:lpstr>
      <vt:lpstr>0908</vt:lpstr>
      <vt:lpstr>0808</vt:lpstr>
      <vt:lpstr>0308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2023-08-20T22:33:52Z</dcterms:modified>
</cp:coreProperties>
</file>