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D4006B0-C0AC-49CF-9D96-7DB366830024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707" sheetId="17" r:id="rId7"/>
    <sheet name="2607" sheetId="16" r:id="rId8"/>
    <sheet name="2407" sheetId="15" r:id="rId9"/>
    <sheet name="2007" sheetId="14" r:id="rId10"/>
    <sheet name="1907" sheetId="13" r:id="rId11"/>
    <sheet name="1807" sheetId="12" r:id="rId12"/>
    <sheet name="1707" sheetId="11" r:id="rId13"/>
    <sheet name="Preseason 3" sheetId="10" r:id="rId14"/>
    <sheet name="Preseason 2" sheetId="9" r:id="rId15"/>
    <sheet name="Preseason 1" sheetId="8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3" l="1"/>
  <c r="AV3" i="3"/>
  <c r="AY8" i="3" s="1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R11" i="17"/>
  <c r="R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R7" i="17"/>
  <c r="R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AJ9" i="3"/>
  <c r="AP9" i="3" s="1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BA21" i="3" l="1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Y5" i="3"/>
  <c r="AZ17" i="3"/>
  <c r="BA11" i="3"/>
  <c r="BA6" i="3"/>
  <c r="AY14" i="3"/>
  <c r="G45" i="17"/>
  <c r="G14" i="3" s="1"/>
  <c r="AD49" i="3"/>
  <c r="AC64" i="3"/>
  <c r="AC62" i="3"/>
  <c r="AC60" i="3"/>
  <c r="AC58" i="3"/>
  <c r="AC56" i="3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A54" i="3"/>
  <c r="AA50" i="3"/>
  <c r="AD65" i="3"/>
  <c r="AD63" i="3"/>
  <c r="AD61" i="3"/>
  <c r="AD59" i="3"/>
  <c r="AD57" i="3"/>
  <c r="AD55" i="3"/>
  <c r="AD53" i="3"/>
  <c r="AD51" i="3"/>
  <c r="AH51" i="3" s="1"/>
  <c r="N5" i="17"/>
  <c r="R10" i="17"/>
  <c r="R15" i="17"/>
  <c r="AC65" i="3"/>
  <c r="AC63" i="3"/>
  <c r="AC61" i="3"/>
  <c r="AC59" i="3"/>
  <c r="AC57" i="3"/>
  <c r="AC55" i="3"/>
  <c r="AC53" i="3"/>
  <c r="AC51" i="3"/>
  <c r="E45" i="17"/>
  <c r="E14" i="3" s="1"/>
  <c r="C45" i="17"/>
  <c r="C14" i="3" s="1"/>
  <c r="AB65" i="3"/>
  <c r="AB63" i="3"/>
  <c r="AB61" i="3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3" i="3"/>
  <c r="AA51" i="3"/>
  <c r="R18" i="17"/>
  <c r="AD64" i="3"/>
  <c r="AH64" i="3" s="1"/>
  <c r="AD62" i="3"/>
  <c r="AD60" i="3"/>
  <c r="AD58" i="3"/>
  <c r="AD56" i="3"/>
  <c r="AD54" i="3"/>
  <c r="AD52" i="3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E62" i="3"/>
  <c r="AH59" i="3"/>
  <c r="AH53" i="3"/>
  <c r="K45" i="16"/>
  <c r="K13" i="3" s="1"/>
  <c r="AG61" i="3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AF61" i="3"/>
  <c r="M45" i="15"/>
  <c r="M12" i="3" s="1"/>
  <c r="AH62" i="3"/>
  <c r="AH60" i="3"/>
  <c r="AH58" i="3"/>
  <c r="AH56" i="3"/>
  <c r="AH54" i="3"/>
  <c r="AH52" i="3"/>
  <c r="AH50" i="3"/>
  <c r="T47" i="15"/>
  <c r="G45" i="15"/>
  <c r="G12" i="3" s="1"/>
  <c r="R8" i="15"/>
  <c r="AG64" i="3"/>
  <c r="AG62" i="3"/>
  <c r="AG60" i="3"/>
  <c r="AG56" i="3"/>
  <c r="AG52" i="3"/>
  <c r="AG58" i="3"/>
  <c r="AG50" i="3"/>
  <c r="AF64" i="3"/>
  <c r="AF62" i="3"/>
  <c r="AF54" i="3"/>
  <c r="AF52" i="3"/>
  <c r="AF65" i="3"/>
  <c r="AF57" i="3"/>
  <c r="N4" i="15"/>
  <c r="R6" i="15"/>
  <c r="AF49" i="3"/>
  <c r="R18" i="15"/>
  <c r="AH65" i="3"/>
  <c r="AH61" i="3"/>
  <c r="AH57" i="3"/>
  <c r="AH55" i="3"/>
  <c r="K45" i="15"/>
  <c r="K12" i="3" s="1"/>
  <c r="N3" i="15"/>
  <c r="R4" i="15"/>
  <c r="R3" i="15"/>
  <c r="AG65" i="3"/>
  <c r="AG63" i="3"/>
  <c r="AG57" i="3"/>
  <c r="AG53" i="3"/>
  <c r="AG51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39" i="17" l="1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AE58" i="3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7" l="1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5" l="1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<sst xmlns="http://schemas.openxmlformats.org/spreadsheetml/2006/main" count="2075" uniqueCount="255">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</sst>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1"/>
    <xf numFmtId="9" fontId="20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22" fillId="0" borderId="0" xfId="0" applyFont="1"/>
    <xf numFmtId="0" fontId="21" fillId="0" borderId="1" xfId="0" applyFont="1" applyBorder="1"/>
    <xf numFmtId="2" fontId="21" fillId="0" borderId="0" xfId="0" applyNumberFormat="1" applyFont="1"/>
    <xf numFmtId="164" fontId="23" fillId="0" borderId="0" xfId="0" applyNumberFormat="1" applyFont="1"/>
    <xf numFmtId="0" fontId="22" fillId="0" borderId="0" xfId="0" applyFont="1" applyAlignment="1"/>
    <xf numFmtId="2" fontId="20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10" fontId="21" fillId="0" borderId="0" xfId="0" applyNumberFormat="1" applyFont="1"/>
    <xf numFmtId="0" fontId="20" fillId="0" borderId="0" xfId="0" applyFont="1"/>
    <xf numFmtId="16" fontId="20" fillId="0" borderId="0" xfId="0" applyNumberFormat="1" applyFont="1" applyAlignment="1"/>
    <xf numFmtId="0" fontId="25" fillId="0" borderId="0" xfId="0" applyFont="1" applyAlignment="1"/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5" fillId="0" borderId="3" xfId="0" applyFont="1" applyFill="1" applyBorder="1"/>
    <xf numFmtId="0" fontId="25" fillId="0" borderId="4" xfId="0" applyFont="1" applyFill="1" applyBorder="1"/>
    <xf numFmtId="0" fontId="25" fillId="0" borderId="4" xfId="0" applyFont="1" applyFill="1" applyBorder="1" applyAlignment="1"/>
    <xf numFmtId="0" fontId="26" fillId="0" borderId="4" xfId="0" applyFont="1" applyFill="1" applyBorder="1" applyAlignment="1"/>
    <xf numFmtId="0" fontId="22" fillId="0" borderId="5" xfId="0" applyFont="1" applyFill="1" applyBorder="1"/>
    <xf numFmtId="0" fontId="0" fillId="0" borderId="0" xfId="0"/>
    <xf numFmtId="0" fontId="31" fillId="0" borderId="0" xfId="0" applyFont="1"/>
    <xf numFmtId="9" fontId="0" fillId="0" borderId="0" xfId="2" applyFont="1" applyAlignment="1"/>
    <xf numFmtId="0" fontId="25" fillId="0" borderId="0" xfId="0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1" fontId="0" fillId="0" borderId="0" xfId="0" quotePrefix="1" applyNumberFormat="1" applyFont="1" applyFill="1" applyAlignment="1"/>
    <xf numFmtId="2" fontId="21" fillId="0" borderId="0" xfId="0" applyNumberFormat="1" applyFont="1" applyFill="1"/>
    <xf numFmtId="1" fontId="20" fillId="0" borderId="0" xfId="0" applyNumberFormat="1" applyFont="1" applyFill="1" applyAlignment="1"/>
    <xf numFmtId="0" fontId="20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6" fillId="0" borderId="5" xfId="0" applyFont="1" applyFill="1" applyBorder="1" applyAlignment="1"/>
    <xf numFmtId="9" fontId="0" fillId="0" borderId="0" xfId="0" applyNumberFormat="1" applyFont="1" applyAlignment="1"/>
    <xf numFmtId="0" fontId="2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5" fillId="0" borderId="0" xfId="0" applyFont="1" applyAlignment="1">
      <alignment horizontal="center"/>
    </xf>
    <xf numFmtId="0" fontId="19" fillId="0" borderId="0" xfId="0" applyFont="1" applyAlignment="1"/>
    <xf numFmtId="165" fontId="31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7" fillId="0" borderId="0" xfId="0" applyFont="1" applyAlignment="1"/>
    <xf numFmtId="16" fontId="18" fillId="0" borderId="0" xfId="0" applyNumberFormat="1" applyFont="1" applyAlignment="1"/>
    <xf numFmtId="0" fontId="20" fillId="0" borderId="0" xfId="0" applyFont="1" applyFill="1" applyAlignment="1"/>
    <xf numFmtId="0" fontId="29" fillId="0" borderId="1" xfId="1" applyNumberFormat="1"/>
    <xf numFmtId="0" fontId="30" fillId="0" borderId="1" xfId="0" applyFont="1" applyBorder="1" applyAlignment="1">
      <alignment horizontal="center"/>
    </xf>
    <xf numFmtId="49" fontId="21" fillId="0" borderId="0" xfId="0" applyNumberFormat="1" applyFont="1"/>
    <xf numFmtId="0" fontId="22" fillId="3" borderId="0" xfId="0" applyFont="1" applyFill="1"/>
    <xf numFmtId="0" fontId="20" fillId="3" borderId="0" xfId="0" applyFont="1" applyFill="1"/>
    <xf numFmtId="0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2" fillId="0" borderId="1" xfId="0" applyFont="1" applyFill="1" applyBorder="1"/>
    <xf numFmtId="9" fontId="0" fillId="0" borderId="1" xfId="2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0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1" fillId="0" borderId="2" xfId="0" applyNumberFormat="1" applyFont="1" applyFill="1" applyBorder="1"/>
    <xf numFmtId="1" fontId="20" fillId="0" borderId="2" xfId="0" applyNumberFormat="1" applyFont="1" applyFill="1" applyBorder="1" applyAlignment="1"/>
    <xf numFmtId="0" fontId="20" fillId="0" borderId="2" xfId="0" applyFont="1" applyFill="1" applyBorder="1"/>
    <xf numFmtId="1" fontId="21" fillId="0" borderId="6" xfId="0" applyNumberFormat="1" applyFont="1" applyFill="1" applyBorder="1"/>
    <xf numFmtId="0" fontId="11" fillId="0" borderId="0" xfId="0" applyFont="1" applyAlignment="1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1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1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9" fontId="21" fillId="0" borderId="1" xfId="2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20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" fontId="21" fillId="0" borderId="1" xfId="0" applyNumberFormat="1" applyFont="1" applyFill="1" applyBorder="1" applyAlignment="1">
      <alignment vertical="center"/>
    </xf>
    <xf numFmtId="0" fontId="30" fillId="0" borderId="1" xfId="0" applyFont="1" applyBorder="1" applyAlignment="1"/>
    <xf numFmtId="0" fontId="10" fillId="0" borderId="0" xfId="0" applyFont="1" applyAlignment="1"/>
    <xf numFmtId="0" fontId="10" fillId="0" borderId="0" xfId="0" applyFont="1"/>
    <xf numFmtId="0" fontId="21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" xfId="0" applyFont="1" applyFill="1" applyBorder="1"/>
    <xf numFmtId="0" fontId="33" fillId="0" borderId="1" xfId="0" applyFont="1" applyFill="1" applyBorder="1" applyAlignment="1"/>
    <xf numFmtId="0" fontId="34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3" borderId="2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1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1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9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7" fillId="0" borderId="0" xfId="0" applyNumberFormat="1" applyFont="1"/>
    <xf numFmtId="16" fontId="21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1" fontId="20" fillId="0" borderId="0" xfId="0" applyNumberFormat="1" applyFont="1" applyFill="1"/>
    <xf numFmtId="0" fontId="0" fillId="0" borderId="1" xfId="2" applyNumberFormat="1" applyFont="1" applyFill="1" applyBorder="1" applyAlignment="1"/>
    <xf numFmtId="10" fontId="25" fillId="0" borderId="1" xfId="2" applyNumberFormat="1" applyFont="1" applyFill="1" applyBorder="1" applyAlignment="1"/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0" fillId="3" borderId="2" xfId="0" applyNumberFormat="1" applyFont="1" applyFill="1" applyBorder="1" applyAlignment="1"/>
    <xf numFmtId="0" fontId="21" fillId="3" borderId="2" xfId="0" applyNumberFormat="1" applyFont="1" applyFill="1" applyBorder="1"/>
    <xf numFmtId="1" fontId="16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2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" fillId="0" borderId="0" xfId="0" applyFont="1" applyAlignment="1"/>
    <xf numFmtId="0" fontId="3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0.69473684210526321</c:v>
                </c:pt>
                <c:pt idx="1">
                  <c:v>0.17894736842105263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1">
  <autoFilter ref="AU4:BA21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0.42857142857142855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0.42857142857142855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1.1666666666666667</v>
      </c>
      <c r="E4" s="12">
        <f>'Stats Global'!AA9</f>
        <v>7</v>
      </c>
      <c r="F4" s="8">
        <f>'Stats Global'!AD9</f>
        <v>1.1666666666666667</v>
      </c>
      <c r="G4" s="12">
        <f>'Stats Global'!AC9</f>
        <v>7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3.6666666666666665</v>
      </c>
      <c r="E5" s="12">
        <f>'Stats Global'!AA10</f>
        <v>11</v>
      </c>
      <c r="F5" s="8">
        <f>'Stats Global'!AD10</f>
        <v>3.3333333333333335</v>
      </c>
      <c r="G5" s="12">
        <f>'Stats Global'!AC10</f>
        <v>10</v>
      </c>
      <c r="H5" s="8">
        <f>'Stats Global'!AF10</f>
        <v>0.33333333333333331</v>
      </c>
      <c r="I5" s="12">
        <f>'Stats Global'!AE10</f>
        <v>1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3</v>
      </c>
      <c r="F8" s="8">
        <f>'Stats Global'!AD13</f>
        <v>0.33333333333333331</v>
      </c>
      <c r="G8" s="12">
        <f>'Stats Global'!AC13</f>
        <v>2</v>
      </c>
      <c r="H8" s="8">
        <f>'Stats Global'!AF13</f>
        <v>0.16666666666666666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0.5714285714285714</v>
      </c>
      <c r="E9" s="12">
        <f>'Stats Global'!AA14</f>
        <v>4</v>
      </c>
      <c r="F9" s="8">
        <f>'Stats Global'!AD14</f>
        <v>0.42857142857142855</v>
      </c>
      <c r="G9" s="12">
        <f>'Stats Global'!AC14</f>
        <v>3</v>
      </c>
      <c r="H9" s="8">
        <f>'Stats Global'!AF14</f>
        <v>0.14285714285714285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1.8571428571428572</v>
      </c>
      <c r="E11" s="12">
        <f>'Stats Global'!AA16</f>
        <v>13</v>
      </c>
      <c r="F11" s="8">
        <f>'Stats Global'!AD16</f>
        <v>0.5714285714285714</v>
      </c>
      <c r="G11" s="12">
        <f>'Stats Global'!AC16</f>
        <v>4</v>
      </c>
      <c r="H11" s="8">
        <f>'Stats Global'!AF16</f>
        <v>0.7142857142857143</v>
      </c>
      <c r="I11" s="12">
        <f>'Stats Global'!AE16</f>
        <v>5</v>
      </c>
      <c r="J11" s="8">
        <f>'Stats Global'!AH16</f>
        <v>0.2857142857142857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14</v>
      </c>
      <c r="F12" s="8">
        <f>'Stats Global'!AD17</f>
        <v>0.2857142857142857</v>
      </c>
      <c r="G12" s="12">
        <f>'Stats Global'!AC17</f>
        <v>2</v>
      </c>
      <c r="H12" s="8">
        <f>'Stats Global'!AF17</f>
        <v>1.4285714285714286</v>
      </c>
      <c r="I12" s="12">
        <f>'Stats Global'!AE17</f>
        <v>10</v>
      </c>
      <c r="J12" s="8">
        <f>'Stats Global'!AH17</f>
        <v>0.14285714285714285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0.8571428571428571</v>
      </c>
      <c r="E13" s="12">
        <f>'Stats Global'!AA18</f>
        <v>6</v>
      </c>
      <c r="F13" s="8">
        <f>'Stats Global'!AD18</f>
        <v>0.14285714285714285</v>
      </c>
      <c r="G13" s="12">
        <f>'Stats Global'!AC18</f>
        <v>1</v>
      </c>
      <c r="H13" s="8">
        <f>'Stats Global'!AF18</f>
        <v>0.7142857142857143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0.42857142857142855</v>
      </c>
      <c r="E15" s="12">
        <f>'Stats Global'!AA20</f>
        <v>3</v>
      </c>
      <c r="F15" s="8">
        <f>'Stats Global'!AD20</f>
        <v>0.2857142857142857</v>
      </c>
      <c r="G15" s="12">
        <f>'Stats Global'!AC20</f>
        <v>2</v>
      </c>
      <c r="H15" s="8">
        <f>'Stats Global'!AF20</f>
        <v>0.14285714285714285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1.2857142857142858</v>
      </c>
      <c r="E16" s="12">
        <f>'Stats Global'!AA21</f>
        <v>9</v>
      </c>
      <c r="F16" s="8">
        <f>'Stats Global'!AD21</f>
        <v>0.7142857142857143</v>
      </c>
      <c r="G16" s="12">
        <f>'Stats Global'!AC21</f>
        <v>5</v>
      </c>
      <c r="H16" s="8">
        <f>'Stats Global'!AF21</f>
        <v>0.2857142857142857</v>
      </c>
      <c r="I16" s="12">
        <f>'Stats Global'!AE21</f>
        <v>2</v>
      </c>
      <c r="J16" s="8">
        <f>'Stats Global'!AH21</f>
        <v>0.14285714285714285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</v>
      </c>
      <c r="E17" s="12">
        <f>'Stats Global'!AA22</f>
        <v>21</v>
      </c>
      <c r="F17" s="8">
        <f>'Stats Global'!AD22</f>
        <v>1.5714285714285714</v>
      </c>
      <c r="G17" s="12">
        <f>'Stats Global'!AC22</f>
        <v>11</v>
      </c>
      <c r="H17" s="8">
        <f>'Stats Global'!AF22</f>
        <v>0.8571428571428571</v>
      </c>
      <c r="I17" s="12">
        <f>'Stats Global'!AE22</f>
        <v>6</v>
      </c>
      <c r="J17" s="8">
        <f>'Stats Global'!AH22</f>
        <v>0.2857142857142857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0.14285714285714285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0.14285714285714285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6" t="s">
        <v>119</v>
      </c>
      <c r="C22" s="156"/>
      <c r="D22" s="102"/>
      <c r="X22" s="2" t="s">
        <v>70</v>
      </c>
    </row>
    <row r="23" spans="2:24" ht="14.25" customHeight="1" x14ac:dyDescent="0.9">
      <c r="B23" s="156"/>
      <c r="C23" s="156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"PPG":[0.43,1.17,3.67,1,0.2,0.5,0.57,0,1.86,2,0.86,0,0.43,1.29,3,0.14,0],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"TP":[3,7,11,5,1,3,4,0,13,14,6,0,3,9,21,1,0],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"FPG":[0,1.17,3.33,1,0,0.33,0.43,0,0.57,0.29,0.14,0,0.29,0.71,1.57,0,0],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"TF":[0,7,10,5,0,2,3,0,4,2,1,0,2,5,11,0,0],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"MPG":[0.43,0,0.33,0,0.2,0.17,0.14,0,0.71,1.43,0.71,0,0.14,0.29,0.86,0.14,0],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"TM":[3,0,1,0,1,1,1,0,5,10,5,0,1,2,6,1,0],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"TPG":[0,0,0,0,0,0,0,0,0.29,0.14,0,0,0,0.14,0.29,0,0],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0.43,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0.43,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1.17,</v>
      </c>
      <c r="E51" s="18" t="str">
        <f t="shared" si="7"/>
        <v>7,</v>
      </c>
      <c r="F51" s="18" t="str">
        <f t="shared" si="8"/>
        <v>1.17,</v>
      </c>
      <c r="G51" s="18" t="str">
        <f t="shared" si="9"/>
        <v>7,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3.67,</v>
      </c>
      <c r="E52" s="18" t="str">
        <f t="shared" si="7"/>
        <v>11,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0.33,</v>
      </c>
      <c r="I52" s="18" t="str">
        <f t="shared" si="11"/>
        <v>1,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3,</v>
      </c>
      <c r="F55" s="18" t="str">
        <f t="shared" si="8"/>
        <v>0.33,</v>
      </c>
      <c r="G55" s="18" t="str">
        <f t="shared" si="9"/>
        <v>2,</v>
      </c>
      <c r="H55" s="18" t="str">
        <f t="shared" si="10"/>
        <v>0.17,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0.57,</v>
      </c>
      <c r="E56" s="18" t="str">
        <f t="shared" si="7"/>
        <v>4,</v>
      </c>
      <c r="F56" s="18" t="str">
        <f t="shared" si="8"/>
        <v>0.43,</v>
      </c>
      <c r="G56" s="18" t="str">
        <f t="shared" si="9"/>
        <v>3,</v>
      </c>
      <c r="H56" s="18" t="str">
        <f t="shared" si="10"/>
        <v>0.14,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1.86,</v>
      </c>
      <c r="E58" s="18" t="str">
        <f t="shared" si="7"/>
        <v>13,</v>
      </c>
      <c r="F58" s="18" t="str">
        <f t="shared" si="8"/>
        <v>0.57,</v>
      </c>
      <c r="G58" s="18" t="str">
        <f t="shared" si="9"/>
        <v>4,</v>
      </c>
      <c r="H58" s="18" t="str">
        <f t="shared" si="10"/>
        <v>0.71,</v>
      </c>
      <c r="I58" s="18" t="str">
        <f t="shared" si="11"/>
        <v>5,</v>
      </c>
      <c r="J58" s="18" t="str">
        <f t="shared" si="12"/>
        <v>0.29,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14,</v>
      </c>
      <c r="F59" s="18" t="str">
        <f t="shared" si="8"/>
        <v>0.29,</v>
      </c>
      <c r="G59" s="18" t="str">
        <f t="shared" si="9"/>
        <v>2,</v>
      </c>
      <c r="H59" s="18" t="str">
        <f t="shared" si="10"/>
        <v>1.43,</v>
      </c>
      <c r="I59" s="18" t="str">
        <f t="shared" si="11"/>
        <v>10,</v>
      </c>
      <c r="J59" s="18" t="str">
        <f t="shared" si="12"/>
        <v>0.14,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0.86,</v>
      </c>
      <c r="E60" s="18" t="str">
        <f t="shared" si="7"/>
        <v>6,</v>
      </c>
      <c r="F60" s="18" t="str">
        <f t="shared" si="8"/>
        <v>0.14,</v>
      </c>
      <c r="G60" s="18" t="str">
        <f t="shared" si="9"/>
        <v>1,</v>
      </c>
      <c r="H60" s="18" t="str">
        <f t="shared" si="10"/>
        <v>0.71,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0.43,</v>
      </c>
      <c r="E62" s="18" t="str">
        <f t="shared" si="7"/>
        <v>3,</v>
      </c>
      <c r="F62" s="18" t="str">
        <f t="shared" si="8"/>
        <v>0.29,</v>
      </c>
      <c r="G62" s="18" t="str">
        <f t="shared" si="9"/>
        <v>2,</v>
      </c>
      <c r="H62" s="18" t="str">
        <f t="shared" si="10"/>
        <v>0.14,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1.29,</v>
      </c>
      <c r="E63" s="18" t="str">
        <f t="shared" si="7"/>
        <v>9,</v>
      </c>
      <c r="F63" s="18" t="str">
        <f t="shared" si="8"/>
        <v>0.71,</v>
      </c>
      <c r="G63" s="18" t="str">
        <f t="shared" si="9"/>
        <v>5,</v>
      </c>
      <c r="H63" s="18" t="str">
        <f t="shared" si="10"/>
        <v>0.29,</v>
      </c>
      <c r="I63" s="18" t="str">
        <f t="shared" si="11"/>
        <v>2,</v>
      </c>
      <c r="J63" s="18" t="str">
        <f t="shared" si="12"/>
        <v>0.14,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3,</v>
      </c>
      <c r="E64" s="18" t="str">
        <f t="shared" si="7"/>
        <v>21,</v>
      </c>
      <c r="F64" s="18" t="str">
        <f t="shared" si="8"/>
        <v>1.57,</v>
      </c>
      <c r="G64" s="18" t="str">
        <f t="shared" si="9"/>
        <v>11,</v>
      </c>
      <c r="H64" s="18" t="str">
        <f t="shared" si="10"/>
        <v>0.86,</v>
      </c>
      <c r="I64" s="18" t="str">
        <f t="shared" si="11"/>
        <v>6,</v>
      </c>
      <c r="J64" s="18" t="str">
        <f t="shared" si="12"/>
        <v>0.29,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0.14,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0.14,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6" t="s">
        <v>119</v>
      </c>
      <c r="U41" s="156"/>
      <c r="V41" s="156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zoomScale="70" zoomScaleNormal="70" workbookViewId="0">
      <selection activeCell="AA48" sqref="AA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AA6-2</f>
        <v>5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0.36842105263157893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0.6</v>
      </c>
      <c r="AZ5" s="17">
        <f>Table4[[#This Row],[Total A]]/$AV$3</f>
        <v>0.2</v>
      </c>
      <c r="BA5" s="17">
        <f>Table4[[#This Row],[Total S]]/$AV$3</f>
        <v>0.6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13.571428571428571</v>
      </c>
      <c r="T6" s="126">
        <f>AVERAGE(C8:C40)</f>
        <v>9.4285714285714288</v>
      </c>
      <c r="U6" s="126">
        <f t="shared" ref="U6:V6" si="0">AVERAGE(D8:D40)</f>
        <v>2.4285714285714284</v>
      </c>
      <c r="V6" s="126">
        <f t="shared" si="0"/>
        <v>1.7142857142857142</v>
      </c>
      <c r="Z6" s="72" t="s">
        <v>167</v>
      </c>
      <c r="AA6" s="9">
        <f>AA47+AA67+AL27+AL47+AL67+AA87+AL87</f>
        <v>7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2.6</v>
      </c>
      <c r="AZ6" s="17">
        <f>Table4[[#This Row],[Total A]]/$AV$3</f>
        <v>0</v>
      </c>
      <c r="BA6" s="17">
        <f>Table4[[#This Row],[Total S]]/$AV$3</f>
        <v>0.6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0.69473684210526321</v>
      </c>
      <c r="U7" s="6">
        <f>U6/$S$6</f>
        <v>0.17894736842105263</v>
      </c>
      <c r="V7" s="6">
        <f>V6/$S$6</f>
        <v>0.12631578947368421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</v>
      </c>
      <c r="AZ7" s="17">
        <f>Table4[[#This Row],[Total A]]/$AV$3</f>
        <v>0.6</v>
      </c>
      <c r="BA7" s="17">
        <f>Table4[[#This Row],[Total S]]/$AV$3</f>
        <v>0.4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0.42857142857142855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0.42857142857142855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1.0061624649859944</v>
      </c>
      <c r="AN8" s="132">
        <f>MEDIAN(Table1[Average])</f>
        <v>0.5714285714285714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</v>
      </c>
      <c r="AZ8" s="17">
        <f>Table4[[#This Row],[Total A]]/$AV$3</f>
        <v>0.2</v>
      </c>
      <c r="BA8" s="17">
        <f>Table4[[#This Row],[Total S]]/$AV$3</f>
        <v>0.4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7</v>
      </c>
      <c r="AB9" s="68">
        <f>IF($AA$6-Table1[[#This Row],[Missed Games]]=0, 0,Table1[[#This Row],[Points]]/($AA$6-Table1[[#This Row],[Missed Games]]))</f>
        <v>1.1666666666666667</v>
      </c>
      <c r="AC9" s="69">
        <f t="shared" si="2"/>
        <v>7</v>
      </c>
      <c r="AD9" s="70">
        <f>IF($AA$6-Table1[[#This Row],[Missed Games]]=0, 0,Table1[[#This Row],[Finishes]]/($AA$6-Table1[[#This Row],[Missed Games]]))</f>
        <v>1.1666666666666667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3.0588235294117645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0.63636363636363635</v>
      </c>
      <c r="AR9" s="143">
        <f>AP9-Table1[[#This Row],[Points]]</f>
        <v>4</v>
      </c>
      <c r="AS9" s="149">
        <f>Table1[[#This Row],[Points]]/(20-AA$5-Table1[[#This Row],[Missed Games]])</f>
        <v>0.3888888888888889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1.2</v>
      </c>
      <c r="AZ9" s="17">
        <f>Table4[[#This Row],[Total A]]/$AV$3</f>
        <v>0.2</v>
      </c>
      <c r="BA9" s="17">
        <f>Table4[[#This Row],[Total S]]/$AV$3</f>
        <v>0.2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11</v>
      </c>
      <c r="AB10" s="68">
        <f>IF($AA$6-Table1[[#This Row],[Missed Games]]=0, 0,Table1[[#This Row],[Points]]/($AA$6-Table1[[#This Row],[Missed Games]]))</f>
        <v>3.6666666666666665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1</v>
      </c>
      <c r="AF10" s="70">
        <f>IF($AA$6-Table1[[#This Row],[Missed Games]]=0, 0,Table1[[#This Row],[Midranges]]/($AA$6-Table1[[#This Row],[Missed Games]]))</f>
        <v>0.33333333333333331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2.1764705882352939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0.22916666666666666</v>
      </c>
      <c r="AR10" s="143">
        <f>AP10-Table1[[#This Row],[Points]]</f>
        <v>37</v>
      </c>
      <c r="AS10" s="149">
        <f>Table1[[#This Row],[Points]]/(20-AA$5-Table1[[#This Row],[Missed Games]])</f>
        <v>0.73333333333333328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1.2</v>
      </c>
      <c r="AZ10" s="17">
        <f>Table4[[#This Row],[Total A]]/$AV$3</f>
        <v>0.4</v>
      </c>
      <c r="BA10" s="17">
        <f>Table4[[#This Row],[Total S]]/$AV$3</f>
        <v>0.2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0.10416666666666667</v>
      </c>
      <c r="AR11" s="143">
        <f>AP11-Table1[[#This Row],[Points]]</f>
        <v>43</v>
      </c>
      <c r="AS11" s="149">
        <f>Table1[[#This Row],[Points]]/(20-AA$5-Table1[[#This Row],[Missed Games]])</f>
        <v>0.29411764705882354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1.8</v>
      </c>
      <c r="AZ11" s="17">
        <f>Table4[[#This Row],[Total A]]/$AV$3</f>
        <v>0</v>
      </c>
      <c r="BA11" s="17">
        <f>Table4[[#This Row],[Total S]]/$AV$3</f>
        <v>0.4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2.8571428571428571E-2</v>
      </c>
      <c r="AR12" s="143">
        <f>AP12-Table1[[#This Row],[Points]]</f>
        <v>34</v>
      </c>
      <c r="AS12" s="149">
        <f>Table1[[#This Row],[Points]]/(20-AA$5-Table1[[#This Row],[Missed Games]])</f>
        <v>5.8823529411764705E-2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0.16666666666666666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2.8</v>
      </c>
      <c r="AZ13" s="17">
        <f>Table4[[#This Row],[Total A]]/$AV$3</f>
        <v>0.6</v>
      </c>
      <c r="BA13" s="17">
        <f>Table4[[#This Row],[Total S]]/$AV$3</f>
        <v>0.4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0.5714285714285714</v>
      </c>
      <c r="AC14" s="69">
        <f t="shared" si="2"/>
        <v>3</v>
      </c>
      <c r="AD14" s="70">
        <f>IF($AA$6-Table1[[#This Row],[Missed Games]]=0, 0,Table1[[#This Row],[Finishes]]/($AA$6-Table1[[#This Row],[Missed Games]]))</f>
        <v>0.42857142857142855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0.14285714285714285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2.8</v>
      </c>
      <c r="AZ14" s="17">
        <f>Table4[[#This Row],[Total A]]/$AV$3</f>
        <v>0.4</v>
      </c>
      <c r="BA14" s="17">
        <f>Table4[[#This Row],[Total S]]/$AV$3</f>
        <v>0</v>
      </c>
    </row>
    <row r="15" spans="2:53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0</v>
      </c>
      <c r="AR15" s="143">
        <f>AP15-Table1[[#This Row],[Points]]</f>
        <v>21</v>
      </c>
      <c r="AS15" s="149">
        <f>Table1[[#This Row],[Points]]/(20-AA$5-Table1[[#This Row],[Missed Games]])</f>
        <v>0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</v>
      </c>
      <c r="AZ15" s="17">
        <f>Table4[[#This Row],[Total A]]/$AV$3</f>
        <v>0</v>
      </c>
      <c r="BA15" s="17">
        <f>Table4[[#This Row],[Total S]]/$AV$3</f>
        <v>1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13</v>
      </c>
      <c r="AB16" s="68">
        <f>IF($AA$6-Table1[[#This Row],[Missed Games]]=0, 0,Table1[[#This Row],[Points]]/($AA$6-Table1[[#This Row],[Missed Games]]))</f>
        <v>1.8571428571428572</v>
      </c>
      <c r="AC16" s="69">
        <f t="shared" si="2"/>
        <v>4</v>
      </c>
      <c r="AD16" s="70">
        <f>IF($AA$6-Table1[[#This Row],[Missed Games]]=0, 0,Table1[[#This Row],[Finishes]]/($AA$6-Table1[[#This Row],[Missed Games]]))</f>
        <v>0.5714285714285714</v>
      </c>
      <c r="AE16" s="69">
        <f t="shared" si="3"/>
        <v>5</v>
      </c>
      <c r="AF16" s="70">
        <f>IF($AA$6-Table1[[#This Row],[Missed Games]]=0, 0,Table1[[#This Row],[Midranges]]/($AA$6-Table1[[#This Row],[Missed Games]]))</f>
        <v>0.7142857142857143</v>
      </c>
      <c r="AG16" s="69">
        <f t="shared" si="4"/>
        <v>2</v>
      </c>
      <c r="AH16" s="70">
        <f>IF($AA$6-Table1[[#This Row],[Missed Games]]=0, 0,Table1[[#This Row],[Threes]]/($AA$6-Table1[[#This Row],[Missed Games]]))</f>
        <v>0.2857142857142857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0.48148148148148145</v>
      </c>
      <c r="AR16" s="143">
        <f>AP16-Table1[[#This Row],[Points]]</f>
        <v>14</v>
      </c>
      <c r="AS16" s="149">
        <f>Table1[[#This Row],[Points]]/(20-AA$5-Table1[[#This Row],[Missed Games]])</f>
        <v>0.68421052631578949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0.6</v>
      </c>
      <c r="AZ16" s="17">
        <f>Table4[[#This Row],[Total A]]/$AV$3</f>
        <v>0.2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14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0.2857142857142857</v>
      </c>
      <c r="AE17" s="69">
        <f t="shared" si="3"/>
        <v>10</v>
      </c>
      <c r="AF17" s="70">
        <f>IF($AA$6-Table1[[#This Row],[Missed Games]]=0, 0,Table1[[#This Row],[Midranges]]/($AA$6-Table1[[#This Row],[Missed Games]]))</f>
        <v>1.4285714285714286</v>
      </c>
      <c r="AG17" s="69">
        <f t="shared" si="4"/>
        <v>1</v>
      </c>
      <c r="AH17" s="70">
        <f>IF($AA$6-Table1[[#This Row],[Missed Games]]=0, 0,Table1[[#This Row],[Threes]]/($AA$6-Table1[[#This Row],[Missed Games]]))</f>
        <v>0.14285714285714285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0.2857142857142857</v>
      </c>
      <c r="AR17" s="143">
        <f>AP17-Table1[[#This Row],[Points]]</f>
        <v>35</v>
      </c>
      <c r="AS17" s="149">
        <f>Table1[[#This Row],[Points]]/(20-AA$5-Table1[[#This Row],[Missed Games]])</f>
        <v>0.73684210526315785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1.6</v>
      </c>
      <c r="AZ17" s="17">
        <f>Table4[[#This Row],[Total A]]/$AV$3</f>
        <v>0.2</v>
      </c>
      <c r="BA17" s="17">
        <f>Table4[[#This Row],[Total S]]/$AV$3</f>
        <v>0.6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0.8571428571428571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0.14285714285714285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0.7142857142857143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2.4</v>
      </c>
      <c r="AZ18" s="17">
        <f>Table4[[#This Row],[Total A]]/$AV$3</f>
        <v>0.4</v>
      </c>
      <c r="BA18" s="17">
        <f>Table4[[#This Row],[Total S]]/$AV$3</f>
        <v>0.4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3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2.2000000000000002</v>
      </c>
      <c r="AZ19" s="17">
        <f>Table4[[#This Row],[Total A]]/$AV$3</f>
        <v>1.4</v>
      </c>
      <c r="BA19" s="17">
        <f>Table4[[#This Row],[Total S]]/$AV$3</f>
        <v>0.6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3</v>
      </c>
      <c r="AB20" s="68">
        <f>IF($AA$6-Table1[[#This Row],[Missed Games]]=0, 0,Table1[[#This Row],[Points]]/($AA$6-Table1[[#This Row],[Missed Games]]))</f>
        <v>0.42857142857142855</v>
      </c>
      <c r="AC20" s="69">
        <f t="shared" si="2"/>
        <v>2</v>
      </c>
      <c r="AD20" s="119">
        <f>IF($AA$6-Table1[[#This Row],[Missed Games]]=0, 0,Table1[[#This Row],[Finishes]]/($AA$6-Table1[[#This Row],[Missed Games]]))</f>
        <v>0.2857142857142857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0.14285714285714285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0.14285714285714285</v>
      </c>
      <c r="AR20" s="143">
        <f>AP20-Table1[[#This Row],[Points]]</f>
        <v>18</v>
      </c>
      <c r="AS20" s="149">
        <f>Table1[[#This Row],[Points]]/(20-AA$5-Table1[[#This Row],[Missed Games]])</f>
        <v>0.15789473684210525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0.8</v>
      </c>
      <c r="AZ20" s="17">
        <f>Table4[[#This Row],[Total A]]/$AV$3</f>
        <v>0.2</v>
      </c>
      <c r="BA20" s="17">
        <f>Table4[[#This Row],[Total S]]/$AV$3</f>
        <v>0.4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9</v>
      </c>
      <c r="AB21" s="68">
        <f>IF($AA$6-Table1[[#This Row],[Missed Games]]=0, 0,Table1[[#This Row],[Points]]/($AA$6-Table1[[#This Row],[Missed Games]]))</f>
        <v>1.2857142857142858</v>
      </c>
      <c r="AC21" s="69">
        <f t="shared" si="2"/>
        <v>5</v>
      </c>
      <c r="AD21" s="119">
        <f>IF($AA$6-Table1[[#This Row],[Missed Games]]=0, 0,Table1[[#This Row],[Finishes]]/($AA$6-Table1[[#This Row],[Missed Games]]))</f>
        <v>0.7142857142857143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0.2857142857142857</v>
      </c>
      <c r="AG21" s="69">
        <f t="shared" si="4"/>
        <v>1</v>
      </c>
      <c r="AH21" s="119">
        <f>IF($AA$6-Table1[[#This Row],[Missed Games]]=0, 0,Table1[[#This Row],[Threes]]/($AA$6-Table1[[#This Row],[Missed Games]]))</f>
        <v>0.14285714285714285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0.42857142857142855</v>
      </c>
      <c r="AR21" s="143">
        <f>AP21-Table1[[#This Row],[Points]]</f>
        <v>12</v>
      </c>
      <c r="AS21" s="149">
        <f>Table1[[#This Row],[Points]]/(20-AA$5-Table1[[#This Row],[Missed Games]])</f>
        <v>0.47368421052631576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21</v>
      </c>
      <c r="AB22" s="68">
        <f>IF($AA$6-Table1[[#This Row],[Missed Games]]=0, 0,Table1[[#This Row],[Points]]/($AA$6-Table1[[#This Row],[Missed Games]]))</f>
        <v>3</v>
      </c>
      <c r="AC22" s="69">
        <f t="shared" si="2"/>
        <v>11</v>
      </c>
      <c r="AD22" s="119">
        <f>IF($AA$6-Table1[[#This Row],[Missed Games]]=0, 0,Table1[[#This Row],[Finishes]]/($AA$6-Table1[[#This Row],[Missed Games]]))</f>
        <v>1.5714285714285714</v>
      </c>
      <c r="AE22" s="69">
        <f t="shared" si="3"/>
        <v>6</v>
      </c>
      <c r="AF22" s="119">
        <f>IF($AA$6-Table1[[#This Row],[Missed Games]]=0, 0,Table1[[#This Row],[Midranges]]/($AA$6-Table1[[#This Row],[Missed Games]]))</f>
        <v>0.8571428571428571</v>
      </c>
      <c r="AG22" s="69">
        <f t="shared" si="4"/>
        <v>2</v>
      </c>
      <c r="AH22" s="119">
        <f>IF($AA$6-Table1[[#This Row],[Missed Games]]=0, 0,Table1[[#This Row],[Threes]]/($AA$6-Table1[[#This Row],[Missed Games]]))</f>
        <v>0.2857142857142857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0.44680851063829785</v>
      </c>
      <c r="AR22" s="143">
        <f>AP22-Table1[[#This Row],[Points]]</f>
        <v>26</v>
      </c>
      <c r="AS22" s="149">
        <f>Table1[[#This Row],[Points]]/(20-AA$5-Table1[[#This Row],[Missed Games]])</f>
        <v>1.1052631578947369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0.14285714285714285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0.14285714285714285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17</v>
      </c>
      <c r="T41" s="139">
        <f>S41/SUM(S41:S43)</f>
        <v>0.40476190476190477</v>
      </c>
      <c r="U41" s="145">
        <v>0.32188841201716739</v>
      </c>
      <c r="V41" s="45">
        <v>0.36899999999999999</v>
      </c>
      <c r="W41">
        <f>T41*(6*(20-AA$5))</f>
        <v>46.142857142857146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9</v>
      </c>
      <c r="T42" s="145">
        <f>S42/SUM(S41:S43)</f>
        <v>0.21428571428571427</v>
      </c>
      <c r="U42" s="145">
        <v>0.35193133047210301</v>
      </c>
      <c r="V42" s="45">
        <v>0.26200000000000001</v>
      </c>
      <c r="W42" s="17">
        <f t="shared" ref="W42:W43" si="6">T42*(6*(20-AA$5))</f>
        <v>24.428571428571427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16</v>
      </c>
      <c r="T43" s="145">
        <f>S43/SUM(S41:S43)</f>
        <v>0.38095238095238093</v>
      </c>
      <c r="U43" s="145">
        <v>0.3261802575107296</v>
      </c>
      <c r="V43" s="45">
        <v>0.36899999999999999</v>
      </c>
      <c r="W43" s="17">
        <f t="shared" si="6"/>
        <v>43.428571428571423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24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52</v>
      </c>
      <c r="V49" s="18">
        <f>U49/AA6</f>
        <v>7.4285714285714288</v>
      </c>
      <c r="W49" s="28">
        <f>U49/SUM($U$49:$U$51)</f>
        <v>0.54736842105263162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37</v>
      </c>
      <c r="V50" s="18">
        <f>U50/AA6</f>
        <v>5.2857142857142856</v>
      </c>
      <c r="W50" s="28">
        <f>U50/SUM($U$49:$U$51)</f>
        <v>0.38947368421052631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0.8571428571428571</v>
      </c>
      <c r="W51" s="28">
        <f>U51/SUM($U$49:$U$51)</f>
        <v>6.3157894736842107E-2</v>
      </c>
      <c r="Z51" s="49" t="s">
        <v>51</v>
      </c>
      <c r="AA51" s="32">
        <f>'2407'!R5+'2607'!R5+'2707'!R5</f>
        <v>11</v>
      </c>
      <c r="AB51" s="32">
        <f>'2407'!S5+'2607'!S5+'2707'!S5</f>
        <v>10</v>
      </c>
      <c r="AC51" s="32">
        <f>'2407'!T5+'2607'!T5+'2707'!T5</f>
        <v>1</v>
      </c>
      <c r="AD51" s="32">
        <f>'2407'!U5+'2607'!U5+'2707'!U5</f>
        <v>0</v>
      </c>
      <c r="AE51" s="154">
        <f>Table21123[[#This Row],[Points]]/($AA$47-Table21123[[#This Row],[Missed Games]])</f>
        <v>3.6666666666666665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0.33333333333333331</v>
      </c>
      <c r="AH51" s="154">
        <f>Table21123[[#This Row],[Threes]]/($AA$47-Table21123[[#This Row],[Missed Games]])</f>
        <v>0</v>
      </c>
      <c r="AI51" s="32">
        <f>COUNTIF('2407'!V5, "TRUE")+COUNTIF('2607'!V5, "TRUE")+COUNTIF('2707'!V5,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0.78787878787878785</v>
      </c>
      <c r="V55" s="39">
        <f>'Statistics LG'!O42</f>
        <v>0.57894736842105265</v>
      </c>
      <c r="W55" s="39">
        <f>AVERAGE(U55:V55)</f>
        <v>0.68341307814992025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0.21212121212121215</v>
      </c>
      <c r="U56" s="42" t="s">
        <v>131</v>
      </c>
      <c r="V56" s="39">
        <f>'Statistics WW'!L42</f>
        <v>0.375</v>
      </c>
      <c r="W56" s="39">
        <f>AVERAGE(T56:V56)</f>
        <v>0.29356060606060608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0.42105263157894735</v>
      </c>
      <c r="U57" s="39">
        <f>1-V56</f>
        <v>0.625</v>
      </c>
      <c r="V57" s="42" t="s">
        <v>131</v>
      </c>
      <c r="W57" s="39">
        <f>AVERAGE(T57:V57)</f>
        <v>0.52302631578947367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17</v>
      </c>
      <c r="U85" s="17">
        <f>U84+'Statistics WW'!D14</f>
        <v>9</v>
      </c>
      <c r="V85" s="17">
        <f>V84+'Statistics 5M'!D14</f>
        <v>16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17</v>
      </c>
      <c r="U86" s="17">
        <f>U85+'Statistics WW'!D15</f>
        <v>9</v>
      </c>
      <c r="V86" s="17">
        <f>V85+'Statistics 5M'!D15</f>
        <v>16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>
        <f>T86+'Statistics LG'!D16</f>
        <v>17</v>
      </c>
      <c r="U87" s="17">
        <f>U86+'Statistics WW'!D16</f>
        <v>9</v>
      </c>
      <c r="V87" s="17">
        <f>V86+'Statistics 5M'!D16</f>
        <v>16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17</v>
      </c>
      <c r="U88" s="17">
        <f>U87+'Statistics WW'!D17</f>
        <v>9</v>
      </c>
      <c r="V88" s="17">
        <f>V87+'Statistics 5M'!D17</f>
        <v>16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17</v>
      </c>
      <c r="U89" s="17">
        <f>U88+'Statistics WW'!D18</f>
        <v>9</v>
      </c>
      <c r="V89" s="17">
        <f>V88+'Statistics 5M'!D18</f>
        <v>16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17</v>
      </c>
      <c r="U90" s="17">
        <f>U89+'Statistics WW'!D19</f>
        <v>9</v>
      </c>
      <c r="V90" s="17">
        <f>V89+'Statistics 5M'!D19</f>
        <v>16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17</v>
      </c>
      <c r="U91" s="17">
        <f>U90+'Statistics WW'!D20</f>
        <v>9</v>
      </c>
      <c r="V91" s="17">
        <f>V90+'Statistics 5M'!D20</f>
        <v>16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17</v>
      </c>
      <c r="U92" s="17">
        <f>U91+'Statistics WW'!D21</f>
        <v>9</v>
      </c>
      <c r="V92" s="17">
        <f>V91+'Statistics 5M'!D21</f>
        <v>16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8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48</v>
      </c>
      <c r="I3" s="84">
        <f>SUM(C7:C40)</f>
        <v>23</v>
      </c>
      <c r="J3" s="81">
        <f>SUM(D7:D40)</f>
        <v>17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21</v>
      </c>
      <c r="T4" s="101">
        <f>'Stats Global'!AB22</f>
        <v>3</v>
      </c>
      <c r="U4" s="101">
        <f>'Stats Global'!AC22</f>
        <v>11</v>
      </c>
      <c r="V4" s="101">
        <f>'Stats Global'!AD22</f>
        <v>1.5714285714285714</v>
      </c>
      <c r="W4" s="101">
        <f>'Stats Global'!AE22</f>
        <v>6</v>
      </c>
      <c r="X4" s="101">
        <f>'Stats Global'!AF22</f>
        <v>0.8571428571428571</v>
      </c>
      <c r="Y4" s="101">
        <f>'Stats Global'!AG22</f>
        <v>2</v>
      </c>
      <c r="Z4" s="101">
        <f>'Stats Global'!AH22</f>
        <v>0.2857142857142857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13</v>
      </c>
      <c r="T5" s="101">
        <f>'Stats Global'!AB16</f>
        <v>1.8571428571428572</v>
      </c>
      <c r="U5" s="101">
        <f>'Stats Global'!AC16</f>
        <v>4</v>
      </c>
      <c r="V5" s="101">
        <f>'Stats Global'!AD16</f>
        <v>0.5714285714285714</v>
      </c>
      <c r="W5" s="101">
        <f>'Stats Global'!AE16</f>
        <v>5</v>
      </c>
      <c r="X5" s="101">
        <f>'Stats Global'!AF16</f>
        <v>0.7142857142857143</v>
      </c>
      <c r="Y5" s="101">
        <f>'Stats Global'!AG16</f>
        <v>2</v>
      </c>
      <c r="Z5" s="101">
        <f>'Stats Global'!AH16</f>
        <v>0.2857142857142857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9</v>
      </c>
      <c r="T6" s="101">
        <f>'Stats Global'!AB21</f>
        <v>1.2857142857142858</v>
      </c>
      <c r="U6" s="101">
        <f>'Stats Global'!AC21</f>
        <v>5</v>
      </c>
      <c r="V6" s="101">
        <f>'Stats Global'!AD21</f>
        <v>0.7142857142857143</v>
      </c>
      <c r="W6" s="101">
        <f>'Stats Global'!AE21</f>
        <v>2</v>
      </c>
      <c r="X6" s="101">
        <f>'Stats Global'!AF21</f>
        <v>0.2857142857142857</v>
      </c>
      <c r="Y6" s="101">
        <f>'Stats Global'!AG21</f>
        <v>1</v>
      </c>
      <c r="Z6" s="101">
        <f>'Stats Global'!AH21</f>
        <v>0.14285714285714285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0.42857142857142855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0.42857142857142855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7</v>
      </c>
      <c r="T8" s="101">
        <f>'Stats Global'!AB9</f>
        <v>1.1666666666666667</v>
      </c>
      <c r="U8" s="101">
        <f>'Stats Global'!AC9</f>
        <v>7</v>
      </c>
      <c r="V8" s="101">
        <f>'Stats Global'!AD9</f>
        <v>1.1666666666666667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0.676056338028169</v>
      </c>
      <c r="J41" s="87"/>
      <c r="K41" s="84" t="s">
        <v>94</v>
      </c>
      <c r="L41" s="105">
        <f>SUM(L7:L40)</f>
        <v>26</v>
      </c>
      <c r="M41" s="105">
        <f>SUM(M7:M40)</f>
        <v>7</v>
      </c>
      <c r="N41" s="87"/>
      <c r="O41" s="105">
        <f>SUM(O7:O40)</f>
        <v>22</v>
      </c>
      <c r="P41" s="105">
        <f>SUM(P7:P40)</f>
        <v>16</v>
      </c>
    </row>
    <row r="42" spans="1:16" ht="14.25" customHeight="1" x14ac:dyDescent="0.45">
      <c r="L42" s="96">
        <f>L41/(M41+L41)</f>
        <v>0.78787878787878785</v>
      </c>
      <c r="O42" s="96">
        <f>O41/(P41+O41)</f>
        <v>0.57894736842105265</v>
      </c>
    </row>
    <row r="43" spans="1:16" ht="14.25" customHeight="1" x14ac:dyDescent="0.45">
      <c r="I43" s="97" t="str">
        <f>K43&amp;H3&amp;","&amp;I3&amp;"],"</f>
        <v>"PartA":[48,23],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7.6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"PartB":[21,"Angus Walker",11,"Angus Walker",6,"Angus Walker",2,"Angus Walker"],</v>
      </c>
      <c r="K44" s="79" t="s">
        <v>136</v>
      </c>
      <c r="M44" s="99">
        <f>MAX(Table1114[Points])</f>
        <v>21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3.9</v>
      </c>
    </row>
    <row r="45" spans="1:16" ht="14.25" customHeight="1" x14ac:dyDescent="0.45">
      <c r="I45" s="79" t="str">
        <f>K45&amp;O43&amp;","&amp;O44&amp;","&amp;O45&amp;","&amp;O46&amp;","&amp;O47&amp;","&amp;O48&amp;"],"</f>
        <v>"PartC":[7.6,3.9,2.3,0.7,6.9,3.3],</v>
      </c>
      <c r="K45" s="79" t="s">
        <v>137</v>
      </c>
      <c r="M45" s="99">
        <f>MAX(Table1114[Finishes])</f>
        <v>11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"PartD":[26,7,78.8,22,16,57.9],</v>
      </c>
      <c r="K46" s="79" t="s">
        <v>138</v>
      </c>
      <c r="M46" s="99">
        <f>MAX(Table1114[Midranges])</f>
        <v>6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6.9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3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16</v>
      </c>
      <c r="I4" s="84">
        <f>SUM(C7:C40)</f>
        <v>41</v>
      </c>
      <c r="J4" s="81">
        <f>SUM(D7:D40)</f>
        <v>9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0.5</v>
      </c>
      <c r="R6" s="101">
        <f>'Stats Global'!AC13</f>
        <v>2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0.16666666666666666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0.8571428571428571</v>
      </c>
      <c r="R7" s="101">
        <f>'Stats Global'!AC18</f>
        <v>1</v>
      </c>
      <c r="S7" s="101">
        <f>'Stats Global'!AD18</f>
        <v>0.14285714285714285</v>
      </c>
      <c r="T7" s="101">
        <f>'Stats Global'!AE18</f>
        <v>5</v>
      </c>
      <c r="U7" s="101">
        <f>'Stats Global'!AF18</f>
        <v>0.7142857142857143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0.14285714285714285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0.14285714285714285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0.2807017543859649</v>
      </c>
      <c r="J41" s="87"/>
      <c r="K41" s="79" t="s">
        <v>94</v>
      </c>
      <c r="L41" s="105">
        <f>SUM(L7:L40)</f>
        <v>9</v>
      </c>
      <c r="M41" s="105">
        <f>SUM(M7:M40)</f>
        <v>15</v>
      </c>
      <c r="N41" s="87"/>
      <c r="O41" s="87"/>
      <c r="P41" s="58"/>
    </row>
    <row r="42" spans="1:16" ht="14.25" customHeight="1" x14ac:dyDescent="0.45">
      <c r="L42" s="96">
        <f>L41/(M41+L41)</f>
        <v>0.375</v>
      </c>
      <c r="P42" s="58"/>
    </row>
    <row r="43" spans="1:16" ht="14.25" customHeight="1" x14ac:dyDescent="0.45">
      <c r="J43" s="97" t="str">
        <f>L43&amp;H4&amp;","&amp;I4&amp;"],"</f>
        <v>"PartA":[16,41],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Pattemore",0,"N/A"],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1.1000000000000001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"PartC":[2.3,1.1,1.1,0,2.3,5.9],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1.1000000000000001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"PartD":[7,26,21.2,9,15,37.5],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3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31</v>
      </c>
      <c r="I4" s="84">
        <f>SUM(C7:C40)</f>
        <v>31</v>
      </c>
      <c r="J4" s="81">
        <f>SUM(D7:D40)</f>
        <v>16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14</v>
      </c>
      <c r="N5" s="101">
        <f>'Stats Global'!AB17</f>
        <v>2</v>
      </c>
      <c r="O5" s="101">
        <f>'Stats Global'!AC17</f>
        <v>2</v>
      </c>
      <c r="P5" s="101">
        <f>'Stats Global'!AD17</f>
        <v>0.2857142857142857</v>
      </c>
      <c r="Q5" s="101">
        <f>'Stats Global'!AE17</f>
        <v>10</v>
      </c>
      <c r="R5" s="101">
        <f>'Stats Global'!AF17</f>
        <v>1.4285714285714286</v>
      </c>
      <c r="S5" s="101">
        <f>'Stats Global'!AG17</f>
        <v>1</v>
      </c>
      <c r="T5" s="101">
        <f>'Stats Global'!AH17</f>
        <v>0.14285714285714285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11</v>
      </c>
      <c r="N6" s="101">
        <f>'Stats Global'!AB10</f>
        <v>3.6666666666666665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1</v>
      </c>
      <c r="R6" s="101">
        <f>'Stats Global'!AF10</f>
        <v>0.33333333333333331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3</v>
      </c>
      <c r="N7" s="101">
        <f>'Stats Global'!AB20</f>
        <v>0.42857142857142855</v>
      </c>
      <c r="O7" s="101">
        <f>'Stats Global'!AC20</f>
        <v>2</v>
      </c>
      <c r="P7" s="101">
        <f>'Stats Global'!AD20</f>
        <v>0.2857142857142857</v>
      </c>
      <c r="Q7" s="101">
        <f>'Stats Global'!AE20</f>
        <v>1</v>
      </c>
      <c r="R7" s="101">
        <f>'Stats Global'!AF20</f>
        <v>0.14285714285714285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0.5714285714285714</v>
      </c>
      <c r="O8" s="101">
        <f>'Stats Global'!AC14</f>
        <v>3</v>
      </c>
      <c r="P8" s="101">
        <f>'Stats Global'!AD14</f>
        <v>0.42857142857142855</v>
      </c>
      <c r="Q8" s="101">
        <f>'Stats Global'!AE14</f>
        <v>1</v>
      </c>
      <c r="R8" s="101">
        <f>'Stats Global'!AF14</f>
        <v>0.14285714285714285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3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"PartA":[31,31],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4.5999999999999996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"PartB":[14,"Samuel McConaghy",10,"Alexander Galt",10,"Samuel McConaghy",1,"Samuel McConaghy"],</v>
      </c>
      <c r="M33" s="79" t="s">
        <v>136</v>
      </c>
      <c r="O33" s="99">
        <f>MAX(Table11[Points])</f>
        <v>14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2.4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"PartC":[4.6,2.4,1.9,0.1,4.4,4.4],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1.9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"PartD":[16,22,42.1,15,9,62.5],</v>
      </c>
      <c r="M35" s="79" t="s">
        <v>138</v>
      </c>
      <c r="O35" s="99">
        <f>MAX(Table11[Midranges])</f>
        <v>10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0.1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4.4000000000000004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4.4000000000000004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B3" sqref="B3:I1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3</v>
      </c>
      <c r="T5" s="10">
        <f t="shared" si="2"/>
        <v>1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3,</v>
      </c>
      <c r="T25" s="17" t="str">
        <f t="shared" si="9"/>
        <v>1,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"Points":[1,0,4,1,"Did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"Midrange":[1,0,1,0,"Did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SfW</vt:lpstr>
      <vt:lpstr>Stats Global</vt:lpstr>
      <vt:lpstr>Statistics LG</vt:lpstr>
      <vt:lpstr>Statistics WW</vt:lpstr>
      <vt:lpstr>Statistics 5M</vt:lpstr>
      <vt:lpstr>Template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2023-07-27T04:16:29Z</dcterms:modified>
</cp:coreProperties>
</file>