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CB1A2A17-BB0F-488D-BEAF-F6A32D0EA081}" xr6:coauthVersionLast="47" xr6:coauthVersionMax="47" xr10:uidLastSave="{00000000-0000-0000-0000-000000000000}"/>
  <bookViews>
    <workbookView xWindow="-98" yWindow="-98" windowWidth="22695" windowHeight="14595" activeTab="1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0308" sheetId="21" r:id="rId7"/>
    <sheet name="0208" sheetId="20" r:id="rId8"/>
    <sheet name="0108" sheetId="19" r:id="rId9"/>
    <sheet name="3107" sheetId="18" r:id="rId10"/>
    <sheet name="2707" sheetId="17" r:id="rId11"/>
    <sheet name="2607" sheetId="16" r:id="rId12"/>
    <sheet name="2407" sheetId="15" r:id="rId13"/>
    <sheet name="2007" sheetId="14" r:id="rId14"/>
    <sheet name="1907" sheetId="13" r:id="rId15"/>
    <sheet name="1807" sheetId="12" r:id="rId16"/>
    <sheet name="1707" sheetId="11" r:id="rId17"/>
    <sheet name="Preseason 3" sheetId="10" r:id="rId18"/>
    <sheet name="Preseason 2" sheetId="9" r:id="rId19"/>
    <sheet name="Preseason 1" sheetId="8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6" i="3" l="1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17" i="3"/>
  <c r="AL50" i="3"/>
  <c r="AM50" i="3"/>
  <c r="AN50" i="3"/>
  <c r="AO50" i="3"/>
  <c r="AL51" i="3"/>
  <c r="AM51" i="3"/>
  <c r="AN51" i="3"/>
  <c r="AO51" i="3"/>
  <c r="AL52" i="3"/>
  <c r="AM52" i="3"/>
  <c r="AN52" i="3"/>
  <c r="AO52" i="3"/>
  <c r="AL53" i="3"/>
  <c r="AM53" i="3"/>
  <c r="AN53" i="3"/>
  <c r="AO53" i="3"/>
  <c r="AL54" i="3"/>
  <c r="AM54" i="3"/>
  <c r="AN54" i="3"/>
  <c r="AO54" i="3"/>
  <c r="AL55" i="3"/>
  <c r="AM55" i="3"/>
  <c r="AN55" i="3"/>
  <c r="AO55" i="3"/>
  <c r="AL56" i="3"/>
  <c r="AM56" i="3"/>
  <c r="AN56" i="3"/>
  <c r="AO56" i="3"/>
  <c r="AL57" i="3"/>
  <c r="AM57" i="3"/>
  <c r="AN57" i="3"/>
  <c r="AO57" i="3"/>
  <c r="AL58" i="3"/>
  <c r="AM58" i="3"/>
  <c r="AN58" i="3"/>
  <c r="AO58" i="3"/>
  <c r="AL59" i="3"/>
  <c r="AM59" i="3"/>
  <c r="AN59" i="3"/>
  <c r="AO59" i="3"/>
  <c r="AL60" i="3"/>
  <c r="AM60" i="3"/>
  <c r="AN60" i="3"/>
  <c r="AO60" i="3"/>
  <c r="AL61" i="3"/>
  <c r="AM61" i="3"/>
  <c r="AN61" i="3"/>
  <c r="AO61" i="3"/>
  <c r="AL62" i="3"/>
  <c r="AM62" i="3"/>
  <c r="AN62" i="3"/>
  <c r="AO62" i="3"/>
  <c r="AL63" i="3"/>
  <c r="AM63" i="3"/>
  <c r="AN63" i="3"/>
  <c r="AO63" i="3"/>
  <c r="AL64" i="3"/>
  <c r="AM64" i="3"/>
  <c r="AN64" i="3"/>
  <c r="AO64" i="3"/>
  <c r="AL65" i="3"/>
  <c r="AM65" i="3"/>
  <c r="AN65" i="3"/>
  <c r="AO65" i="3"/>
  <c r="AM49" i="3"/>
  <c r="AN49" i="3"/>
  <c r="AO49" i="3"/>
  <c r="AL49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R11" i="21"/>
  <c r="R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O5" i="21"/>
  <c r="P45" i="21" s="1"/>
  <c r="N5" i="21"/>
  <c r="M5" i="21"/>
  <c r="L5" i="21"/>
  <c r="I45" i="21" s="1"/>
  <c r="Z4" i="21"/>
  <c r="K45" i="21" s="1"/>
  <c r="Y4" i="21"/>
  <c r="G45" i="21" s="1"/>
  <c r="X4" i="21"/>
  <c r="M45" i="21" s="1"/>
  <c r="U4" i="21"/>
  <c r="R4" i="21" s="1"/>
  <c r="R24" i="21" s="1"/>
  <c r="T4" i="21"/>
  <c r="T24" i="21" s="1"/>
  <c r="S4" i="21"/>
  <c r="S24" i="21" s="1"/>
  <c r="M4" i="21"/>
  <c r="O4" i="21" s="1"/>
  <c r="Q45" i="21" s="1"/>
  <c r="L4" i="21"/>
  <c r="L45" i="21" s="1"/>
  <c r="U3" i="21"/>
  <c r="U23" i="21" s="1"/>
  <c r="T3" i="21"/>
  <c r="T23" i="21" s="1"/>
  <c r="T47" i="21" s="1"/>
  <c r="S3" i="21"/>
  <c r="S23" i="21" s="1"/>
  <c r="M3" i="21"/>
  <c r="O3" i="21" s="1"/>
  <c r="O45" i="21" s="1"/>
  <c r="L3" i="21"/>
  <c r="E45" i="21" s="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T46" i="21" l="1"/>
  <c r="R15" i="21"/>
  <c r="R35" i="21" s="1"/>
  <c r="F45" i="21"/>
  <c r="N45" i="21"/>
  <c r="U29" i="21"/>
  <c r="U37" i="21"/>
  <c r="U28" i="21"/>
  <c r="U36" i="21"/>
  <c r="H45" i="21"/>
  <c r="N4" i="21"/>
  <c r="R6" i="21"/>
  <c r="R26" i="21" s="1"/>
  <c r="R14" i="21"/>
  <c r="R34" i="21" s="1"/>
  <c r="R5" i="21"/>
  <c r="R25" i="21" s="1"/>
  <c r="R13" i="21"/>
  <c r="R33" i="21" s="1"/>
  <c r="R12" i="21"/>
  <c r="R32" i="21" s="1"/>
  <c r="R19" i="21"/>
  <c r="R39" i="21" s="1"/>
  <c r="J45" i="21"/>
  <c r="C45" i="21"/>
  <c r="D45" i="21" s="1"/>
  <c r="U24" i="21"/>
  <c r="T48" i="21" s="1"/>
  <c r="N3" i="21"/>
  <c r="R3" i="21"/>
  <c r="R23" i="21" s="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60" i="3"/>
  <c r="AS58" i="3"/>
  <c r="AS56" i="3"/>
  <c r="AS54" i="3"/>
  <c r="AS52" i="3"/>
  <c r="R15" i="19"/>
  <c r="AS49" i="3"/>
  <c r="AR64" i="3"/>
  <c r="AR60" i="3"/>
  <c r="AR58" i="3"/>
  <c r="AR56" i="3"/>
  <c r="AR54" i="3"/>
  <c r="AR50" i="3"/>
  <c r="R14" i="19"/>
  <c r="AR49" i="3"/>
  <c r="AQ64" i="3"/>
  <c r="AQ62" i="3"/>
  <c r="AQ60" i="3"/>
  <c r="AQ54" i="3"/>
  <c r="AQ52" i="3"/>
  <c r="AQ50" i="3"/>
  <c r="M45" i="19"/>
  <c r="M16" i="3" s="1"/>
  <c r="G45" i="19"/>
  <c r="G16" i="3" s="1"/>
  <c r="R9" i="19"/>
  <c r="AP56" i="3"/>
  <c r="K45" i="19"/>
  <c r="K16" i="3" s="1"/>
  <c r="R8" i="19"/>
  <c r="AS65" i="3"/>
  <c r="AS63" i="3"/>
  <c r="AS61" i="3"/>
  <c r="AS57" i="3"/>
  <c r="AS55" i="3"/>
  <c r="AS53" i="3"/>
  <c r="AS51" i="3"/>
  <c r="R7" i="19"/>
  <c r="AR65" i="3"/>
  <c r="AR63" i="3"/>
  <c r="AR59" i="3"/>
  <c r="AR57" i="3"/>
  <c r="AR55" i="3"/>
  <c r="AR53" i="3"/>
  <c r="AR51" i="3"/>
  <c r="E45" i="19"/>
  <c r="E16" i="3" s="1"/>
  <c r="R4" i="19"/>
  <c r="R6" i="19"/>
  <c r="AQ63" i="3"/>
  <c r="AQ61" i="3"/>
  <c r="AQ59" i="3"/>
  <c r="AQ57" i="3"/>
  <c r="AQ55" i="3"/>
  <c r="AQ53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BB24" i="3"/>
  <c r="BC13" i="3"/>
  <c r="BA21" i="3"/>
  <c r="BA10" i="3"/>
  <c r="BC12" i="3"/>
  <c r="BA24" i="3"/>
  <c r="BC10" i="3"/>
  <c r="BA20" i="3"/>
  <c r="BC14" i="3"/>
  <c r="BC9" i="3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BB23" i="3"/>
  <c r="BB17" i="3"/>
  <c r="BB13" i="3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T45" i="21" l="1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AP51" i="3"/>
  <c r="R26" i="19"/>
  <c r="AP52" i="3"/>
  <c r="R35" i="19"/>
  <c r="AP61" i="3"/>
  <c r="R32" i="19"/>
  <c r="AP58" i="3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AP49" i="3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19" l="1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P10" i="3" s="1"/>
  <c r="AJ11" i="3"/>
  <c r="AP11" i="3" s="1"/>
  <c r="AJ12" i="3"/>
  <c r="AP12" i="3" s="1"/>
  <c r="AJ13" i="3"/>
  <c r="AJ14" i="3"/>
  <c r="AP14" i="3" s="1"/>
  <c r="AJ15" i="3"/>
  <c r="AP15" i="3" s="1"/>
  <c r="AJ17" i="3"/>
  <c r="AP17" i="3" s="1"/>
  <c r="AJ19" i="3"/>
  <c r="U9" i="6" s="1"/>
  <c r="AJ20" i="3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AP13" i="3" l="1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AG23" i="3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B44" i="2" s="1"/>
  <c r="U16" i="2"/>
  <c r="U63" i="2" s="1"/>
  <c r="U17" i="2"/>
  <c r="U64" i="2" s="1"/>
  <c r="U18" i="2"/>
  <c r="U65" i="2" s="1"/>
  <c r="U19" i="2"/>
  <c r="U66" i="2" s="1"/>
  <c r="U3" i="2"/>
  <c r="U50" i="2" s="1"/>
  <c r="Q33" i="6" l="1"/>
  <c r="Q35" i="6"/>
  <c r="P44" i="5"/>
  <c r="Q34" i="6"/>
  <c r="P45" i="5"/>
  <c r="P46" i="5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P7" i="6" s="1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R7" i="6" s="1"/>
  <c r="X4" i="5"/>
  <c r="Q6" i="6"/>
  <c r="AF10" i="3"/>
  <c r="Q8" i="6"/>
  <c r="AF14" i="3"/>
  <c r="T5" i="5"/>
  <c r="AF12" i="3"/>
  <c r="AF24" i="3"/>
  <c r="Q5" i="6"/>
  <c r="AF17" i="3"/>
  <c r="U7" i="4"/>
  <c r="AD8" i="3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T7" i="6" s="1"/>
  <c r="AS10" i="3" l="1"/>
  <c r="Q32" i="6"/>
  <c r="AS11" i="3"/>
  <c r="P43" i="5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U17" i="3" s="1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S6" i="5" s="1"/>
  <c r="AF20" i="3"/>
  <c r="U6" i="5" s="1"/>
  <c r="O35" i="6"/>
  <c r="P35" i="6" s="1"/>
  <c r="AB20" i="3"/>
  <c r="AU20" i="3" s="1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AU15" i="3" s="1"/>
  <c r="S7" i="4"/>
  <c r="AB8" i="3"/>
  <c r="S4" i="4"/>
  <c r="AB22" i="3"/>
  <c r="AU22" i="3" s="1"/>
  <c r="AB24" i="3"/>
  <c r="AU24" i="3" s="1"/>
  <c r="P4" i="5"/>
  <c r="S8" i="4"/>
  <c r="AB9" i="3"/>
  <c r="P8" i="5"/>
  <c r="AB23" i="3"/>
  <c r="AU23" i="3" s="1"/>
  <c r="I18" i="2"/>
  <c r="O45" i="4"/>
  <c r="K15" i="2"/>
  <c r="K19" i="2"/>
  <c r="K18" i="2"/>
  <c r="K17" i="2"/>
  <c r="E16" i="2"/>
  <c r="G19" i="2"/>
  <c r="O46" i="4"/>
  <c r="Q6" i="5" l="1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B10" i="3"/>
  <c r="M6" i="6"/>
  <c r="AH11" i="3"/>
  <c r="O43" i="4"/>
  <c r="F15" i="2"/>
  <c r="D15" i="2"/>
  <c r="H15" i="2"/>
  <c r="AB13" i="3"/>
  <c r="AH20" i="3"/>
  <c r="W6" i="5" s="1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AU14" i="3" s="1"/>
  <c r="M5" i="6"/>
  <c r="S6" i="4"/>
  <c r="M44" i="4" s="1"/>
  <c r="N44" i="4" s="1"/>
  <c r="AB21" i="3"/>
  <c r="AU21" i="3" s="1"/>
  <c r="P7" i="5"/>
  <c r="AB18" i="3"/>
  <c r="AU18" i="3" s="1"/>
  <c r="S84" i="3"/>
  <c r="S83" i="3"/>
  <c r="S82" i="3"/>
  <c r="S81" i="3"/>
  <c r="D16" i="2" l="1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<sst xmlns="http://schemas.openxmlformats.org/spreadsheetml/2006/main" count="2580" uniqueCount="267">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</sst>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59">
    <xf numFmtId="0" fontId="0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0" fontId="24" fillId="0" borderId="0" xfId="0" applyFont="1" applyAlignme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0" fontId="22" fillId="0" borderId="0" xfId="0" applyFont="1"/>
    <xf numFmtId="16" fontId="22" fillId="0" borderId="0" xfId="0" applyNumberFormat="1" applyFont="1" applyAlignment="1"/>
    <xf numFmtId="0" fontId="27" fillId="0" borderId="0" xfId="0" applyFont="1" applyAlignment="1"/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7" fillId="0" borderId="3" xfId="0" applyFont="1" applyFill="1" applyBorder="1"/>
    <xf numFmtId="0" fontId="27" fillId="0" borderId="4" xfId="0" applyFont="1" applyFill="1" applyBorder="1"/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24" fillId="0" borderId="5" xfId="0" applyFont="1" applyFill="1" applyBorder="1"/>
    <xf numFmtId="0" fontId="0" fillId="0" borderId="0" xfId="0"/>
    <xf numFmtId="0" fontId="33" fillId="0" borderId="0" xfId="0" applyFont="1"/>
    <xf numFmtId="9" fontId="0" fillId="0" borderId="0" xfId="2" applyFont="1" applyAlignment="1"/>
    <xf numFmtId="0" fontId="27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1" fontId="0" fillId="0" borderId="0" xfId="0" quotePrefix="1" applyNumberFormat="1" applyFont="1" applyFill="1" applyAlignment="1"/>
    <xf numFmtId="2" fontId="23" fillId="0" borderId="0" xfId="0" applyNumberFormat="1" applyFont="1" applyFill="1"/>
    <xf numFmtId="1" fontId="22" fillId="0" borderId="0" xfId="0" applyNumberFormat="1" applyFont="1" applyFill="1" applyAlignment="1"/>
    <xf numFmtId="0" fontId="2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8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 applyAlignment="1"/>
    <xf numFmtId="165" fontId="3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9" fillId="0" borderId="0" xfId="0" applyFont="1" applyAlignment="1"/>
    <xf numFmtId="16" fontId="20" fillId="0" borderId="0" xfId="0" applyNumberFormat="1" applyFont="1" applyAlignment="1"/>
    <xf numFmtId="0" fontId="22" fillId="0" borderId="0" xfId="0" applyFont="1" applyFill="1" applyAlignment="1"/>
    <xf numFmtId="0" fontId="31" fillId="0" borderId="1" xfId="1" applyNumberForma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4" fillId="3" borderId="0" xfId="0" applyFont="1" applyFill="1"/>
    <xf numFmtId="0" fontId="22" fillId="3" borderId="0" xfId="0" applyFont="1" applyFill="1"/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3" fillId="0" borderId="2" xfId="0" applyNumberFormat="1" applyFont="1" applyFill="1" applyBorder="1"/>
    <xf numFmtId="1" fontId="22" fillId="0" borderId="2" xfId="0" applyNumberFormat="1" applyFont="1" applyFill="1" applyBorder="1" applyAlignment="1"/>
    <xf numFmtId="0" fontId="22" fillId="0" borderId="2" xfId="0" applyFont="1" applyFill="1" applyBorder="1"/>
    <xf numFmtId="1" fontId="23" fillId="0" borderId="6" xfId="0" applyNumberFormat="1" applyFont="1" applyFill="1" applyBorder="1"/>
    <xf numFmtId="0" fontId="13" fillId="0" borderId="0" xfId="0" applyFont="1" applyAlignment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13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Fill="1" applyBorder="1" applyAlignment="1">
      <alignment vertical="center"/>
    </xf>
    <xf numFmtId="0" fontId="32" fillId="0" borderId="1" xfId="0" applyFont="1" applyBorder="1" applyAlignment="1"/>
    <xf numFmtId="0" fontId="12" fillId="0" borderId="0" xfId="0" applyFont="1" applyAlignment="1"/>
    <xf numFmtId="0" fontId="12" fillId="0" borderId="0" xfId="0" applyFont="1"/>
    <xf numFmtId="0" fontId="23" fillId="4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Fill="1" applyBorder="1"/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3" borderId="2" xfId="0" applyFont="1" applyFill="1" applyBorder="1" applyAlignme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3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3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1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9" fillId="0" borderId="0" xfId="0" applyNumberFormat="1" applyFont="1"/>
    <xf numFmtId="16" fontId="23" fillId="5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3" fillId="6" borderId="1" xfId="0" applyFont="1" applyFill="1" applyBorder="1" applyAlignment="1">
      <alignment vertical="center"/>
    </xf>
    <xf numFmtId="1" fontId="22" fillId="0" borderId="0" xfId="0" applyNumberFormat="1" applyFont="1" applyFill="1"/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0" fontId="8" fillId="0" borderId="0" xfId="0" applyFont="1" applyAlignment="1"/>
    <xf numFmtId="0" fontId="7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3" fillId="3" borderId="2" xfId="0" applyNumberFormat="1" applyFont="1" applyFill="1" applyBorder="1"/>
    <xf numFmtId="1" fontId="18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6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5" fillId="0" borderId="0" xfId="0" applyFont="1" applyAlignment="1"/>
    <xf numFmtId="0" fontId="5" fillId="0" borderId="0" xfId="0" applyFont="1"/>
    <xf numFmtId="0" fontId="23" fillId="0" borderId="0" xfId="0" applyFont="1" applyFill="1" applyAlignment="1">
      <alignment vertical="center"/>
    </xf>
    <xf numFmtId="0" fontId="4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3" fillId="0" borderId="1" xfId="0" applyFont="1" applyFill="1" applyBorder="1"/>
    <xf numFmtId="166" fontId="23" fillId="0" borderId="1" xfId="0" applyNumberFormat="1" applyFont="1" applyFill="1" applyBorder="1"/>
    <xf numFmtId="0" fontId="1" fillId="0" borderId="0" xfId="0" applyFont="1" applyAlignment="1"/>
    <xf numFmtId="0" fontId="3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0.61184210526315796</c:v>
                </c:pt>
                <c:pt idx="1">
                  <c:v>0.24342105263157895</c:v>
                </c:pt>
                <c:pt idx="2">
                  <c:v>0.14473684210526316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Global'!$T$78:$T$86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Global'!$U$78:$U$86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Global'!$V$78:$V$86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42">
  <autoFilter ref="AW7:BC24" xr:uid="{96B06DCA-2A57-491D-9968-278FF3FBD78A}"/>
  <tableColumns count="7">
    <tableColumn id="1" xr3:uid="{FE52DA28-AC9B-4385-A502-8DDB5D1FBA9E}" name="Name" dataDxfId="41"/>
    <tableColumn id="2" xr3:uid="{D93DA907-1A5C-4FC6-A721-6072347E34BF}" name="Total R" dataDxfId="40">
      <calculatedColumnFormula>'1707'!AC4+'1807'!AC4+'2407'!AC4+'2607'!AC4</calculatedColumnFormula>
    </tableColumn>
    <tableColumn id="3" xr3:uid="{EBD2E9CC-2367-4D50-957C-38F9CE276205}" name="Total A" dataDxfId="39">
      <calculatedColumnFormula>'1707'!AD4+'1807'!AD4+'2407'!AD4+'2607'!AD4</calculatedColumnFormula>
    </tableColumn>
    <tableColumn id="4" xr3:uid="{7DF9F4A1-F7D8-44DD-8445-ABFA3454613B}" name="Total S" dataDxfId="38">
      <calculatedColumnFormula>'1707'!AE4+'1807'!AE4+'2407'!AE4+'2607'!AE4</calculatedColumnFormula>
    </tableColumn>
    <tableColumn id="5" xr3:uid="{1AAD62E4-FA3F-4F41-8BD0-85F54409C489}" name="Avg R" dataDxfId="37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6" dataDxfId="35">
  <autoFilter ref="R3:AA8" xr:uid="{744FF78C-74B5-4798-AD3D-741E3ACB43CF}"/>
  <tableColumns count="10">
    <tableColumn id="1" xr3:uid="{B3B5C08C-655A-460A-A171-B3B0C826FF04}" name="Name" dataDxfId="34"/>
    <tableColumn id="2" xr3:uid="{427944B0-44CA-4325-A406-29F83026BA5E}" name="Points" dataDxfId="33">
      <calculatedColumnFormula>'Stats Global'!AA22</calculatedColumnFormula>
    </tableColumn>
    <tableColumn id="3" xr3:uid="{5E06D173-4DBE-4045-9072-0A0A77D19C84}" name="Average" dataDxfId="32"/>
    <tableColumn id="4" xr3:uid="{E74131A4-1DCA-4A89-8989-A4CF80175582}" name="Finishes" dataDxfId="31"/>
    <tableColumn id="5" xr3:uid="{FC3336D4-2CB5-4673-A345-7C9CCED7ADEE}" name="Averages" dataDxfId="30"/>
    <tableColumn id="6" xr3:uid="{BD6313A7-5D92-4B66-9B85-7ABC12DE9691}" name="Midranges" dataDxfId="29"/>
    <tableColumn id="7" xr3:uid="{6D0293BC-7E06-45CE-9D4B-FE4769DF9D9F}" name="Averages2" dataDxfId="28"/>
    <tableColumn id="8" xr3:uid="{89C1C64B-DD66-482C-BCDE-8B912D2676EF}" name="Threes" dataDxfId="27"/>
    <tableColumn id="9" xr3:uid="{7748B87C-1833-4BD6-9162-76373407E655}" name="Averages3" dataDxfId="26"/>
    <tableColumn id="10" xr3:uid="{D870E191-A52F-442E-AA52-A42CFAD05573}" name="Missed Games" dataDxfId="2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4" dataDxfId="23">
  <autoFilter ref="O3:X10" xr:uid="{54759C84-3153-4DC9-9240-E2749AA0D92B}"/>
  <tableColumns count="10">
    <tableColumn id="1" xr3:uid="{7790729E-C8E5-45C1-8784-25212A2654AA}" name="Name" dataDxfId="22"/>
    <tableColumn id="2" xr3:uid="{52A67B2B-967C-4970-8D83-8F8E9CC61522}" name="Points" dataDxfId="21"/>
    <tableColumn id="3" xr3:uid="{BA1FA2C8-AEC0-4644-83DB-5097750D7188}" name="Average" dataDxfId="20"/>
    <tableColumn id="4" xr3:uid="{4CF66F5D-BF10-4CBD-88FF-CCD38730E1CD}" name="Finishes" dataDxfId="19"/>
    <tableColumn id="5" xr3:uid="{BC246D5B-7E78-41A6-B796-C93ED8E53DF9}" name="Averages" dataDxfId="18"/>
    <tableColumn id="6" xr3:uid="{AB819419-CC06-4A40-8DED-E231125129C0}" name="Midranges" dataDxfId="17"/>
    <tableColumn id="7" xr3:uid="{064AA562-C451-4362-805E-D12DC76C3530}" name="Averages2" dataDxfId="16"/>
    <tableColumn id="8" xr3:uid="{BD0D8BAE-15E4-4B38-87FE-B682D7BAEE75}" name="Threes" dataDxfId="15"/>
    <tableColumn id="9" xr3:uid="{541E391B-4B08-4E98-A63F-753C11193269}" name="Averages3" dataDxfId="14"/>
    <tableColumn id="10" xr3:uid="{999BB5D2-D6FB-4EB9-A268-D62EA72F939D}" name="Missed Games" dataDxfId="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2" dataDxfId="11">
  <autoFilter ref="L4:U10" xr:uid="{C12CFC3F-7D59-4C0F-8D43-3F8ACD58C2BD}"/>
  <tableColumns count="10">
    <tableColumn id="1" xr3:uid="{CE15C23D-9493-4B21-9D40-1A25D210C18E}" name="Name" dataDxfId="10"/>
    <tableColumn id="2" xr3:uid="{6BB170B1-AA38-4699-9B96-400D2947EE9C}" name="Points" dataDxfId="9"/>
    <tableColumn id="3" xr3:uid="{EC8B6CBB-FCC9-416C-AEA6-738419DFE531}" name="Average" dataDxfId="8"/>
    <tableColumn id="4" xr3:uid="{315DA055-9A43-468A-A501-1092626F523F}" name="Finishes" dataDxfId="7"/>
    <tableColumn id="5" xr3:uid="{56B6FF4D-95D4-4550-88E4-C781ABDA83A6}" name="Averages" dataDxfId="6"/>
    <tableColumn id="6" xr3:uid="{F7B5C0B8-FBE2-44B0-A372-112C7776FCCF}" name="Midranges" dataDxfId="5"/>
    <tableColumn id="7" xr3:uid="{1A1C2126-FEB1-408F-8523-049E53028B4E}" name="Averages2" dataDxfId="4"/>
    <tableColumn id="8" xr3:uid="{AE94036B-3777-4C1B-97D5-7BFA1037C0BF}" name="Threes" dataDxfId="3"/>
    <tableColumn id="9" xr3:uid="{448B0903-7F66-40BA-809F-74ADBF397B45}" name="Averages3" dataDxfId="2"/>
    <tableColumn id="10" xr3:uid="{E0CAC55D-8398-4928-A219-C01706996D48}" name="Missed Gam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0">
      <calculatedColumnFormula>'3107'!R3+'0108'!R3+'0208'!R3+'0308'!R3</calculatedColumnFormula>
    </tableColumn>
    <tableColumn id="3" xr3:uid="{6CA15B41-F560-4B43-8836-163F5BB5689C}" name="Finishes" dataDxfId="98">
      <calculatedColumnFormula>'3107'!S3+'0108'!S3+'0208'!S3+'0308'!S3</calculatedColumnFormula>
    </tableColumn>
    <tableColumn id="4" xr3:uid="{8FF05262-0051-44F7-966E-8D405318BA69}" name="Midranges" dataDxfId="97">
      <calculatedColumnFormula>'3107'!T3+'0108'!T3+'0208'!T3+'0308'!T3</calculatedColumnFormula>
    </tableColumn>
    <tableColumn id="5" xr3:uid="{F0D843FC-7A93-4C9A-BCCF-E789F7811B3B}" name="Threes" dataDxfId="96">
      <calculatedColumnFormula>'3107'!U3+'0108'!U3+'0208'!U3+'0308'!U3</calculatedColumnFormula>
    </tableColumn>
    <tableColumn id="6" xr3:uid="{F0498F8A-F646-4C1F-A3CF-E89E73750FC1}" name="Avg P" dataDxfId="95">
      <calculatedColumnFormula>AL49/($AL$47-Table21124[[#This Row],[Missed Games]])</calculatedColumnFormula>
    </tableColumn>
    <tableColumn id="7" xr3:uid="{A387BC88-F45C-4386-8503-EFEA33BDAC38}" name="Avg F" dataDxfId="94">
      <calculatedColumnFormula>AM49/($AL$47-Table21124[[#This Row],[Missed Games]])</calculatedColumnFormula>
    </tableColumn>
    <tableColumn id="8" xr3:uid="{BEA82919-0828-4351-A01A-D72E13E63FAB}" name="Avg M" dataDxfId="93">
      <calculatedColumnFormula>AN49/($AL$47-Table21124[[#This Row],[Missed Games]])</calculatedColumnFormula>
    </tableColumn>
    <tableColumn id="9" xr3:uid="{ABEBCE01-BCA4-4342-966C-27301889B607}" name="Avg T" dataDxfId="92">
      <calculatedColumnFormula>AO49/($AL$47-Table21124[[#This Row],[Missed Games]])</calculatedColumnFormula>
    </tableColumn>
    <tableColumn id="10" xr3:uid="{65E7A8E7-4C51-42E4-AB0F-B7FF6099D70A}" name="Missed Games" dataDxfId="91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90" dataDxfId="89">
  <autoFilter ref="AK68:AT85" xr:uid="{18C7D514-96DE-4BA6-B019-3E860ED143EC}"/>
  <tableColumns count="10">
    <tableColumn id="1" xr3:uid="{D144EF14-69FD-4E71-90C7-56F49F45FAE5}" name="Scoring" dataDxfId="88"/>
    <tableColumn id="2" xr3:uid="{34D1D392-F3E0-4C36-9EED-849D5B1149E6}" name="Points" dataDxfId="87">
      <calculatedColumnFormula>Template!AC43</calculatedColumnFormula>
    </tableColumn>
    <tableColumn id="3" xr3:uid="{E91D98A2-80BD-4E5C-9036-2FCC8185369F}" name="Finishes" dataDxfId="86">
      <calculatedColumnFormula>Template!AD43</calculatedColumnFormula>
    </tableColumn>
    <tableColumn id="4" xr3:uid="{D2E5029E-4811-4E9B-9A2D-5F5F8F322B0D}" name="Midranges" dataDxfId="85">
      <calculatedColumnFormula>Template!AE43</calculatedColumnFormula>
    </tableColumn>
    <tableColumn id="5" xr3:uid="{B3E76CEE-33DA-4B18-8DCE-8EBC7EE592D7}" name="Threes" dataDxfId="84">
      <calculatedColumnFormula>Template!AF43</calculatedColumnFormula>
    </tableColumn>
    <tableColumn id="6" xr3:uid="{6ABE1879-8018-4498-A9A1-22CF831F0364}" name="Avg P" dataDxfId="83">
      <calculatedColumnFormula>AL69/$AA$27</calculatedColumnFormula>
    </tableColumn>
    <tableColumn id="7" xr3:uid="{8DA4DD79-8A2A-49E4-996F-C1ACCED3C565}" name="Avg F" dataDxfId="82">
      <calculatedColumnFormula>AM69/$AA$27</calculatedColumnFormula>
    </tableColumn>
    <tableColumn id="8" xr3:uid="{256EA4BC-BA61-49E2-969F-0786AA9AA6EA}" name="Avg M" dataDxfId="81">
      <calculatedColumnFormula>AN69/$AA$27</calculatedColumnFormula>
    </tableColumn>
    <tableColumn id="9" xr3:uid="{0E5566B2-99EC-4B03-A074-8705C4EDA484}" name="Avg T" dataDxfId="80">
      <calculatedColumnFormula>AO69/$AA$27</calculatedColumnFormula>
    </tableColumn>
    <tableColumn id="10" xr3:uid="{3E2357F0-493E-401D-AC75-9AAB260F684E}" name="Missed Games" dataDxfId="79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8" dataDxfId="77">
  <autoFilter ref="Z68:AI85" xr:uid="{F118BED8-7AAF-4E55-A61F-C75C69A64AAE}"/>
  <tableColumns count="10">
    <tableColumn id="1" xr3:uid="{7723929D-65B3-40BB-8FDD-C4533243706C}" name="Scoring" dataDxfId="76"/>
    <tableColumn id="2" xr3:uid="{EC28DE3D-619E-4930-A3AF-7AD1BE1D4843}" name="Points" dataDxfId="75">
      <calculatedColumnFormula>Template!R43</calculatedColumnFormula>
    </tableColumn>
    <tableColumn id="3" xr3:uid="{9537269D-8C1D-42B5-866F-D03CE61A8512}" name="Finishes" dataDxfId="74">
      <calculatedColumnFormula>Template!S43</calculatedColumnFormula>
    </tableColumn>
    <tableColumn id="4" xr3:uid="{AC590DDB-BE19-4A14-8B98-1E5E2430AA45}" name="Midranges" dataDxfId="73">
      <calculatedColumnFormula>Template!T43</calculatedColumnFormula>
    </tableColumn>
    <tableColumn id="5" xr3:uid="{C96D3ACD-F34D-477E-86DE-4650EE56BC94}" name="Threes" dataDxfId="72">
      <calculatedColumnFormula>Template!U43</calculatedColumnFormula>
    </tableColumn>
    <tableColumn id="6" xr3:uid="{A43DE5E9-BB01-49FA-A204-66EE7BAA2E9F}" name="Avg P" dataDxfId="71">
      <calculatedColumnFormula>AA69/$AA$27</calculatedColumnFormula>
    </tableColumn>
    <tableColumn id="7" xr3:uid="{C75A19FF-6041-45C2-BACB-E347F06B6329}" name="Avg F" dataDxfId="70">
      <calculatedColumnFormula>AB69/$AA$27</calculatedColumnFormula>
    </tableColumn>
    <tableColumn id="8" xr3:uid="{00D3FCFC-C9C5-4C96-BE0E-8E1FDC95D07C}" name="Avg M" dataDxfId="69">
      <calculatedColumnFormula>AC69/$AA$27</calculatedColumnFormula>
    </tableColumn>
    <tableColumn id="9" xr3:uid="{0448FF4E-9D2D-47F6-89B7-F17D36B05E8A}" name="Avg T" dataDxfId="68">
      <calculatedColumnFormula>AD69/$AA$27</calculatedColumnFormula>
    </tableColumn>
    <tableColumn id="10" xr3:uid="{D5BDFA2D-095B-44F8-8567-15B3B1520E5A}" name="Missed Games" dataDxfId="67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6" dataDxfId="65">
  <autoFilter ref="Z88:AI105" xr:uid="{BDD2E472-3925-41A7-BECD-3315E6E71ECC}"/>
  <tableColumns count="10">
    <tableColumn id="1" xr3:uid="{9DBD966D-620C-4B97-A502-29D00ABE150B}" name="Scoring" dataDxfId="64"/>
    <tableColumn id="2" xr3:uid="{F8F81F0E-16B3-4472-9D90-A92149C763E4}" name="Points" dataDxfId="63">
      <calculatedColumnFormula>Template!R63</calculatedColumnFormula>
    </tableColumn>
    <tableColumn id="3" xr3:uid="{09859CE1-290D-4977-B02C-46F4E5A6FDC2}" name="Finishes" dataDxfId="62">
      <calculatedColumnFormula>Template!S63</calculatedColumnFormula>
    </tableColumn>
    <tableColumn id="4" xr3:uid="{7D751A0E-2895-46DF-B5E2-5A8AA5531CD2}" name="Midranges" dataDxfId="61">
      <calculatedColumnFormula>Template!T63</calculatedColumnFormula>
    </tableColumn>
    <tableColumn id="5" xr3:uid="{591CDC71-B0EA-413B-B6C1-77884E7E50D4}" name="Threes" dataDxfId="60">
      <calculatedColumnFormula>Template!U63</calculatedColumnFormula>
    </tableColumn>
    <tableColumn id="6" xr3:uid="{52ED768C-5557-42DC-9824-7A4D9B547153}" name="Avg P" dataDxfId="59">
      <calculatedColumnFormula>AA89/$AA$27</calculatedColumnFormula>
    </tableColumn>
    <tableColumn id="7" xr3:uid="{FC79BE87-72E2-4F5E-83D6-CDCE645EB943}" name="Avg F" dataDxfId="58">
      <calculatedColumnFormula>AB89/$AA$27</calculatedColumnFormula>
    </tableColumn>
    <tableColumn id="8" xr3:uid="{BA012C22-0D65-4C11-98A7-4F958703D04B}" name="Avg M" dataDxfId="57">
      <calculatedColumnFormula>AC89/$AA$27</calculatedColumnFormula>
    </tableColumn>
    <tableColumn id="9" xr3:uid="{63344F2B-5D94-417D-85E2-C2BFBACE3E7E}" name="Avg T" dataDxfId="56">
      <calculatedColumnFormula>AD89/$AA$27</calculatedColumnFormula>
    </tableColumn>
    <tableColumn id="10" xr3:uid="{1AD5A604-8909-45B3-8E43-11D407451CEA}" name="Missed Games" dataDxfId="55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4" dataDxfId="53">
  <autoFilter ref="AK88:AT105" xr:uid="{F9183685-60DE-4163-AA62-BE4F563EE570}"/>
  <tableColumns count="10">
    <tableColumn id="1" xr3:uid="{E62FBAA0-D6F6-4997-96C9-B6B13FAA9B6E}" name="Scoring" dataDxfId="52"/>
    <tableColumn id="2" xr3:uid="{0A655F6F-9A21-4167-85B6-B9F7DC2070CA}" name="Points" dataDxfId="51">
      <calculatedColumnFormula>Template!AC63</calculatedColumnFormula>
    </tableColumn>
    <tableColumn id="3" xr3:uid="{460771D3-3BD8-4DA3-AF1B-1A0F98EF1499}" name="Finishes" dataDxfId="50">
      <calculatedColumnFormula>Template!AD63</calculatedColumnFormula>
    </tableColumn>
    <tableColumn id="4" xr3:uid="{3C08B2D7-823D-49C3-A627-A5848E664B2F}" name="Midranges" dataDxfId="49">
      <calculatedColumnFormula>Template!AE63</calculatedColumnFormula>
    </tableColumn>
    <tableColumn id="5" xr3:uid="{E88F45FB-4C46-4674-86D5-74808E7E5368}" name="Threes" dataDxfId="48">
      <calculatedColumnFormula>Template!AF63</calculatedColumnFormula>
    </tableColumn>
    <tableColumn id="6" xr3:uid="{0C0E8016-1E6E-4F25-9675-4EE061FFD0F7}" name="Avg P" dataDxfId="47">
      <calculatedColumnFormula>AL89/$AA$27</calculatedColumnFormula>
    </tableColumn>
    <tableColumn id="7" xr3:uid="{F7AC350B-AE4B-4912-B21D-16D99E2AE8BF}" name="Avg F" dataDxfId="46">
      <calculatedColumnFormula>AM89/$AA$27</calculatedColumnFormula>
    </tableColumn>
    <tableColumn id="8" xr3:uid="{F451E5CA-B9C4-4EFA-A647-CEDB2FB39550}" name="Avg M" dataDxfId="45">
      <calculatedColumnFormula>AN89/$AA$27</calculatedColumnFormula>
    </tableColumn>
    <tableColumn id="9" xr3:uid="{ED1D92B5-05F1-40CE-A89F-E6627FAB4A59}" name="Avg T" dataDxfId="44">
      <calculatedColumnFormula>AO89/$AA$27</calculatedColumnFormula>
    </tableColumn>
    <tableColumn id="10" xr3:uid="{48A4808A-3DE6-4644-83F5-C2AEDDFC3E5E}" name="Missed Games" dataDxfId="43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1" t="s">
        <v>47</v>
      </c>
      <c r="D3" s="7">
        <f>'Stats Global'!AB8</f>
        <v>0.3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0.3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1" t="s">
        <v>47</v>
      </c>
      <c r="D4" s="7">
        <f>'Stats Global'!AB9</f>
        <v>1.1111111111111112</v>
      </c>
      <c r="E4" s="11">
        <f>'Stats Global'!AA9</f>
        <v>10</v>
      </c>
      <c r="F4" s="7">
        <f>'Stats Global'!AD9</f>
        <v>1.1111111111111112</v>
      </c>
      <c r="G4" s="11">
        <f>'Stats Global'!AC9</f>
        <v>10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197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0" t="s">
        <v>26</v>
      </c>
      <c r="D5" s="7">
        <f>'Stats Global'!AB10</f>
        <v>3.75</v>
      </c>
      <c r="E5" s="11">
        <f>'Stats Global'!AA10</f>
        <v>15</v>
      </c>
      <c r="F5" s="7">
        <f>'Stats Global'!AD10</f>
        <v>3.25</v>
      </c>
      <c r="G5" s="11">
        <f>'Stats Global'!AC10</f>
        <v>13</v>
      </c>
      <c r="H5" s="7">
        <f>'Stats Global'!AF10</f>
        <v>0</v>
      </c>
      <c r="I5" s="11">
        <f>'Stats Global'!AE10</f>
        <v>0</v>
      </c>
      <c r="J5" s="7">
        <f>'Stats Global'!AH10</f>
        <v>0.25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194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0.83333333333333337</v>
      </c>
      <c r="E6" s="11">
        <f>'Stats Global'!AA11</f>
        <v>5</v>
      </c>
      <c r="F6" s="7">
        <f>'Stats Global'!AD11</f>
        <v>0.83333333333333337</v>
      </c>
      <c r="G6" s="11">
        <f>'Stats Global'!AC11</f>
        <v>5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100" t="s">
        <v>190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0" t="s">
        <v>31</v>
      </c>
      <c r="D7" s="7">
        <f>'Stats Global'!AB12</f>
        <v>1.125</v>
      </c>
      <c r="E7" s="11">
        <f>'Stats Global'!AA12</f>
        <v>9</v>
      </c>
      <c r="F7" s="7">
        <f>'Stats Global'!AD12</f>
        <v>0.375</v>
      </c>
      <c r="G7" s="11">
        <f>'Stats Global'!AC12</f>
        <v>3</v>
      </c>
      <c r="H7" s="7">
        <f>'Stats Global'!AF12</f>
        <v>0.5</v>
      </c>
      <c r="I7" s="11">
        <f>'Stats Global'!AE12</f>
        <v>4</v>
      </c>
      <c r="J7" s="7">
        <f>'Stats Global'!AH12</f>
        <v>0.125</v>
      </c>
      <c r="K7" s="11">
        <f>'Stats Global'!AG12</f>
        <v>1</v>
      </c>
      <c r="L7" s="2" t="s">
        <v>38</v>
      </c>
      <c r="M7" s="2" t="s">
        <v>39</v>
      </c>
      <c r="N7" s="16" t="s">
        <v>153</v>
      </c>
      <c r="O7" s="16" t="s">
        <v>155</v>
      </c>
      <c r="T7" s="110" t="s">
        <v>195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52" t="s">
        <v>26</v>
      </c>
      <c r="D8" s="7">
        <f>'Stats Global'!AB13</f>
        <v>0.375</v>
      </c>
      <c r="E8" s="11">
        <f>'Stats Global'!AA13</f>
        <v>3</v>
      </c>
      <c r="F8" s="7">
        <f>'Stats Global'!AD13</f>
        <v>0.25</v>
      </c>
      <c r="G8" s="11">
        <f>'Stats Global'!AC13</f>
        <v>2</v>
      </c>
      <c r="H8" s="7">
        <f>'Stats Global'!AF13</f>
        <v>0.125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52" t="s">
        <v>240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11" t="s">
        <v>26</v>
      </c>
      <c r="D9" s="7">
        <f>'Stats Global'!AB14</f>
        <v>0.6</v>
      </c>
      <c r="E9" s="11">
        <f>'Stats Global'!AA14</f>
        <v>6</v>
      </c>
      <c r="F9" s="7">
        <f>'Stats Global'!AD14</f>
        <v>0.4</v>
      </c>
      <c r="G9" s="11">
        <f>'Stats Global'!AC14</f>
        <v>4</v>
      </c>
      <c r="H9" s="7">
        <f>'Stats Global'!AF14</f>
        <v>0.2</v>
      </c>
      <c r="I9" s="11">
        <f>'Stats Global'!AE14</f>
        <v>2</v>
      </c>
      <c r="J9" s="7">
        <f>'Stats Global'!AH14</f>
        <v>0</v>
      </c>
      <c r="K9" s="11">
        <f>'Stats Global'!AG14</f>
        <v>0</v>
      </c>
      <c r="L9" s="16" t="s">
        <v>213</v>
      </c>
      <c r="M9" s="16" t="s">
        <v>158</v>
      </c>
      <c r="T9" s="111" t="s">
        <v>200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11" t="s">
        <v>31</v>
      </c>
      <c r="D10" s="7">
        <f>'Stats Global'!AB15</f>
        <v>2</v>
      </c>
      <c r="E10" s="11">
        <f>'Stats Global'!AA15</f>
        <v>8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1</v>
      </c>
      <c r="K10" s="11">
        <f>'Stats Global'!AG15</f>
        <v>4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11" t="s">
        <v>199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0" t="s">
        <v>47</v>
      </c>
      <c r="D11" s="7">
        <f>'Stats Global'!AB16</f>
        <v>1.8888888888888888</v>
      </c>
      <c r="E11" s="11">
        <f>'Stats Global'!AA16</f>
        <v>17</v>
      </c>
      <c r="F11" s="7">
        <f>'Stats Global'!AD16</f>
        <v>0.77777777777777779</v>
      </c>
      <c r="G11" s="11">
        <f>'Stats Global'!AC16</f>
        <v>7</v>
      </c>
      <c r="H11" s="7">
        <f>'Stats Global'!AF16</f>
        <v>0.66666666666666663</v>
      </c>
      <c r="I11" s="11">
        <f>'Stats Global'!AE16</f>
        <v>6</v>
      </c>
      <c r="J11" s="7">
        <f>'Stats Global'!AH16</f>
        <v>0.22222222222222221</v>
      </c>
      <c r="K11" s="11">
        <f>'Stats Global'!AG16</f>
        <v>2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196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3.1</v>
      </c>
      <c r="E12" s="11">
        <f>'Stats Global'!AA17</f>
        <v>31</v>
      </c>
      <c r="F12" s="7">
        <f>'Stats Global'!AD17</f>
        <v>0.5</v>
      </c>
      <c r="G12" s="11">
        <f>'Stats Global'!AC17</f>
        <v>5</v>
      </c>
      <c r="H12" s="7">
        <f>'Stats Global'!AF17</f>
        <v>1.8</v>
      </c>
      <c r="I12" s="11">
        <f>'Stats Global'!AE17</f>
        <v>18</v>
      </c>
      <c r="J12" s="7">
        <f>'Stats Global'!AH17</f>
        <v>0.4</v>
      </c>
      <c r="K12" s="11">
        <f>'Stats Global'!AG17</f>
        <v>4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101" t="s">
        <v>191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1" t="s">
        <v>31</v>
      </c>
      <c r="D13" s="7">
        <f>'Stats Global'!AB18</f>
        <v>0.7</v>
      </c>
      <c r="E13" s="11">
        <f>'Stats Global'!AA18</f>
        <v>7</v>
      </c>
      <c r="F13" s="7">
        <f>'Stats Global'!AD18</f>
        <v>0.1</v>
      </c>
      <c r="G13" s="11">
        <f>'Stats Global'!AC18</f>
        <v>1</v>
      </c>
      <c r="H13" s="7">
        <f>'Stats Global'!AF18</f>
        <v>0.6</v>
      </c>
      <c r="I13" s="11">
        <f>'Stats Global'!AE18</f>
        <v>6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12" t="s">
        <v>198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46" t="s">
        <v>26</v>
      </c>
      <c r="D14" s="7">
        <f>'Stats Global'!AB19</f>
        <v>0.2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0.2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6" t="s">
        <v>212</v>
      </c>
      <c r="M14" s="2"/>
      <c r="N14" s="16"/>
      <c r="O14" s="16"/>
      <c r="P14" s="16"/>
      <c r="Q14" s="16"/>
      <c r="R14" s="16"/>
      <c r="S14" s="16"/>
      <c r="T14" s="147" t="s">
        <v>240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52" t="s">
        <v>31</v>
      </c>
      <c r="D15" s="7">
        <f>'Stats Global'!AB20</f>
        <v>0.8</v>
      </c>
      <c r="E15" s="11">
        <f>'Stats Global'!AA20</f>
        <v>8</v>
      </c>
      <c r="F15" s="7">
        <f>'Stats Global'!AD20</f>
        <v>0.7</v>
      </c>
      <c r="G15" s="11">
        <f>'Stats Global'!AC20</f>
        <v>7</v>
      </c>
      <c r="H15" s="7">
        <f>'Stats Global'!AF20</f>
        <v>0.1</v>
      </c>
      <c r="I15" s="11">
        <f>'Stats Global'!AE20</f>
        <v>1</v>
      </c>
      <c r="J15" s="7">
        <f>'Stats Global'!AH20</f>
        <v>0</v>
      </c>
      <c r="K15" s="11">
        <f>'Stats Global'!AG20</f>
        <v>0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53" t="s">
        <v>239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1" t="s">
        <v>47</v>
      </c>
      <c r="D16" s="7">
        <f>'Stats Global'!AB21</f>
        <v>1.2</v>
      </c>
      <c r="E16" s="11">
        <f>'Stats Global'!AA21</f>
        <v>12</v>
      </c>
      <c r="F16" s="7">
        <f>'Stats Global'!AD21</f>
        <v>0.7</v>
      </c>
      <c r="G16" s="11">
        <f>'Stats Global'!AC21</f>
        <v>7</v>
      </c>
      <c r="H16" s="7">
        <f>'Stats Global'!AF21</f>
        <v>0.3</v>
      </c>
      <c r="I16" s="11">
        <f>'Stats Global'!AE21</f>
        <v>3</v>
      </c>
      <c r="J16" s="7">
        <f>'Stats Global'!AH21</f>
        <v>0.1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12" t="s">
        <v>197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2.8</v>
      </c>
      <c r="E17" s="11">
        <f>'Stats Global'!AA22</f>
        <v>28</v>
      </c>
      <c r="F17" s="7">
        <f>'Stats Global'!AD22</f>
        <v>1.5</v>
      </c>
      <c r="G17" s="11">
        <f>'Stats Global'!AC22</f>
        <v>15</v>
      </c>
      <c r="H17" s="7">
        <f>'Stats Global'!AF22</f>
        <v>0.7</v>
      </c>
      <c r="I17" s="11">
        <f>'Stats Global'!AE22</f>
        <v>7</v>
      </c>
      <c r="J17" s="7">
        <f>'Stats Global'!AH22</f>
        <v>0.3</v>
      </c>
      <c r="K17" s="11">
        <f>'Stats Global'!AG22</f>
        <v>3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100" t="s">
        <v>192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1" t="s">
        <v>31</v>
      </c>
      <c r="D18" s="7">
        <f>'Stats Global'!AB23</f>
        <v>0.1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0.1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11" t="s">
        <v>198</v>
      </c>
      <c r="U18" s="11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46" t="s">
        <v>31</v>
      </c>
      <c r="D19" s="7">
        <f>'Stats Global'!AB24</f>
        <v>0.6</v>
      </c>
      <c r="E19" s="11">
        <f>'Stats Global'!AA24</f>
        <v>3</v>
      </c>
      <c r="F19" s="7">
        <f>'Stats Global'!AD24</f>
        <v>0.6</v>
      </c>
      <c r="G19" s="11">
        <f>'Stats Global'!AC24</f>
        <v>3</v>
      </c>
      <c r="H19" s="7">
        <f>'Stats Global'!AF24</f>
        <v>0</v>
      </c>
      <c r="I19" s="11">
        <f>'Stats Global'!AE24</f>
        <v>0</v>
      </c>
      <c r="J19" s="7">
        <f>'Stats Global'!AH24</f>
        <v>0</v>
      </c>
      <c r="K19" s="11">
        <f>'Stats Global'!AG24</f>
        <v>0</v>
      </c>
      <c r="L19" s="16" t="s">
        <v>155</v>
      </c>
      <c r="M19" s="16" t="s">
        <v>158</v>
      </c>
      <c r="T19" s="146" t="s">
        <v>239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211</v>
      </c>
    </row>
    <row r="22" spans="2:24" ht="14.25" customHeight="1" x14ac:dyDescent="0.9">
      <c r="B22" s="157" t="s">
        <v>119</v>
      </c>
      <c r="C22" s="157"/>
      <c r="D22" s="99"/>
      <c r="X22" s="2" t="s">
        <v>70</v>
      </c>
    </row>
    <row r="23" spans="2:24" ht="14.25" customHeight="1" x14ac:dyDescent="0.9">
      <c r="B23" s="157"/>
      <c r="C23" s="157"/>
      <c r="D23" s="99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Gooses","Wet Willies","Wet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"PPG":[0.3,1.11,3.75,0.83,1.13,0.38,0.6,2,1.89,3.1,0.7,0.2,0.8,1.2,2.8,0.1,0.6],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"TP":[3,10,15,5,9,3,6,8,17,31,7,1,8,12,28,1,3],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"FPG":[0,1.11,3.25,0.83,0.38,0.25,0.4,0,0.78,0.5,0.1,0,0.7,0.7,1.5,0,0.6],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"TF":[0,10,13,5,3,2,4,0,7,5,1,0,7,7,15,0,3],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"MPG":[0.3,0,0,0,0.5,0.13,0.2,0,0.67,1.8,0.6,0.2,0.1,0.3,0.7,0.1,0],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"TM":[3,0,0,0,4,1,2,0,6,18,6,1,1,3,7,1,0],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"TPG":[0,0,0.25,0,0.13,0,0,1,0.22,0.4,0,0,0,0.1,0.3,0,0],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"TT":[0,0,1,0,1,0,0,4,2,4,0,0,0,1,3,0,0],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WW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0.3,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0.3,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1.11,</v>
      </c>
      <c r="E51" s="17" t="str">
        <f t="shared" si="7"/>
        <v>10,</v>
      </c>
      <c r="F51" s="17" t="str">
        <f t="shared" si="8"/>
        <v>1.11,</v>
      </c>
      <c r="G51" s="17" t="str">
        <f t="shared" si="9"/>
        <v>10,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3.75,</v>
      </c>
      <c r="E52" s="17" t="str">
        <f t="shared" si="7"/>
        <v>15,</v>
      </c>
      <c r="F52" s="17" t="str">
        <f t="shared" si="8"/>
        <v>3.25,</v>
      </c>
      <c r="G52" s="17" t="str">
        <f t="shared" si="9"/>
        <v>13,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0.25,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0.83,</v>
      </c>
      <c r="E53" s="17" t="str">
        <f t="shared" si="7"/>
        <v>5,</v>
      </c>
      <c r="F53" s="17" t="str">
        <f t="shared" si="8"/>
        <v>0.83,</v>
      </c>
      <c r="G53" s="17" t="str">
        <f t="shared" si="9"/>
        <v>5,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1.13,</v>
      </c>
      <c r="E54" s="17" t="str">
        <f t="shared" si="7"/>
        <v>9,</v>
      </c>
      <c r="F54" s="17" t="str">
        <f t="shared" si="8"/>
        <v>0.38,</v>
      </c>
      <c r="G54" s="17" t="str">
        <f t="shared" si="9"/>
        <v>3,</v>
      </c>
      <c r="H54" s="17" t="str">
        <f t="shared" si="10"/>
        <v>0.5,</v>
      </c>
      <c r="I54" s="17" t="str">
        <f t="shared" si="11"/>
        <v>4,</v>
      </c>
      <c r="J54" s="17" t="str">
        <f t="shared" si="12"/>
        <v>0.13,</v>
      </c>
      <c r="K54" s="17" t="str">
        <f t="shared" si="13"/>
        <v>1,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0.38,</v>
      </c>
      <c r="E55" s="17" t="str">
        <f t="shared" si="7"/>
        <v>3,</v>
      </c>
      <c r="F55" s="17" t="str">
        <f t="shared" si="8"/>
        <v>0.25,</v>
      </c>
      <c r="G55" s="17" t="str">
        <f t="shared" si="9"/>
        <v>2,</v>
      </c>
      <c r="H55" s="17" t="str">
        <f t="shared" si="10"/>
        <v>0.13,</v>
      </c>
      <c r="I55" s="17" t="str">
        <f t="shared" si="11"/>
        <v>1,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0.6,</v>
      </c>
      <c r="E56" s="17" t="str">
        <f t="shared" si="7"/>
        <v>6,</v>
      </c>
      <c r="F56" s="17" t="str">
        <f t="shared" si="8"/>
        <v>0.4,</v>
      </c>
      <c r="G56" s="17" t="str">
        <f t="shared" si="9"/>
        <v>4,</v>
      </c>
      <c r="H56" s="17" t="str">
        <f t="shared" si="10"/>
        <v>0.2,</v>
      </c>
      <c r="I56" s="17" t="str">
        <f t="shared" si="11"/>
        <v>2,</v>
      </c>
      <c r="J56" s="17" t="str">
        <f t="shared" si="12"/>
        <v>0,</v>
      </c>
      <c r="K56" s="17" t="str">
        <f t="shared" si="13"/>
        <v>0,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2,</v>
      </c>
      <c r="E57" s="17" t="str">
        <f t="shared" si="7"/>
        <v>8,</v>
      </c>
      <c r="F57" s="17" t="str">
        <f t="shared" si="8"/>
        <v>0,</v>
      </c>
      <c r="G57" s="17" t="str">
        <f t="shared" si="9"/>
        <v>0,</v>
      </c>
      <c r="H57" s="17" t="str">
        <f t="shared" si="10"/>
        <v>0,</v>
      </c>
      <c r="I57" s="17" t="str">
        <f t="shared" si="11"/>
        <v>0,</v>
      </c>
      <c r="J57" s="17" t="str">
        <f t="shared" si="12"/>
        <v>1,</v>
      </c>
      <c r="K57" s="17" t="str">
        <f t="shared" si="13"/>
        <v>4,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1.89,</v>
      </c>
      <c r="E58" s="17" t="str">
        <f t="shared" si="7"/>
        <v>17,</v>
      </c>
      <c r="F58" s="17" t="str">
        <f t="shared" si="8"/>
        <v>0.78,</v>
      </c>
      <c r="G58" s="17" t="str">
        <f t="shared" si="9"/>
        <v>7,</v>
      </c>
      <c r="H58" s="17" t="str">
        <f t="shared" si="10"/>
        <v>0.67,</v>
      </c>
      <c r="I58" s="17" t="str">
        <f t="shared" si="11"/>
        <v>6,</v>
      </c>
      <c r="J58" s="17" t="str">
        <f t="shared" si="12"/>
        <v>0.22,</v>
      </c>
      <c r="K58" s="17" t="str">
        <f t="shared" si="13"/>
        <v>2,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3.1,</v>
      </c>
      <c r="E59" s="17" t="str">
        <f t="shared" si="7"/>
        <v>31,</v>
      </c>
      <c r="F59" s="17" t="str">
        <f t="shared" si="8"/>
        <v>0.5,</v>
      </c>
      <c r="G59" s="17" t="str">
        <f t="shared" si="9"/>
        <v>5,</v>
      </c>
      <c r="H59" s="17" t="str">
        <f t="shared" si="10"/>
        <v>1.8,</v>
      </c>
      <c r="I59" s="17" t="str">
        <f t="shared" si="11"/>
        <v>18,</v>
      </c>
      <c r="J59" s="17" t="str">
        <f t="shared" si="12"/>
        <v>0.4,</v>
      </c>
      <c r="K59" s="17" t="str">
        <f t="shared" si="13"/>
        <v>4,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0.7,</v>
      </c>
      <c r="E60" s="17" t="str">
        <f t="shared" si="7"/>
        <v>7,</v>
      </c>
      <c r="F60" s="17" t="str">
        <f t="shared" si="8"/>
        <v>0.1,</v>
      </c>
      <c r="G60" s="17" t="str">
        <f t="shared" si="9"/>
        <v>1,</v>
      </c>
      <c r="H60" s="17" t="str">
        <f t="shared" si="10"/>
        <v>0.6,</v>
      </c>
      <c r="I60" s="17" t="str">
        <f t="shared" si="11"/>
        <v>6,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0.2,</v>
      </c>
      <c r="E61" s="17" t="str">
        <f t="shared" si="7"/>
        <v>1,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0.2,</v>
      </c>
      <c r="I61" s="17" t="str">
        <f t="shared" si="11"/>
        <v>1,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0.8,</v>
      </c>
      <c r="E62" s="17" t="str">
        <f t="shared" si="7"/>
        <v>8,</v>
      </c>
      <c r="F62" s="17" t="str">
        <f t="shared" si="8"/>
        <v>0.7,</v>
      </c>
      <c r="G62" s="17" t="str">
        <f t="shared" si="9"/>
        <v>7,</v>
      </c>
      <c r="H62" s="17" t="str">
        <f t="shared" si="10"/>
        <v>0.1,</v>
      </c>
      <c r="I62" s="17" t="str">
        <f t="shared" si="11"/>
        <v>1,</v>
      </c>
      <c r="J62" s="17" t="str">
        <f t="shared" si="12"/>
        <v>0,</v>
      </c>
      <c r="K62" s="17" t="str">
        <f t="shared" si="13"/>
        <v>0,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1.2,</v>
      </c>
      <c r="E63" s="17" t="str">
        <f t="shared" si="7"/>
        <v>12,</v>
      </c>
      <c r="F63" s="17" t="str">
        <f t="shared" si="8"/>
        <v>0.7,</v>
      </c>
      <c r="G63" s="17" t="str">
        <f t="shared" si="9"/>
        <v>7,</v>
      </c>
      <c r="H63" s="17" t="str">
        <f t="shared" si="10"/>
        <v>0.3,</v>
      </c>
      <c r="I63" s="17" t="str">
        <f t="shared" si="11"/>
        <v>3,</v>
      </c>
      <c r="J63" s="17" t="str">
        <f t="shared" si="12"/>
        <v>0.1,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2.8,</v>
      </c>
      <c r="E64" s="17" t="str">
        <f t="shared" si="7"/>
        <v>28,</v>
      </c>
      <c r="F64" s="17" t="str">
        <f t="shared" si="8"/>
        <v>1.5,</v>
      </c>
      <c r="G64" s="17" t="str">
        <f t="shared" si="9"/>
        <v>15,</v>
      </c>
      <c r="H64" s="17" t="str">
        <f t="shared" si="10"/>
        <v>0.7,</v>
      </c>
      <c r="I64" s="17" t="str">
        <f t="shared" si="11"/>
        <v>7,</v>
      </c>
      <c r="J64" s="17" t="str">
        <f t="shared" si="12"/>
        <v>0.3,</v>
      </c>
      <c r="K64" s="17" t="str">
        <f t="shared" si="13"/>
        <v>3,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"Wet Willies",</v>
      </c>
      <c r="D65" s="17" t="str">
        <f t="shared" si="6"/>
        <v>0.1,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0.1,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Willies",</v>
      </c>
      <c r="U65" s="17" t="str">
        <f t="shared" si="29"/>
        <v>"../Images/WW_Final.png",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0.6</v>
      </c>
      <c r="E66" s="17">
        <f>E19</f>
        <v>3</v>
      </c>
      <c r="F66" s="17">
        <f>ROUND(F19,2)</f>
        <v>0.6</v>
      </c>
      <c r="G66" s="17">
        <f>G19</f>
        <v>3</v>
      </c>
      <c r="H66" s="17">
        <f>ROUND(H19,2)</f>
        <v>0</v>
      </c>
      <c r="I66" s="17">
        <f>I19</f>
        <v>0</v>
      </c>
      <c r="J66" s="17">
        <f>ROUND(J19,2)</f>
        <v>0</v>
      </c>
      <c r="K66" s="17">
        <f>K19</f>
        <v>0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E1000"/>
  <sheetViews>
    <sheetView zoomScale="79" workbookViewId="0">
      <selection activeCell="C5" activeCellId="1" sqref="C9:F15 C5:F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205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205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206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206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205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205</v>
      </c>
      <c r="G14" s="25">
        <v>6</v>
      </c>
      <c r="H14" s="25">
        <v>4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205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206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26</v>
      </c>
      <c r="E19" s="25" t="s">
        <v>257</v>
      </c>
      <c r="F19" s="25" t="s">
        <v>257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7" t="s">
        <v>119</v>
      </c>
      <c r="U41" s="157"/>
      <c r="V41" s="157"/>
    </row>
    <row r="42" spans="2:26" ht="14.25" customHeight="1" x14ac:dyDescent="0.9">
      <c r="R42" s="99"/>
      <c r="S42" s="99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"Date":["31-July"],</v>
      </c>
    </row>
    <row r="45" spans="2:26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206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205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205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205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7" t="s">
        <v>119</v>
      </c>
      <c r="U41" s="157"/>
      <c r="V41" s="157"/>
    </row>
    <row r="42" spans="2:26" ht="14.25" customHeight="1" x14ac:dyDescent="0.9">
      <c r="R42" s="99"/>
      <c r="S42" s="99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205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205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205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205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205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205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205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205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1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1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1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7" t="s">
        <v>119</v>
      </c>
      <c r="U41" s="157"/>
      <c r="V41" s="157"/>
    </row>
    <row r="42" spans="2:26" ht="14.25" customHeight="1" x14ac:dyDescent="0.9">
      <c r="R42" s="99"/>
      <c r="S42" s="99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205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205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205</v>
      </c>
      <c r="G14" s="25">
        <v>5</v>
      </c>
      <c r="H14" s="25">
        <v>3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201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49"/>
      <c r="AC23" s="149"/>
      <c r="AD23" s="149"/>
      <c r="AE23" s="149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3"/>
      <c r="AC24" s="149"/>
      <c r="AD24" s="149"/>
      <c r="AE24" s="149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3"/>
      <c r="AC25" s="149"/>
      <c r="AD25" s="149"/>
      <c r="AE25" s="149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3"/>
      <c r="AC26" s="149"/>
      <c r="AD26" s="149"/>
      <c r="AE26" s="149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3"/>
      <c r="AC27" s="149"/>
      <c r="AD27" s="149"/>
      <c r="AE27" s="149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3"/>
      <c r="AC28" s="149"/>
      <c r="AD28" s="149"/>
      <c r="AE28" s="149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4"/>
      <c r="AC29" s="149"/>
      <c r="AD29" s="149"/>
      <c r="AE29" s="149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4"/>
      <c r="AC30" s="149"/>
      <c r="AD30" s="149"/>
      <c r="AE30" s="149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4"/>
      <c r="AC31" s="149"/>
      <c r="AD31" s="149"/>
      <c r="AE31" s="149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4"/>
      <c r="AC32" s="149"/>
      <c r="AD32" s="149"/>
      <c r="AE32" s="149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4"/>
      <c r="AC33" s="149"/>
      <c r="AD33" s="149"/>
      <c r="AE33" s="149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5"/>
      <c r="AC34" s="149"/>
      <c r="AD34" s="149"/>
      <c r="AE34" s="149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5"/>
      <c r="AC35" s="149"/>
      <c r="AD35" s="149"/>
      <c r="AE35" s="149"/>
    </row>
    <row r="36" spans="2:31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5"/>
      <c r="AC36" s="149"/>
      <c r="AD36" s="149"/>
      <c r="AE36" s="149"/>
    </row>
    <row r="37" spans="2:31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5"/>
      <c r="AC37" s="149"/>
      <c r="AD37" s="149"/>
      <c r="AE37" s="149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5"/>
      <c r="AC38" s="149"/>
      <c r="AD38" s="149"/>
      <c r="AE38" s="149"/>
    </row>
    <row r="39" spans="2:31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35"/>
      <c r="AC39" s="149"/>
      <c r="AD39" s="149"/>
      <c r="AE39" s="149"/>
    </row>
    <row r="40" spans="2:31" ht="14.25" customHeight="1" x14ac:dyDescent="0.45">
      <c r="B40" s="73"/>
      <c r="S40" s="8"/>
      <c r="T40" s="8"/>
      <c r="U40" s="8"/>
      <c r="AB40" s="135"/>
      <c r="AC40" s="149"/>
      <c r="AD40" s="149"/>
      <c r="AE40" s="149"/>
    </row>
    <row r="41" spans="2:31" ht="14.25" customHeight="1" x14ac:dyDescent="0.9">
      <c r="R41" s="99"/>
      <c r="S41" s="99"/>
      <c r="T41" s="157" t="s">
        <v>119</v>
      </c>
      <c r="U41" s="157"/>
      <c r="V41" s="157"/>
    </row>
    <row r="42" spans="2:31" ht="14.25" customHeight="1" x14ac:dyDescent="0.9">
      <c r="R42" s="99"/>
      <c r="S42" s="99"/>
      <c r="T42" s="157"/>
      <c r="U42" s="157"/>
      <c r="V42" s="157"/>
    </row>
    <row r="43" spans="2:31" ht="14.25" customHeight="1" x14ac:dyDescent="0.45">
      <c r="B43" s="16" t="s">
        <v>170</v>
      </c>
      <c r="T43" s="69" t="s">
        <v>168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205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7" t="s">
        <v>119</v>
      </c>
      <c r="U41" s="157"/>
      <c r="V41" s="157"/>
    </row>
    <row r="42" spans="2:26" ht="14.25" customHeight="1" x14ac:dyDescent="0.9">
      <c r="R42" s="99"/>
      <c r="S42" s="99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205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205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205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205</v>
      </c>
      <c r="G14" s="25">
        <v>11</v>
      </c>
      <c r="H14" s="25">
        <v>6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205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206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206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7" t="s">
        <v>119</v>
      </c>
      <c r="U41" s="157"/>
      <c r="V41" s="157"/>
    </row>
    <row r="42" spans="2:26" ht="14.25" customHeight="1" x14ac:dyDescent="0.9">
      <c r="R42" s="99"/>
      <c r="S42" s="99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205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206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206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205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205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32"/>
      <c r="AC21" s="132"/>
      <c r="AD21" s="132"/>
      <c r="AE21" s="132"/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33"/>
      <c r="AC22" s="132"/>
      <c r="AD22" s="132"/>
      <c r="AE22" s="132"/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33"/>
      <c r="AC23" s="132"/>
      <c r="AD23" s="132"/>
      <c r="AE23" s="132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3"/>
      <c r="AC24" s="132"/>
      <c r="AD24" s="132"/>
      <c r="AE24" s="132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3"/>
      <c r="AC25" s="132"/>
      <c r="AD25" s="132"/>
      <c r="AE25" s="132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3"/>
      <c r="AC26" s="132"/>
      <c r="AD26" s="132"/>
      <c r="AE26" s="132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4"/>
      <c r="AC27" s="132"/>
      <c r="AD27" s="132"/>
      <c r="AE27" s="132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4"/>
      <c r="AC28" s="132"/>
      <c r="AD28" s="132"/>
      <c r="AE28" s="132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4"/>
      <c r="AC29" s="132"/>
      <c r="AD29" s="132"/>
      <c r="AE29" s="132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4"/>
      <c r="AC30" s="132"/>
      <c r="AD30" s="132"/>
      <c r="AE30" s="132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4"/>
      <c r="AC31" s="132"/>
      <c r="AD31" s="132"/>
      <c r="AE31" s="132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5"/>
      <c r="AC32" s="132"/>
      <c r="AD32" s="132"/>
      <c r="AE32" s="132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5"/>
      <c r="AC33" s="132"/>
      <c r="AD33" s="132"/>
      <c r="AE33" s="132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5"/>
      <c r="AC34" s="132"/>
      <c r="AD34" s="132"/>
      <c r="AE34" s="132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5"/>
      <c r="AC35" s="132"/>
      <c r="AD35" s="132"/>
      <c r="AE35" s="132"/>
    </row>
    <row r="36" spans="2:31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5"/>
      <c r="AC36" s="132"/>
      <c r="AD36" s="132"/>
      <c r="AE36" s="132"/>
    </row>
    <row r="37" spans="2:31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5"/>
      <c r="AC37" s="132"/>
      <c r="AD37" s="132"/>
      <c r="AE37" s="132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5"/>
      <c r="AC38" s="132"/>
      <c r="AD38" s="132"/>
      <c r="AE38" s="132"/>
    </row>
    <row r="39" spans="2:31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1" ht="14.25" customHeight="1" x14ac:dyDescent="0.45">
      <c r="B40" s="73"/>
      <c r="S40" s="8"/>
      <c r="T40" s="8"/>
      <c r="U40" s="8"/>
    </row>
    <row r="41" spans="2:31" ht="14.25" customHeight="1" x14ac:dyDescent="0.9">
      <c r="R41" s="99"/>
      <c r="S41" s="99"/>
      <c r="T41" s="157" t="s">
        <v>119</v>
      </c>
      <c r="U41" s="157"/>
      <c r="V41" s="157"/>
    </row>
    <row r="42" spans="2:31" ht="14.25" customHeight="1" x14ac:dyDescent="0.9">
      <c r="R42" s="99"/>
      <c r="S42" s="99"/>
      <c r="T42" s="157"/>
      <c r="U42" s="157"/>
      <c r="V42" s="157"/>
    </row>
    <row r="43" spans="2:31" ht="14.25" customHeight="1" x14ac:dyDescent="0.45">
      <c r="B43" s="16" t="s">
        <v>170</v>
      </c>
      <c r="T43" s="69" t="s">
        <v>168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58" t="s">
        <v>219</v>
      </c>
      <c r="Y2" s="158"/>
      <c r="Z2" s="158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1" t="s">
        <v>222</v>
      </c>
      <c r="AD3" s="131" t="s">
        <v>223</v>
      </c>
      <c r="AE3" s="131" t="s">
        <v>224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206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205</v>
      </c>
      <c r="G14" s="25">
        <v>4</v>
      </c>
      <c r="H14" s="25">
        <v>3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205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206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26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9"/>
      <c r="S41" s="99"/>
      <c r="T41" s="157" t="s">
        <v>119</v>
      </c>
      <c r="U41" s="157"/>
      <c r="V41" s="157"/>
    </row>
    <row r="42" spans="2:26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9"/>
      <c r="S42" s="99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206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206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206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205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205</v>
      </c>
      <c r="G14" s="25">
        <v>4</v>
      </c>
      <c r="H14" s="25">
        <v>3</v>
      </c>
      <c r="I14" s="25">
        <v>4</v>
      </c>
      <c r="Q14" s="2" t="s">
        <v>201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205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7" t="s">
        <v>119</v>
      </c>
      <c r="U41" s="157"/>
      <c r="V41" s="157"/>
    </row>
    <row r="42" spans="2:26" ht="14.25" customHeight="1" x14ac:dyDescent="0.9">
      <c r="R42" s="99"/>
      <c r="S42" s="99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205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206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205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206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205</v>
      </c>
      <c r="G14" s="25">
        <v>2</v>
      </c>
      <c r="H14" s="25">
        <v>6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205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205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205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206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205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205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205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205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205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7" t="s">
        <v>119</v>
      </c>
      <c r="U41" s="157"/>
      <c r="V41" s="157"/>
    </row>
    <row r="42" spans="2:26" ht="14.25" customHeight="1" x14ac:dyDescent="0.9">
      <c r="R42" s="99"/>
      <c r="S42" s="99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abSelected="1" topLeftCell="J7" zoomScale="81" zoomScaleNormal="100" workbookViewId="0">
      <selection activeCell="X42" sqref="X42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9" t="s">
        <v>72</v>
      </c>
      <c r="C4" s="109" t="s">
        <v>77</v>
      </c>
      <c r="D4" s="109" t="s">
        <v>78</v>
      </c>
      <c r="E4" s="109" t="s">
        <v>79</v>
      </c>
      <c r="F4" s="109" t="s">
        <v>171</v>
      </c>
      <c r="G4" s="109" t="s">
        <v>177</v>
      </c>
      <c r="H4" s="109" t="s">
        <v>178</v>
      </c>
      <c r="I4" s="109" t="s">
        <v>172</v>
      </c>
      <c r="J4" s="109" t="s">
        <v>179</v>
      </c>
      <c r="K4" s="109" t="s">
        <v>180</v>
      </c>
      <c r="L4" s="109" t="s">
        <v>173</v>
      </c>
      <c r="M4" s="109" t="s">
        <v>181</v>
      </c>
      <c r="N4" s="109" t="s">
        <v>182</v>
      </c>
      <c r="O4" s="109" t="s">
        <v>174</v>
      </c>
      <c r="P4" s="109" t="s">
        <v>175</v>
      </c>
      <c r="Q4" s="109" t="s">
        <v>176</v>
      </c>
      <c r="S4" s="3" t="s">
        <v>80</v>
      </c>
      <c r="Z4" t="s">
        <v>144</v>
      </c>
      <c r="AA4" s="136">
        <f>AA6/(20-AA5)</f>
        <v>0.52631578947368418</v>
      </c>
    </row>
    <row r="5" spans="1:55" ht="14.25" customHeight="1" x14ac:dyDescent="0.45">
      <c r="B5" s="122" t="str">
        <f>'Preseason 1'!B45</f>
        <v>11-July</v>
      </c>
      <c r="C5" s="122">
        <f>'Preseason 1'!C45</f>
        <v>12</v>
      </c>
      <c r="D5" s="122">
        <f>'Preseason 1'!D45</f>
        <v>5</v>
      </c>
      <c r="E5" s="122">
        <f>'Preseason 1'!E45</f>
        <v>0</v>
      </c>
      <c r="F5" s="122">
        <f>'Preseason 1'!F45</f>
        <v>5</v>
      </c>
      <c r="G5" s="122">
        <f>'Preseason 1'!G45</f>
        <v>0</v>
      </c>
      <c r="H5" s="122">
        <f>'Preseason 1'!H45</f>
        <v>6</v>
      </c>
      <c r="I5" s="122">
        <f>'Preseason 1'!I45</f>
        <v>0</v>
      </c>
      <c r="J5" s="122">
        <f>'Preseason 1'!J45</f>
        <v>2</v>
      </c>
      <c r="K5" s="122">
        <f>'Preseason 1'!K45</f>
        <v>6</v>
      </c>
      <c r="L5" s="122">
        <f>'Preseason 1'!L45</f>
        <v>12</v>
      </c>
      <c r="M5" s="122">
        <f>'Preseason 1'!M45</f>
        <v>3</v>
      </c>
      <c r="N5" s="122">
        <f>'Preseason 1'!N45</f>
        <v>0</v>
      </c>
      <c r="O5" s="122">
        <f>'Preseason 1'!O45</f>
        <v>2</v>
      </c>
      <c r="P5" s="122">
        <f>'Preseason 1'!P45</f>
        <v>1</v>
      </c>
      <c r="Q5" s="122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1</v>
      </c>
      <c r="AR5" s="60"/>
      <c r="AS5" s="60"/>
      <c r="AT5" s="60"/>
    </row>
    <row r="6" spans="1:55" ht="14.25" customHeight="1" x14ac:dyDescent="0.45">
      <c r="B6" s="122" t="str">
        <f>'Preseason 2'!B45</f>
        <v>12-July</v>
      </c>
      <c r="C6" s="122">
        <f>'Preseason 2'!C45</f>
        <v>15</v>
      </c>
      <c r="D6" s="122">
        <f>'Preseason 2'!D45</f>
        <v>9</v>
      </c>
      <c r="E6" s="122">
        <f>'Preseason 2'!E45</f>
        <v>2</v>
      </c>
      <c r="F6" s="122">
        <f>'Preseason 2'!F45</f>
        <v>9</v>
      </c>
      <c r="G6" s="122">
        <f>'Preseason 2'!G45</f>
        <v>1</v>
      </c>
      <c r="H6" s="122">
        <f>'Preseason 2'!H45</f>
        <v>7</v>
      </c>
      <c r="I6" s="122">
        <f>'Preseason 2'!I45</f>
        <v>2</v>
      </c>
      <c r="J6" s="122">
        <f>'Preseason 2'!J45</f>
        <v>4</v>
      </c>
      <c r="K6" s="122">
        <f>'Preseason 2'!K45</f>
        <v>8</v>
      </c>
      <c r="L6" s="122">
        <f>'Preseason 2'!L45</f>
        <v>15</v>
      </c>
      <c r="M6" s="122">
        <f>'Preseason 2'!M45</f>
        <v>5</v>
      </c>
      <c r="N6" s="122">
        <f>'Preseason 2'!N45</f>
        <v>1</v>
      </c>
      <c r="O6" s="122">
        <f>'Preseason 2'!O45</f>
        <v>2</v>
      </c>
      <c r="P6" s="122">
        <f>'Preseason 2'!P45</f>
        <v>1</v>
      </c>
      <c r="Q6" s="122">
        <f>'Preseason 2'!Q45</f>
        <v>3</v>
      </c>
      <c r="S6" s="4">
        <f>SUM(C8:E40)/COUNT(C8:C40)</f>
        <v>13.818181818181818</v>
      </c>
      <c r="T6" s="123">
        <f>AVERAGE(C8:C40)</f>
        <v>8.454545454545455</v>
      </c>
      <c r="U6" s="123">
        <f t="shared" ref="U6:V6" si="0">AVERAGE(D8:D40)</f>
        <v>3.3636363636363638</v>
      </c>
      <c r="V6" s="123">
        <f t="shared" si="0"/>
        <v>2</v>
      </c>
      <c r="Z6" s="69" t="s">
        <v>167</v>
      </c>
      <c r="AA6" s="8">
        <f>AA47+AA67+AL27+AL47+AL67+AA87+AL87</f>
        <v>10</v>
      </c>
      <c r="AK6" s="29"/>
      <c r="AL6" s="29"/>
      <c r="AM6" s="29" t="s">
        <v>221</v>
      </c>
      <c r="AO6" s="42"/>
      <c r="AR6" s="60"/>
      <c r="AS6" s="60"/>
      <c r="AT6" s="60"/>
      <c r="AW6" t="s">
        <v>252</v>
      </c>
      <c r="AX6" s="18">
        <f>AA6-3</f>
        <v>7</v>
      </c>
    </row>
    <row r="7" spans="1:55" ht="14.25" customHeight="1" x14ac:dyDescent="0.45">
      <c r="B7" s="122" t="str">
        <f>'Preseason 3'!B45</f>
        <v>13-July</v>
      </c>
      <c r="C7" s="122">
        <f>'Preseason 3'!C45</f>
        <v>8</v>
      </c>
      <c r="D7" s="122">
        <f>'Preseason 3'!D45</f>
        <v>4</v>
      </c>
      <c r="E7" s="122">
        <f>'Preseason 3'!E45</f>
        <v>1</v>
      </c>
      <c r="F7" s="122">
        <f>'Preseason 3'!F45</f>
        <v>8</v>
      </c>
      <c r="G7" s="122">
        <f>'Preseason 3'!G45</f>
        <v>2</v>
      </c>
      <c r="H7" s="122">
        <f>'Preseason 3'!H45</f>
        <v>0</v>
      </c>
      <c r="I7" s="122">
        <f>'Preseason 3'!I45</f>
        <v>4</v>
      </c>
      <c r="J7" s="122">
        <f>'Preseason 3'!J45</f>
        <v>4</v>
      </c>
      <c r="K7" s="122">
        <f>'Preseason 3'!K45</f>
        <v>1</v>
      </c>
      <c r="L7" s="122">
        <f>'Preseason 3'!L45</f>
        <v>1</v>
      </c>
      <c r="M7" s="122">
        <f>'Preseason 3'!M45</f>
        <v>4</v>
      </c>
      <c r="N7" s="122">
        <f>'Preseason 3'!N45</f>
        <v>2</v>
      </c>
      <c r="O7" s="122">
        <f>'Preseason 3'!O45</f>
        <v>3</v>
      </c>
      <c r="P7" s="122">
        <f>'Preseason 3'!P45</f>
        <v>2</v>
      </c>
      <c r="Q7" s="122">
        <f>'Preseason 3'!Q45</f>
        <v>1</v>
      </c>
      <c r="S7" s="3" t="s">
        <v>83</v>
      </c>
      <c r="T7" s="5">
        <f>T6/$S$6</f>
        <v>0.61184210526315796</v>
      </c>
      <c r="U7" s="5">
        <f>U6/$S$6</f>
        <v>0.24342105263157895</v>
      </c>
      <c r="V7" s="5">
        <f>V6/$S$6</f>
        <v>0.14473684210526316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220</v>
      </c>
      <c r="AO7" s="13"/>
      <c r="AP7" s="27" t="s">
        <v>231</v>
      </c>
      <c r="AQ7" s="143"/>
      <c r="AR7" s="144" t="s">
        <v>232</v>
      </c>
      <c r="AS7" s="59" t="s">
        <v>233</v>
      </c>
      <c r="AT7" s="154" t="s">
        <v>261</v>
      </c>
      <c r="AU7" s="156" t="s">
        <v>262</v>
      </c>
      <c r="AW7" s="2" t="s">
        <v>4</v>
      </c>
      <c r="AX7" s="151" t="s">
        <v>246</v>
      </c>
      <c r="AY7" s="151" t="s">
        <v>247</v>
      </c>
      <c r="AZ7" s="151" t="s">
        <v>248</v>
      </c>
      <c r="BA7" s="151" t="s">
        <v>249</v>
      </c>
      <c r="BB7" s="151" t="s">
        <v>250</v>
      </c>
      <c r="BC7" s="151" t="s">
        <v>251</v>
      </c>
    </row>
    <row r="8" spans="1:55" ht="14.25" customHeight="1" x14ac:dyDescent="0.45">
      <c r="A8" s="73"/>
      <c r="B8" s="119" t="str">
        <f>'1707'!B45</f>
        <v>17-July</v>
      </c>
      <c r="C8" s="119">
        <f>'1707'!C45</f>
        <v>8</v>
      </c>
      <c r="D8" s="119">
        <f>'1707'!D45</f>
        <v>3</v>
      </c>
      <c r="E8" s="119">
        <f>'1707'!E45</f>
        <v>2</v>
      </c>
      <c r="F8" s="119">
        <f>'1707'!F45</f>
        <v>8</v>
      </c>
      <c r="G8" s="119">
        <f>'1707'!G45</f>
        <v>0</v>
      </c>
      <c r="H8" s="119">
        <f>'1707'!H45</f>
        <v>3</v>
      </c>
      <c r="I8" s="119">
        <f>'1707'!I45</f>
        <v>2</v>
      </c>
      <c r="J8" s="119">
        <f>'1707'!J45</f>
        <v>5</v>
      </c>
      <c r="K8" s="119">
        <f>'1707'!K45</f>
        <v>0</v>
      </c>
      <c r="L8" s="119">
        <f>'1707'!L45</f>
        <v>3</v>
      </c>
      <c r="M8" s="119">
        <f>'1707'!M45</f>
        <v>3</v>
      </c>
      <c r="N8" s="119">
        <f>'1707'!N45</f>
        <v>2</v>
      </c>
      <c r="O8" s="119">
        <f>'1707'!O45</f>
        <v>3</v>
      </c>
      <c r="P8" s="119">
        <f>'1707'!P45</f>
        <v>1</v>
      </c>
      <c r="Q8" s="119">
        <f>'1707'!Q45</f>
        <v>2</v>
      </c>
      <c r="Z8" s="63" t="s">
        <v>45</v>
      </c>
      <c r="AA8" s="64">
        <f t="shared" ref="AA8:AA24" si="1">SUM(AL29,AA49,AL49,AA69,AL69,AA89,AL89)</f>
        <v>3</v>
      </c>
      <c r="AB8" s="65">
        <f>IF($AA$6-Table1[[#This Row],[Missed Games]]=0, 0,Table1[[#This Row],[Points]]/($AA$6-Table1[[#This Row],[Missed Games]]))</f>
        <v>0.3</v>
      </c>
      <c r="AC8" s="66">
        <f t="shared" ref="AC8:AC24" si="2">SUM(AM29,AB49,AM49,AB69,AM69,AB89,AM89)</f>
        <v>0</v>
      </c>
      <c r="AD8" s="67">
        <f>IF($AA$6-Table1[[#This Row],[Missed Games]]=0, 0,Table1[[#This Row],[Finishes]]/($AA$6-Table1[[#This Row],[Missed Games]]))</f>
        <v>0</v>
      </c>
      <c r="AE8" s="66">
        <f t="shared" ref="AE8:AE24" si="3">SUM(AN29,AC49,AN49,AC69,AN69,AC89,AN89)</f>
        <v>3</v>
      </c>
      <c r="AF8" s="67">
        <f>IF($AA$6-Table1[[#This Row],[Missed Games]]=0, 0,Table1[[#This Row],[Midranges]]/($AA$6-Table1[[#This Row],[Missed Games]]))</f>
        <v>0.3</v>
      </c>
      <c r="AG8" s="66">
        <f t="shared" ref="AG8:AG24" si="4">SUM(AO29,AD49,AO49,AD69,AO69,AD89,AO89)</f>
        <v>0</v>
      </c>
      <c r="AH8" s="67">
        <f>IF($AA$6-Table1[[#This Row],[Missed Games]]=0, 0,Table1[[#This Row],[Threes]]/($AA$6-Table1[[#This Row],[Missed Games]]))</f>
        <v>0</v>
      </c>
      <c r="AI8" s="63" t="str">
        <f>SfW!C3</f>
        <v>Loose Gooses</v>
      </c>
      <c r="AJ8" s="68">
        <f t="shared" ref="AJ8:AJ24" si="5">SUM(AT29,AI49,AT49,AI69,AT69,AI89,AT89)</f>
        <v>0</v>
      </c>
      <c r="AK8" s="62"/>
      <c r="AL8" s="130" t="s">
        <v>0</v>
      </c>
      <c r="AM8" s="129">
        <f>AVERAGE(Table1[Average])</f>
        <v>1.2637254901960784</v>
      </c>
      <c r="AN8" s="129">
        <f>MEDIAN(Table1[Average])</f>
        <v>0.83333333333333337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39">
        <f>AP8-Table1[[#This Row],[Points]]</f>
        <v>5</v>
      </c>
      <c r="AS8" s="145">
        <f>Table1[[#This Row],[Points]]/(20-AA$5-Table1[[#This Row],[Missed Games]])</f>
        <v>0.15789473684210525</v>
      </c>
      <c r="AT8" s="155">
        <f>Table1[[#This Row],[Average]]-'[1]Stats Global'!R8</f>
        <v>-0.11176470588235293</v>
      </c>
      <c r="AU8" s="27">
        <f>(Table1[[#This Row],[Average]]-'[1]Stats Global'!R8)/'[1]Stats Global'!R8</f>
        <v>-0.27142857142857141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0.42857142857142855</v>
      </c>
      <c r="BB8" s="16">
        <f>Table4[[#This Row],[Total A]]/$AX$6</f>
        <v>0.14285714285714285</v>
      </c>
      <c r="BC8" s="16">
        <f>Table4[[#This Row],[Total S]]/$AX$6</f>
        <v>0.42857142857142855</v>
      </c>
    </row>
    <row r="9" spans="1:55" ht="14.25" customHeight="1" x14ac:dyDescent="0.45">
      <c r="A9" s="73"/>
      <c r="B9" s="119" t="str">
        <f>'1807'!B45</f>
        <v>18-July</v>
      </c>
      <c r="C9" s="119">
        <f>'1807'!C45</f>
        <v>12</v>
      </c>
      <c r="D9" s="119">
        <f>'1807'!D45</f>
        <v>1</v>
      </c>
      <c r="E9" s="119">
        <f>'1807'!E45</f>
        <v>1</v>
      </c>
      <c r="F9" s="119">
        <f>'1807'!F45</f>
        <v>12</v>
      </c>
      <c r="G9" s="119">
        <f>'1807'!G45</f>
        <v>1</v>
      </c>
      <c r="H9" s="119">
        <f>'1807'!H45</f>
        <v>0</v>
      </c>
      <c r="I9" s="119">
        <f>'1807'!I45</f>
        <v>1</v>
      </c>
      <c r="J9" s="119">
        <f>'1807'!J45</f>
        <v>6</v>
      </c>
      <c r="K9" s="119">
        <f>'1807'!K45</f>
        <v>1</v>
      </c>
      <c r="L9" s="119">
        <f>'1807'!L45</f>
        <v>1</v>
      </c>
      <c r="M9" s="119">
        <f>'1807'!M45</f>
        <v>6</v>
      </c>
      <c r="N9" s="119">
        <f>'1807'!N45</f>
        <v>0</v>
      </c>
      <c r="O9" s="119">
        <f>'1807'!O45</f>
        <v>3</v>
      </c>
      <c r="P9" s="119">
        <f>'1807'!P45</f>
        <v>1</v>
      </c>
      <c r="Q9" s="119">
        <f>'1807'!Q45</f>
        <v>2</v>
      </c>
      <c r="Z9" s="63" t="s">
        <v>49</v>
      </c>
      <c r="AA9" s="64">
        <f t="shared" si="1"/>
        <v>10</v>
      </c>
      <c r="AB9" s="65">
        <f>IF($AA$6-Table1[[#This Row],[Missed Games]]=0, 0,Table1[[#This Row],[Points]]/($AA$6-Table1[[#This Row],[Missed Games]]))</f>
        <v>1.1111111111111112</v>
      </c>
      <c r="AC9" s="66">
        <f t="shared" si="2"/>
        <v>10</v>
      </c>
      <c r="AD9" s="67">
        <f>IF($AA$6-Table1[[#This Row],[Missed Games]]=0, 0,Table1[[#This Row],[Finishes]]/($AA$6-Table1[[#This Row],[Missed Games]]))</f>
        <v>1.1111111111111112</v>
      </c>
      <c r="AE9" s="66">
        <f t="shared" si="3"/>
        <v>0</v>
      </c>
      <c r="AF9" s="67">
        <f>IF($AA$6-Table1[[#This Row],[Missed Games]]=0, 0,Table1[[#This Row],[Midranges]]/($AA$6-Table1[[#This Row],[Missed Games]]))</f>
        <v>0</v>
      </c>
      <c r="AG9" s="66">
        <f t="shared" si="4"/>
        <v>0</v>
      </c>
      <c r="AH9" s="67">
        <f>IF($AA$6-Table1[[#This Row],[Missed Games]]=0, 0,Table1[[#This Row],[Threes]]/($AA$6-Table1[[#This Row],[Missed Games]]))</f>
        <v>0</v>
      </c>
      <c r="AI9" s="63" t="str">
        <f>SfW!C4</f>
        <v>Loose Gooses</v>
      </c>
      <c r="AJ9" s="68">
        <f t="shared" si="5"/>
        <v>1</v>
      </c>
      <c r="AK9" s="62"/>
      <c r="AL9" s="130" t="s">
        <v>1</v>
      </c>
      <c r="AM9" s="129">
        <f>AVERAGE(Table1[Finishes])</f>
        <v>4.8235294117647056</v>
      </c>
      <c r="AN9" s="129">
        <f>MEDIAN(Table1[Finishes])</f>
        <v>4</v>
      </c>
      <c r="AO9" s="140"/>
      <c r="AP9" s="18">
        <f>_xlfn.CEILING.MATH('[1]Stats Global'!R9*(20-$AA$5-$AJ9))</f>
        <v>11</v>
      </c>
      <c r="AQ9" s="27">
        <f>Table1[[#This Row],[Points]]/AP9</f>
        <v>0.90909090909090906</v>
      </c>
      <c r="AR9" s="139">
        <f>AP9-Table1[[#This Row],[Points]]</f>
        <v>1</v>
      </c>
      <c r="AS9" s="145">
        <f>Table1[[#This Row],[Points]]/(20-AA$5-Table1[[#This Row],[Missed Games]])</f>
        <v>0.55555555555555558</v>
      </c>
      <c r="AT9" s="155">
        <f>Table1[[#This Row],[Average]]-'[1]Stats Global'!R9</f>
        <v>0.51111111111111118</v>
      </c>
      <c r="AU9" s="27">
        <f>(Table1[[#This Row],[Average]]-'[1]Stats Global'!R9)/'[1]Stats Global'!R9</f>
        <v>0.85185185185185197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1.8571428571428572</v>
      </c>
      <c r="BB9" s="16">
        <f>Table4[[#This Row],[Total A]]/$AX$6</f>
        <v>0</v>
      </c>
      <c r="BC9" s="16">
        <f>Table4[[#This Row],[Total S]]/$AX$6</f>
        <v>0.42857142857142855</v>
      </c>
    </row>
    <row r="10" spans="1:55" ht="14.25" customHeight="1" x14ac:dyDescent="0.45">
      <c r="A10" s="73"/>
      <c r="B10" s="119" t="str">
        <f>'1907'!B45</f>
        <v>19-July</v>
      </c>
      <c r="C10" s="119">
        <f>'1907'!C45</f>
        <v>15</v>
      </c>
      <c r="D10" s="119">
        <f>'1907'!D45</f>
        <v>0</v>
      </c>
      <c r="E10" s="119">
        <f>'1907'!E45</f>
        <v>0</v>
      </c>
      <c r="F10" s="119">
        <f>'1907'!F45</f>
        <v>15</v>
      </c>
      <c r="G10" s="119">
        <f>'1907'!G45</f>
        <v>0</v>
      </c>
      <c r="H10" s="119">
        <f>'1907'!H45</f>
        <v>0</v>
      </c>
      <c r="I10" s="119">
        <f>'1907'!I45</f>
        <v>0</v>
      </c>
      <c r="J10" s="119">
        <f>'1907'!J45</f>
        <v>8</v>
      </c>
      <c r="K10" s="119">
        <f>'1907'!K45</f>
        <v>0</v>
      </c>
      <c r="L10" s="119">
        <f>'1907'!L45</f>
        <v>0</v>
      </c>
      <c r="M10" s="119">
        <f>'1907'!M45</f>
        <v>7</v>
      </c>
      <c r="N10" s="119">
        <f>'1907'!N45</f>
        <v>0</v>
      </c>
      <c r="O10" s="119">
        <f>'1907'!O45</f>
        <v>3</v>
      </c>
      <c r="P10" s="119">
        <f>'1907'!P45</f>
        <v>1</v>
      </c>
      <c r="Q10" s="119">
        <f>'1907'!Q45</f>
        <v>2</v>
      </c>
      <c r="Z10" s="63" t="s">
        <v>51</v>
      </c>
      <c r="AA10" s="64">
        <f t="shared" si="1"/>
        <v>15</v>
      </c>
      <c r="AB10" s="65">
        <f>IF($AA$6-Table1[[#This Row],[Missed Games]]=0, 0,Table1[[#This Row],[Points]]/($AA$6-Table1[[#This Row],[Missed Games]]))</f>
        <v>3.75</v>
      </c>
      <c r="AC10" s="66">
        <f t="shared" si="2"/>
        <v>13</v>
      </c>
      <c r="AD10" s="67">
        <f>IF($AA$6-Table1[[#This Row],[Missed Games]]=0, 0,Table1[[#This Row],[Finishes]]/($AA$6-Table1[[#This Row],[Missed Games]]))</f>
        <v>3.25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0.25</v>
      </c>
      <c r="AI10" s="63" t="str">
        <f>SfW!C5</f>
        <v>5 Musketeers</v>
      </c>
      <c r="AJ10" s="68">
        <f t="shared" si="5"/>
        <v>6</v>
      </c>
      <c r="AK10" s="62"/>
      <c r="AL10" s="130" t="s">
        <v>220</v>
      </c>
      <c r="AM10" s="129">
        <f>AVERAGE(Table1[Midranges])</f>
        <v>3.1176470588235294</v>
      </c>
      <c r="AN10" s="129">
        <f>MEDIAN(Table1[Midranges])</f>
        <v>1</v>
      </c>
      <c r="AO10" s="36"/>
      <c r="AP10" s="18">
        <f>_xlfn.CEILING.MATH('[1]Stats Global'!R10*(20-$AA$5-$AJ10))</f>
        <v>41</v>
      </c>
      <c r="AQ10" s="27">
        <f>Table1[[#This Row],[Points]]/AP10</f>
        <v>0.36585365853658536</v>
      </c>
      <c r="AR10" s="139">
        <f>AP10-Table1[[#This Row],[Points]]</f>
        <v>26</v>
      </c>
      <c r="AS10" s="145">
        <f>Table1[[#This Row],[Points]]/(20-AA$5-Table1[[#This Row],[Missed Games]])</f>
        <v>1.1538461538461537</v>
      </c>
      <c r="AT10" s="155">
        <f>Table1[[#This Row],[Average]]-'[1]Stats Global'!R10</f>
        <v>0.60714285714285721</v>
      </c>
      <c r="AU10" s="27">
        <f>(Table1[[#This Row],[Average]]-'[1]Stats Global'!R10)/'[1]Stats Global'!R10</f>
        <v>0.1931818181818182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0.7142857142857143</v>
      </c>
      <c r="BB10" s="16">
        <f>Table4[[#This Row],[Total A]]/$AX$6</f>
        <v>0.42857142857142855</v>
      </c>
      <c r="BC10" s="16">
        <f>Table4[[#This Row],[Total S]]/$AX$6</f>
        <v>0.2857142857142857</v>
      </c>
    </row>
    <row r="11" spans="1:55" ht="14.25" customHeight="1" x14ac:dyDescent="0.45">
      <c r="A11" s="73"/>
      <c r="B11" s="119" t="str">
        <f>'2007'!B45</f>
        <v>20-July</v>
      </c>
      <c r="C11" s="119">
        <f>'2007'!C45</f>
        <v>6</v>
      </c>
      <c r="D11" s="119">
        <f>'2007'!D45</f>
        <v>3</v>
      </c>
      <c r="E11" s="119">
        <f>'2007'!E45</f>
        <v>2</v>
      </c>
      <c r="F11" s="119">
        <f>'2007'!F45</f>
        <v>3</v>
      </c>
      <c r="G11" s="119">
        <f>'2007'!G45</f>
        <v>3</v>
      </c>
      <c r="H11" s="119">
        <f>'2007'!H45</f>
        <v>1</v>
      </c>
      <c r="I11" s="119">
        <f>'2007'!I45</f>
        <v>6</v>
      </c>
      <c r="J11" s="119">
        <f>'2007'!J45</f>
        <v>2</v>
      </c>
      <c r="K11" s="119">
        <f>'2007'!K45</f>
        <v>1</v>
      </c>
      <c r="L11" s="119">
        <f>'2007'!L45</f>
        <v>2</v>
      </c>
      <c r="M11" s="119">
        <f>'2007'!M45</f>
        <v>1</v>
      </c>
      <c r="N11" s="119">
        <f>'2007'!N45</f>
        <v>3</v>
      </c>
      <c r="O11" s="119">
        <f>'2007'!O45</f>
        <v>2</v>
      </c>
      <c r="P11" s="119">
        <f>'2007'!P45</f>
        <v>3</v>
      </c>
      <c r="Q11" s="119">
        <f>'2007'!Q45</f>
        <v>1</v>
      </c>
      <c r="Z11" s="63" t="s">
        <v>54</v>
      </c>
      <c r="AA11" s="64">
        <f t="shared" si="1"/>
        <v>5</v>
      </c>
      <c r="AB11" s="65">
        <f>IF($AA$6-Table1[[#This Row],[Missed Games]]=0, 0,Table1[[#This Row],[Points]]/($AA$6-Table1[[#This Row],[Missed Games]]))</f>
        <v>0.83333333333333337</v>
      </c>
      <c r="AC11" s="66">
        <f t="shared" si="2"/>
        <v>5</v>
      </c>
      <c r="AD11" s="67">
        <f>IF($AA$6-Table1[[#This Row],[Missed Games]]=0, 0,Table1[[#This Row],[Finishes]]/($AA$6-Table1[[#This Row],[Missed Games]]))</f>
        <v>0.83333333333333337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4</v>
      </c>
      <c r="AK11" s="62"/>
      <c r="AL11" s="130" t="s">
        <v>3</v>
      </c>
      <c r="AM11" s="129">
        <f>AVERAGE(Table1[Threes])</f>
        <v>0.94117647058823528</v>
      </c>
      <c r="AN11" s="129">
        <f>MEDIAN(Table1[Threes])</f>
        <v>0</v>
      </c>
      <c r="AO11" s="36"/>
      <c r="AP11" s="18">
        <f>_xlfn.CEILING.MATH('[1]Stats Global'!R11*(20-$AA$5-$AJ11))</f>
        <v>43</v>
      </c>
      <c r="AQ11" s="27">
        <f>Table1[[#This Row],[Points]]/AP11</f>
        <v>0.11627906976744186</v>
      </c>
      <c r="AR11" s="139">
        <f>AP11-Table1[[#This Row],[Points]]</f>
        <v>38</v>
      </c>
      <c r="AS11" s="145">
        <f>Table1[[#This Row],[Points]]/(20-AA$5-Table1[[#This Row],[Missed Games]])</f>
        <v>0.33333333333333331</v>
      </c>
      <c r="AT11" s="155">
        <f>Table1[[#This Row],[Average]]-'[1]Stats Global'!R11</f>
        <v>-1.9791666666666665</v>
      </c>
      <c r="AU11" s="27">
        <f>(Table1[[#This Row],[Average]]-'[1]Stats Global'!R11)/'[1]Stats Global'!R11</f>
        <v>-0.70370370370370361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1.4285714285714286</v>
      </c>
      <c r="BB11" s="16">
        <f>Table4[[#This Row],[Total A]]/$AX$6</f>
        <v>0.14285714285714285</v>
      </c>
      <c r="BC11" s="16">
        <f>Table4[[#This Row],[Total S]]/$AX$6</f>
        <v>0.2857142857142857</v>
      </c>
    </row>
    <row r="12" spans="1:55" ht="14.25" customHeight="1" x14ac:dyDescent="0.45">
      <c r="A12" s="73"/>
      <c r="B12" s="119" t="str">
        <f>'2407'!B45</f>
        <v>24-July</v>
      </c>
      <c r="C12" s="119">
        <f>'2407'!C45</f>
        <v>9</v>
      </c>
      <c r="D12" s="119">
        <f>'2407'!D45</f>
        <v>1</v>
      </c>
      <c r="E12" s="119">
        <f>'2407'!E45</f>
        <v>1</v>
      </c>
      <c r="F12" s="119">
        <f>'2407'!F45</f>
        <v>1</v>
      </c>
      <c r="G12" s="119">
        <f>'2407'!G45</f>
        <v>0</v>
      </c>
      <c r="H12" s="119">
        <f>'2407'!H45</f>
        <v>5</v>
      </c>
      <c r="I12" s="119">
        <f>'2407'!I45</f>
        <v>1</v>
      </c>
      <c r="J12" s="119">
        <f>'2407'!J45</f>
        <v>1</v>
      </c>
      <c r="K12" s="119">
        <f>'2407'!K45</f>
        <v>4</v>
      </c>
      <c r="L12" s="119">
        <f>'2407'!L45</f>
        <v>9</v>
      </c>
      <c r="M12" s="119">
        <f>'2407'!M45</f>
        <v>0</v>
      </c>
      <c r="N12" s="119">
        <f>'2407'!N45</f>
        <v>1</v>
      </c>
      <c r="O12" s="119">
        <f>'2407'!O45</f>
        <v>2</v>
      </c>
      <c r="P12" s="119">
        <f>'2407'!P45</f>
        <v>1</v>
      </c>
      <c r="Q12" s="119">
        <f>'2407'!Q45</f>
        <v>3</v>
      </c>
      <c r="Z12" s="63" t="s">
        <v>57</v>
      </c>
      <c r="AA12" s="64">
        <f t="shared" si="1"/>
        <v>9</v>
      </c>
      <c r="AB12" s="65">
        <f>IF($AA$6-Table1[[#This Row],[Missed Games]]=0, 0,Table1[[#This Row],[Points]]/($AA$6-Table1[[#This Row],[Missed Games]]))</f>
        <v>1.125</v>
      </c>
      <c r="AC12" s="66">
        <f t="shared" si="2"/>
        <v>3</v>
      </c>
      <c r="AD12" s="67">
        <f>IF($AA$6-Table1[[#This Row],[Missed Games]]=0, 0,Table1[[#This Row],[Finishes]]/($AA$6-Table1[[#This Row],[Missed Games]]))</f>
        <v>0.375</v>
      </c>
      <c r="AE12" s="66">
        <f t="shared" si="3"/>
        <v>4</v>
      </c>
      <c r="AF12" s="67">
        <f>IF($AA$6-Table1[[#This Row],[Missed Games]]=0, 0,Table1[[#This Row],[Midranges]]/($AA$6-Table1[[#This Row],[Missed Games]]))</f>
        <v>0.5</v>
      </c>
      <c r="AG12" s="66">
        <f t="shared" si="4"/>
        <v>1</v>
      </c>
      <c r="AH12" s="67">
        <f>IF($AA$6-Table1[[#This Row],[Missed Games]]=0, 0,Table1[[#This Row],[Threes]]/($AA$6-Table1[[#This Row],[Missed Games]]))</f>
        <v>0.125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35</v>
      </c>
      <c r="AQ12" s="27">
        <f>Table1[[#This Row],[Points]]/AP12</f>
        <v>0.25714285714285712</v>
      </c>
      <c r="AR12" s="139">
        <f>AP12-Table1[[#This Row],[Points]]</f>
        <v>26</v>
      </c>
      <c r="AS12" s="145">
        <f>Table1[[#This Row],[Points]]/(20-AA$5-Table1[[#This Row],[Missed Games]])</f>
        <v>0.52941176470588236</v>
      </c>
      <c r="AT12" s="155">
        <f>Table1[[#This Row],[Average]]-'[1]Stats Global'!R12</f>
        <v>-0.9338235294117645</v>
      </c>
      <c r="AU12" s="27">
        <f>(Table1[[#This Row],[Average]]-'[1]Stats Global'!R12)/'[1]Stats Global'!R12</f>
        <v>-0.45357142857142851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0.8571428571428571</v>
      </c>
      <c r="BB12" s="16">
        <f>Table4[[#This Row],[Total A]]/$AX$6</f>
        <v>0.14285714285714285</v>
      </c>
      <c r="BC12" s="16">
        <f>Table4[[#This Row],[Total S]]/$AX$6</f>
        <v>0.14285714285714285</v>
      </c>
    </row>
    <row r="13" spans="1:55" ht="14.25" customHeight="1" x14ac:dyDescent="0.45">
      <c r="A13" s="73"/>
      <c r="B13" s="119" t="str">
        <f>'2607'!B45</f>
        <v>26-July</v>
      </c>
      <c r="C13" s="119">
        <f>'2607'!C45</f>
        <v>8</v>
      </c>
      <c r="D13" s="119">
        <f>'2607'!D45</f>
        <v>6</v>
      </c>
      <c r="E13" s="119">
        <f>'2607'!E45</f>
        <v>3</v>
      </c>
      <c r="F13" s="119">
        <f>'2607'!F45</f>
        <v>6</v>
      </c>
      <c r="G13" s="119">
        <f>'2607'!G45</f>
        <v>2</v>
      </c>
      <c r="H13" s="119">
        <f>'2607'!H45</f>
        <v>3</v>
      </c>
      <c r="I13" s="119">
        <f>'2607'!I45</f>
        <v>3</v>
      </c>
      <c r="J13" s="119">
        <f>'2607'!J45</f>
        <v>2</v>
      </c>
      <c r="K13" s="119">
        <f>'2607'!K45</f>
        <v>5</v>
      </c>
      <c r="L13" s="119">
        <f>'2607'!L45</f>
        <v>8</v>
      </c>
      <c r="M13" s="119">
        <f>'2607'!M45</f>
        <v>4</v>
      </c>
      <c r="N13" s="119">
        <f>'2607'!N45</f>
        <v>1</v>
      </c>
      <c r="O13" s="119">
        <f>'2607'!O45</f>
        <v>2</v>
      </c>
      <c r="P13" s="119">
        <f>'2607'!P45</f>
        <v>1</v>
      </c>
      <c r="Q13" s="119">
        <f>'2607'!Q45</f>
        <v>3</v>
      </c>
      <c r="Z13" s="63" t="s">
        <v>60</v>
      </c>
      <c r="AA13" s="64">
        <f t="shared" si="1"/>
        <v>3</v>
      </c>
      <c r="AB13" s="65">
        <f>IF($AA$6-Table1[[#This Row],[Missed Games]]=0, 0,Table1[[#This Row],[Points]]/($AA$6-Table1[[#This Row],[Missed Games]]))</f>
        <v>0.375</v>
      </c>
      <c r="AC13" s="66">
        <f t="shared" si="2"/>
        <v>2</v>
      </c>
      <c r="AD13" s="67">
        <f>IF($AA$6-Table1[[#This Row],[Missed Games]]=0, 0,Table1[[#This Row],[Finishes]]/($AA$6-Table1[[#This Row],[Missed Games]]))</f>
        <v>0.25</v>
      </c>
      <c r="AE13" s="66">
        <f t="shared" si="3"/>
        <v>1</v>
      </c>
      <c r="AF13" s="67">
        <f>IF($AA$6-Table1[[#This Row],[Missed Games]]=0, 0,Table1[[#This Row],[Midranges]]/($AA$6-Table1[[#This Row],[Missed Games]]))</f>
        <v>0.125</v>
      </c>
      <c r="AG13" s="66">
        <f t="shared" si="4"/>
        <v>0</v>
      </c>
      <c r="AH13" s="67">
        <f>IF($AA$6-Table1[[#This Row],[Missed Games]]=0, 0,Table1[[#This Row],[Threes]]/($AA$6-Table1[[#This Row],[Missed Games]]))</f>
        <v>0</v>
      </c>
      <c r="AI13" s="63" t="str">
        <f>SfW!C8</f>
        <v>5 Musketeers</v>
      </c>
      <c r="AJ13" s="68">
        <f t="shared" si="5"/>
        <v>2</v>
      </c>
      <c r="AK13" s="62"/>
      <c r="AL13" s="62"/>
      <c r="AM13" s="62"/>
      <c r="AO13" s="36"/>
      <c r="AP13" s="18">
        <f>_xlfn.CEILING.MATH('[1]Stats Global'!R13*(20-$AA$5-$AJ13))</f>
        <v>20</v>
      </c>
      <c r="AQ13" s="27">
        <f>Table1[[#This Row],[Points]]/AP13</f>
        <v>0.15</v>
      </c>
      <c r="AR13" s="139">
        <f>AP13-Table1[[#This Row],[Points]]</f>
        <v>17</v>
      </c>
      <c r="AS13" s="145">
        <f>Table1[[#This Row],[Points]]/(20-AA$5-Table1[[#This Row],[Missed Games]])</f>
        <v>0.17647058823529413</v>
      </c>
      <c r="AT13" s="155">
        <f>Table1[[#This Row],[Average]]-'[1]Stats Global'!R13</f>
        <v>-0.76785714285714279</v>
      </c>
      <c r="AU13" s="27">
        <f>(Table1[[#This Row],[Average]]-'[1]Stats Global'!R13)/'[1]Stats Global'!R13</f>
        <v>-0.671875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0.8571428571428571</v>
      </c>
      <c r="BB13" s="16">
        <f>Table4[[#This Row],[Total A]]/$AX$6</f>
        <v>0.2857142857142857</v>
      </c>
      <c r="BC13" s="16">
        <f>Table4[[#This Row],[Total S]]/$AX$6</f>
        <v>0.14285714285714285</v>
      </c>
    </row>
    <row r="14" spans="1:55" ht="14.25" customHeight="1" x14ac:dyDescent="0.45">
      <c r="A14" s="73"/>
      <c r="B14" s="119" t="str">
        <f>'2707'!B45</f>
        <v>27-July</v>
      </c>
      <c r="C14" s="119">
        <f>'2707'!C45</f>
        <v>8</v>
      </c>
      <c r="D14" s="119">
        <f>'2707'!D45</f>
        <v>3</v>
      </c>
      <c r="E14" s="119">
        <f>'2707'!E45</f>
        <v>3</v>
      </c>
      <c r="F14" s="119">
        <f>'2707'!F45</f>
        <v>3</v>
      </c>
      <c r="G14" s="119">
        <f>'2707'!G45</f>
        <v>1</v>
      </c>
      <c r="H14" s="119">
        <f>'2707'!H45</f>
        <v>4</v>
      </c>
      <c r="I14" s="119">
        <f>'2707'!I45</f>
        <v>3</v>
      </c>
      <c r="J14" s="119">
        <f>'2707'!J45</f>
        <v>2</v>
      </c>
      <c r="K14" s="119">
        <f>'2707'!K45</f>
        <v>4</v>
      </c>
      <c r="L14" s="119">
        <f>'2707'!L45</f>
        <v>8</v>
      </c>
      <c r="M14" s="119">
        <f>'2707'!M45</f>
        <v>1</v>
      </c>
      <c r="N14" s="119">
        <f>'2707'!N45</f>
        <v>2</v>
      </c>
      <c r="O14" s="119">
        <f>'2707'!O45</f>
        <v>2</v>
      </c>
      <c r="P14" s="119">
        <f>'2707'!P45</f>
        <v>1</v>
      </c>
      <c r="Q14" s="119">
        <f>'2707'!Q45</f>
        <v>3</v>
      </c>
      <c r="Z14" s="72" t="s">
        <v>93</v>
      </c>
      <c r="AA14" s="64">
        <f t="shared" si="1"/>
        <v>6</v>
      </c>
      <c r="AB14" s="65">
        <f>IF($AA$6-Table1[[#This Row],[Missed Games]]=0, 0,Table1[[#This Row],[Points]]/($AA$6-Table1[[#This Row],[Missed Games]]))</f>
        <v>0.6</v>
      </c>
      <c r="AC14" s="66">
        <f t="shared" si="2"/>
        <v>4</v>
      </c>
      <c r="AD14" s="67">
        <f>IF($AA$6-Table1[[#This Row],[Missed Games]]=0, 0,Table1[[#This Row],[Finishes]]/($AA$6-Table1[[#This Row],[Missed Games]]))</f>
        <v>0.4</v>
      </c>
      <c r="AE14" s="66">
        <f t="shared" si="3"/>
        <v>2</v>
      </c>
      <c r="AF14" s="67">
        <f>IF($AA$6-Table1[[#This Row],[Missed Games]]=0, 0,Table1[[#This Row],[Midranges]]/($AA$6-Table1[[#This Row],[Missed Games]]))</f>
        <v>0.2</v>
      </c>
      <c r="AG14" s="66">
        <f t="shared" si="4"/>
        <v>0</v>
      </c>
      <c r="AH14" s="67">
        <f>IF($AA$6-Table1[[#This Row],[Missed Games]]=0, 0,Table1[[#This Row],[Threes]]/($AA$6-Table1[[#This Row],[Missed Games]]))</f>
        <v>0</v>
      </c>
      <c r="AI14" s="63" t="str">
        <f>SfW!C9</f>
        <v>5 Musketeers</v>
      </c>
      <c r="AJ14" s="68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1</v>
      </c>
      <c r="AR14" s="139">
        <f>AP14-Table1[[#This Row],[Points]]</f>
        <v>0</v>
      </c>
      <c r="AS14" s="145">
        <f>Table1[[#This Row],[Points]]/(20-AA$5-Table1[[#This Row],[Missed Games]])</f>
        <v>0.31578947368421051</v>
      </c>
      <c r="AT14" s="155">
        <f>Table1[[#This Row],[Average]]-'[1]Stats Global'!R23</f>
        <v>0.28749999999999998</v>
      </c>
      <c r="AU14" s="27">
        <f>(Table1[[#This Row],[Average]]-'[1]Stats Global'!R23)/'[1]Stats Global'!R23</f>
        <v>0.91999999999999993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1.2857142857142858</v>
      </c>
      <c r="BB14" s="16">
        <f>Table4[[#This Row],[Total A]]/$AX$6</f>
        <v>0</v>
      </c>
      <c r="BC14" s="16">
        <f>Table4[[#This Row],[Total S]]/$AX$6</f>
        <v>0.2857142857142857</v>
      </c>
    </row>
    <row r="15" spans="1:55" ht="14.25" customHeight="1" x14ac:dyDescent="0.45">
      <c r="A15" s="73"/>
      <c r="B15" s="119" t="str">
        <f>'3107'!B45</f>
        <v>31-July</v>
      </c>
      <c r="C15" s="119">
        <f>'3107'!C45</f>
        <v>9</v>
      </c>
      <c r="D15" s="119">
        <f>'3107'!D45</f>
        <v>4</v>
      </c>
      <c r="E15" s="119">
        <f>'3107'!E45</f>
        <v>3</v>
      </c>
      <c r="F15" s="119">
        <f>'3107'!F45</f>
        <v>9</v>
      </c>
      <c r="G15" s="119">
        <f>'3107'!G45</f>
        <v>2</v>
      </c>
      <c r="H15" s="119">
        <f>'3107'!H45</f>
        <v>1</v>
      </c>
      <c r="I15" s="119">
        <f>'3107'!I45</f>
        <v>4</v>
      </c>
      <c r="J15" s="119">
        <f>'3107'!J45</f>
        <v>4</v>
      </c>
      <c r="K15" s="119">
        <f>'3107'!K45</f>
        <v>2</v>
      </c>
      <c r="L15" s="119">
        <f>'3107'!L45</f>
        <v>3</v>
      </c>
      <c r="M15" s="119">
        <f>'3107'!M45</f>
        <v>5</v>
      </c>
      <c r="N15" s="119">
        <f>'3107'!N45</f>
        <v>2</v>
      </c>
      <c r="O15" s="119">
        <f>'3107'!O45</f>
        <v>3</v>
      </c>
      <c r="P15" s="119">
        <f>'3107'!P45</f>
        <v>2</v>
      </c>
      <c r="Q15" s="119">
        <f>'3107'!Q45</f>
        <v>1</v>
      </c>
      <c r="Z15" s="72" t="s">
        <v>63</v>
      </c>
      <c r="AA15" s="64">
        <f t="shared" si="1"/>
        <v>8</v>
      </c>
      <c r="AB15" s="65">
        <f>IF($AA$6-Table1[[#This Row],[Missed Games]]=0, 0,Table1[[#This Row],[Points]]/($AA$6-Table1[[#This Row],[Missed Games]]))</f>
        <v>2</v>
      </c>
      <c r="AC15" s="66">
        <f t="shared" si="2"/>
        <v>0</v>
      </c>
      <c r="AD15" s="67">
        <f>IF($AA$6-Table1[[#This Row],[Missed Games]]=0, 0,Table1[[#This Row],[Finishes]]/($AA$6-Table1[[#This Row],[Missed Games]]))</f>
        <v>0</v>
      </c>
      <c r="AE15" s="66">
        <f t="shared" si="3"/>
        <v>0</v>
      </c>
      <c r="AF15" s="67">
        <f>IF($AA$6-Table1[[#This Row],[Missed Games]]=0, 0,Table1[[#This Row],[Midranges]]/($AA$6-Table1[[#This Row],[Missed Games]]))</f>
        <v>0</v>
      </c>
      <c r="AG15" s="66">
        <f t="shared" si="4"/>
        <v>4</v>
      </c>
      <c r="AH15" s="67">
        <f>IF($AA$6-Table1[[#This Row],[Missed Games]]=0, 0,Table1[[#This Row],[Threes]]/($AA$6-Table1[[#This Row],[Missed Games]]))</f>
        <v>1</v>
      </c>
      <c r="AI15" s="63" t="str">
        <f>SfW!C10</f>
        <v>Wet Willies</v>
      </c>
      <c r="AJ15" s="68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21</v>
      </c>
      <c r="AQ15" s="27">
        <f>Table1[[#This Row],[Points]]/AP15</f>
        <v>0.38095238095238093</v>
      </c>
      <c r="AR15" s="139">
        <f>AP15-Table1[[#This Row],[Points]]</f>
        <v>13</v>
      </c>
      <c r="AS15" s="145">
        <f>Table1[[#This Row],[Points]]/(20-AA$5-Table1[[#This Row],[Missed Games]])</f>
        <v>0.61538461538461542</v>
      </c>
      <c r="AT15" s="155">
        <f>Table1[[#This Row],[Average]]-'[1]Stats Global'!R14</f>
        <v>0.41176470588235303</v>
      </c>
      <c r="AU15" s="27">
        <f>(Table1[[#This Row],[Average]]-'[1]Stats Global'!R14)/'[1]Stats Global'!R14</f>
        <v>0.25925925925925936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9" t="str">
        <f>'0108'!B45</f>
        <v>1-August</v>
      </c>
      <c r="C16" s="119">
        <f>'0108'!C45</f>
        <v>6</v>
      </c>
      <c r="D16" s="119">
        <f>'0108'!D45</f>
        <v>6</v>
      </c>
      <c r="E16" s="119">
        <f>'0108'!E45</f>
        <v>3</v>
      </c>
      <c r="F16" s="119">
        <f>'0108'!F45</f>
        <v>3</v>
      </c>
      <c r="G16" s="119">
        <f>'0108'!G45</f>
        <v>3</v>
      </c>
      <c r="H16" s="119">
        <f>'0108'!H45</f>
        <v>3</v>
      </c>
      <c r="I16" s="119">
        <f>'0108'!I45</f>
        <v>6</v>
      </c>
      <c r="J16" s="119">
        <f>'0108'!J45</f>
        <v>1</v>
      </c>
      <c r="K16" s="119">
        <f>'0108'!K45</f>
        <v>3</v>
      </c>
      <c r="L16" s="119">
        <f>'0108'!L45</f>
        <v>6</v>
      </c>
      <c r="M16" s="119">
        <f>'0108'!M45</f>
        <v>2</v>
      </c>
      <c r="N16" s="119">
        <f>'0108'!N45</f>
        <v>3</v>
      </c>
      <c r="O16" s="119">
        <f>'0108'!O45</f>
        <v>1</v>
      </c>
      <c r="P16" s="119">
        <f>'0108'!P45</f>
        <v>3</v>
      </c>
      <c r="Q16" s="119">
        <f>'0108'!Q45</f>
        <v>2</v>
      </c>
      <c r="Z16" s="72" t="s">
        <v>66</v>
      </c>
      <c r="AA16" s="64">
        <f t="shared" si="1"/>
        <v>17</v>
      </c>
      <c r="AB16" s="65">
        <f>IF($AA$6-Table1[[#This Row],[Missed Games]]=0, 0,Table1[[#This Row],[Points]]/($AA$6-Table1[[#This Row],[Missed Games]]))</f>
        <v>1.8888888888888888</v>
      </c>
      <c r="AC16" s="66">
        <f t="shared" si="2"/>
        <v>7</v>
      </c>
      <c r="AD16" s="67">
        <f>IF($AA$6-Table1[[#This Row],[Missed Games]]=0, 0,Table1[[#This Row],[Finishes]]/($AA$6-Table1[[#This Row],[Missed Games]]))</f>
        <v>0.77777777777777779</v>
      </c>
      <c r="AE16" s="66">
        <f t="shared" si="3"/>
        <v>6</v>
      </c>
      <c r="AF16" s="67">
        <f>IF($AA$6-Table1[[#This Row],[Missed Games]]=0, 0,Table1[[#This Row],[Midranges]]/($AA$6-Table1[[#This Row],[Missed Games]]))</f>
        <v>0.66666666666666663</v>
      </c>
      <c r="AG16" s="66">
        <f t="shared" si="4"/>
        <v>2</v>
      </c>
      <c r="AH16" s="67">
        <f>IF($AA$6-Table1[[#This Row],[Missed Games]]=0, 0,Table1[[#This Row],[Threes]]/($AA$6-Table1[[#This Row],[Missed Games]]))</f>
        <v>0.22222222222222221</v>
      </c>
      <c r="AI16" s="63" t="str">
        <f>SfW!C11</f>
        <v>Loose Gooses</v>
      </c>
      <c r="AJ16" s="68">
        <f t="shared" si="5"/>
        <v>1</v>
      </c>
      <c r="AK16" s="62"/>
      <c r="AL16" s="62"/>
      <c r="AM16" s="62"/>
      <c r="AO16" s="36"/>
      <c r="AP16" s="18">
        <f>_xlfn.CEILING.MATH('[1]Stats Global'!R15*(20-$AA$5-$AJ16))</f>
        <v>26</v>
      </c>
      <c r="AQ16" s="27">
        <f>Table1[[#This Row],[Points]]/AP16</f>
        <v>0.65384615384615385</v>
      </c>
      <c r="AR16" s="139">
        <f>AP16-Table1[[#This Row],[Points]]</f>
        <v>9</v>
      </c>
      <c r="AS16" s="145">
        <f>Table1[[#This Row],[Points]]/(20-AA$5-Table1[[#This Row],[Missed Games]])</f>
        <v>0.94444444444444442</v>
      </c>
      <c r="AT16" s="155">
        <f>Table1[[#This Row],[Average]]-'[1]Stats Global'!R15</f>
        <v>0.47712418300653581</v>
      </c>
      <c r="AU16" s="27">
        <f>(Table1[[#This Row],[Average]]-'[1]Stats Global'!R15)/'[1]Stats Global'!R15</f>
        <v>0.33796296296296285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2</v>
      </c>
      <c r="BB16" s="16">
        <f>Table4[[#This Row],[Total A]]/$AX$6</f>
        <v>0.42857142857142855</v>
      </c>
      <c r="BC16" s="16">
        <f>Table4[[#This Row],[Total S]]/$AX$6</f>
        <v>0.2857142857142857</v>
      </c>
    </row>
    <row r="17" spans="2:55" ht="14.25" customHeight="1" x14ac:dyDescent="0.45">
      <c r="B17" s="119" t="str">
        <f>'0208'!B45</f>
        <v>2-August</v>
      </c>
      <c r="C17" s="119">
        <f>'0208'!C45</f>
        <v>12</v>
      </c>
      <c r="D17" s="119">
        <f>'0208'!D45</f>
        <v>10</v>
      </c>
      <c r="E17" s="119">
        <f>'0208'!E45</f>
        <v>4</v>
      </c>
      <c r="F17" s="119">
        <f>'0208'!F45</f>
        <v>4</v>
      </c>
      <c r="G17" s="119">
        <f>'0208'!G45</f>
        <v>3</v>
      </c>
      <c r="H17" s="119">
        <f>'0208'!H45</f>
        <v>8</v>
      </c>
      <c r="I17" s="119">
        <f>'0208'!I45</f>
        <v>10</v>
      </c>
      <c r="J17" s="119">
        <f>'0208'!J45</f>
        <v>4</v>
      </c>
      <c r="K17" s="119">
        <f>'0208'!K45</f>
        <v>4</v>
      </c>
      <c r="L17" s="119">
        <f>'0208'!L45</f>
        <v>12</v>
      </c>
      <c r="M17" s="119">
        <f>'0208'!M45</f>
        <v>0</v>
      </c>
      <c r="N17" s="119">
        <f>'0208'!N45</f>
        <v>7</v>
      </c>
      <c r="O17" s="119">
        <f>'0208'!O45</f>
        <v>1</v>
      </c>
      <c r="P17" s="119">
        <f>'0208'!P45</f>
        <v>2</v>
      </c>
      <c r="Q17" s="119">
        <f>'0208'!Q45</f>
        <v>3</v>
      </c>
      <c r="Z17" s="72" t="s">
        <v>68</v>
      </c>
      <c r="AA17" s="64">
        <f t="shared" si="1"/>
        <v>31</v>
      </c>
      <c r="AB17" s="65">
        <f>IF($AA$6-Table1[[#This Row],[Missed Games]]=0, 0,Table1[[#This Row],[Points]]/($AA$6-Table1[[#This Row],[Missed Games]]))</f>
        <v>3.1</v>
      </c>
      <c r="AC17" s="66">
        <f t="shared" si="2"/>
        <v>5</v>
      </c>
      <c r="AD17" s="67">
        <f>IF($AA$6-Table1[[#This Row],[Missed Games]]=0, 0,Table1[[#This Row],[Finishes]]/($AA$6-Table1[[#This Row],[Missed Games]]))</f>
        <v>0.5</v>
      </c>
      <c r="AE17" s="66">
        <f t="shared" si="3"/>
        <v>18</v>
      </c>
      <c r="AF17" s="67">
        <f>IF($AA$6-Table1[[#This Row],[Missed Games]]=0, 0,Table1[[#This Row],[Midranges]]/($AA$6-Table1[[#This Row],[Missed Games]]))</f>
        <v>1.8</v>
      </c>
      <c r="AG17" s="66">
        <f t="shared" si="4"/>
        <v>4</v>
      </c>
      <c r="AH17" s="67">
        <f>IF($AA$6-Table1[[#This Row],[Missed Games]]=0, 0,Table1[[#This Row],[Threes]]/($AA$6-Table1[[#This Row],[Missed Games]]))</f>
        <v>0.4</v>
      </c>
      <c r="AI17" s="63" t="str">
        <f>SfW!C12</f>
        <v>5 Musketeers</v>
      </c>
      <c r="AJ17" s="68">
        <f t="shared" si="5"/>
        <v>0</v>
      </c>
      <c r="AK17" s="62"/>
      <c r="AL17" s="62"/>
      <c r="AM17" s="62"/>
      <c r="AO17" s="36"/>
      <c r="AP17" s="18">
        <f>_xlfn.CEILING.MATH('[1]Stats Global'!R16*(20-$AA$5-$AJ17))</f>
        <v>49</v>
      </c>
      <c r="AQ17" s="27">
        <f>Table1[[#This Row],[Points]]/AP17</f>
        <v>0.63265306122448983</v>
      </c>
      <c r="AR17" s="139">
        <f>AP17-Table1[[#This Row],[Points]]</f>
        <v>18</v>
      </c>
      <c r="AS17" s="145">
        <f>Table1[[#This Row],[Points]]/(20-AA$5-Table1[[#This Row],[Missed Games]])</f>
        <v>1.631578947368421</v>
      </c>
      <c r="AT17" s="155">
        <f>Table1[[#This Row],[Average]]-'[1]Stats Global'!R16</f>
        <v>0.56666666666666687</v>
      </c>
      <c r="AU17" s="27">
        <f>(Table1[[#This Row],[Average]]-'[1]Stats Global'!R16)/'[1]Stats Global'!R16</f>
        <v>0.22368421052631587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2</v>
      </c>
      <c r="BB17" s="16">
        <f>Table4[[#This Row],[Total A]]/$AX$6</f>
        <v>0.2857142857142857</v>
      </c>
      <c r="BC17" s="16">
        <f>Table4[[#This Row],[Total S]]/$AX$6</f>
        <v>0</v>
      </c>
    </row>
    <row r="18" spans="2:55" ht="14.25" customHeight="1" x14ac:dyDescent="0.45">
      <c r="B18" s="119" t="str">
        <f>'0308'!B45</f>
        <v>3-August</v>
      </c>
      <c r="C18" s="119">
        <f>'0308'!C45</f>
        <v>0</v>
      </c>
      <c r="D18" s="119">
        <f>'0308'!D45</f>
        <v>0</v>
      </c>
      <c r="E18" s="119">
        <f>'0308'!E45</f>
        <v>0</v>
      </c>
      <c r="F18" s="119">
        <f>'0308'!F45</f>
        <v>0</v>
      </c>
      <c r="G18" s="119">
        <f>'0308'!G45</f>
        <v>0</v>
      </c>
      <c r="H18" s="119">
        <f>'0308'!H45</f>
        <v>0</v>
      </c>
      <c r="I18" s="119">
        <f>'0308'!I45</f>
        <v>0</v>
      </c>
      <c r="J18" s="119">
        <f>'0308'!J45</f>
        <v>0</v>
      </c>
      <c r="K18" s="119">
        <f>'0308'!K45</f>
        <v>0</v>
      </c>
      <c r="L18" s="119">
        <f>'0308'!L45</f>
        <v>0</v>
      </c>
      <c r="M18" s="119">
        <f>'0308'!M45</f>
        <v>0</v>
      </c>
      <c r="N18" s="119">
        <f>'0308'!N45</f>
        <v>0</v>
      </c>
      <c r="O18" s="119">
        <f>'0308'!O45</f>
        <v>0</v>
      </c>
      <c r="P18" s="119">
        <f>'0308'!P45</f>
        <v>0</v>
      </c>
      <c r="Q18" s="119">
        <f>'0308'!Q45</f>
        <v>0</v>
      </c>
      <c r="Z18" s="72" t="s">
        <v>69</v>
      </c>
      <c r="AA18" s="64">
        <f t="shared" si="1"/>
        <v>7</v>
      </c>
      <c r="AB18" s="65">
        <f>IF($AA$6-Table1[[#This Row],[Missed Games]]=0, 0,Table1[[#This Row],[Points]]/($AA$6-Table1[[#This Row],[Missed Games]]))</f>
        <v>0.7</v>
      </c>
      <c r="AC18" s="66">
        <f t="shared" si="2"/>
        <v>1</v>
      </c>
      <c r="AD18" s="67">
        <f>IF($AA$6-Table1[[#This Row],[Missed Games]]=0, 0,Table1[[#This Row],[Finishes]]/($AA$6-Table1[[#This Row],[Missed Games]]))</f>
        <v>0.1</v>
      </c>
      <c r="AE18" s="66">
        <f t="shared" si="3"/>
        <v>6</v>
      </c>
      <c r="AF18" s="67">
        <f>IF($AA$6-Table1[[#This Row],[Missed Games]]=0, 0,Table1[[#This Row],[Midranges]]/($AA$6-Table1[[#This Row],[Missed Games]]))</f>
        <v>0.6</v>
      </c>
      <c r="AG18" s="66">
        <f t="shared" si="4"/>
        <v>0</v>
      </c>
      <c r="AH18" s="67">
        <f>IF($AA$6-Table1[[#This Row],[Missed Games]]=0, 0,Table1[[#This Row],[Threes]]/($AA$6-Table1[[#This Row],[Missed Games]]))</f>
        <v>0</v>
      </c>
      <c r="AI18" s="63" t="str">
        <f>SfW!C13</f>
        <v>Wet Willies</v>
      </c>
      <c r="AJ18" s="68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17</v>
      </c>
      <c r="AQ18" s="27">
        <f>Table1[[#This Row],[Points]]/AP18</f>
        <v>0.41176470588235292</v>
      </c>
      <c r="AR18" s="139">
        <f>AP18-Table1[[#This Row],[Points]]</f>
        <v>10</v>
      </c>
      <c r="AS18" s="145">
        <f>Table1[[#This Row],[Points]]/(20-AA$5-Table1[[#This Row],[Missed Games]])</f>
        <v>0.36842105263157893</v>
      </c>
      <c r="AT18" s="155">
        <f>Table1[[#This Row],[Average]]-'[1]Stats Global'!R17</f>
        <v>-0.17500000000000004</v>
      </c>
      <c r="AU18" s="27">
        <f>(Table1[[#This Row],[Average]]-'[1]Stats Global'!R17)/'[1]Stats Global'!R17</f>
        <v>-0.20000000000000004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0.14285714285714285</v>
      </c>
      <c r="BB18" s="16">
        <f>Table4[[#This Row],[Total A]]/$AX$6</f>
        <v>0</v>
      </c>
      <c r="BC18" s="16">
        <f>Table4[[#This Row],[Total S]]/$AX$6</f>
        <v>0.7142857142857143</v>
      </c>
    </row>
    <row r="19" spans="2:55" ht="14.25" customHeight="1" x14ac:dyDescent="0.45">
      <c r="B19" s="138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Z19" s="113" t="s">
        <v>201</v>
      </c>
      <c r="AA19" s="64">
        <f t="shared" si="1"/>
        <v>1</v>
      </c>
      <c r="AB19" s="65">
        <f>IF($AA$6-Table1[[#This Row],[Missed Games]]=0, 0,Table1[[#This Row],[Points]]/($AA$6-Table1[[#This Row],[Missed Games]]))</f>
        <v>0.2</v>
      </c>
      <c r="AC19" s="66">
        <f t="shared" si="2"/>
        <v>0</v>
      </c>
      <c r="AD19" s="67">
        <f>IF($AA$6-Table1[[#This Row],[Missed Games]]=0, 0,Table1[[#This Row],[Finishes]]/($AA$6-Table1[[#This Row],[Missed Games]]))</f>
        <v>0</v>
      </c>
      <c r="AE19" s="66">
        <f t="shared" si="3"/>
        <v>1</v>
      </c>
      <c r="AF19" s="67">
        <f>IF($AA$6-Table1[[#This Row],[Missed Games]]=0, 0,Table1[[#This Row],[Midranges]]/($AA$6-Table1[[#This Row],[Missed Games]]))</f>
        <v>0.2</v>
      </c>
      <c r="AG19" s="66">
        <f t="shared" si="4"/>
        <v>0</v>
      </c>
      <c r="AH19" s="67">
        <f>IF($AA$6-Table1[[#This Row],[Missed Games]]=0, 0,Table1[[#This Row],[Threes]]/($AA$6-Table1[[#This Row],[Missed Games]]))</f>
        <v>0</v>
      </c>
      <c r="AI19" s="63" t="s">
        <v>31</v>
      </c>
      <c r="AJ19" s="68">
        <f t="shared" si="5"/>
        <v>5</v>
      </c>
      <c r="AK19" s="62"/>
      <c r="AL19" s="62"/>
      <c r="AM19" s="62"/>
      <c r="AO19" s="36"/>
      <c r="AP19" s="18">
        <v>0</v>
      </c>
      <c r="AQ19" s="27">
        <v>1</v>
      </c>
      <c r="AR19" s="139">
        <f>AP19-Table1[[#This Row],[Points]]</f>
        <v>-1</v>
      </c>
      <c r="AS19" s="145">
        <f>Table1[[#This Row],[Points]]/(20-AA$5-Table1[[#This Row],[Missed Games]])</f>
        <v>7.1428571428571425E-2</v>
      </c>
      <c r="AT19" s="155">
        <v>0</v>
      </c>
      <c r="AU19" s="38">
        <v>0</v>
      </c>
      <c r="AW19" s="2" t="s">
        <v>201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0.42857142857142855</v>
      </c>
      <c r="BB19" s="16">
        <f>Table4[[#This Row],[Total A]]/$AX$6</f>
        <v>0.14285714285714285</v>
      </c>
      <c r="BC19" s="16">
        <f>Table4[[#This Row],[Total S]]/$AX$6</f>
        <v>0</v>
      </c>
    </row>
    <row r="20" spans="2:55" ht="14.25" customHeight="1" x14ac:dyDescent="0.45">
      <c r="B20" s="138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Z20" s="113" t="s">
        <v>128</v>
      </c>
      <c r="AA20" s="64">
        <f t="shared" si="1"/>
        <v>8</v>
      </c>
      <c r="AB20" s="65">
        <f>IF($AA$6-Table1[[#This Row],[Missed Games]]=0, 0,Table1[[#This Row],[Points]]/($AA$6-Table1[[#This Row],[Missed Games]]))</f>
        <v>0.8</v>
      </c>
      <c r="AC20" s="66">
        <f t="shared" si="2"/>
        <v>7</v>
      </c>
      <c r="AD20" s="116">
        <f>IF($AA$6-Table1[[#This Row],[Missed Games]]=0, 0,Table1[[#This Row],[Finishes]]/($AA$6-Table1[[#This Row],[Missed Games]]))</f>
        <v>0.7</v>
      </c>
      <c r="AE20" s="66">
        <f t="shared" si="3"/>
        <v>1</v>
      </c>
      <c r="AF20" s="116">
        <f>IF($AA$6-Table1[[#This Row],[Missed Games]]=0, 0,Table1[[#This Row],[Midranges]]/($AA$6-Table1[[#This Row],[Missed Games]]))</f>
        <v>0.1</v>
      </c>
      <c r="AG20" s="66">
        <f t="shared" si="4"/>
        <v>0</v>
      </c>
      <c r="AH20" s="116">
        <f>IF($AA$6-Table1[[#This Row],[Missed Games]]=0, 0,Table1[[#This Row],[Threes]]/($AA$6-Table1[[#This Row],[Missed Games]]))</f>
        <v>0</v>
      </c>
      <c r="AI20" s="113" t="str">
        <f>SfW!C15</f>
        <v>Wet Willies</v>
      </c>
      <c r="AJ20" s="68">
        <f t="shared" si="5"/>
        <v>0</v>
      </c>
      <c r="AK20" s="62"/>
      <c r="AL20" s="62"/>
      <c r="AM20" s="62"/>
      <c r="AO20" s="36"/>
      <c r="AP20" s="18">
        <f>_xlfn.CEILING.MATH('[1]Stats Global'!R18*(20-$AA$5-$AJ20))</f>
        <v>21</v>
      </c>
      <c r="AQ20" s="27">
        <f>Table1[[#This Row],[Points]]/AP20</f>
        <v>0.38095238095238093</v>
      </c>
      <c r="AR20" s="139">
        <f>AP20-Table1[[#This Row],[Points]]</f>
        <v>13</v>
      </c>
      <c r="AS20" s="145">
        <f>Table1[[#This Row],[Points]]/(20-AA$5-Table1[[#This Row],[Missed Games]])</f>
        <v>0.42105263157894735</v>
      </c>
      <c r="AT20" s="155">
        <f>Table1[[#This Row],[Average]]-'[1]Stats Global'!R18</f>
        <v>-0.26666666666666661</v>
      </c>
      <c r="AU20" s="27">
        <f>(Table1[[#This Row],[Average]]-'[1]Stats Global'!R18)/'[1]Stats Global'!R18</f>
        <v>-0.24999999999999994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1.1428571428571428</v>
      </c>
      <c r="BB20" s="16">
        <f>Table4[[#This Row],[Total A]]/$AX$6</f>
        <v>0.14285714285714285</v>
      </c>
      <c r="BC20" s="16">
        <f>Table4[[#This Row],[Total S]]/$AX$6</f>
        <v>0.42857142857142855</v>
      </c>
    </row>
    <row r="21" spans="2:55" ht="14.25" customHeight="1" x14ac:dyDescent="0.45">
      <c r="B21" s="138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Z21" s="113" t="s">
        <v>127</v>
      </c>
      <c r="AA21" s="64">
        <f t="shared" si="1"/>
        <v>12</v>
      </c>
      <c r="AB21" s="65">
        <f>IF($AA$6-Table1[[#This Row],[Missed Games]]=0, 0,Table1[[#This Row],[Points]]/($AA$6-Table1[[#This Row],[Missed Games]]))</f>
        <v>1.2</v>
      </c>
      <c r="AC21" s="66">
        <f t="shared" si="2"/>
        <v>7</v>
      </c>
      <c r="AD21" s="116">
        <f>IF($AA$6-Table1[[#This Row],[Missed Games]]=0, 0,Table1[[#This Row],[Finishes]]/($AA$6-Table1[[#This Row],[Missed Games]]))</f>
        <v>0.7</v>
      </c>
      <c r="AE21" s="66">
        <f t="shared" si="3"/>
        <v>3</v>
      </c>
      <c r="AF21" s="116">
        <f>IF($AA$6-Table1[[#This Row],[Missed Games]]=0, 0,Table1[[#This Row],[Midranges]]/($AA$6-Table1[[#This Row],[Missed Games]]))</f>
        <v>0.3</v>
      </c>
      <c r="AG21" s="66">
        <f t="shared" si="4"/>
        <v>1</v>
      </c>
      <c r="AH21" s="116">
        <f>IF($AA$6-Table1[[#This Row],[Missed Games]]=0, 0,Table1[[#This Row],[Threes]]/($AA$6-Table1[[#This Row],[Missed Games]]))</f>
        <v>0.1</v>
      </c>
      <c r="AI21" s="113" t="str">
        <f>SfW!C16</f>
        <v>Loose Gooses</v>
      </c>
      <c r="AJ21" s="68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21</v>
      </c>
      <c r="AQ21" s="27">
        <f>Table1[[#This Row],[Points]]/AP21</f>
        <v>0.5714285714285714</v>
      </c>
      <c r="AR21" s="139">
        <f>AP21-Table1[[#This Row],[Points]]</f>
        <v>9</v>
      </c>
      <c r="AS21" s="145">
        <f>Table1[[#This Row],[Points]]/(20-AA$5-Table1[[#This Row],[Missed Games]])</f>
        <v>0.63157894736842102</v>
      </c>
      <c r="AT21" s="155">
        <f>Table1[[#This Row],[Average]]-'[1]Stats Global'!R19</f>
        <v>0.14117647058823524</v>
      </c>
      <c r="AU21" s="27">
        <f>(Table1[[#This Row],[Average]]-'[1]Stats Global'!R19)/'[1]Stats Global'!R19</f>
        <v>0.13333333333333328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1.7142857142857142</v>
      </c>
      <c r="BB21" s="16">
        <f>Table4[[#This Row],[Total A]]/$AX$6</f>
        <v>0.2857142857142857</v>
      </c>
      <c r="BC21" s="16">
        <f>Table4[[#This Row],[Total S]]/$AX$6</f>
        <v>0.2857142857142857</v>
      </c>
    </row>
    <row r="22" spans="2:55" ht="14.25" customHeight="1" x14ac:dyDescent="0.45"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Z22" s="113" t="s">
        <v>73</v>
      </c>
      <c r="AA22" s="64">
        <f t="shared" si="1"/>
        <v>28</v>
      </c>
      <c r="AB22" s="65">
        <f>IF($AA$6-Table1[[#This Row],[Missed Games]]=0, 0,Table1[[#This Row],[Points]]/($AA$6-Table1[[#This Row],[Missed Games]]))</f>
        <v>2.8</v>
      </c>
      <c r="AC22" s="66">
        <f t="shared" si="2"/>
        <v>15</v>
      </c>
      <c r="AD22" s="116">
        <f>IF($AA$6-Table1[[#This Row],[Missed Games]]=0, 0,Table1[[#This Row],[Finishes]]/($AA$6-Table1[[#This Row],[Missed Games]]))</f>
        <v>1.5</v>
      </c>
      <c r="AE22" s="66">
        <f t="shared" si="3"/>
        <v>7</v>
      </c>
      <c r="AF22" s="116">
        <f>IF($AA$6-Table1[[#This Row],[Missed Games]]=0, 0,Table1[[#This Row],[Midranges]]/($AA$6-Table1[[#This Row],[Missed Games]]))</f>
        <v>0.7</v>
      </c>
      <c r="AG22" s="66">
        <f t="shared" si="4"/>
        <v>3</v>
      </c>
      <c r="AH22" s="116">
        <f>IF($AA$6-Table1[[#This Row],[Missed Games]]=0, 0,Table1[[#This Row],[Threes]]/($AA$6-Table1[[#This Row],[Missed Games]]))</f>
        <v>0.3</v>
      </c>
      <c r="AI22" s="113" t="str">
        <f>SfW!C17</f>
        <v>Loose Gooses</v>
      </c>
      <c r="AJ22" s="68">
        <f t="shared" si="5"/>
        <v>0</v>
      </c>
      <c r="AK22" s="62"/>
      <c r="AL22" s="62"/>
      <c r="AM22" s="62"/>
      <c r="AO22" s="36"/>
      <c r="AP22" s="18">
        <f>_xlfn.CEILING.MATH('[1]Stats Global'!R20*(20-$AA$5-$AJ22))</f>
        <v>47</v>
      </c>
      <c r="AQ22" s="27">
        <f>Table1[[#This Row],[Points]]/AP22</f>
        <v>0.5957446808510638</v>
      </c>
      <c r="AR22" s="139">
        <f>AP22-Table1[[#This Row],[Points]]</f>
        <v>19</v>
      </c>
      <c r="AS22" s="145">
        <f>Table1[[#This Row],[Points]]/(20-AA$5-Table1[[#This Row],[Missed Games]])</f>
        <v>1.4736842105263157</v>
      </c>
      <c r="AT22" s="155">
        <f>Table1[[#This Row],[Average]]-'[1]Stats Global'!R20</f>
        <v>0.37142857142857144</v>
      </c>
      <c r="AU22" s="27">
        <f>(Table1[[#This Row],[Average]]-'[1]Stats Global'!R20)/'[1]Stats Global'!R20</f>
        <v>0.15294117647058825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1.5714285714285714</v>
      </c>
      <c r="BB22" s="16">
        <f>Table4[[#This Row],[Total A]]/$AX$6</f>
        <v>1</v>
      </c>
      <c r="BC22" s="16">
        <f>Table4[[#This Row],[Total S]]/$AX$6</f>
        <v>0.42857142857142855</v>
      </c>
    </row>
    <row r="23" spans="2:55" ht="14.25" customHeight="1" x14ac:dyDescent="0.45"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Z23" s="114" t="s">
        <v>74</v>
      </c>
      <c r="AA23" s="64">
        <f t="shared" si="1"/>
        <v>1</v>
      </c>
      <c r="AB23" s="115">
        <f>IF($AA$6-Table1[[#This Row],[Missed Games]]=0, 0,Table1[[#This Row],[Points]]/($AA$6-Table1[[#This Row],[Missed Games]]))</f>
        <v>0.1</v>
      </c>
      <c r="AC23" s="66">
        <f t="shared" si="2"/>
        <v>0</v>
      </c>
      <c r="AD23" s="117">
        <f>IF($AA$6-Table1[[#This Row],[Missed Games]]=0, 0,Table1[[#This Row],[Finishes]]/($AA$6-Table1[[#This Row],[Missed Games]]))</f>
        <v>0</v>
      </c>
      <c r="AE23" s="66">
        <f t="shared" si="3"/>
        <v>1</v>
      </c>
      <c r="AF23" s="117">
        <f>IF($AA$6-Table1[[#This Row],[Missed Games]]=0, 0,Table1[[#This Row],[Midranges]]/($AA$6-Table1[[#This Row],[Missed Games]]))</f>
        <v>0.1</v>
      </c>
      <c r="AG23" s="66">
        <f t="shared" si="4"/>
        <v>0</v>
      </c>
      <c r="AH23" s="117">
        <f>IF($AA$6-Table1[[#This Row],[Missed Games]]=0, 0,Table1[[#This Row],[Threes]]/($AA$6-Table1[[#This Row],[Missed Games]]))</f>
        <v>0</v>
      </c>
      <c r="AI23" s="114" t="str">
        <f>SfW!C18</f>
        <v>Wet Willies</v>
      </c>
      <c r="AJ23" s="68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39">
        <f>AP23-Table1[[#This Row],[Points]]</f>
        <v>2</v>
      </c>
      <c r="AS23" s="145">
        <f>Table1[[#This Row],[Points]]/(20-AA$5-Table1[[#This Row],[Missed Games]])</f>
        <v>5.2631578947368418E-2</v>
      </c>
      <c r="AT23" s="155">
        <f>Table1[[#This Row],[Average]]-'[1]Stats Global'!R21</f>
        <v>-1.7647058823529405E-2</v>
      </c>
      <c r="AU23" s="27">
        <f>(Table1[[#This Row],[Average]]-'[1]Stats Global'!R21)/'[1]Stats Global'!R21</f>
        <v>-0.14999999999999994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0.5714285714285714</v>
      </c>
      <c r="BB23" s="16">
        <f>Table4[[#This Row],[Total A]]/$AX$6</f>
        <v>0.14285714285714285</v>
      </c>
      <c r="BC23" s="16">
        <f>Table4[[#This Row],[Total S]]/$AX$6</f>
        <v>0.2857142857142857</v>
      </c>
    </row>
    <row r="24" spans="2:55" ht="14.25" customHeight="1" x14ac:dyDescent="0.45"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Z24" s="63" t="s">
        <v>75</v>
      </c>
      <c r="AA24" s="64">
        <f t="shared" si="1"/>
        <v>3</v>
      </c>
      <c r="AB24" s="65">
        <f>IF($AA$6-Table1[[#This Row],[Missed Games]]=0, 0,Table1[[#This Row],[Points]]/($AA$6-Table1[[#This Row],[Missed Games]]))</f>
        <v>0.6</v>
      </c>
      <c r="AC24" s="66">
        <f t="shared" si="2"/>
        <v>3</v>
      </c>
      <c r="AD24" s="67">
        <f>IF($AA$6-Table1[[#This Row],[Missed Games]]=0, 0,Table1[[#This Row],[Finishes]]/($AA$6-Table1[[#This Row],[Missed Games]]))</f>
        <v>0.6</v>
      </c>
      <c r="AE24" s="66">
        <f t="shared" si="3"/>
        <v>0</v>
      </c>
      <c r="AF24" s="67">
        <f>IF($AA$6-Table1[[#This Row],[Missed Games]]=0, 0,Table1[[#This Row],[Midranges]]/($AA$6-Table1[[#This Row],[Missed Games]]))</f>
        <v>0</v>
      </c>
      <c r="AG24" s="66">
        <f t="shared" si="4"/>
        <v>0</v>
      </c>
      <c r="AH24" s="67">
        <f>IF($AA$6-Table1[[#This Row],[Missed Games]]=0, 0,Table1[[#This Row],[Threes]]/($AA$6-Table1[[#This Row],[Missed Games]]))</f>
        <v>0</v>
      </c>
      <c r="AI24" s="63" t="str">
        <f>SfW!C19</f>
        <v>Wet Willies</v>
      </c>
      <c r="AJ24" s="68">
        <f t="shared" si="5"/>
        <v>5</v>
      </c>
      <c r="AL24" s="43"/>
      <c r="AM24" s="44"/>
      <c r="AN24" s="4"/>
      <c r="AP24" s="18">
        <f>_xlfn.CEILING.MATH('[1]Stats Global'!R22*(20-$AA$5-$AJ24))</f>
        <v>10</v>
      </c>
      <c r="AQ24" s="27">
        <f>Table1[[#This Row],[Points]]/AP24</f>
        <v>0.3</v>
      </c>
      <c r="AR24" s="139">
        <f>AP24-Table1[[#This Row],[Points]]</f>
        <v>7</v>
      </c>
      <c r="AS24" s="145">
        <f>Table1[[#This Row],[Points]]/(20-AA$5-Table1[[#This Row],[Missed Games]])</f>
        <v>0.21428571428571427</v>
      </c>
      <c r="AT24" s="155">
        <f>Table1[[#This Row],[Average]]-'[1]Stats Global'!R22</f>
        <v>-4.705882352941182E-2</v>
      </c>
      <c r="AU24" s="27">
        <f>(Table1[[#This Row],[Average]]-'[1]Stats Global'!R22)/'[1]Stats Global'!R22</f>
        <v>-7.2727272727272807E-2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0.14285714285714285</v>
      </c>
    </row>
    <row r="25" spans="2:55" ht="14.25" customHeight="1" x14ac:dyDescent="0.45"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AB25" s="17"/>
      <c r="AP25" s="17"/>
      <c r="AQ25" s="27"/>
    </row>
    <row r="26" spans="2:55" ht="14.25" customHeight="1" x14ac:dyDescent="0.45"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3"/>
      <c r="S30" s="100" t="s">
        <v>183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8">
        <f>AB30/($AA$27-Table2[[#This Row],[Missed Games]])</f>
        <v>0.33333333333333331</v>
      </c>
      <c r="AG30" s="33">
        <f>AC30/($AA$27-Table2[[#This Row],[Missed Games]])</f>
        <v>0.33333333333333331</v>
      </c>
      <c r="AH30" s="128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3"/>
      <c r="S31" s="100" t="s">
        <v>184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8">
        <f>AB31/($AA$27-Table2[[#This Row],[Missed Games]])</f>
        <v>5</v>
      </c>
      <c r="AG31" s="33">
        <f>AC31/($AA$27-Table2[[#This Row],[Missed Games]])</f>
        <v>0</v>
      </c>
      <c r="AH31" s="128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S32" s="100" t="s">
        <v>185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8" t="e">
        <f>AB32/($AA$27-Table2[[#This Row],[Missed Games]])</f>
        <v>#DIV/0!</v>
      </c>
      <c r="AG32" s="33" t="e">
        <f>AC32/($AA$27-Table2[[#This Row],[Missed Games]])</f>
        <v>#DIV/0!</v>
      </c>
      <c r="AH32" s="128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S33" s="100" t="s">
        <v>186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8">
        <f>AB33/($AA$27-Table2[[#This Row],[Missed Games]])</f>
        <v>0</v>
      </c>
      <c r="AG33" s="33">
        <f>AC33/($AA$27-Table2[[#This Row],[Missed Games]])</f>
        <v>0.33333333333333331</v>
      </c>
      <c r="AH33" s="128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S34" s="100" t="s">
        <v>187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8">
        <f>AB34/($AA$27-Table2[[#This Row],[Missed Games]])</f>
        <v>0.33333333333333331</v>
      </c>
      <c r="AG34" s="33">
        <f>AC34/($AA$27-Table2[[#This Row],[Missed Games]])</f>
        <v>0</v>
      </c>
      <c r="AH34" s="128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S35" s="100" t="s">
        <v>188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8">
        <f>AB35/($AA$27-Table2[[#This Row],[Missed Games]])</f>
        <v>0.33333333333333331</v>
      </c>
      <c r="AG35" s="33">
        <f>AC35/($AA$27-Table2[[#This Row],[Missed Games]])</f>
        <v>0.33333333333333331</v>
      </c>
      <c r="AH35" s="128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S36" s="100" t="s">
        <v>189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8">
        <f>AB36/($AA$27-Table2[[#This Row],[Missed Games]])</f>
        <v>0</v>
      </c>
      <c r="AG36" s="33">
        <f>AC36/($AA$27-Table2[[#This Row],[Missed Games]])</f>
        <v>0</v>
      </c>
      <c r="AH36" s="128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8">
        <f>AB37/($AA$27-Table2[[#This Row],[Missed Games]])</f>
        <v>0.33333333333333331</v>
      </c>
      <c r="AG37" s="33">
        <f>AC37/($AA$27-Table2[[#This Row],[Missed Games]])</f>
        <v>0.66666666666666663</v>
      </c>
      <c r="AH37" s="128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8">
        <f>AB38/($AA$27-Table2[[#This Row],[Missed Games]])</f>
        <v>0.33333333333333331</v>
      </c>
      <c r="AG38" s="33">
        <f>AC38/($AA$27-Table2[[#This Row],[Missed Games]])</f>
        <v>3</v>
      </c>
      <c r="AH38" s="128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8">
        <f>AB39/($AA$27-Table2[[#This Row],[Missed Games]])</f>
        <v>0</v>
      </c>
      <c r="AG39" s="33">
        <f>AC39/($AA$27-Table2[[#This Row],[Missed Games]])</f>
        <v>0</v>
      </c>
      <c r="AH39" s="128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" t="s">
        <v>116</v>
      </c>
      <c r="U40" t="s">
        <v>228</v>
      </c>
      <c r="V40" t="s">
        <v>229</v>
      </c>
      <c r="W40" t="s">
        <v>230</v>
      </c>
      <c r="X40" t="s">
        <v>235</v>
      </c>
      <c r="Z40" s="35" t="s">
        <v>201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8">
        <f>AB40/($AA$27-Table2[[#This Row],[Missed Games]])</f>
        <v>0.5</v>
      </c>
      <c r="AG40" s="33">
        <f>AC40/($AA$27-Table2[[#This Row],[Missed Games]])</f>
        <v>0</v>
      </c>
      <c r="AH40" s="128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201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22</v>
      </c>
      <c r="T41" s="136">
        <f>S41/SUM(S41:S43)</f>
        <v>0.36666666666666664</v>
      </c>
      <c r="U41" s="141">
        <v>0.32188841201716739</v>
      </c>
      <c r="V41" s="43">
        <v>0.36899999999999999</v>
      </c>
      <c r="W41">
        <f>T41*(6*(20-AA$5))</f>
        <v>41.8</v>
      </c>
      <c r="X41" s="18">
        <f>((MAX(U41:U43)+MAX(V41:V43))/2)*6*(20-AA5)</f>
        <v>41.093085836909864</v>
      </c>
      <c r="Y41" s="142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8">
        <f>AB41/($AA$27-Table2[[#This Row],[Missed Games]])</f>
        <v>1</v>
      </c>
      <c r="AG41" s="33">
        <f>AC41/($AA$27-Table2[[#This Row],[Missed Games]])</f>
        <v>0</v>
      </c>
      <c r="AH41" s="128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WW'!J4</f>
        <v>16</v>
      </c>
      <c r="T42" s="141">
        <f>S42/SUM(S41:S43)</f>
        <v>0.26666666666666666</v>
      </c>
      <c r="U42" s="141">
        <v>0.35193133047210301</v>
      </c>
      <c r="V42" s="43">
        <v>0.26200000000000001</v>
      </c>
      <c r="W42" s="16">
        <f t="shared" ref="W42:W43" si="6">T42*(6*(20-AA$5))</f>
        <v>30.4</v>
      </c>
      <c r="X42" s="18">
        <f>6*(20-AA5)-X41-X43</f>
        <v>39.625274678111587</v>
      </c>
      <c r="Y42" s="142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8">
        <f>AB42/($AA$27-Table2[[#This Row],[Missed Games]])</f>
        <v>1</v>
      </c>
      <c r="AG42" s="33">
        <f>AC42/($AA$27-Table2[[#This Row],[Missed Games]])</f>
        <v>0.66666666666666663</v>
      </c>
      <c r="AH42" s="128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5M'!J4</f>
        <v>22</v>
      </c>
      <c r="T43" s="141">
        <f>S43/SUM(S41:S43)</f>
        <v>0.36666666666666664</v>
      </c>
      <c r="U43" s="141">
        <v>0.3261802575107296</v>
      </c>
      <c r="V43" s="43">
        <v>0.36899999999999999</v>
      </c>
      <c r="W43" s="16">
        <f t="shared" si="6"/>
        <v>41.8</v>
      </c>
      <c r="X43" s="18">
        <f>((MIN(U41:U43)+MIN(V41:V43))/2)*6*(20-AA5)</f>
        <v>33.281639484978548</v>
      </c>
      <c r="Y43" s="142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8">
        <f>AB43/($AA$27-Table2[[#This Row],[Missed Games]])</f>
        <v>2</v>
      </c>
      <c r="AG43" s="33">
        <f>AC43/($AA$27-Table2[[#This Row],[Missed Games]])</f>
        <v>0.66666666666666663</v>
      </c>
      <c r="AH43" s="128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8">
        <f>AB44/($AA$27-Table2[[#This Row],[Missed Games]])</f>
        <v>0</v>
      </c>
      <c r="AG44" s="33">
        <f>AC44/($AA$27-Table2[[#This Row],[Missed Games]])</f>
        <v>0</v>
      </c>
      <c r="AH44" s="128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18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8">
        <f>AB45/($AA$27-Table2[[#This Row],[Missed Games]])</f>
        <v>0</v>
      </c>
      <c r="AG45" s="33">
        <f>AC45/($AA$27-Table2[[#This Row],[Missed Games]])</f>
        <v>0</v>
      </c>
      <c r="AH45" s="128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264</v>
      </c>
      <c r="W46">
        <f>(W45-(MAX(S41:S43)-MIN(S41:S43)))/2</f>
        <v>6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3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6" ht="14.25" customHeight="1" x14ac:dyDescent="0.45">
      <c r="T49" s="13" t="s">
        <v>1</v>
      </c>
      <c r="U49" s="18">
        <f>SUM(Table1[Finishes])</f>
        <v>82</v>
      </c>
      <c r="V49" s="17">
        <f>U49/AA6</f>
        <v>8.1999999999999993</v>
      </c>
      <c r="W49" s="27">
        <f>U49/SUM($U$49:$U$51)</f>
        <v>0.54304635761589404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50">
        <f>Table21123[[#This Row],[Points]]/($AA$47-Table21123[[#This Row],[Missed Games]])</f>
        <v>0.33333333333333331</v>
      </c>
      <c r="AF49" s="150">
        <f>Table21123[[#This Row],[Finishes]]/($AA$47-Table21123[[#This Row],[Missed Games]])</f>
        <v>0</v>
      </c>
      <c r="AG49" s="150">
        <f>Table21123[[#This Row],[Midranges]]/($AA$47-Table21123[[#This Row],[Missed Games]])</f>
        <v>0.33333333333333331</v>
      </c>
      <c r="AH49" s="150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</row>
    <row r="50" spans="19:46" ht="14.25" customHeight="1" x14ac:dyDescent="0.45">
      <c r="T50" s="13" t="s">
        <v>2</v>
      </c>
      <c r="U50" s="18">
        <f>SUM(Table1[Midranges])</f>
        <v>53</v>
      </c>
      <c r="V50" s="17">
        <f>U50/AA6</f>
        <v>5.3</v>
      </c>
      <c r="W50" s="27">
        <f>U50/SUM($U$49:$U$51)</f>
        <v>0.35099337748344372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50">
        <f>Table21123[[#This Row],[Points]]/($AA$47-Table21123[[#This Row],[Missed Games]])</f>
        <v>0.33333333333333331</v>
      </c>
      <c r="AF50" s="150">
        <f>Table21123[[#This Row],[Finishes]]/($AA$47-Table21123[[#This Row],[Missed Games]])</f>
        <v>0.33333333333333331</v>
      </c>
      <c r="AG50" s="150">
        <f>Table21123[[#This Row],[Midranges]]/($AA$47-Table21123[[#This Row],[Missed Games]])</f>
        <v>0</v>
      </c>
      <c r="AH50" s="150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3</v>
      </c>
      <c r="AM50" s="31">
        <f>'3107'!S4+'0108'!S4+'0208'!S4+'0308'!S4</f>
        <v>3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</v>
      </c>
      <c r="AQ50" s="31">
        <f>AM50/($AL$47-Table21124[[#This Row],[Missed Games]])</f>
        <v>1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6" ht="14.25" customHeight="1" x14ac:dyDescent="0.45">
      <c r="T51" s="13" t="s">
        <v>3</v>
      </c>
      <c r="U51" s="18">
        <f>SUM(Table1[Threes])</f>
        <v>16</v>
      </c>
      <c r="V51" s="17">
        <f>U51/AA6</f>
        <v>1.6</v>
      </c>
      <c r="W51" s="27">
        <f>U51/SUM($U$49:$U$51)</f>
        <v>0.10596026490066225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50">
        <f>Table21123[[#This Row],[Points]]/($AA$47-Table21123[[#This Row],[Missed Games]])</f>
        <v>4</v>
      </c>
      <c r="AF51" s="150">
        <f>Table21123[[#This Row],[Finishes]]/($AA$47-Table21123[[#This Row],[Missed Games]])</f>
        <v>3.3333333333333335</v>
      </c>
      <c r="AG51" s="150">
        <f>Table21123[[#This Row],[Midranges]]/($AA$47-Table21123[[#This Row],[Missed Games]])</f>
        <v>0</v>
      </c>
      <c r="AH51" s="150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3</v>
      </c>
      <c r="AQ51" s="31">
        <f>AM51/($AL$47-Table21124[[#This Row],[Missed Games]])</f>
        <v>3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6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50">
        <f>Table21123[[#This Row],[Points]]/($AA$47-Table21123[[#This Row],[Missed Games]])</f>
        <v>0.66666666666666663</v>
      </c>
      <c r="AF52" s="150">
        <f>Table21123[[#This Row],[Finishes]]/($AA$47-Table21123[[#This Row],[Missed Games]])</f>
        <v>0.66666666666666663</v>
      </c>
      <c r="AG52" s="150">
        <f>Table21123[[#This Row],[Midranges]]/($AA$47-Table21123[[#This Row],[Missed Games]])</f>
        <v>0</v>
      </c>
      <c r="AH52" s="150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6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50">
        <f>Table21123[[#This Row],[Points]]/($AA$47-Table21123[[#This Row],[Missed Games]])</f>
        <v>1</v>
      </c>
      <c r="AF53" s="150">
        <f>Table21123[[#This Row],[Finishes]]/($AA$47-Table21123[[#This Row],[Missed Games]])</f>
        <v>0</v>
      </c>
      <c r="AG53" s="150">
        <f>Table21123[[#This Row],[Midranges]]/($AA$47-Table21123[[#This Row],[Missed Games]])</f>
        <v>1</v>
      </c>
      <c r="AH53" s="150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8</v>
      </c>
      <c r="AM53" s="31">
        <f>'3107'!S7+'0108'!S7+'0208'!S7+'0308'!S7</f>
        <v>3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2.6666666666666665</v>
      </c>
      <c r="AQ53" s="31">
        <f>AM53/($AL$47-Table21124[[#This Row],[Missed Games]])</f>
        <v>1</v>
      </c>
      <c r="AR53" s="31">
        <f>AN53/($AL$47-Table21124[[#This Row],[Missed Games]])</f>
        <v>1</v>
      </c>
      <c r="AS53" s="31">
        <f>AO53/($AL$47-Table21124[[#This Row],[Missed Games]])</f>
        <v>0.33333333333333331</v>
      </c>
      <c r="AT53" s="31">
        <f>COUNTIF('3107'!V7, "TRUE")+COUNTIF('0108'!V7, "TRUE")</f>
        <v>0</v>
      </c>
    </row>
    <row r="54" spans="19:46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50">
        <f>Table21123[[#This Row],[Points]]/($AA$47-Table21123[[#This Row],[Missed Games]])</f>
        <v>0.33333333333333331</v>
      </c>
      <c r="AF54" s="150">
        <f>Table21123[[#This Row],[Finishes]]/($AA$47-Table21123[[#This Row],[Missed Games]])</f>
        <v>0.33333333333333331</v>
      </c>
      <c r="AG54" s="150">
        <f>Table21123[[#This Row],[Midranges]]/($AA$47-Table21123[[#This Row],[Missed Games]])</f>
        <v>0</v>
      </c>
      <c r="AH54" s="150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6" ht="14.25" customHeight="1" x14ac:dyDescent="0.45">
      <c r="S55" s="13" t="s">
        <v>132</v>
      </c>
      <c r="T55" s="40" t="s">
        <v>131</v>
      </c>
      <c r="U55" s="38">
        <f>'Statistics LG'!L42</f>
        <v>0.7</v>
      </c>
      <c r="V55" s="38">
        <f>'Statistics LG'!O42</f>
        <v>0.50877192982456143</v>
      </c>
      <c r="W55" s="38">
        <f>AVERAGE(U55:V55)</f>
        <v>0.60438596491228069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50">
        <f>Table21123[[#This Row],[Points]]/($AA$47-Table21123[[#This Row],[Missed Games]])</f>
        <v>1.3333333333333333</v>
      </c>
      <c r="AF55" s="150">
        <f>Table21123[[#This Row],[Finishes]]/($AA$47-Table21123[[#This Row],[Missed Games]])</f>
        <v>1</v>
      </c>
      <c r="AG55" s="150">
        <f>Table21123[[#This Row],[Midranges]]/($AA$47-Table21123[[#This Row],[Missed Games]])</f>
        <v>0.33333333333333331</v>
      </c>
      <c r="AH55" s="150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0.66666666666666663</v>
      </c>
      <c r="AQ55" s="31">
        <f>AM55/($AL$47-Table21124[[#This Row],[Missed Games]])</f>
        <v>0.33333333333333331</v>
      </c>
      <c r="AR55" s="31">
        <f>AN55/($AL$47-Table21124[[#This Row],[Missed Games]])</f>
        <v>0.33333333333333331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6" ht="14.25" customHeight="1" x14ac:dyDescent="0.45">
      <c r="S56" s="13" t="s">
        <v>133</v>
      </c>
      <c r="T56" s="38">
        <f>1-'Statistics LG'!L42</f>
        <v>0.30000000000000004</v>
      </c>
      <c r="U56" s="40" t="s">
        <v>131</v>
      </c>
      <c r="V56" s="38">
        <f>'Statistics WW'!L42</f>
        <v>0.46666666666666667</v>
      </c>
      <c r="W56" s="38">
        <f>AVERAGE(T56:V56)</f>
        <v>0.38333333333333336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50">
        <f>Table21123[[#This Row],[Points]]/($AA$47-Table21123[[#This Row],[Missed Games]])</f>
        <v>0</v>
      </c>
      <c r="AF56" s="150">
        <f>Table21123[[#This Row],[Finishes]]/($AA$47-Table21123[[#This Row],[Missed Games]])</f>
        <v>0</v>
      </c>
      <c r="AG56" s="150">
        <f>Table21123[[#This Row],[Midranges]]/($AA$47-Table21123[[#This Row],[Missed Games]])</f>
        <v>0</v>
      </c>
      <c r="AH56" s="150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2.6666666666666665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1.3333333333333333</v>
      </c>
      <c r="AT56" s="31">
        <f>COUNTIF('3107'!V10, "TRUE")+COUNTIF('0108'!V10, "TRUE")</f>
        <v>0</v>
      </c>
    </row>
    <row r="57" spans="19:46" ht="14.25" customHeight="1" x14ac:dyDescent="0.45">
      <c r="S57" s="13" t="s">
        <v>134</v>
      </c>
      <c r="T57" s="38">
        <f>1-V55</f>
        <v>0.49122807017543857</v>
      </c>
      <c r="U57" s="38">
        <f>1-V56</f>
        <v>0.53333333333333333</v>
      </c>
      <c r="V57" s="40" t="s">
        <v>131</v>
      </c>
      <c r="W57" s="38">
        <f>AVERAGE(T57:V57)</f>
        <v>0.512280701754386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50">
        <f>Table21123[[#This Row],[Points]]/($AA$47-Table21123[[#This Row],[Missed Games]])</f>
        <v>0.66666666666666663</v>
      </c>
      <c r="AF57" s="150">
        <f>Table21123[[#This Row],[Finishes]]/($AA$47-Table21123[[#This Row],[Missed Games]])</f>
        <v>0</v>
      </c>
      <c r="AG57" s="150">
        <f>Table21123[[#This Row],[Midranges]]/($AA$47-Table21123[[#This Row],[Missed Games]])</f>
        <v>0.66666666666666663</v>
      </c>
      <c r="AH57" s="150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2</v>
      </c>
      <c r="AQ57" s="31">
        <f>AM57/($AL$47-Table21124[[#This Row],[Missed Games]])</f>
        <v>1.5</v>
      </c>
      <c r="AR57" s="31">
        <f>AN57/($AL$47-Table21124[[#This Row],[Missed Games]])</f>
        <v>0.5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6" ht="14.25" customHeight="1" x14ac:dyDescent="0.45">
      <c r="V58" s="41"/>
      <c r="W58" s="120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50">
        <f>Table21123[[#This Row],[Points]]/($AA$47-Table21123[[#This Row],[Missed Games]])</f>
        <v>2.6666666666666665</v>
      </c>
      <c r="AF58" s="150">
        <f>Table21123[[#This Row],[Finishes]]/($AA$47-Table21123[[#This Row],[Missed Games]])</f>
        <v>0.66666666666666663</v>
      </c>
      <c r="AG58" s="150">
        <f>Table21123[[#This Row],[Midranges]]/($AA$47-Table21123[[#This Row],[Missed Games]])</f>
        <v>2</v>
      </c>
      <c r="AH58" s="150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5.666666666666667</v>
      </c>
      <c r="AQ58" s="31">
        <f>AM58/($AL$47-Table21124[[#This Row],[Missed Games]])</f>
        <v>1</v>
      </c>
      <c r="AR58" s="31">
        <f>AN58/($AL$47-Table21124[[#This Row],[Missed Games]])</f>
        <v>2.6666666666666665</v>
      </c>
      <c r="AS58" s="31">
        <f>AO58/($AL$47-Table21124[[#This Row],[Missed Games]])</f>
        <v>1</v>
      </c>
      <c r="AT58" s="31">
        <f>COUNTIF('3107'!V12, "TRUE")+COUNTIF('0108'!V12, "TRUE")</f>
        <v>0</v>
      </c>
    </row>
    <row r="59" spans="19:46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50">
        <f>Table21123[[#This Row],[Points]]/($AA$47-Table21123[[#This Row],[Missed Games]])</f>
        <v>0.66666666666666663</v>
      </c>
      <c r="AF59" s="150">
        <f>Table21123[[#This Row],[Finishes]]/($AA$47-Table21123[[#This Row],[Missed Games]])</f>
        <v>0</v>
      </c>
      <c r="AG59" s="150">
        <f>Table21123[[#This Row],[Midranges]]/($AA$47-Table21123[[#This Row],[Missed Games]])</f>
        <v>0.66666666666666663</v>
      </c>
      <c r="AH59" s="150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0.33333333333333331</v>
      </c>
      <c r="AQ59" s="31">
        <f>AM59/($AL$47-Table21124[[#This Row],[Missed Games]])</f>
        <v>0</v>
      </c>
      <c r="AR59" s="31">
        <f>AN59/($AL$47-Table21124[[#This Row],[Missed Games]])</f>
        <v>0.33333333333333331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6" ht="14.25" customHeight="1" x14ac:dyDescent="0.45">
      <c r="Z60" s="35" t="s">
        <v>201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50">
        <f>Table21123[[#This Row],[Points]]/($AA$47-Table21123[[#This Row],[Missed Games]])</f>
        <v>0</v>
      </c>
      <c r="AF60" s="150">
        <f>Table21123[[#This Row],[Finishes]]/($AA$47-Table21123[[#This Row],[Missed Games]])</f>
        <v>0</v>
      </c>
      <c r="AG60" s="150">
        <f>Table21123[[#This Row],[Midranges]]/($AA$47-Table21123[[#This Row],[Missed Games]])</f>
        <v>0</v>
      </c>
      <c r="AH60" s="150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201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1</v>
      </c>
      <c r="AQ60" s="31">
        <f>AM60/($AL$47-Table21124[[#This Row],[Missed Games]])</f>
        <v>0</v>
      </c>
      <c r="AR60" s="31">
        <f>AN60/($AL$47-Table21124[[#This Row],[Missed Games]])</f>
        <v>1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6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50">
        <f>Table21123[[#This Row],[Points]]/($AA$47-Table21123[[#This Row],[Missed Games]])</f>
        <v>0.66666666666666663</v>
      </c>
      <c r="AF61" s="150">
        <f>Table21123[[#This Row],[Finishes]]/($AA$47-Table21123[[#This Row],[Missed Games]])</f>
        <v>0.33333333333333331</v>
      </c>
      <c r="AG61" s="150">
        <f>Table21123[[#This Row],[Midranges]]/($AA$47-Table21123[[#This Row],[Missed Games]])</f>
        <v>0.33333333333333331</v>
      </c>
      <c r="AH61" s="150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5</v>
      </c>
      <c r="AM61" s="31">
        <f>'3107'!S15+'0108'!S15+'0208'!S15+'0308'!S15</f>
        <v>5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1.6666666666666667</v>
      </c>
      <c r="AQ61" s="31">
        <f>AM61/($AL$47-Table21124[[#This Row],[Missed Games]])</f>
        <v>1.6666666666666667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6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50">
        <f>Table21123[[#This Row],[Points]]/($AA$47-Table21123[[#This Row],[Missed Games]])</f>
        <v>0.33333333333333331</v>
      </c>
      <c r="AF62" s="150">
        <f>Table21123[[#This Row],[Finishes]]/($AA$47-Table21123[[#This Row],[Missed Games]])</f>
        <v>0.33333333333333331</v>
      </c>
      <c r="AG62" s="150">
        <f>Table21123[[#This Row],[Midranges]]/($AA$47-Table21123[[#This Row],[Missed Games]])</f>
        <v>0</v>
      </c>
      <c r="AH62" s="150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3</v>
      </c>
      <c r="AM62" s="31">
        <f>'3107'!S16+'0108'!S16+'0208'!S16+'0308'!S16</f>
        <v>2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0.66666666666666663</v>
      </c>
      <c r="AR62" s="31">
        <f>AN62/($AL$47-Table21124[[#This Row],[Missed Games]])</f>
        <v>0.33333333333333331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6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50">
        <f>Table21123[[#This Row],[Points]]/($AA$47-Table21123[[#This Row],[Missed Games]])</f>
        <v>1.6666666666666667</v>
      </c>
      <c r="AF63" s="150">
        <f>Table21123[[#This Row],[Finishes]]/($AA$47-Table21123[[#This Row],[Missed Games]])</f>
        <v>1</v>
      </c>
      <c r="AG63" s="150">
        <f>Table21123[[#This Row],[Midranges]]/($AA$47-Table21123[[#This Row],[Missed Games]])</f>
        <v>0.66666666666666663</v>
      </c>
      <c r="AH63" s="150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7</v>
      </c>
      <c r="AM63" s="31">
        <f>'3107'!S17+'0108'!S17+'0208'!S17+'0308'!S17</f>
        <v>4</v>
      </c>
      <c r="AN63" s="31">
        <f>'3107'!T17+'0108'!T17+'0208'!T17+'0308'!T17</f>
        <v>1</v>
      </c>
      <c r="AO63" s="31">
        <f>'3107'!U17+'0108'!U17+'0208'!U17+'0308'!U17</f>
        <v>1</v>
      </c>
      <c r="AP63" s="31">
        <f>AL63/($AL$47-Table21124[[#This Row],[Missed Games]])</f>
        <v>2.3333333333333335</v>
      </c>
      <c r="AQ63" s="31">
        <f>AM63/($AL$47-Table21124[[#This Row],[Missed Games]])</f>
        <v>1.3333333333333333</v>
      </c>
      <c r="AR63" s="31">
        <f>AN63/($AL$47-Table21124[[#This Row],[Missed Games]])</f>
        <v>0.33333333333333331</v>
      </c>
      <c r="AS63" s="31">
        <f>AO63/($AL$47-Table21124[[#This Row],[Missed Games]])</f>
        <v>0.33333333333333331</v>
      </c>
      <c r="AT63" s="31">
        <f>COUNTIF('3107'!V17, "TRUE")+COUNTIF('0108'!V17, "TRUE")</f>
        <v>0</v>
      </c>
    </row>
    <row r="64" spans="19:46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50">
        <f>Table21123[[#This Row],[Points]]/($AA$47-Table21123[[#This Row],[Missed Games]])</f>
        <v>0.33333333333333331</v>
      </c>
      <c r="AF64" s="150">
        <f>Table21123[[#This Row],[Finishes]]/($AA$47-Table21123[[#This Row],[Missed Games]])</f>
        <v>0</v>
      </c>
      <c r="AG64" s="150">
        <f>Table21123[[#This Row],[Midranges]]/($AA$47-Table21123[[#This Row],[Missed Games]])</f>
        <v>0.33333333333333331</v>
      </c>
      <c r="AH64" s="150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50">
        <f>Table21123[[#This Row],[Points]]/($AA$47-Table21123[[#This Row],[Missed Games]])</f>
        <v>0</v>
      </c>
      <c r="AF65" s="150">
        <f>Table21123[[#This Row],[Finishes]]/($AA$47-Table21123[[#This Row],[Missed Games]])</f>
        <v>0</v>
      </c>
      <c r="AG65" s="150">
        <f>Table21123[[#This Row],[Midranges]]/($AA$47-Table21123[[#This Row],[Missed Games]])</f>
        <v>0</v>
      </c>
      <c r="AH65" s="150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3</v>
      </c>
      <c r="AM65" s="31">
        <f>'3107'!S19+'0108'!S19+'0208'!S19+'0308'!S19</f>
        <v>3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0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/>
      <c r="AB69" s="31"/>
      <c r="AC69" s="31"/>
      <c r="AD69" s="31"/>
      <c r="AE69" s="31"/>
      <c r="AF69" s="31"/>
      <c r="AG69" s="31"/>
      <c r="AH69" s="31"/>
      <c r="AI69" s="31"/>
      <c r="AJ69" s="35"/>
      <c r="AK69" s="47" t="s">
        <v>45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49</v>
      </c>
      <c r="AA70" s="31"/>
      <c r="AB70" s="31"/>
      <c r="AC70" s="31"/>
      <c r="AD70" s="31"/>
      <c r="AE70" s="31"/>
      <c r="AF70" s="31"/>
      <c r="AG70" s="31"/>
      <c r="AH70" s="31"/>
      <c r="AI70" s="31"/>
      <c r="AJ70" s="35"/>
      <c r="AK70" s="47" t="s">
        <v>49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51</v>
      </c>
      <c r="AA71" s="31"/>
      <c r="AB71" s="31"/>
      <c r="AC71" s="31"/>
      <c r="AD71" s="31"/>
      <c r="AE71" s="31"/>
      <c r="AF71" s="31"/>
      <c r="AG71" s="31"/>
      <c r="AH71" s="31"/>
      <c r="AI71" s="31"/>
      <c r="AJ71" s="35"/>
      <c r="AK71" s="47" t="s">
        <v>51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5"/>
      <c r="AK72" s="47" t="s">
        <v>54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57</v>
      </c>
      <c r="AA73" s="31"/>
      <c r="AB73" s="31"/>
      <c r="AC73" s="31"/>
      <c r="AD73" s="31"/>
      <c r="AE73" s="31"/>
      <c r="AF73" s="31"/>
      <c r="AG73" s="31"/>
      <c r="AH73" s="31"/>
      <c r="AI73" s="31"/>
      <c r="AJ73" s="35"/>
      <c r="AK73" s="47" t="s">
        <v>57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60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5"/>
      <c r="AK74" s="47" t="s">
        <v>60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93</v>
      </c>
      <c r="AA75" s="31"/>
      <c r="AB75" s="31"/>
      <c r="AC75" s="31"/>
      <c r="AD75" s="31"/>
      <c r="AE75" s="31"/>
      <c r="AF75" s="31"/>
      <c r="AG75" s="31"/>
      <c r="AH75" s="31"/>
      <c r="AI75" s="31"/>
      <c r="AJ75" s="35"/>
      <c r="AK75" s="35" t="s">
        <v>93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145</v>
      </c>
      <c r="Z76" s="47" t="s">
        <v>63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5"/>
      <c r="AK76" s="47" t="s">
        <v>63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/>
      <c r="AB77" s="31"/>
      <c r="AC77" s="31"/>
      <c r="AD77" s="31"/>
      <c r="AE77" s="31"/>
      <c r="AF77" s="31"/>
      <c r="AG77" s="31"/>
      <c r="AH77" s="31"/>
      <c r="AI77" s="31"/>
      <c r="AJ77" s="35"/>
      <c r="AK77" s="47" t="s">
        <v>66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/>
      <c r="AB78" s="31"/>
      <c r="AC78" s="31"/>
      <c r="AD78" s="31"/>
      <c r="AE78" s="31"/>
      <c r="AF78" s="31"/>
      <c r="AG78" s="31"/>
      <c r="AH78" s="31"/>
      <c r="AI78" s="31"/>
      <c r="AJ78" s="35"/>
      <c r="AK78" s="47" t="s">
        <v>68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/>
      <c r="AB79" s="31"/>
      <c r="AC79" s="31"/>
      <c r="AD79" s="31"/>
      <c r="AE79" s="31"/>
      <c r="AF79" s="31"/>
      <c r="AG79" s="31"/>
      <c r="AH79" s="31"/>
      <c r="AI79" s="31"/>
      <c r="AJ79" s="35"/>
      <c r="AK79" s="47" t="s">
        <v>69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 t="str">
        <f>'Statistics LG'!A6</f>
        <v>13-July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201</v>
      </c>
      <c r="AA80" s="31"/>
      <c r="AB80" s="31"/>
      <c r="AC80" s="31"/>
      <c r="AD80" s="31"/>
      <c r="AE80" s="31"/>
      <c r="AF80" s="31"/>
      <c r="AG80" s="31"/>
      <c r="AH80" s="31"/>
      <c r="AI80" s="31"/>
      <c r="AJ80" s="35"/>
      <c r="AK80" s="35" t="s">
        <v>201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 t="str">
        <f>'Statistics LG'!A7</f>
        <v>17-July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5"/>
      <c r="AK81" s="35" t="s">
        <v>128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 t="str">
        <f>'Statistics LG'!A8</f>
        <v>18-July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/>
      <c r="AB82" s="31"/>
      <c r="AC82" s="31"/>
      <c r="AD82" s="31"/>
      <c r="AE82" s="31"/>
      <c r="AF82" s="31"/>
      <c r="AG82" s="31"/>
      <c r="AH82" s="31"/>
      <c r="AI82" s="31"/>
      <c r="AJ82" s="35"/>
      <c r="AK82" s="35" t="s">
        <v>127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 t="str">
        <f>'Statistics LG'!A9</f>
        <v>19-July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5"/>
      <c r="AK83" s="35" t="s">
        <v>73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 t="str">
        <f>'Statistics LG'!A10</f>
        <v>20-July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/>
      <c r="AB84" s="31"/>
      <c r="AC84" s="31"/>
      <c r="AD84" s="31"/>
      <c r="AE84" s="31"/>
      <c r="AF84" s="31"/>
      <c r="AG84" s="31"/>
      <c r="AH84" s="31"/>
      <c r="AI84" s="31"/>
      <c r="AJ84" s="35"/>
      <c r="AK84" s="35" t="s">
        <v>74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 t="str">
        <f>'Statistics LG'!A11</f>
        <v>24-July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/>
      <c r="AB85" s="31"/>
      <c r="AC85" s="31"/>
      <c r="AD85" s="31"/>
      <c r="AE85" s="31"/>
      <c r="AF85" s="31"/>
      <c r="AG85" s="31"/>
      <c r="AH85" s="31"/>
      <c r="AI85" s="31"/>
      <c r="AJ85" s="35"/>
      <c r="AK85" s="47" t="s">
        <v>75</v>
      </c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 t="str">
        <f>'Statistics LG'!A12</f>
        <v>26-July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LG'!A13</f>
        <v>27-July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166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202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LG'!A14</f>
        <v>31-July</v>
      </c>
      <c r="T88" s="16">
        <f>T87+'Statistics LG'!D17</f>
        <v>22</v>
      </c>
      <c r="U88" s="16">
        <f>U87+'Statistics WW'!D17</f>
        <v>16</v>
      </c>
      <c r="V88" s="16">
        <f>V87+'Statistics 5M'!D17</f>
        <v>22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LG'!A15</f>
        <v>1-August</v>
      </c>
      <c r="T89" s="16">
        <f>T88+'Statistics LG'!D18</f>
        <v>22</v>
      </c>
      <c r="U89" s="16">
        <f>U88+'Statistics WW'!D18</f>
        <v>16</v>
      </c>
      <c r="V89" s="16">
        <f>V88+'Statistics 5M'!D18</f>
        <v>22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LG'!A16</f>
        <v>2-August</v>
      </c>
      <c r="T90" s="16">
        <f>T89+'Statistics LG'!D19</f>
        <v>22</v>
      </c>
      <c r="U90" s="16">
        <f>U89+'Statistics WW'!D19</f>
        <v>16</v>
      </c>
      <c r="V90" s="16">
        <f>V89+'Statistics 5M'!D19</f>
        <v>22</v>
      </c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LG'!A17</f>
        <v>3-August</v>
      </c>
      <c r="T91" s="16">
        <f>T90+'Statistics LG'!D20</f>
        <v>22</v>
      </c>
      <c r="U91" s="16">
        <f>U90+'Statistics WW'!D20</f>
        <v>16</v>
      </c>
      <c r="V91" s="16">
        <f>V90+'Statistics 5M'!D20</f>
        <v>22</v>
      </c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>
        <f>'Statistics LG'!A18</f>
        <v>0</v>
      </c>
      <c r="T92" s="16">
        <f>T91+'Statistics LG'!D21</f>
        <v>22</v>
      </c>
      <c r="U92" s="16">
        <f>U91+'Statistics WW'!D21</f>
        <v>16</v>
      </c>
      <c r="V92" s="16">
        <f>V91+'Statistics 5M'!D21</f>
        <v>22</v>
      </c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201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201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U109:U118 W103:W108">
    <cfRule type="cellIs" dxfId="162" priority="11" operator="greaterThan">
      <formula>0</formula>
    </cfRule>
  </conditionalFormatting>
  <conditionalFormatting sqref="U109:U118 W103:W108">
    <cfRule type="cellIs" dxfId="161" priority="10" operator="lessThan">
      <formula>0</formula>
    </cfRule>
  </conditionalFormatting>
  <conditionalFormatting sqref="AQ8:AQ24">
    <cfRule type="cellIs" dxfId="160" priority="5" operator="equal">
      <formula>$AA$4</formula>
    </cfRule>
    <cfRule type="cellIs" dxfId="159" priority="6" operator="lessThan">
      <formula>$AA$4</formula>
    </cfRule>
    <cfRule type="cellIs" dxfId="158" priority="7" operator="greaterThan">
      <formula>$AA$4</formula>
    </cfRule>
  </conditionalFormatting>
  <conditionalFormatting sqref="AT8:AT24">
    <cfRule type="cellIs" dxfId="157" priority="3" operator="lessThan">
      <formula>0</formula>
    </cfRule>
    <cfRule type="cellIs" dxfId="156" priority="4" operator="greaterThan">
      <formula>0</formula>
    </cfRule>
  </conditionalFormatting>
  <conditionalFormatting sqref="AU8:AU24">
    <cfRule type="cellIs" dxfId="155" priority="1" operator="lessThan">
      <formula>0</formula>
    </cfRule>
    <cfRule type="cellIs" dxfId="154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206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205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205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206</v>
      </c>
      <c r="G14" s="25">
        <v>9</v>
      </c>
      <c r="H14" s="25">
        <v>5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205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206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206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205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7" t="s">
        <v>119</v>
      </c>
      <c r="U41" s="157"/>
      <c r="V41" s="157"/>
    </row>
    <row r="42" spans="2:26" ht="14.25" customHeight="1" x14ac:dyDescent="0.9">
      <c r="R42" s="99"/>
      <c r="S42" s="99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A3" sqref="A3:F16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9.5312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9" width="14.3984375" style="76" customWidth="1"/>
    <col min="40" max="16384" width="14.3984375" style="76"/>
  </cols>
  <sheetData>
    <row r="1" spans="1:30" ht="14.35" customHeight="1" x14ac:dyDescent="0.45">
      <c r="L1" s="56"/>
      <c r="M1" s="56"/>
      <c r="N1" s="78"/>
      <c r="O1" s="56"/>
      <c r="P1" s="56"/>
    </row>
    <row r="2" spans="1:30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103" t="s">
        <v>193</v>
      </c>
      <c r="AA2" s="56"/>
    </row>
    <row r="3" spans="1:30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64</v>
      </c>
      <c r="I3" s="81">
        <f>SUM(C7:C40)</f>
        <v>43</v>
      </c>
      <c r="J3" s="78">
        <f>SUM(D7:D40)</f>
        <v>22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104" t="s">
        <v>4</v>
      </c>
      <c r="S3" s="105" t="s">
        <v>0</v>
      </c>
      <c r="T3" s="105" t="s">
        <v>85</v>
      </c>
      <c r="U3" s="106" t="s">
        <v>1</v>
      </c>
      <c r="V3" s="107" t="s">
        <v>80</v>
      </c>
      <c r="W3" s="107" t="s">
        <v>2</v>
      </c>
      <c r="X3" s="107" t="s">
        <v>117</v>
      </c>
      <c r="Y3" s="106" t="s">
        <v>3</v>
      </c>
      <c r="Z3" s="107" t="s">
        <v>118</v>
      </c>
      <c r="AA3" s="107" t="s">
        <v>120</v>
      </c>
      <c r="AD3" s="82"/>
    </row>
    <row r="4" spans="1:30" ht="14.35" customHeight="1" x14ac:dyDescent="0.45">
      <c r="A4" s="124" t="str">
        <f>'Stats Global'!B5</f>
        <v>11-July</v>
      </c>
      <c r="B4" s="125">
        <f>'Stats Global'!F5</f>
        <v>5</v>
      </c>
      <c r="C4" s="125">
        <f>'Stats Global'!G5+'Stats Global'!H5</f>
        <v>6</v>
      </c>
      <c r="D4" s="125">
        <f>'Stats Global'!O5</f>
        <v>2</v>
      </c>
      <c r="E4" s="126" t="s">
        <v>46</v>
      </c>
      <c r="F4" s="126" t="s">
        <v>207</v>
      </c>
      <c r="J4" s="84"/>
      <c r="L4" s="127">
        <f>'Stats Global'!J5</f>
        <v>2</v>
      </c>
      <c r="M4" s="127">
        <f>'Stats Global'!G5</f>
        <v>0</v>
      </c>
      <c r="N4" s="86"/>
      <c r="O4" s="127">
        <f>'Stats Global'!M5</f>
        <v>3</v>
      </c>
      <c r="P4" s="127">
        <f>'Stats Global'!H5</f>
        <v>6</v>
      </c>
      <c r="R4" s="108" t="s">
        <v>61</v>
      </c>
      <c r="S4" s="98">
        <f>'Stats Global'!AA22</f>
        <v>28</v>
      </c>
      <c r="T4" s="98">
        <f>'Stats Global'!AB22</f>
        <v>2.8</v>
      </c>
      <c r="U4" s="98">
        <f>'Stats Global'!AC22</f>
        <v>15</v>
      </c>
      <c r="V4" s="98">
        <f>'Stats Global'!AD22</f>
        <v>1.5</v>
      </c>
      <c r="W4" s="98">
        <f>'Stats Global'!AE22</f>
        <v>7</v>
      </c>
      <c r="X4" s="98">
        <f>'Stats Global'!AF22</f>
        <v>0.7</v>
      </c>
      <c r="Y4" s="98">
        <f>'Stats Global'!AG22</f>
        <v>3</v>
      </c>
      <c r="Z4" s="98">
        <f>'Stats Global'!AH22</f>
        <v>0.3</v>
      </c>
      <c r="AA4" s="98">
        <f>'Stats Global'!AJ22</f>
        <v>0</v>
      </c>
    </row>
    <row r="5" spans="1:30" ht="14.35" customHeight="1" x14ac:dyDescent="0.45">
      <c r="A5" s="124" t="str">
        <f>'Stats Global'!B6</f>
        <v>12-July</v>
      </c>
      <c r="B5" s="125">
        <f>'Stats Global'!F6</f>
        <v>9</v>
      </c>
      <c r="C5" s="125">
        <f>'Stats Global'!G6+'Stats Global'!H6</f>
        <v>8</v>
      </c>
      <c r="D5" s="125">
        <f>'Stats Global'!O6</f>
        <v>2</v>
      </c>
      <c r="E5" s="126" t="s">
        <v>61</v>
      </c>
      <c r="F5" s="126" t="s">
        <v>210</v>
      </c>
      <c r="I5" s="81"/>
      <c r="J5" s="84"/>
      <c r="L5" s="127">
        <f>'Stats Global'!J6</f>
        <v>4</v>
      </c>
      <c r="M5" s="127">
        <f>'Stats Global'!G6</f>
        <v>1</v>
      </c>
      <c r="N5" s="86"/>
      <c r="O5" s="127">
        <f>'Stats Global'!M6</f>
        <v>5</v>
      </c>
      <c r="P5" s="127">
        <f>'Stats Global'!H6</f>
        <v>7</v>
      </c>
      <c r="R5" s="84" t="s">
        <v>46</v>
      </c>
      <c r="S5" s="98">
        <f>'Stats Global'!AA16</f>
        <v>17</v>
      </c>
      <c r="T5" s="98">
        <f>'Stats Global'!AB16</f>
        <v>1.8888888888888888</v>
      </c>
      <c r="U5" s="98">
        <f>'Stats Global'!AC16</f>
        <v>7</v>
      </c>
      <c r="V5" s="98">
        <f>'Stats Global'!AD16</f>
        <v>0.77777777777777779</v>
      </c>
      <c r="W5" s="98">
        <f>'Stats Global'!AE16</f>
        <v>6</v>
      </c>
      <c r="X5" s="98">
        <f>'Stats Global'!AF16</f>
        <v>0.66666666666666663</v>
      </c>
      <c r="Y5" s="98">
        <f>'Stats Global'!AG16</f>
        <v>2</v>
      </c>
      <c r="Z5" s="98">
        <f>'Stats Global'!AH16</f>
        <v>0.22222222222222221</v>
      </c>
      <c r="AA5" s="98">
        <f>'Stats Global'!AJ16</f>
        <v>1</v>
      </c>
    </row>
    <row r="6" spans="1:30" ht="14.35" customHeight="1" x14ac:dyDescent="0.45">
      <c r="A6" s="124" t="str">
        <f>'Stats Global'!B7</f>
        <v>13-July</v>
      </c>
      <c r="B6" s="125">
        <f>'Stats Global'!F7</f>
        <v>8</v>
      </c>
      <c r="C6" s="125">
        <f>'Stats Global'!G7+'Stats Global'!H7</f>
        <v>2</v>
      </c>
      <c r="D6" s="125">
        <f>'Stats Global'!O7</f>
        <v>3</v>
      </c>
      <c r="E6" s="126" t="s">
        <v>61</v>
      </c>
      <c r="F6" s="126" t="s">
        <v>61</v>
      </c>
      <c r="I6" s="81"/>
      <c r="J6" s="84"/>
      <c r="L6" s="127">
        <f>'Stats Global'!J7</f>
        <v>4</v>
      </c>
      <c r="M6" s="127">
        <f>'Stats Global'!G7</f>
        <v>2</v>
      </c>
      <c r="N6" s="86"/>
      <c r="O6" s="127">
        <f>'Stats Global'!M7</f>
        <v>4</v>
      </c>
      <c r="P6" s="127">
        <f>'Stats Global'!H7</f>
        <v>0</v>
      </c>
      <c r="R6" s="84" t="s">
        <v>58</v>
      </c>
      <c r="S6" s="98">
        <f>'Stats Global'!AA21</f>
        <v>12</v>
      </c>
      <c r="T6" s="98">
        <f>'Stats Global'!AB21</f>
        <v>1.2</v>
      </c>
      <c r="U6" s="98">
        <f>'Stats Global'!AC21</f>
        <v>7</v>
      </c>
      <c r="V6" s="98">
        <f>'Stats Global'!AD21</f>
        <v>0.7</v>
      </c>
      <c r="W6" s="98">
        <f>'Stats Global'!AE21</f>
        <v>3</v>
      </c>
      <c r="X6" s="98">
        <f>'Stats Global'!AF21</f>
        <v>0.3</v>
      </c>
      <c r="Y6" s="98">
        <f>'Stats Global'!AG21</f>
        <v>1</v>
      </c>
      <c r="Z6" s="98">
        <f>'Stats Global'!AH21</f>
        <v>0.1</v>
      </c>
      <c r="AA6" s="98">
        <f>'Stats Global'!AJ21</f>
        <v>0</v>
      </c>
    </row>
    <row r="7" spans="1:30" ht="14.35" customHeight="1" x14ac:dyDescent="0.45">
      <c r="A7" s="75" t="str">
        <f>'Stats Global'!B8</f>
        <v>17-July</v>
      </c>
      <c r="B7" s="83">
        <f>'Stats Global'!F8</f>
        <v>8</v>
      </c>
      <c r="C7" s="83">
        <f>'Stats Global'!G8+'Stats Global'!H8</f>
        <v>3</v>
      </c>
      <c r="D7" s="83">
        <f>'Stats Global'!O8</f>
        <v>3</v>
      </c>
      <c r="E7" s="80" t="s">
        <v>61</v>
      </c>
      <c r="F7" s="80" t="s">
        <v>61</v>
      </c>
      <c r="I7" s="81"/>
      <c r="J7" s="84"/>
      <c r="L7" s="85">
        <f>'Stats Global'!J8</f>
        <v>5</v>
      </c>
      <c r="M7" s="85">
        <f>'Stats Global'!G8</f>
        <v>0</v>
      </c>
      <c r="N7" s="86"/>
      <c r="O7" s="85">
        <f>'Stats Global'!M8</f>
        <v>3</v>
      </c>
      <c r="P7" s="85">
        <f>'Stats Global'!H8</f>
        <v>3</v>
      </c>
      <c r="R7" s="84" t="s">
        <v>25</v>
      </c>
      <c r="S7" s="98">
        <f>'Stats Global'!AA8</f>
        <v>3</v>
      </c>
      <c r="T7" s="98">
        <f>'Stats Global'!AB8</f>
        <v>0.3</v>
      </c>
      <c r="U7" s="98">
        <f>'Stats Global'!AC8</f>
        <v>0</v>
      </c>
      <c r="V7" s="98">
        <f>'Stats Global'!AD8</f>
        <v>0</v>
      </c>
      <c r="W7" s="98">
        <f>'Stats Global'!AE8</f>
        <v>3</v>
      </c>
      <c r="X7" s="98">
        <f>'Stats Global'!AF8</f>
        <v>0.3</v>
      </c>
      <c r="Y7" s="98">
        <f>'Stats Global'!AG8</f>
        <v>0</v>
      </c>
      <c r="Z7" s="98">
        <f>'Stats Global'!AH8</f>
        <v>0</v>
      </c>
      <c r="AA7" s="98">
        <f>'Stats Global'!AJ8</f>
        <v>0</v>
      </c>
    </row>
    <row r="8" spans="1:30" ht="14.35" customHeight="1" x14ac:dyDescent="0.45">
      <c r="A8" s="75" t="str">
        <f>'Stats Global'!B9</f>
        <v>18-July</v>
      </c>
      <c r="B8" s="83">
        <f>'Stats Global'!F9</f>
        <v>12</v>
      </c>
      <c r="C8" s="83">
        <f>'Stats Global'!G9+'Stats Global'!H9</f>
        <v>1</v>
      </c>
      <c r="D8" s="83">
        <f>'Stats Global'!O9</f>
        <v>3</v>
      </c>
      <c r="E8" s="80" t="s">
        <v>61</v>
      </c>
      <c r="F8" s="80" t="s">
        <v>225</v>
      </c>
      <c r="I8" s="81"/>
      <c r="J8" s="84"/>
      <c r="L8" s="85">
        <f>'Stats Global'!J9</f>
        <v>6</v>
      </c>
      <c r="M8" s="85">
        <f>'Stats Global'!G9</f>
        <v>1</v>
      </c>
      <c r="N8" s="86"/>
      <c r="O8" s="85">
        <f>'Stats Global'!M9</f>
        <v>6</v>
      </c>
      <c r="P8" s="85">
        <f>'Stats Global'!H9</f>
        <v>0</v>
      </c>
      <c r="R8" s="84" t="s">
        <v>28</v>
      </c>
      <c r="S8" s="98">
        <f>'Stats Global'!AA9</f>
        <v>10</v>
      </c>
      <c r="T8" s="98">
        <f>'Stats Global'!AB9</f>
        <v>1.1111111111111112</v>
      </c>
      <c r="U8" s="98">
        <f>'Stats Global'!AC9</f>
        <v>10</v>
      </c>
      <c r="V8" s="98">
        <f>'Stats Global'!AD9</f>
        <v>1.1111111111111112</v>
      </c>
      <c r="W8" s="98">
        <f>'Stats Global'!AE9</f>
        <v>0</v>
      </c>
      <c r="X8" s="98">
        <f>'Stats Global'!AF9</f>
        <v>0</v>
      </c>
      <c r="Y8" s="98">
        <f>'Stats Global'!AG9</f>
        <v>0</v>
      </c>
      <c r="Z8" s="98">
        <f>'Stats Global'!AH9</f>
        <v>0</v>
      </c>
      <c r="AA8" s="98">
        <f>'Stats Global'!AJ9</f>
        <v>1</v>
      </c>
    </row>
    <row r="9" spans="1:30" ht="14.35" customHeight="1" x14ac:dyDescent="0.45">
      <c r="A9" s="75" t="str">
        <f>'Stats Global'!B10</f>
        <v>19-July</v>
      </c>
      <c r="B9" s="83">
        <f>'Stats Global'!F10</f>
        <v>15</v>
      </c>
      <c r="C9" s="83">
        <f>'Stats Global'!G10+'Stats Global'!H10</f>
        <v>0</v>
      </c>
      <c r="D9" s="83">
        <f>'Stats Global'!O10</f>
        <v>3</v>
      </c>
      <c r="E9" s="80" t="s">
        <v>46</v>
      </c>
      <c r="F9" s="80" t="s">
        <v>61</v>
      </c>
      <c r="I9" s="81"/>
      <c r="J9" s="84"/>
      <c r="L9" s="85">
        <f>'Stats Global'!J10</f>
        <v>8</v>
      </c>
      <c r="M9" s="85">
        <f>'Stats Global'!G10</f>
        <v>0</v>
      </c>
      <c r="N9" s="86"/>
      <c r="O9" s="85">
        <f>'Stats Global'!M10</f>
        <v>7</v>
      </c>
      <c r="P9" s="85">
        <f>'Stats Global'!H10</f>
        <v>0</v>
      </c>
      <c r="R9" s="55"/>
      <c r="S9" s="39"/>
      <c r="T9" s="39"/>
      <c r="U9" s="39"/>
      <c r="V9" s="39"/>
      <c r="W9" s="39"/>
    </row>
    <row r="10" spans="1:30" ht="14.35" customHeight="1" x14ac:dyDescent="0.45">
      <c r="A10" s="75" t="str">
        <f>'Stats Global'!B11</f>
        <v>20-July</v>
      </c>
      <c r="B10" s="83">
        <f>'Stats Global'!F11</f>
        <v>3</v>
      </c>
      <c r="C10" s="83">
        <f>'Stats Global'!G11+'Stats Global'!H11</f>
        <v>4</v>
      </c>
      <c r="D10" s="83">
        <f>'Stats Global'!O11</f>
        <v>2</v>
      </c>
      <c r="E10" s="80" t="s">
        <v>237</v>
      </c>
      <c r="F10" s="80" t="s">
        <v>46</v>
      </c>
      <c r="I10" s="81"/>
      <c r="J10" s="84"/>
      <c r="L10" s="85">
        <f>'Stats Global'!J11</f>
        <v>2</v>
      </c>
      <c r="M10" s="85">
        <f>'Stats Global'!G11</f>
        <v>3</v>
      </c>
      <c r="N10" s="86"/>
      <c r="O10" s="85">
        <f>'Stats Global'!M11</f>
        <v>1</v>
      </c>
      <c r="P10" s="85">
        <f>'Stats Global'!H11</f>
        <v>1</v>
      </c>
      <c r="R10" s="56"/>
      <c r="S10" s="56"/>
      <c r="T10" s="39"/>
      <c r="U10" s="39"/>
      <c r="V10" s="39"/>
      <c r="W10" s="39"/>
    </row>
    <row r="11" spans="1:30" ht="14.35" customHeight="1" x14ac:dyDescent="0.45">
      <c r="A11" s="75" t="str">
        <f>'Stats Global'!B12</f>
        <v>24-July</v>
      </c>
      <c r="B11" s="83">
        <f>'Stats Global'!F12</f>
        <v>1</v>
      </c>
      <c r="C11" s="83">
        <f>'Stats Global'!G12+'Stats Global'!H12</f>
        <v>5</v>
      </c>
      <c r="D11" s="83">
        <f>'Stats Global'!O12</f>
        <v>2</v>
      </c>
      <c r="E11" s="80" t="s">
        <v>46</v>
      </c>
      <c r="F11" s="80" t="s">
        <v>208</v>
      </c>
      <c r="I11" s="81"/>
      <c r="J11" s="84"/>
      <c r="L11" s="85">
        <f>'Stats Global'!J12</f>
        <v>1</v>
      </c>
      <c r="M11" s="85">
        <f>'Stats Global'!G12</f>
        <v>0</v>
      </c>
      <c r="N11" s="86"/>
      <c r="O11" s="85">
        <f>'Stats Global'!M12</f>
        <v>0</v>
      </c>
      <c r="P11" s="85">
        <f>'Stats Global'!H12</f>
        <v>5</v>
      </c>
      <c r="R11" s="53"/>
      <c r="S11" s="54"/>
      <c r="T11" s="56"/>
      <c r="U11" s="56"/>
      <c r="V11" s="56"/>
      <c r="W11" s="56"/>
    </row>
    <row r="12" spans="1:30" ht="14.35" customHeight="1" x14ac:dyDescent="0.45">
      <c r="A12" s="75" t="str">
        <f>'Stats Global'!B13</f>
        <v>26-July</v>
      </c>
      <c r="B12" s="83">
        <f>'Stats Global'!F13</f>
        <v>6</v>
      </c>
      <c r="C12" s="83">
        <f>'Stats Global'!G13+'Stats Global'!H13</f>
        <v>5</v>
      </c>
      <c r="D12" s="83">
        <f>'Stats Global'!O13</f>
        <v>2</v>
      </c>
      <c r="E12" s="80" t="s">
        <v>61</v>
      </c>
      <c r="F12" s="80" t="s">
        <v>243</v>
      </c>
      <c r="I12" s="81"/>
      <c r="J12" s="84"/>
      <c r="L12" s="85">
        <f>'Stats Global'!J13</f>
        <v>2</v>
      </c>
      <c r="M12" s="85">
        <f>'Stats Global'!G13</f>
        <v>2</v>
      </c>
      <c r="N12" s="86"/>
      <c r="O12" s="85">
        <f>'Stats Global'!M13</f>
        <v>4</v>
      </c>
      <c r="P12" s="85">
        <f>'Stats Global'!H13</f>
        <v>3</v>
      </c>
      <c r="R12" s="56"/>
      <c r="S12" s="56"/>
      <c r="T12" s="54"/>
      <c r="U12" s="54"/>
      <c r="V12" s="54"/>
      <c r="W12" s="54"/>
    </row>
    <row r="13" spans="1:30" ht="14.35" customHeight="1" x14ac:dyDescent="0.45">
      <c r="A13" s="75" t="str">
        <f>'Stats Global'!B14</f>
        <v>27-July</v>
      </c>
      <c r="B13" s="83">
        <f>'Stats Global'!F14</f>
        <v>3</v>
      </c>
      <c r="C13" s="83">
        <f>'Stats Global'!G14+'Stats Global'!H14</f>
        <v>5</v>
      </c>
      <c r="D13" s="83">
        <f>'Stats Global'!O14</f>
        <v>2</v>
      </c>
      <c r="E13" s="80" t="s">
        <v>253</v>
      </c>
      <c r="F13" s="80" t="s">
        <v>61</v>
      </c>
      <c r="J13" s="84"/>
      <c r="L13" s="85">
        <f>'Stats Global'!J14</f>
        <v>2</v>
      </c>
      <c r="M13" s="85">
        <f>'Stats Global'!G14</f>
        <v>1</v>
      </c>
      <c r="N13" s="86"/>
      <c r="O13" s="85">
        <f>'Stats Global'!M14</f>
        <v>1</v>
      </c>
      <c r="P13" s="85">
        <f>'Stats Global'!H14</f>
        <v>4</v>
      </c>
      <c r="R13" s="56"/>
      <c r="S13" s="56"/>
      <c r="T13" s="56"/>
      <c r="U13" s="56"/>
      <c r="V13" s="56"/>
      <c r="W13" s="56"/>
    </row>
    <row r="14" spans="1:30" ht="14.35" customHeight="1" x14ac:dyDescent="0.45">
      <c r="A14" s="75" t="str">
        <f>'Stats Global'!B15</f>
        <v>31-July</v>
      </c>
      <c r="B14" s="83">
        <f>'Stats Global'!F15</f>
        <v>9</v>
      </c>
      <c r="C14" s="83">
        <f>'Stats Global'!G15+'Stats Global'!H15</f>
        <v>3</v>
      </c>
      <c r="D14" s="83">
        <f>'Stats Global'!O15</f>
        <v>3</v>
      </c>
      <c r="E14" s="80" t="s">
        <v>61</v>
      </c>
      <c r="F14" s="80" t="s">
        <v>46</v>
      </c>
      <c r="J14" s="84"/>
      <c r="L14" s="85">
        <f>'Stats Global'!J15</f>
        <v>4</v>
      </c>
      <c r="M14" s="85">
        <f>'Stats Global'!G15</f>
        <v>2</v>
      </c>
      <c r="N14" s="86"/>
      <c r="O14" s="85">
        <f>'Stats Global'!M15</f>
        <v>5</v>
      </c>
      <c r="P14" s="85">
        <f>'Stats Global'!H15</f>
        <v>1</v>
      </c>
      <c r="R14" s="56"/>
      <c r="S14" s="56"/>
      <c r="T14" s="56"/>
      <c r="U14" s="56"/>
      <c r="V14" s="56"/>
      <c r="W14" s="56"/>
    </row>
    <row r="15" spans="1:30" ht="14.35" customHeight="1" x14ac:dyDescent="0.45">
      <c r="A15" s="75" t="str">
        <f>'Stats Global'!B16</f>
        <v>1-August</v>
      </c>
      <c r="B15" s="83">
        <f>'Stats Global'!F16</f>
        <v>3</v>
      </c>
      <c r="C15" s="83">
        <f>'Stats Global'!G16+'Stats Global'!H16</f>
        <v>6</v>
      </c>
      <c r="D15" s="83">
        <f>'Stats Global'!O16</f>
        <v>1</v>
      </c>
      <c r="E15" s="80" t="s">
        <v>61</v>
      </c>
      <c r="F15" s="80" t="s">
        <v>263</v>
      </c>
      <c r="J15" s="84"/>
      <c r="L15" s="85">
        <f>'Stats Global'!J16</f>
        <v>1</v>
      </c>
      <c r="M15" s="85">
        <f>'Stats Global'!G16</f>
        <v>3</v>
      </c>
      <c r="N15" s="86"/>
      <c r="O15" s="85">
        <f>'Stats Global'!M16</f>
        <v>2</v>
      </c>
      <c r="P15" s="85">
        <f>'Stats Global'!H16</f>
        <v>3</v>
      </c>
      <c r="R15" s="56"/>
      <c r="S15" s="56"/>
      <c r="T15" s="56"/>
      <c r="U15" s="56"/>
      <c r="V15" s="56"/>
      <c r="W15" s="56"/>
    </row>
    <row r="16" spans="1:30" ht="14.35" customHeight="1" x14ac:dyDescent="0.45">
      <c r="A16" s="75" t="str">
        <f>'Stats Global'!B17</f>
        <v>2-August</v>
      </c>
      <c r="B16" s="83">
        <f>'Stats Global'!F17</f>
        <v>4</v>
      </c>
      <c r="C16" s="83">
        <f>'Stats Global'!G17+'Stats Global'!H17</f>
        <v>11</v>
      </c>
      <c r="D16" s="83">
        <f>'Stats Global'!O17</f>
        <v>1</v>
      </c>
      <c r="E16" s="80" t="s">
        <v>208</v>
      </c>
      <c r="F16" s="80" t="s">
        <v>58</v>
      </c>
      <c r="J16" s="84"/>
      <c r="L16" s="85">
        <f>'Stats Global'!J17</f>
        <v>4</v>
      </c>
      <c r="M16" s="85">
        <f>'Stats Global'!G17</f>
        <v>3</v>
      </c>
      <c r="N16" s="86"/>
      <c r="O16" s="85">
        <f>'Stats Global'!M17</f>
        <v>0</v>
      </c>
      <c r="P16" s="85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3">
        <f>'Stats Global'!F18</f>
        <v>0</v>
      </c>
      <c r="C17" s="83">
        <f>'Stats Global'!G18+'Stats Global'!H18</f>
        <v>0</v>
      </c>
      <c r="D17" s="83">
        <f>'Stats Global'!O18</f>
        <v>0</v>
      </c>
      <c r="E17" s="87"/>
      <c r="F17" s="87"/>
      <c r="J17" s="84"/>
      <c r="L17" s="85">
        <f>'Stats Global'!J18</f>
        <v>0</v>
      </c>
      <c r="M17" s="85">
        <f>'Stats Global'!G18</f>
        <v>0</v>
      </c>
      <c r="N17" s="86"/>
      <c r="O17" s="85">
        <f>'Stats Global'!M18</f>
        <v>0</v>
      </c>
      <c r="P17" s="85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>
        <f>'Stats Global'!B19</f>
        <v>0</v>
      </c>
      <c r="B18" s="83">
        <f>'Stats Global'!F19</f>
        <v>0</v>
      </c>
      <c r="C18" s="83">
        <f>'Stats Global'!G19+'Stats Global'!H19</f>
        <v>0</v>
      </c>
      <c r="D18" s="83">
        <f>'Stats Global'!O19</f>
        <v>0</v>
      </c>
      <c r="E18" s="88"/>
      <c r="F18" s="88"/>
      <c r="J18" s="84"/>
      <c r="L18" s="85">
        <f>'Stats Global'!J19</f>
        <v>0</v>
      </c>
      <c r="M18" s="85">
        <f>'Stats Global'!G19</f>
        <v>0</v>
      </c>
      <c r="N18" s="86"/>
      <c r="O18" s="85">
        <f>'Stats Global'!M19</f>
        <v>0</v>
      </c>
      <c r="P18" s="85">
        <f>'Stats Global'!H19</f>
        <v>0</v>
      </c>
    </row>
    <row r="19" spans="1:23" ht="14.35" customHeight="1" x14ac:dyDescent="0.45">
      <c r="A19" s="75">
        <f>'Stats Global'!B20</f>
        <v>0</v>
      </c>
      <c r="B19" s="83">
        <f>'Stats Global'!F20</f>
        <v>0</v>
      </c>
      <c r="C19" s="83">
        <f>'Stats Global'!G20+'Stats Global'!H20</f>
        <v>0</v>
      </c>
      <c r="D19" s="83">
        <f>'Stats Global'!O20</f>
        <v>0</v>
      </c>
      <c r="E19" s="89"/>
      <c r="F19" s="89"/>
      <c r="J19" s="84"/>
      <c r="L19" s="85">
        <f>'Stats Global'!J20</f>
        <v>0</v>
      </c>
      <c r="M19" s="85">
        <f>'Stats Global'!G20</f>
        <v>0</v>
      </c>
      <c r="N19" s="86"/>
      <c r="O19" s="85">
        <f>'Stats Global'!M20</f>
        <v>0</v>
      </c>
      <c r="P19" s="85">
        <f>'Stats Global'!H20</f>
        <v>0</v>
      </c>
    </row>
    <row r="20" spans="1:23" ht="14.35" customHeight="1" x14ac:dyDescent="0.45">
      <c r="A20" s="75">
        <f>'Stats Global'!B21</f>
        <v>0</v>
      </c>
      <c r="B20" s="83">
        <f>'Stats Global'!F21</f>
        <v>0</v>
      </c>
      <c r="C20" s="83">
        <f>'Stats Global'!G21+'Stats Global'!H21</f>
        <v>0</v>
      </c>
      <c r="D20" s="83">
        <f>'Stats Global'!O21</f>
        <v>0</v>
      </c>
      <c r="E20" s="90"/>
      <c r="F20" s="90"/>
      <c r="J20" s="84"/>
      <c r="L20" s="85">
        <f>'Stats Global'!J21</f>
        <v>0</v>
      </c>
      <c r="M20" s="85">
        <f>'Stats Global'!G21</f>
        <v>0</v>
      </c>
      <c r="N20" s="86"/>
      <c r="O20" s="85">
        <f>'Stats Global'!M21</f>
        <v>0</v>
      </c>
      <c r="P20" s="85">
        <f>'Stats Global'!H21</f>
        <v>0</v>
      </c>
    </row>
    <row r="21" spans="1:23" ht="14.35" customHeight="1" x14ac:dyDescent="0.45">
      <c r="A21" s="75">
        <f>'Stats Global'!B22</f>
        <v>0</v>
      </c>
      <c r="B21" s="83">
        <f>'Stats Global'!F22</f>
        <v>0</v>
      </c>
      <c r="C21" s="83">
        <f>'Stats Global'!G22+'Stats Global'!H22</f>
        <v>0</v>
      </c>
      <c r="D21" s="83">
        <f>'Stats Global'!O22</f>
        <v>0</v>
      </c>
      <c r="E21" s="80"/>
      <c r="F21" s="80"/>
      <c r="J21" s="84"/>
      <c r="L21" s="85">
        <f>'Stats Global'!J22</f>
        <v>0</v>
      </c>
      <c r="M21" s="85">
        <f>'Stats Global'!G22</f>
        <v>0</v>
      </c>
      <c r="N21" s="86"/>
      <c r="O21" s="85">
        <f>'Stats Global'!M22</f>
        <v>0</v>
      </c>
      <c r="P21" s="85">
        <f>'Stats Global'!H22</f>
        <v>0</v>
      </c>
    </row>
    <row r="22" spans="1:23" ht="14.35" customHeight="1" x14ac:dyDescent="0.45">
      <c r="A22" s="75">
        <f>'Stats Global'!B23</f>
        <v>0</v>
      </c>
      <c r="B22" s="83">
        <f>'Stats Global'!F23</f>
        <v>0</v>
      </c>
      <c r="C22" s="83">
        <f>'Stats Global'!G23+'Stats Global'!H23</f>
        <v>0</v>
      </c>
      <c r="D22" s="83">
        <f>'Stats Global'!O23</f>
        <v>0</v>
      </c>
      <c r="E22" s="80"/>
      <c r="F22" s="80"/>
      <c r="H22" s="92"/>
      <c r="J22" s="84"/>
      <c r="L22" s="85">
        <f>'Stats Global'!J23</f>
        <v>0</v>
      </c>
      <c r="M22" s="85">
        <f>'Stats Global'!G23</f>
        <v>0</v>
      </c>
      <c r="N22" s="86"/>
      <c r="O22" s="85">
        <f>'Stats Global'!M23</f>
        <v>0</v>
      </c>
      <c r="P22" s="85">
        <f>'Stats Global'!H23</f>
        <v>0</v>
      </c>
    </row>
    <row r="23" spans="1:23" ht="14.35" customHeight="1" x14ac:dyDescent="0.45">
      <c r="A23" s="75">
        <f>'Stats Global'!B24</f>
        <v>0</v>
      </c>
      <c r="B23" s="83">
        <f>'Stats Global'!F24</f>
        <v>0</v>
      </c>
      <c r="C23" s="83">
        <f>'Stats Global'!G24+'Stats Global'!H24</f>
        <v>0</v>
      </c>
      <c r="D23" s="83">
        <f>'Stats Global'!O24</f>
        <v>0</v>
      </c>
      <c r="E23" s="91"/>
      <c r="F23" s="80"/>
      <c r="H23" s="92"/>
      <c r="J23" s="84"/>
      <c r="L23" s="85">
        <f>'Stats Global'!J24</f>
        <v>0</v>
      </c>
      <c r="M23" s="85">
        <f>'Stats Global'!G24</f>
        <v>0</v>
      </c>
      <c r="N23" s="86"/>
      <c r="O23" s="85">
        <f>'Stats Global'!M24</f>
        <v>0</v>
      </c>
      <c r="P23" s="85">
        <f>'Stats Global'!H24</f>
        <v>0</v>
      </c>
    </row>
    <row r="24" spans="1:23" ht="14.35" customHeight="1" x14ac:dyDescent="0.45">
      <c r="A24" s="75">
        <f>'Stats Global'!B25</f>
        <v>0</v>
      </c>
      <c r="B24" s="83">
        <f>'Stats Global'!F25</f>
        <v>0</v>
      </c>
      <c r="C24" s="83">
        <f>'Stats Global'!G25+'Stats Global'!H25</f>
        <v>0</v>
      </c>
      <c r="D24" s="83">
        <f>'Stats Global'!O25</f>
        <v>0</v>
      </c>
      <c r="E24" s="91"/>
      <c r="F24" s="80"/>
      <c r="H24" s="92"/>
      <c r="J24" s="84"/>
      <c r="L24" s="85">
        <f>'Stats Global'!J25</f>
        <v>0</v>
      </c>
      <c r="M24" s="85">
        <f>'Stats Global'!G25</f>
        <v>0</v>
      </c>
      <c r="N24" s="86"/>
      <c r="O24" s="85">
        <f>'Stats Global'!M25</f>
        <v>0</v>
      </c>
      <c r="P24" s="85">
        <f>'Stats Global'!H25</f>
        <v>0</v>
      </c>
    </row>
    <row r="25" spans="1:23" ht="14.35" customHeight="1" x14ac:dyDescent="0.45">
      <c r="A25" s="75">
        <f>'Stats Global'!B26</f>
        <v>0</v>
      </c>
      <c r="B25" s="83">
        <f>'Stats Global'!F26</f>
        <v>0</v>
      </c>
      <c r="C25" s="83">
        <f>'Stats Global'!G26+'Stats Global'!H26</f>
        <v>0</v>
      </c>
      <c r="D25" s="83">
        <f>'Stats Global'!O26</f>
        <v>0</v>
      </c>
      <c r="E25" s="91"/>
      <c r="F25" s="80"/>
      <c r="J25" s="84"/>
      <c r="L25" s="85">
        <f>'Stats Global'!J26</f>
        <v>0</v>
      </c>
      <c r="M25" s="85">
        <f>'Stats Global'!G26</f>
        <v>0</v>
      </c>
      <c r="N25" s="86"/>
      <c r="O25" s="85">
        <f>'Stats Global'!M26</f>
        <v>0</v>
      </c>
      <c r="P25" s="85">
        <f>'Stats Global'!H26</f>
        <v>0</v>
      </c>
    </row>
    <row r="26" spans="1:23" ht="14.35" customHeight="1" x14ac:dyDescent="0.45">
      <c r="A26" s="75">
        <f>'Stats Global'!B27</f>
        <v>0</v>
      </c>
      <c r="B26" s="83">
        <f>'Stats Global'!F27</f>
        <v>0</v>
      </c>
      <c r="C26" s="83">
        <f>'Stats Global'!G27+'Stats Global'!H27</f>
        <v>0</v>
      </c>
      <c r="D26" s="83">
        <f>'Stats Global'!O27</f>
        <v>0</v>
      </c>
      <c r="E26" s="80"/>
      <c r="F26" s="80"/>
      <c r="J26" s="84"/>
      <c r="L26" s="85">
        <f>'Stats Global'!J27</f>
        <v>0</v>
      </c>
      <c r="M26" s="85">
        <f>'Stats Global'!G27</f>
        <v>0</v>
      </c>
      <c r="N26" s="86"/>
      <c r="O26" s="85">
        <f>'Stats Global'!M27</f>
        <v>0</v>
      </c>
      <c r="P26" s="85">
        <f>'Stats Global'!H27</f>
        <v>0</v>
      </c>
    </row>
    <row r="27" spans="1:23" ht="14.35" customHeight="1" x14ac:dyDescent="0.45">
      <c r="A27" s="75">
        <f>'Stats Global'!B28</f>
        <v>0</v>
      </c>
      <c r="B27" s="83">
        <f>'Stats Global'!F28</f>
        <v>0</v>
      </c>
      <c r="C27" s="83">
        <f>'Stats Global'!G28+'Stats Global'!H28</f>
        <v>0</v>
      </c>
      <c r="D27" s="83">
        <f>'Stats Global'!O28</f>
        <v>0</v>
      </c>
      <c r="E27" s="80"/>
      <c r="F27" s="80"/>
      <c r="J27" s="84"/>
      <c r="L27" s="85">
        <f>'Stats Global'!J28</f>
        <v>0</v>
      </c>
      <c r="M27" s="85">
        <f>'Stats Global'!G28</f>
        <v>0</v>
      </c>
      <c r="N27" s="86"/>
      <c r="O27" s="85">
        <f>'Stats Global'!M28</f>
        <v>0</v>
      </c>
      <c r="P27" s="85">
        <f>'Stats Global'!H28</f>
        <v>0</v>
      </c>
    </row>
    <row r="28" spans="1:23" ht="14.35" customHeight="1" x14ac:dyDescent="0.45">
      <c r="A28" s="75">
        <f>'Stats Global'!B29</f>
        <v>0</v>
      </c>
      <c r="B28" s="83">
        <f>'Stats Global'!F29</f>
        <v>0</v>
      </c>
      <c r="C28" s="83">
        <f>'Stats Global'!G29+'Stats Global'!H29</f>
        <v>0</v>
      </c>
      <c r="D28" s="83">
        <f>'Stats Global'!O29</f>
        <v>0</v>
      </c>
      <c r="E28" s="80"/>
      <c r="F28" s="80"/>
      <c r="J28" s="84"/>
      <c r="L28" s="85">
        <f>'Stats Global'!J29</f>
        <v>0</v>
      </c>
      <c r="M28" s="85">
        <f>'Stats Global'!G29</f>
        <v>0</v>
      </c>
      <c r="N28" s="86"/>
      <c r="O28" s="85">
        <f>'Stats Global'!M29</f>
        <v>0</v>
      </c>
      <c r="P28" s="85">
        <f>'Stats Global'!H29</f>
        <v>0</v>
      </c>
    </row>
    <row r="29" spans="1:23" ht="14.35" customHeight="1" x14ac:dyDescent="0.45">
      <c r="A29" s="75">
        <f>'Stats Global'!B30</f>
        <v>0</v>
      </c>
      <c r="B29" s="83">
        <f>'Stats Global'!F30</f>
        <v>0</v>
      </c>
      <c r="C29" s="83">
        <f>'Stats Global'!G30+'Stats Global'!H30</f>
        <v>0</v>
      </c>
      <c r="D29" s="83">
        <f>'Stats Global'!O30</f>
        <v>0</v>
      </c>
      <c r="E29" s="80"/>
      <c r="F29" s="80"/>
      <c r="J29" s="84"/>
      <c r="L29" s="85">
        <f>'Stats Global'!J30</f>
        <v>0</v>
      </c>
      <c r="M29" s="85">
        <f>'Stats Global'!G30</f>
        <v>0</v>
      </c>
      <c r="N29" s="86"/>
      <c r="O29" s="85">
        <f>'Stats Global'!M30</f>
        <v>0</v>
      </c>
      <c r="P29" s="85">
        <f>'Stats Global'!H30</f>
        <v>0</v>
      </c>
    </row>
    <row r="30" spans="1:23" ht="14.35" customHeight="1" x14ac:dyDescent="0.45">
      <c r="A30" s="75">
        <f>'Stats Global'!B31</f>
        <v>0</v>
      </c>
      <c r="B30" s="83">
        <f>'Stats Global'!F31</f>
        <v>0</v>
      </c>
      <c r="C30" s="83">
        <f>'Stats Global'!G31+'Stats Global'!H31</f>
        <v>0</v>
      </c>
      <c r="D30" s="83">
        <f>'Stats Global'!O31</f>
        <v>0</v>
      </c>
      <c r="E30" s="80"/>
      <c r="F30" s="80"/>
      <c r="L30" s="85">
        <f>'Stats Global'!J31</f>
        <v>0</v>
      </c>
      <c r="M30" s="85">
        <f>'Stats Global'!G31</f>
        <v>0</v>
      </c>
      <c r="N30" s="86"/>
      <c r="O30" s="85">
        <f>'Stats Global'!M31</f>
        <v>0</v>
      </c>
      <c r="P30" s="85">
        <f>'Stats Global'!H31</f>
        <v>0</v>
      </c>
    </row>
    <row r="31" spans="1:23" ht="14.35" customHeight="1" x14ac:dyDescent="0.45">
      <c r="A31" s="75">
        <f>'Stats Global'!B32</f>
        <v>0</v>
      </c>
      <c r="B31" s="83">
        <f>'Stats Global'!F32</f>
        <v>0</v>
      </c>
      <c r="C31" s="83">
        <f>'Stats Global'!G32+'Stats Global'!H32</f>
        <v>0</v>
      </c>
      <c r="D31" s="83">
        <f>'Stats Global'!O32</f>
        <v>0</v>
      </c>
      <c r="E31" s="80"/>
      <c r="F31" s="80"/>
      <c r="L31" s="85">
        <f>'Stats Global'!J32</f>
        <v>0</v>
      </c>
      <c r="M31" s="85">
        <f>'Stats Global'!G32</f>
        <v>0</v>
      </c>
      <c r="N31" s="86"/>
      <c r="O31" s="85">
        <f>'Stats Global'!M32</f>
        <v>0</v>
      </c>
      <c r="P31" s="85">
        <f>'Stats Global'!H32</f>
        <v>0</v>
      </c>
    </row>
    <row r="32" spans="1:23" ht="14.35" customHeight="1" x14ac:dyDescent="0.45">
      <c r="A32" s="75">
        <f>'Stats Global'!B33</f>
        <v>0</v>
      </c>
      <c r="B32" s="83">
        <f>'Stats Global'!F33</f>
        <v>0</v>
      </c>
      <c r="C32" s="83">
        <f>'Stats Global'!G33+'Stats Global'!H33</f>
        <v>0</v>
      </c>
      <c r="D32" s="83">
        <f>'Stats Global'!O33</f>
        <v>0</v>
      </c>
      <c r="E32" s="80"/>
      <c r="F32" s="80"/>
      <c r="L32" s="85">
        <f>'Stats Global'!J33</f>
        <v>0</v>
      </c>
      <c r="M32" s="85">
        <f>'Stats Global'!G33</f>
        <v>0</v>
      </c>
      <c r="N32" s="86"/>
      <c r="O32" s="85">
        <f>'Stats Global'!M33</f>
        <v>0</v>
      </c>
      <c r="P32" s="85">
        <f>'Stats Global'!H33</f>
        <v>0</v>
      </c>
    </row>
    <row r="33" spans="1:16" ht="14.35" customHeight="1" x14ac:dyDescent="0.45">
      <c r="A33" s="75">
        <f>'Stats Global'!B34</f>
        <v>0</v>
      </c>
      <c r="B33" s="83">
        <f>'Stats Global'!F34</f>
        <v>0</v>
      </c>
      <c r="C33" s="83">
        <f>'Stats Global'!G34+'Stats Global'!H34</f>
        <v>0</v>
      </c>
      <c r="D33" s="83">
        <f>'Stats Global'!O34</f>
        <v>0</v>
      </c>
      <c r="E33" s="80"/>
      <c r="F33" s="80"/>
      <c r="L33" s="85">
        <f>'Stats Global'!J34</f>
        <v>0</v>
      </c>
      <c r="M33" s="85">
        <f>'Stats Global'!G34</f>
        <v>0</v>
      </c>
      <c r="N33" s="86"/>
      <c r="O33" s="85">
        <f>'Stats Global'!M34</f>
        <v>0</v>
      </c>
      <c r="P33" s="85">
        <f>'Stats Global'!H34</f>
        <v>0</v>
      </c>
    </row>
    <row r="34" spans="1:16" ht="14.25" customHeight="1" x14ac:dyDescent="0.45">
      <c r="A34" s="75">
        <f>'Stats Global'!B35</f>
        <v>0</v>
      </c>
      <c r="B34" s="83">
        <f>'Stats Global'!F35</f>
        <v>0</v>
      </c>
      <c r="C34" s="83">
        <f>'Stats Global'!G35+'Stats Global'!H35</f>
        <v>0</v>
      </c>
      <c r="D34" s="83">
        <f>'Stats Global'!O35</f>
        <v>0</v>
      </c>
      <c r="E34" s="80"/>
      <c r="F34" s="80"/>
      <c r="L34" s="85">
        <f>'Stats Global'!J35</f>
        <v>0</v>
      </c>
      <c r="M34" s="85">
        <f>'Stats Global'!G35</f>
        <v>0</v>
      </c>
      <c r="N34" s="86"/>
      <c r="O34" s="85">
        <f>'Stats Global'!M35</f>
        <v>0</v>
      </c>
      <c r="P34" s="85">
        <f>'Stats Global'!H35</f>
        <v>0</v>
      </c>
    </row>
    <row r="35" spans="1:16" ht="14.25" customHeight="1" x14ac:dyDescent="0.45">
      <c r="A35" s="75">
        <f>'Stats Global'!B36</f>
        <v>0</v>
      </c>
      <c r="B35" s="83">
        <f>'Stats Global'!F36</f>
        <v>0</v>
      </c>
      <c r="C35" s="83">
        <f>'Stats Global'!G36+'Stats Global'!H36</f>
        <v>0</v>
      </c>
      <c r="D35" s="83">
        <f>'Stats Global'!O36</f>
        <v>0</v>
      </c>
      <c r="E35" s="80"/>
      <c r="F35" s="80"/>
      <c r="L35" s="85">
        <f>'Stats Global'!J36</f>
        <v>0</v>
      </c>
      <c r="M35" s="85">
        <f>'Stats Global'!G36</f>
        <v>0</v>
      </c>
      <c r="N35" s="86"/>
      <c r="O35" s="85">
        <f>'Stats Global'!M36</f>
        <v>0</v>
      </c>
      <c r="P35" s="85">
        <f>'Stats Global'!H36</f>
        <v>0</v>
      </c>
    </row>
    <row r="36" spans="1:16" ht="14.25" customHeight="1" x14ac:dyDescent="0.45">
      <c r="A36" s="75">
        <f>'Stats Global'!B37</f>
        <v>0</v>
      </c>
      <c r="B36" s="83">
        <f>'Stats Global'!F37</f>
        <v>0</v>
      </c>
      <c r="C36" s="83">
        <f>'Stats Global'!G37+'Stats Global'!H37</f>
        <v>0</v>
      </c>
      <c r="D36" s="83">
        <f>'Stats Global'!O37</f>
        <v>0</v>
      </c>
      <c r="E36" s="80"/>
      <c r="F36" s="80"/>
      <c r="L36" s="85">
        <f>'Stats Global'!J37</f>
        <v>0</v>
      </c>
      <c r="M36" s="85">
        <f>'Stats Global'!G37</f>
        <v>0</v>
      </c>
      <c r="N36" s="86"/>
      <c r="O36" s="85">
        <f>'Stats Global'!M37</f>
        <v>0</v>
      </c>
      <c r="P36" s="85">
        <f>'Stats Global'!H37</f>
        <v>0</v>
      </c>
    </row>
    <row r="37" spans="1:16" ht="14.25" customHeight="1" x14ac:dyDescent="0.45">
      <c r="A37" s="75">
        <f>'Stats Global'!B38</f>
        <v>0</v>
      </c>
      <c r="B37" s="83">
        <f>'Stats Global'!F38</f>
        <v>0</v>
      </c>
      <c r="C37" s="83">
        <f>'Stats Global'!G38+'Stats Global'!H38</f>
        <v>0</v>
      </c>
      <c r="D37" s="83">
        <f>'Stats Global'!O38</f>
        <v>0</v>
      </c>
      <c r="E37" s="80"/>
      <c r="F37" s="80"/>
      <c r="L37" s="85">
        <f>'Stats Global'!J38</f>
        <v>0</v>
      </c>
      <c r="M37" s="85">
        <f>'Stats Global'!G38</f>
        <v>0</v>
      </c>
      <c r="N37" s="86"/>
      <c r="O37" s="85">
        <f>'Stats Global'!M38</f>
        <v>0</v>
      </c>
      <c r="P37" s="85">
        <f>'Stats Global'!H38</f>
        <v>0</v>
      </c>
    </row>
    <row r="38" spans="1:16" ht="14.25" customHeight="1" x14ac:dyDescent="0.45">
      <c r="A38" s="75">
        <f>'Stats Global'!B39</f>
        <v>0</v>
      </c>
      <c r="B38" s="83">
        <f>'Stats Global'!F39</f>
        <v>0</v>
      </c>
      <c r="C38" s="83">
        <f>'Stats Global'!G39+'Stats Global'!H39</f>
        <v>0</v>
      </c>
      <c r="D38" s="83">
        <f>'Stats Global'!O39</f>
        <v>0</v>
      </c>
      <c r="E38" s="80"/>
      <c r="F38" s="80"/>
      <c r="L38" s="85">
        <f>'Stats Global'!J39</f>
        <v>0</v>
      </c>
      <c r="M38" s="85">
        <f>'Stats Global'!G39</f>
        <v>0</v>
      </c>
      <c r="N38" s="86"/>
      <c r="O38" s="85">
        <f>'Stats Global'!M39</f>
        <v>0</v>
      </c>
      <c r="P38" s="85">
        <f>'Stats Global'!H39</f>
        <v>0</v>
      </c>
    </row>
    <row r="39" spans="1:16" ht="14.25" customHeight="1" x14ac:dyDescent="0.45">
      <c r="A39" s="75">
        <f>'Stats Global'!B40</f>
        <v>0</v>
      </c>
      <c r="B39" s="83">
        <f>'Stats Global'!F40</f>
        <v>0</v>
      </c>
      <c r="C39" s="83">
        <f>'Stats Global'!G40+'Stats Global'!H40</f>
        <v>0</v>
      </c>
      <c r="D39" s="83">
        <f>'Stats Global'!O40</f>
        <v>0</v>
      </c>
      <c r="E39" s="80"/>
      <c r="F39" s="80"/>
      <c r="L39" s="85">
        <f>'Stats Global'!J40</f>
        <v>0</v>
      </c>
      <c r="M39" s="85">
        <f>'Stats Global'!G40</f>
        <v>0</v>
      </c>
      <c r="N39" s="86"/>
      <c r="O39" s="85">
        <f>'Stats Global'!M40</f>
        <v>0</v>
      </c>
      <c r="P39" s="85">
        <f>'Stats Global'!H40</f>
        <v>0</v>
      </c>
    </row>
    <row r="40" spans="1:16" ht="14.25" customHeight="1" x14ac:dyDescent="0.45">
      <c r="A40" s="75">
        <f>'Stats Global'!B41</f>
        <v>0</v>
      </c>
      <c r="B40" s="83">
        <f>'Stats Global'!F41</f>
        <v>0</v>
      </c>
      <c r="C40" s="83">
        <f>'Stats Global'!G41+'Stats Global'!H41</f>
        <v>0</v>
      </c>
      <c r="D40" s="83">
        <f>'Stats Global'!O41</f>
        <v>0</v>
      </c>
      <c r="E40" s="80"/>
      <c r="F40" s="80"/>
      <c r="L40" s="85">
        <f>'Stats Global'!J41</f>
        <v>0</v>
      </c>
      <c r="M40" s="85">
        <f>'Stats Global'!G41</f>
        <v>0</v>
      </c>
      <c r="N40" s="86"/>
      <c r="O40" s="85">
        <f>'Stats Global'!M41</f>
        <v>0</v>
      </c>
      <c r="P40" s="85">
        <f>'Stats Global'!H41</f>
        <v>0</v>
      </c>
    </row>
    <row r="41" spans="1:16" ht="14.25" customHeight="1" x14ac:dyDescent="0.45">
      <c r="C41" s="121">
        <f>SUM(B7:B40)/SUM(B7:C40)</f>
        <v>0.59813084112149528</v>
      </c>
      <c r="J41" s="84"/>
      <c r="K41" s="81" t="s">
        <v>94</v>
      </c>
      <c r="L41" s="102">
        <f>SUM(L7:L40)</f>
        <v>35</v>
      </c>
      <c r="M41" s="102">
        <f>SUM(M7:M40)</f>
        <v>15</v>
      </c>
      <c r="N41" s="84"/>
      <c r="O41" s="102">
        <f>SUM(O7:O40)</f>
        <v>29</v>
      </c>
      <c r="P41" s="102">
        <f>SUM(P7:P40)</f>
        <v>28</v>
      </c>
    </row>
    <row r="42" spans="1:16" ht="14.25" customHeight="1" x14ac:dyDescent="0.45">
      <c r="L42" s="93">
        <f>L41/(M41+L41)</f>
        <v>0.7</v>
      </c>
      <c r="O42" s="93">
        <f>O41/(P41+O41)</f>
        <v>0.50877192982456143</v>
      </c>
    </row>
    <row r="43" spans="1:16" ht="14.25" customHeight="1" x14ac:dyDescent="0.45">
      <c r="I43" s="94" t="str">
        <f>K43&amp;H3&amp;","&amp;I3&amp;"],"</f>
        <v>"PartA":[64,43],</v>
      </c>
      <c r="K43" s="76" t="s">
        <v>135</v>
      </c>
      <c r="M43" s="76" t="s">
        <v>139</v>
      </c>
      <c r="O43" s="95">
        <f>ROUND((SUM('Stats Global'!AA8,'Stats Global'!AA9,'Stats Global'!AA16,'Stats Global'!AA21,'Stats Global'!AA22))/'Stats Global'!AA6,1)</f>
        <v>7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"PartB":[28,"Angus Walker",15,"Angus Walker",7,"Angus Walker",3,"Angus Walker"],</v>
      </c>
      <c r="K44" s="76" t="s">
        <v>136</v>
      </c>
      <c r="M44" s="96">
        <f>MAX(Table1114[Points])</f>
        <v>28</v>
      </c>
      <c r="N44" s="76" t="str">
        <f>IF(M44&lt;&gt;0,IF(M44=S4,R4,IF(M44=S5,R5,IF(S6=M44,R6,IF(S7=M44,R7,R8)))),"N/A")</f>
        <v>Angus Walker</v>
      </c>
      <c r="O44" s="95">
        <f>ROUND(SUM('Stats Global'!AC8,'Stats Global'!AC9,'Stats Global'!AC16,'Stats Global'!AC21,'Stats Global'!AC22)/'Stats Global'!AA6,1)</f>
        <v>3.9</v>
      </c>
    </row>
    <row r="45" spans="1:16" ht="14.25" customHeight="1" x14ac:dyDescent="0.45">
      <c r="I45" s="76" t="str">
        <f>K45&amp;O43&amp;","&amp;O44&amp;","&amp;O45&amp;","&amp;O46&amp;","&amp;O47&amp;","&amp;O48&amp;"],"</f>
        <v>"PartC":[7,3.9,1.9,0.6,6.4,4.3],</v>
      </c>
      <c r="K45" s="76" t="s">
        <v>137</v>
      </c>
      <c r="M45" s="96">
        <f>MAX(Table1114[Finishes])</f>
        <v>15</v>
      </c>
      <c r="N45" s="103" t="str">
        <f>IF(M45&lt;&gt;0,IF(M45=U4,R4,IF(M45=U5,R5,IF(U6=M45,R6,IF(U7=M45,R7,R8)))),"N/A")</f>
        <v>Angus Walker</v>
      </c>
      <c r="O45" s="95">
        <f>ROUND(SUM('Stats Global'!AE8,'Stats Global'!AE9,'Stats Global'!AE16,'Stats Global'!AE21,'Stats Global'!AE22)/'Stats Global'!AA6,1)</f>
        <v>1.9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"PartD":[35,15,70,29,28,50.9],</v>
      </c>
      <c r="K46" s="76" t="s">
        <v>138</v>
      </c>
      <c r="M46" s="96">
        <f>MAX(Table1114[Midranges])</f>
        <v>7</v>
      </c>
      <c r="N46" s="103" t="str">
        <f>IF(M46&lt;&gt;0,IF(M46=W4,R4,IF(M46=W5,R5,IF(W6=M46,R6,IF(W7=M46,R7,R8)))),"N/A")</f>
        <v>Angus Walker</v>
      </c>
      <c r="O46" s="95">
        <f>ROUND(SUM('Stats Global'!AG8,'Stats Global'!AG9,'Stats Global'!AG16,'Stats Global'!AG21,'Stats Global'!AG22)/'Stats Global'!AA6,1)</f>
        <v>0.6</v>
      </c>
    </row>
    <row r="47" spans="1:16" ht="14.25" customHeight="1" x14ac:dyDescent="0.45">
      <c r="M47" s="96">
        <f>MAX(Table1114[Threes])</f>
        <v>3</v>
      </c>
      <c r="N47" s="76" t="str">
        <f>IF(M47&lt;&gt;0,IF(M47=Y4,R4,IF(M47=Y5,R5,IF(Y6=M47,R6,IF(Y7=M47,R7,R8)))),"N/A")</f>
        <v>Angus Walker</v>
      </c>
      <c r="O47" s="76">
        <f>ROUND(H3/'Stats Global'!AA6,1)</f>
        <v>6.4</v>
      </c>
    </row>
    <row r="48" spans="1:16" ht="14.25" customHeight="1" x14ac:dyDescent="0.45">
      <c r="O48" s="76">
        <f>ROUND(I3/'Stats Global'!AA6,1)</f>
        <v>4.3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6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J2" s="56"/>
      <c r="L2" s="81" t="s">
        <v>87</v>
      </c>
      <c r="N2" s="56"/>
      <c r="O2" s="103" t="s">
        <v>193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 t="s">
        <v>90</v>
      </c>
      <c r="I3" s="81" t="s">
        <v>91</v>
      </c>
      <c r="J3" s="56" t="s">
        <v>92</v>
      </c>
      <c r="L3" s="81" t="s">
        <v>88</v>
      </c>
      <c r="M3" s="81" t="s">
        <v>89</v>
      </c>
      <c r="N3" s="78"/>
      <c r="O3" s="104" t="s">
        <v>4</v>
      </c>
      <c r="P3" s="105" t="s">
        <v>0</v>
      </c>
      <c r="Q3" s="105" t="s">
        <v>85</v>
      </c>
      <c r="R3" s="106" t="s">
        <v>1</v>
      </c>
      <c r="S3" s="107" t="s">
        <v>80</v>
      </c>
      <c r="T3" s="107" t="s">
        <v>2</v>
      </c>
      <c r="U3" s="107" t="s">
        <v>117</v>
      </c>
      <c r="V3" s="106" t="s">
        <v>3</v>
      </c>
      <c r="W3" s="107" t="s">
        <v>118</v>
      </c>
      <c r="X3" s="107" t="s">
        <v>120</v>
      </c>
    </row>
    <row r="4" spans="1:24" ht="14.25" customHeight="1" x14ac:dyDescent="0.45">
      <c r="A4" s="124" t="str">
        <f>'Stats Global'!B5</f>
        <v>11-July</v>
      </c>
      <c r="B4" s="125">
        <f>'Stats Global'!I5</f>
        <v>0</v>
      </c>
      <c r="C4" s="125">
        <f>'Stats Global'!J5+'Stats Global'!K5</f>
        <v>8</v>
      </c>
      <c r="D4" s="125">
        <f>'Stats Global'!P5</f>
        <v>1</v>
      </c>
      <c r="E4" s="126" t="s">
        <v>208</v>
      </c>
      <c r="F4" s="126" t="s">
        <v>208</v>
      </c>
      <c r="H4" s="81">
        <f>SUM(B7:B40)</f>
        <v>36</v>
      </c>
      <c r="I4" s="81">
        <f>SUM(C7:C40)</f>
        <v>59</v>
      </c>
      <c r="J4" s="78">
        <f>SUM(D7:D40)</f>
        <v>16</v>
      </c>
      <c r="L4" s="127">
        <f>'Stats Global'!N5</f>
        <v>0</v>
      </c>
      <c r="M4" s="127">
        <f>'Stats Global'!K5</f>
        <v>6</v>
      </c>
      <c r="N4" s="86"/>
      <c r="O4" s="84" t="s">
        <v>35</v>
      </c>
      <c r="P4" s="98">
        <f>'Stats Global'!AA11</f>
        <v>5</v>
      </c>
      <c r="Q4" s="98">
        <f>'Stats Global'!AB11</f>
        <v>0.83333333333333337</v>
      </c>
      <c r="R4" s="98">
        <f>'Stats Global'!AC11</f>
        <v>5</v>
      </c>
      <c r="S4" s="98">
        <f>'Stats Global'!AD11</f>
        <v>0.83333333333333337</v>
      </c>
      <c r="T4" s="98">
        <f>'Stats Global'!AE11</f>
        <v>0</v>
      </c>
      <c r="U4" s="98">
        <f>'Stats Global'!AF11</f>
        <v>0</v>
      </c>
      <c r="V4" s="98">
        <f>'Stats Global'!AG11</f>
        <v>0</v>
      </c>
      <c r="W4" s="98">
        <f>'Stats Global'!AH11</f>
        <v>0</v>
      </c>
      <c r="X4" s="98">
        <f>'Stats Global'!AJ11</f>
        <v>4</v>
      </c>
    </row>
    <row r="5" spans="1:24" ht="14.25" customHeight="1" x14ac:dyDescent="0.45">
      <c r="A5" s="124" t="str">
        <f>'Stats Global'!B6</f>
        <v>12-July</v>
      </c>
      <c r="B5" s="125">
        <f>'Stats Global'!I6</f>
        <v>2</v>
      </c>
      <c r="C5" s="125">
        <f>'Stats Global'!J6+'Stats Global'!K6</f>
        <v>12</v>
      </c>
      <c r="D5" s="125">
        <f>'Stats Global'!P6</f>
        <v>1</v>
      </c>
      <c r="E5" s="126" t="s">
        <v>42</v>
      </c>
      <c r="F5" s="126" t="s">
        <v>52</v>
      </c>
      <c r="J5" s="84"/>
      <c r="L5" s="127">
        <f>'Stats Global'!N6</f>
        <v>1</v>
      </c>
      <c r="M5" s="127">
        <f>'Stats Global'!K6</f>
        <v>8</v>
      </c>
      <c r="N5" s="86"/>
      <c r="O5" s="84" t="s">
        <v>37</v>
      </c>
      <c r="P5" s="98">
        <f>'Stats Global'!AA12</f>
        <v>9</v>
      </c>
      <c r="Q5" s="98">
        <f>'Stats Global'!AB12</f>
        <v>1.125</v>
      </c>
      <c r="R5" s="98">
        <f>'Stats Global'!AC12</f>
        <v>3</v>
      </c>
      <c r="S5" s="98">
        <f>'Stats Global'!AD12</f>
        <v>0.375</v>
      </c>
      <c r="T5" s="98">
        <f>'Stats Global'!AE12</f>
        <v>4</v>
      </c>
      <c r="U5" s="98">
        <f>'Stats Global'!AF12</f>
        <v>0.5</v>
      </c>
      <c r="V5" s="98">
        <f>'Stats Global'!AG12</f>
        <v>1</v>
      </c>
      <c r="W5" s="98">
        <f>'Stats Global'!AH12</f>
        <v>0.125</v>
      </c>
      <c r="X5" s="98">
        <f>'Stats Global'!AJ12</f>
        <v>2</v>
      </c>
    </row>
    <row r="6" spans="1:24" ht="14.25" customHeight="1" x14ac:dyDescent="0.45">
      <c r="A6" s="124" t="str">
        <f>'Stats Global'!B7</f>
        <v>13-July</v>
      </c>
      <c r="B6" s="125">
        <f>'Stats Global'!I7</f>
        <v>4</v>
      </c>
      <c r="C6" s="125">
        <f>'Stats Global'!J7+'Stats Global'!K7</f>
        <v>5</v>
      </c>
      <c r="D6" s="125">
        <f>'Stats Global'!P7</f>
        <v>2</v>
      </c>
      <c r="E6" s="126" t="s">
        <v>215</v>
      </c>
      <c r="F6" s="126" t="s">
        <v>216</v>
      </c>
      <c r="I6" s="81"/>
      <c r="J6" s="84"/>
      <c r="L6" s="127">
        <f>'Stats Global'!N7</f>
        <v>2</v>
      </c>
      <c r="M6" s="127">
        <f>'Stats Global'!K7</f>
        <v>1</v>
      </c>
      <c r="N6" s="86"/>
      <c r="O6" s="84" t="s">
        <v>55</v>
      </c>
      <c r="P6" s="98">
        <f>'Stats Global'!AA20</f>
        <v>8</v>
      </c>
      <c r="Q6" s="98">
        <f>'Stats Global'!AB20</f>
        <v>0.8</v>
      </c>
      <c r="R6" s="98">
        <f>'Stats Global'!AC20</f>
        <v>7</v>
      </c>
      <c r="S6" s="98">
        <f>'Stats Global'!AD20</f>
        <v>0.7</v>
      </c>
      <c r="T6" s="98">
        <f>'Stats Global'!AE20</f>
        <v>1</v>
      </c>
      <c r="U6" s="98">
        <f>'Stats Global'!AF20</f>
        <v>0.1</v>
      </c>
      <c r="V6" s="98">
        <f>'Stats Global'!AG20</f>
        <v>0</v>
      </c>
      <c r="W6" s="98">
        <f>'Stats Global'!AH20</f>
        <v>0</v>
      </c>
      <c r="X6" s="98">
        <f>'Stats Global'!AJ20</f>
        <v>0</v>
      </c>
    </row>
    <row r="7" spans="1:24" ht="14.25" customHeight="1" x14ac:dyDescent="0.45">
      <c r="A7" s="75" t="str">
        <f>'Stats Global'!B8</f>
        <v>17-July</v>
      </c>
      <c r="B7" s="83">
        <f>'Stats Global'!I8</f>
        <v>2</v>
      </c>
      <c r="C7" s="83">
        <f>'Stats Global'!J8+'Stats Global'!K8</f>
        <v>5</v>
      </c>
      <c r="D7" s="83">
        <f>'Stats Global'!P8</f>
        <v>1</v>
      </c>
      <c r="E7" s="80" t="s">
        <v>208</v>
      </c>
      <c r="F7" s="80" t="s">
        <v>52</v>
      </c>
      <c r="I7" s="81"/>
      <c r="J7" s="84"/>
      <c r="L7" s="85">
        <f>'Stats Global'!N8</f>
        <v>2</v>
      </c>
      <c r="M7" s="85">
        <f>'Stats Global'!K8</f>
        <v>0</v>
      </c>
      <c r="N7" s="86"/>
      <c r="O7" s="84" t="s">
        <v>52</v>
      </c>
      <c r="P7" s="98">
        <f>'Stats Global'!AA18</f>
        <v>7</v>
      </c>
      <c r="Q7" s="98">
        <f>'Stats Global'!AB18</f>
        <v>0.7</v>
      </c>
      <c r="R7" s="98">
        <f>'Stats Global'!AC18</f>
        <v>1</v>
      </c>
      <c r="S7" s="98">
        <f>'Stats Global'!AD18</f>
        <v>0.1</v>
      </c>
      <c r="T7" s="98">
        <f>'Stats Global'!AE18</f>
        <v>6</v>
      </c>
      <c r="U7" s="98">
        <f>'Stats Global'!AF18</f>
        <v>0.6</v>
      </c>
      <c r="V7" s="98">
        <f>'Stats Global'!AG18</f>
        <v>0</v>
      </c>
      <c r="W7" s="98">
        <f>'Stats Global'!AH18</f>
        <v>0</v>
      </c>
      <c r="X7" s="98">
        <f>'Stats Global'!AJ18</f>
        <v>0</v>
      </c>
    </row>
    <row r="8" spans="1:24" ht="14.25" customHeight="1" x14ac:dyDescent="0.45">
      <c r="A8" s="75" t="str">
        <f>'Stats Global'!B9</f>
        <v>18-July</v>
      </c>
      <c r="B8" s="83">
        <f>'Stats Global'!I9</f>
        <v>1</v>
      </c>
      <c r="C8" s="83">
        <f>'Stats Global'!J9+'Stats Global'!K9</f>
        <v>7</v>
      </c>
      <c r="D8" s="83">
        <f>'Stats Global'!P9</f>
        <v>1</v>
      </c>
      <c r="E8" s="80" t="s">
        <v>52</v>
      </c>
      <c r="F8" s="80" t="s">
        <v>208</v>
      </c>
      <c r="I8" s="81"/>
      <c r="J8" s="84"/>
      <c r="L8" s="85">
        <f>'Stats Global'!N9</f>
        <v>0</v>
      </c>
      <c r="M8" s="85">
        <f>'Stats Global'!K9</f>
        <v>1</v>
      </c>
      <c r="N8" s="86"/>
      <c r="O8" s="84" t="s">
        <v>203</v>
      </c>
      <c r="P8" s="98">
        <f>'Stats Global'!AA23</f>
        <v>1</v>
      </c>
      <c r="Q8" s="98">
        <f>'Stats Global'!AB23</f>
        <v>0.1</v>
      </c>
      <c r="R8" s="98">
        <f>'Stats Global'!AC23</f>
        <v>0</v>
      </c>
      <c r="S8" s="98">
        <f>'Stats Global'!AD23</f>
        <v>0</v>
      </c>
      <c r="T8" s="98">
        <f>'Stats Global'!AE23</f>
        <v>1</v>
      </c>
      <c r="U8" s="98">
        <f>'Stats Global'!AF23</f>
        <v>0.1</v>
      </c>
      <c r="V8" s="98">
        <f>'Stats Global'!AG23</f>
        <v>0</v>
      </c>
      <c r="W8" s="98">
        <f>'Stats Global'!AH23</f>
        <v>0</v>
      </c>
      <c r="X8" s="98">
        <f>'Stats Global'!AJ23</f>
        <v>0</v>
      </c>
    </row>
    <row r="9" spans="1:24" ht="14.25" customHeight="1" x14ac:dyDescent="0.45">
      <c r="A9" s="75" t="str">
        <f>'Stats Global'!B10</f>
        <v>19-July</v>
      </c>
      <c r="B9" s="83">
        <f>'Stats Global'!I10</f>
        <v>0</v>
      </c>
      <c r="C9" s="83">
        <f>'Stats Global'!J10+'Stats Global'!K10</f>
        <v>8</v>
      </c>
      <c r="D9" s="83">
        <f>'Stats Global'!P10</f>
        <v>1</v>
      </c>
      <c r="E9" s="80" t="s">
        <v>208</v>
      </c>
      <c r="F9" s="80" t="s">
        <v>208</v>
      </c>
      <c r="I9" s="81"/>
      <c r="J9" s="84"/>
      <c r="L9" s="85">
        <f>'Stats Global'!N10</f>
        <v>0</v>
      </c>
      <c r="M9" s="85">
        <f>'Stats Global'!K10</f>
        <v>0</v>
      </c>
      <c r="N9" s="86"/>
      <c r="O9" s="84" t="s">
        <v>44</v>
      </c>
      <c r="P9" s="118">
        <f>'Stats Global'!AA15</f>
        <v>8</v>
      </c>
      <c r="Q9" s="118">
        <f>'Stats Global'!AB15</f>
        <v>2</v>
      </c>
      <c r="R9" s="118">
        <f>'Stats Global'!AC15</f>
        <v>0</v>
      </c>
      <c r="S9" s="118">
        <f>'Stats Global'!AD15</f>
        <v>0</v>
      </c>
      <c r="T9" s="118">
        <f>'Stats Global'!AE15</f>
        <v>0</v>
      </c>
      <c r="U9" s="118">
        <f>'Stats Global'!AF15</f>
        <v>0</v>
      </c>
      <c r="V9" s="118">
        <f>'Stats Global'!AG15</f>
        <v>4</v>
      </c>
      <c r="W9" s="118">
        <f>'Stats Global'!AH15</f>
        <v>1</v>
      </c>
      <c r="X9" s="118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3">
        <f>'Stats Global'!I11</f>
        <v>6</v>
      </c>
      <c r="C10" s="83">
        <f>'Stats Global'!J11+'Stats Global'!K11</f>
        <v>3</v>
      </c>
      <c r="D10" s="83">
        <f>'Stats Global'!P11</f>
        <v>3</v>
      </c>
      <c r="E10" s="80" t="s">
        <v>238</v>
      </c>
      <c r="F10" s="80" t="s">
        <v>35</v>
      </c>
      <c r="I10" s="81"/>
      <c r="J10" s="84"/>
      <c r="L10" s="85">
        <f>'Stats Global'!N11</f>
        <v>3</v>
      </c>
      <c r="M10" s="85">
        <f>'Stats Global'!K11</f>
        <v>1</v>
      </c>
      <c r="N10" s="86"/>
      <c r="O10" s="84" t="s">
        <v>67</v>
      </c>
      <c r="P10" s="118">
        <f>'Stats Global'!AA24</f>
        <v>3</v>
      </c>
      <c r="Q10" s="118">
        <f>'Stats Global'!AB24</f>
        <v>0.6</v>
      </c>
      <c r="R10" s="118">
        <f>'Stats Global'!AC24</f>
        <v>3</v>
      </c>
      <c r="S10" s="118">
        <f>'Stats Global'!AD24</f>
        <v>0.6</v>
      </c>
      <c r="T10" s="118">
        <f>'Stats Global'!AE24</f>
        <v>0</v>
      </c>
      <c r="U10" s="118">
        <f>'Stats Global'!AF24</f>
        <v>0</v>
      </c>
      <c r="V10" s="118">
        <f>'Stats Global'!AG24</f>
        <v>0</v>
      </c>
      <c r="W10" s="118">
        <f>'Stats Global'!AH24</f>
        <v>0</v>
      </c>
      <c r="X10" s="118">
        <f>'Stats Global'!AJ24</f>
        <v>5</v>
      </c>
    </row>
    <row r="11" spans="1:24" ht="14.25" customHeight="1" x14ac:dyDescent="0.45">
      <c r="A11" s="75" t="str">
        <f>'Stats Global'!B12</f>
        <v>24-July</v>
      </c>
      <c r="B11" s="83">
        <f>'Stats Global'!I12</f>
        <v>1</v>
      </c>
      <c r="C11" s="83">
        <f>'Stats Global'!J12+'Stats Global'!K12</f>
        <v>5</v>
      </c>
      <c r="D11" s="83">
        <f>'Stats Global'!P12</f>
        <v>1</v>
      </c>
      <c r="E11" s="80" t="s">
        <v>208</v>
      </c>
      <c r="F11" s="80" t="s">
        <v>37</v>
      </c>
      <c r="I11" s="81"/>
      <c r="J11" s="84"/>
      <c r="L11" s="85">
        <f>'Stats Global'!N12</f>
        <v>1</v>
      </c>
      <c r="M11" s="85">
        <f>'Stats Global'!K12</f>
        <v>4</v>
      </c>
      <c r="N11" s="86"/>
      <c r="O11" s="84"/>
      <c r="P11" s="56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Global'!I13</f>
        <v>3</v>
      </c>
      <c r="C12" s="83">
        <f>'Stats Global'!J13+'Stats Global'!K13</f>
        <v>7</v>
      </c>
      <c r="D12" s="83">
        <f>'Stats Global'!P13</f>
        <v>1</v>
      </c>
      <c r="E12" s="80" t="s">
        <v>244</v>
      </c>
      <c r="F12" s="80" t="s">
        <v>203</v>
      </c>
      <c r="I12" s="81"/>
      <c r="J12" s="84"/>
      <c r="L12" s="85">
        <f>'Stats Global'!N13</f>
        <v>1</v>
      </c>
      <c r="M12" s="85">
        <f>'Stats Global'!K13</f>
        <v>5</v>
      </c>
      <c r="N12" s="86"/>
      <c r="O12" s="84"/>
      <c r="P12" s="56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Global'!I14</f>
        <v>3</v>
      </c>
      <c r="C13" s="83">
        <f>'Stats Global'!J14+'Stats Global'!K14</f>
        <v>6</v>
      </c>
      <c r="D13" s="83">
        <f>'Stats Global'!P14</f>
        <v>1</v>
      </c>
      <c r="E13" s="80" t="s">
        <v>35</v>
      </c>
      <c r="F13" s="80" t="s">
        <v>52</v>
      </c>
      <c r="I13" s="81"/>
      <c r="J13" s="84"/>
      <c r="L13" s="85">
        <f>'Stats Global'!N14</f>
        <v>2</v>
      </c>
      <c r="M13" s="85">
        <f>'Stats Global'!K14</f>
        <v>4</v>
      </c>
      <c r="N13" s="86"/>
      <c r="O13" s="84"/>
      <c r="P13" s="56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Global'!I15</f>
        <v>4</v>
      </c>
      <c r="C14" s="83">
        <f>'Stats Global'!J15+'Stats Global'!K15</f>
        <v>6</v>
      </c>
      <c r="D14" s="83">
        <f>'Stats Global'!P15</f>
        <v>2</v>
      </c>
      <c r="E14" s="80" t="s">
        <v>258</v>
      </c>
      <c r="F14" s="80" t="s">
        <v>37</v>
      </c>
      <c r="J14" s="84"/>
      <c r="L14" s="85">
        <f>'Stats Global'!N15</f>
        <v>2</v>
      </c>
      <c r="M14" s="85">
        <f>'Stats Global'!K15</f>
        <v>2</v>
      </c>
      <c r="N14" s="86"/>
      <c r="O14" s="84"/>
      <c r="P14" s="56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Global'!I16</f>
        <v>6</v>
      </c>
      <c r="C15" s="83">
        <f>'Stats Global'!J16+'Stats Global'!K16</f>
        <v>4</v>
      </c>
      <c r="D15" s="83">
        <f>'Stats Global'!P16</f>
        <v>3</v>
      </c>
      <c r="E15" s="80" t="s">
        <v>37</v>
      </c>
      <c r="F15" s="80" t="s">
        <v>55</v>
      </c>
      <c r="J15" s="84"/>
      <c r="L15" s="85">
        <f>'Stats Global'!N16</f>
        <v>3</v>
      </c>
      <c r="M15" s="85">
        <f>'Stats Global'!K16</f>
        <v>3</v>
      </c>
      <c r="N15" s="86"/>
      <c r="O15" s="84"/>
      <c r="P15" s="56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Global'!I17</f>
        <v>10</v>
      </c>
      <c r="C16" s="83">
        <f>'Stats Global'!J17+'Stats Global'!K17</f>
        <v>8</v>
      </c>
      <c r="D16" s="83">
        <f>'Stats Global'!P17</f>
        <v>2</v>
      </c>
      <c r="E16" s="80" t="s">
        <v>67</v>
      </c>
      <c r="F16" s="80" t="s">
        <v>44</v>
      </c>
      <c r="J16" s="84"/>
      <c r="L16" s="85">
        <f>'Stats Global'!N17</f>
        <v>7</v>
      </c>
      <c r="M16" s="85">
        <f>'Stats Global'!K17</f>
        <v>4</v>
      </c>
      <c r="N16" s="86"/>
      <c r="O16" s="84"/>
      <c r="P16" s="56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Global'!I18</f>
        <v>0</v>
      </c>
      <c r="C17" s="83">
        <f>'Stats Global'!J18+'Stats Global'!K18</f>
        <v>0</v>
      </c>
      <c r="D17" s="83">
        <f>'Stats Global'!P18</f>
        <v>0</v>
      </c>
      <c r="E17" s="87"/>
      <c r="F17" s="87"/>
      <c r="J17" s="84"/>
      <c r="L17" s="85">
        <f>'Stats Global'!N18</f>
        <v>0</v>
      </c>
      <c r="M17" s="85">
        <f>'Stats Global'!K18</f>
        <v>0</v>
      </c>
      <c r="N17" s="84"/>
      <c r="O17" s="84"/>
      <c r="P17" s="56"/>
      <c r="W17" s="84"/>
      <c r="X17" s="84"/>
    </row>
    <row r="18" spans="1:24" ht="14.25" customHeight="1" x14ac:dyDescent="0.45">
      <c r="A18" s="75">
        <f>'Stats Global'!B19</f>
        <v>0</v>
      </c>
      <c r="B18" s="83">
        <f>'Stats Global'!I19</f>
        <v>0</v>
      </c>
      <c r="C18" s="83">
        <f>'Stats Global'!J19+'Stats Global'!K19</f>
        <v>0</v>
      </c>
      <c r="D18" s="83">
        <f>'Stats Global'!P19</f>
        <v>0</v>
      </c>
      <c r="E18" s="88"/>
      <c r="F18" s="88"/>
      <c r="J18" s="84"/>
      <c r="L18" s="85">
        <f>'Stats Global'!N19</f>
        <v>0</v>
      </c>
      <c r="M18" s="85">
        <f>'Stats Global'!K19</f>
        <v>0</v>
      </c>
      <c r="N18" s="84"/>
      <c r="O18" s="84"/>
      <c r="P18" s="56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Global'!I20</f>
        <v>0</v>
      </c>
      <c r="C19" s="83">
        <f>'Stats Global'!J20+'Stats Global'!K20</f>
        <v>0</v>
      </c>
      <c r="D19" s="83">
        <f>'Stats Global'!P20</f>
        <v>0</v>
      </c>
      <c r="E19" s="89"/>
      <c r="F19" s="89"/>
      <c r="J19" s="84"/>
      <c r="L19" s="85">
        <f>'Stats Global'!N20</f>
        <v>0</v>
      </c>
      <c r="M19" s="85">
        <f>'Stats Global'!K20</f>
        <v>0</v>
      </c>
      <c r="N19" s="84"/>
      <c r="O19" s="84"/>
      <c r="P19" s="56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Global'!I21</f>
        <v>0</v>
      </c>
      <c r="C20" s="83">
        <f>'Stats Global'!J21+'Stats Global'!K21</f>
        <v>0</v>
      </c>
      <c r="D20" s="83">
        <f>'Stats Global'!P21</f>
        <v>0</v>
      </c>
      <c r="E20" s="90"/>
      <c r="F20" s="90"/>
      <c r="J20" s="84"/>
      <c r="L20" s="85">
        <f>'Stats Global'!N21</f>
        <v>0</v>
      </c>
      <c r="M20" s="85">
        <f>'Stats Global'!K21</f>
        <v>0</v>
      </c>
      <c r="N20" s="84"/>
      <c r="O20" s="84"/>
      <c r="P20" s="56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Global'!I22</f>
        <v>0</v>
      </c>
      <c r="C21" s="83">
        <f>'Stats Global'!J22+'Stats Global'!K22</f>
        <v>0</v>
      </c>
      <c r="D21" s="83">
        <f>'Stats Global'!P22</f>
        <v>0</v>
      </c>
      <c r="E21" s="80"/>
      <c r="F21" s="80"/>
      <c r="J21" s="84"/>
      <c r="L21" s="85">
        <f>'Stats Global'!N22</f>
        <v>0</v>
      </c>
      <c r="M21" s="85">
        <f>'Stats Global'!K22</f>
        <v>0</v>
      </c>
      <c r="N21" s="84"/>
      <c r="O21" s="84"/>
      <c r="P21" s="56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Global'!I23</f>
        <v>0</v>
      </c>
      <c r="C22" s="83">
        <f>'Stats Global'!J23+'Stats Global'!K23</f>
        <v>0</v>
      </c>
      <c r="D22" s="83">
        <f>'Stats Global'!P23</f>
        <v>0</v>
      </c>
      <c r="E22" s="80"/>
      <c r="F22" s="80"/>
      <c r="J22" s="84"/>
      <c r="L22" s="85">
        <f>'Stats Global'!N23</f>
        <v>0</v>
      </c>
      <c r="M22" s="85">
        <f>'Stats Global'!K23</f>
        <v>0</v>
      </c>
      <c r="N22" s="84"/>
      <c r="O22" s="84"/>
      <c r="P22" s="56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Global'!I24</f>
        <v>0</v>
      </c>
      <c r="C23" s="83">
        <f>'Stats Global'!J24+'Stats Global'!K24</f>
        <v>0</v>
      </c>
      <c r="D23" s="83">
        <f>'Stats Global'!P24</f>
        <v>0</v>
      </c>
      <c r="E23" s="91"/>
      <c r="F23" s="80"/>
      <c r="H23" s="92"/>
      <c r="J23" s="84"/>
      <c r="L23" s="85">
        <f>'Stats Global'!N24</f>
        <v>0</v>
      </c>
      <c r="M23" s="85">
        <f>'Stats Global'!K24</f>
        <v>0</v>
      </c>
      <c r="N23" s="84"/>
      <c r="O23" s="84"/>
      <c r="P23" s="56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Global'!I25</f>
        <v>0</v>
      </c>
      <c r="C24" s="83">
        <f>'Stats Global'!J25+'Stats Global'!K25</f>
        <v>0</v>
      </c>
      <c r="D24" s="83">
        <f>'Stats Global'!P25</f>
        <v>0</v>
      </c>
      <c r="E24" s="91"/>
      <c r="F24" s="80"/>
      <c r="H24" s="92"/>
      <c r="J24" s="84"/>
      <c r="L24" s="85">
        <f>'Stats Global'!N25</f>
        <v>0</v>
      </c>
      <c r="M24" s="85">
        <f>'Stats Global'!K25</f>
        <v>0</v>
      </c>
      <c r="N24" s="84"/>
      <c r="O24" s="84"/>
      <c r="P24" s="56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Global'!I26</f>
        <v>0</v>
      </c>
      <c r="C25" s="83">
        <f>'Stats Global'!J26+'Stats Global'!K26</f>
        <v>0</v>
      </c>
      <c r="D25" s="83">
        <f>'Stats Global'!P26</f>
        <v>0</v>
      </c>
      <c r="E25" s="91"/>
      <c r="F25" s="80"/>
      <c r="H25" s="92"/>
      <c r="J25" s="84"/>
      <c r="L25" s="85">
        <f>'Stats Global'!N26</f>
        <v>0</v>
      </c>
      <c r="M25" s="85">
        <f>'Stats Global'!K26</f>
        <v>0</v>
      </c>
      <c r="N25" s="84"/>
      <c r="O25" s="84"/>
      <c r="P25" s="56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Global'!I27</f>
        <v>0</v>
      </c>
      <c r="C26" s="83">
        <f>'Stats Global'!J27+'Stats Global'!K27</f>
        <v>0</v>
      </c>
      <c r="D26" s="83">
        <f>'Stats Global'!P27</f>
        <v>0</v>
      </c>
      <c r="E26" s="80"/>
      <c r="F26" s="80"/>
      <c r="J26" s="84"/>
      <c r="L26" s="85">
        <f>'Stats Global'!N27</f>
        <v>0</v>
      </c>
      <c r="M26" s="85">
        <f>'Stats Global'!K27</f>
        <v>0</v>
      </c>
      <c r="N26" s="84"/>
      <c r="O26" s="84"/>
      <c r="P26" s="56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Global'!I28</f>
        <v>0</v>
      </c>
      <c r="C27" s="83">
        <f>'Stats Global'!J28+'Stats Global'!K28</f>
        <v>0</v>
      </c>
      <c r="D27" s="83">
        <f>'Stats Global'!P28</f>
        <v>0</v>
      </c>
      <c r="E27" s="80"/>
      <c r="F27" s="80"/>
      <c r="J27" s="84"/>
      <c r="L27" s="85">
        <f>'Stats Global'!N28</f>
        <v>0</v>
      </c>
      <c r="M27" s="85">
        <f>'Stats Global'!K28</f>
        <v>0</v>
      </c>
      <c r="N27" s="84"/>
      <c r="O27" s="84"/>
      <c r="P27" s="56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Global'!I29</f>
        <v>0</v>
      </c>
      <c r="C28" s="83">
        <f>'Stats Global'!J29+'Stats Global'!K29</f>
        <v>0</v>
      </c>
      <c r="D28" s="83">
        <f>'Stats Global'!P29</f>
        <v>0</v>
      </c>
      <c r="E28" s="80"/>
      <c r="F28" s="80"/>
      <c r="J28" s="84"/>
      <c r="L28" s="85">
        <f>'Stats Global'!N29</f>
        <v>0</v>
      </c>
      <c r="M28" s="85">
        <f>'Stats Global'!K29</f>
        <v>0</v>
      </c>
      <c r="N28" s="84"/>
      <c r="O28" s="84"/>
      <c r="P28" s="56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Global'!I30</f>
        <v>0</v>
      </c>
      <c r="C29" s="83">
        <f>'Stats Global'!J30+'Stats Global'!K30</f>
        <v>0</v>
      </c>
      <c r="D29" s="83">
        <f>'Stats Global'!P30</f>
        <v>0</v>
      </c>
      <c r="E29" s="80"/>
      <c r="F29" s="80"/>
      <c r="J29" s="84"/>
      <c r="L29" s="85">
        <f>'Stats Global'!N30</f>
        <v>0</v>
      </c>
      <c r="M29" s="85">
        <f>'Stats Global'!K30</f>
        <v>0</v>
      </c>
      <c r="N29" s="84"/>
      <c r="O29" s="84"/>
      <c r="P29" s="56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Global'!I31</f>
        <v>0</v>
      </c>
      <c r="C30" s="83">
        <f>'Stats Global'!J31+'Stats Global'!K31</f>
        <v>0</v>
      </c>
      <c r="D30" s="83">
        <f>'Stats Global'!P31</f>
        <v>0</v>
      </c>
      <c r="E30" s="80"/>
      <c r="F30" s="80"/>
      <c r="L30" s="85">
        <f>'Stats Global'!N31</f>
        <v>0</v>
      </c>
      <c r="M30" s="85">
        <f>'Stats Global'!K31</f>
        <v>0</v>
      </c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Global'!I32</f>
        <v>0</v>
      </c>
      <c r="C31" s="83">
        <f>'Stats Global'!J32+'Stats Global'!K32</f>
        <v>0</v>
      </c>
      <c r="D31" s="83">
        <f>'Stats Global'!P32</f>
        <v>0</v>
      </c>
      <c r="E31" s="80"/>
      <c r="F31" s="80"/>
      <c r="L31" s="85">
        <f>'Stats Global'!N32</f>
        <v>0</v>
      </c>
      <c r="M31" s="85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Global'!I33</f>
        <v>0</v>
      </c>
      <c r="C32" s="83">
        <f>'Stats Global'!J33+'Stats Global'!K33</f>
        <v>0</v>
      </c>
      <c r="D32" s="83">
        <f>'Stats Global'!P33</f>
        <v>0</v>
      </c>
      <c r="E32" s="80"/>
      <c r="F32" s="80"/>
      <c r="L32" s="85">
        <f>'Stats Global'!N33</f>
        <v>0</v>
      </c>
      <c r="M32" s="85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3">
        <f>'Stats Global'!I34</f>
        <v>0</v>
      </c>
      <c r="C33" s="83">
        <f>'Stats Global'!J34+'Stats Global'!K34</f>
        <v>0</v>
      </c>
      <c r="D33" s="83">
        <f>'Stats Global'!P34</f>
        <v>0</v>
      </c>
      <c r="E33" s="80"/>
      <c r="F33" s="80"/>
      <c r="L33" s="85">
        <f>'Stats Global'!N34</f>
        <v>0</v>
      </c>
      <c r="M33" s="85">
        <f>'Stats Global'!K34</f>
        <v>0</v>
      </c>
    </row>
    <row r="34" spans="1:16" ht="14.25" customHeight="1" x14ac:dyDescent="0.45">
      <c r="A34" s="75">
        <f>'Stats Global'!B35</f>
        <v>0</v>
      </c>
      <c r="B34" s="83">
        <f>'Stats Global'!I35</f>
        <v>0</v>
      </c>
      <c r="C34" s="83">
        <f>'Stats Global'!J35+'Stats Global'!K35</f>
        <v>0</v>
      </c>
      <c r="D34" s="83">
        <f>'Stats Global'!P35</f>
        <v>0</v>
      </c>
      <c r="E34" s="80"/>
      <c r="F34" s="80"/>
      <c r="L34" s="85">
        <f>'Stats Global'!N35</f>
        <v>0</v>
      </c>
      <c r="M34" s="85">
        <f>'Stats Global'!K35</f>
        <v>0</v>
      </c>
    </row>
    <row r="35" spans="1:16" ht="14.25" customHeight="1" x14ac:dyDescent="0.45">
      <c r="A35" s="75">
        <f>'Stats Global'!B36</f>
        <v>0</v>
      </c>
      <c r="B35" s="83">
        <f>'Stats Global'!I36</f>
        <v>0</v>
      </c>
      <c r="C35" s="83">
        <f>'Stats Global'!J36+'Stats Global'!K36</f>
        <v>0</v>
      </c>
      <c r="D35" s="83">
        <f>'Stats Global'!P36</f>
        <v>0</v>
      </c>
      <c r="E35" s="80"/>
      <c r="F35" s="80"/>
      <c r="L35" s="85">
        <f>'Stats Global'!N36</f>
        <v>0</v>
      </c>
      <c r="M35" s="85">
        <f>'Stats Global'!K36</f>
        <v>0</v>
      </c>
    </row>
    <row r="36" spans="1:16" ht="14.25" customHeight="1" x14ac:dyDescent="0.45">
      <c r="A36" s="75">
        <f>'Stats Global'!B37</f>
        <v>0</v>
      </c>
      <c r="B36" s="83">
        <f>'Stats Global'!I37</f>
        <v>0</v>
      </c>
      <c r="C36" s="83">
        <f>'Stats Global'!J37+'Stats Global'!K37</f>
        <v>0</v>
      </c>
      <c r="D36" s="83">
        <f>'Stats Global'!P37</f>
        <v>0</v>
      </c>
      <c r="E36" s="80"/>
      <c r="F36" s="80"/>
      <c r="L36" s="85">
        <f>'Stats Global'!N37</f>
        <v>0</v>
      </c>
      <c r="M36" s="85">
        <f>'Stats Global'!K37</f>
        <v>0</v>
      </c>
    </row>
    <row r="37" spans="1:16" ht="14.25" customHeight="1" x14ac:dyDescent="0.45">
      <c r="A37" s="75">
        <f>'Stats Global'!B38</f>
        <v>0</v>
      </c>
      <c r="B37" s="83">
        <f>'Stats Global'!I38</f>
        <v>0</v>
      </c>
      <c r="C37" s="83">
        <f>'Stats Global'!J38+'Stats Global'!K38</f>
        <v>0</v>
      </c>
      <c r="D37" s="83">
        <f>'Stats Global'!P38</f>
        <v>0</v>
      </c>
      <c r="E37" s="80"/>
      <c r="F37" s="80"/>
      <c r="L37" s="85">
        <f>'Stats Global'!N38</f>
        <v>0</v>
      </c>
      <c r="M37" s="85">
        <f>'Stats Global'!K38</f>
        <v>0</v>
      </c>
    </row>
    <row r="38" spans="1:16" ht="14.25" customHeight="1" x14ac:dyDescent="0.45">
      <c r="A38" s="75">
        <f>'Stats Global'!B39</f>
        <v>0</v>
      </c>
      <c r="B38" s="83">
        <f>'Stats Global'!I39</f>
        <v>0</v>
      </c>
      <c r="C38" s="83">
        <f>'Stats Global'!J39+'Stats Global'!K39</f>
        <v>0</v>
      </c>
      <c r="D38" s="83">
        <f>'Stats Global'!P39</f>
        <v>0</v>
      </c>
      <c r="E38" s="80"/>
      <c r="F38" s="80"/>
      <c r="L38" s="85">
        <f>'Stats Global'!N39</f>
        <v>0</v>
      </c>
      <c r="M38" s="85">
        <f>'Stats Global'!K39</f>
        <v>0</v>
      </c>
    </row>
    <row r="39" spans="1:16" ht="14.25" customHeight="1" x14ac:dyDescent="0.45">
      <c r="A39" s="75">
        <f>'Stats Global'!B40</f>
        <v>0</v>
      </c>
      <c r="B39" s="83">
        <f>'Stats Global'!I40</f>
        <v>0</v>
      </c>
      <c r="C39" s="83">
        <f>'Stats Global'!J40+'Stats Global'!K40</f>
        <v>0</v>
      </c>
      <c r="D39" s="83">
        <f>'Stats Global'!P40</f>
        <v>0</v>
      </c>
      <c r="E39" s="80"/>
      <c r="F39" s="80"/>
      <c r="L39" s="85">
        <f>'Stats Global'!N40</f>
        <v>0</v>
      </c>
      <c r="M39" s="85">
        <f>'Stats Global'!K40</f>
        <v>0</v>
      </c>
    </row>
    <row r="40" spans="1:16" ht="14.25" customHeight="1" x14ac:dyDescent="0.45">
      <c r="A40" s="75">
        <f>'Stats Global'!B41</f>
        <v>0</v>
      </c>
      <c r="B40" s="83">
        <f>'Stats Global'!I41</f>
        <v>0</v>
      </c>
      <c r="C40" s="83">
        <f>'Stats Global'!J41+'Stats Global'!K41</f>
        <v>0</v>
      </c>
      <c r="D40" s="83">
        <f>'Stats Global'!P41</f>
        <v>0</v>
      </c>
      <c r="E40" s="80"/>
      <c r="F40" s="80"/>
      <c r="L40" s="85">
        <f>'Stats Global'!N41</f>
        <v>0</v>
      </c>
      <c r="M40" s="85">
        <f>'Stats Global'!K41</f>
        <v>0</v>
      </c>
    </row>
    <row r="41" spans="1:16" ht="14.25" customHeight="1" x14ac:dyDescent="0.45">
      <c r="C41" s="121">
        <f>SUM(B7:B40)/SUM(B7:C40)</f>
        <v>0.37894736842105264</v>
      </c>
      <c r="J41" s="84"/>
      <c r="K41" s="76" t="s">
        <v>94</v>
      </c>
      <c r="L41" s="102">
        <f>SUM(L7:L40)</f>
        <v>21</v>
      </c>
      <c r="M41" s="102">
        <f>SUM(M7:M40)</f>
        <v>24</v>
      </c>
      <c r="N41" s="84"/>
      <c r="O41" s="84"/>
      <c r="P41" s="56"/>
    </row>
    <row r="42" spans="1:16" ht="14.25" customHeight="1" x14ac:dyDescent="0.45">
      <c r="L42" s="93">
        <f>L41/(M41+L41)</f>
        <v>0.46666666666666667</v>
      </c>
      <c r="P42" s="56"/>
    </row>
    <row r="43" spans="1:16" ht="14.25" customHeight="1" x14ac:dyDescent="0.45">
      <c r="J43" s="94" t="str">
        <f>L43&amp;H4&amp;","&amp;I4&amp;"],"</f>
        <v>"PartA":[36,59],</v>
      </c>
      <c r="K43" s="81"/>
      <c r="L43" s="76" t="s">
        <v>135</v>
      </c>
      <c r="N43" s="76" t="s">
        <v>139</v>
      </c>
      <c r="P43" s="95">
        <f>ROUND(SUM('Stats Global'!AA11,'Stats Global'!AA12,'Stats Global'!AA20,'Stats Global'!AA15,'Stats Global'!AA19,'Stats Global'!AA18,'Stats Global'!AA23)/'Stats Global'!AA6,1)</f>
        <v>3.9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"PartB":[9,"Michael Iffland",7,"Nicholas Szogi",6,"Ryan Pattemore",4,"Clarrie Jones"],</v>
      </c>
      <c r="L44" s="76" t="s">
        <v>136</v>
      </c>
      <c r="N44" s="96">
        <f>MAX(Table1113[Points])</f>
        <v>9</v>
      </c>
      <c r="O44" s="76" t="str">
        <f>IF(N44&lt;&gt;0,IF(N44=P4,O4,IF(N44=P5,O5,IF(P6=N44,O6,IF(P7=N44,O7,IF(P8=N44,O8,IF(P9=N44,O9,O10)))))),"N/A")</f>
        <v>Michael Iffland</v>
      </c>
      <c r="P44" s="95">
        <f>ROUND(SUM('Stats Global'!AC11,'Stats Global'!AC12,'Stats Global'!AC20,'Stats Global'!AC15,'Stats Global'!AC19,'Stats Global'!AC18,'Stats Global'!AC23)/'Stats Global'!AA6,1)</f>
        <v>1.6</v>
      </c>
    </row>
    <row r="45" spans="1:16" ht="14.25" customHeight="1" x14ac:dyDescent="0.45">
      <c r="J45" s="76" t="str">
        <f>L45&amp;P43&amp;","&amp;P44&amp;","&amp;P45&amp;","&amp;P46&amp;","&amp;P47&amp;","&amp;P48&amp;"],"</f>
        <v>"PartC":[3.9,1.6,1.3,0.5,3.6,5.9],</v>
      </c>
      <c r="L45" s="76" t="s">
        <v>137</v>
      </c>
      <c r="N45" s="96">
        <f>MAX(Table1113[Finishes])</f>
        <v>7</v>
      </c>
      <c r="O45" s="76" t="str">
        <f>IF(N45&lt;&gt;0,IF(N45=R4,O4,IF(N45=R5,O5,IF(R6=N45,O6,IF(R7=N45,O7,IF(R8=N45,O8,IF(R9=N45,O9,O10)))))),"N/A")</f>
        <v>Nicholas Szogi</v>
      </c>
      <c r="P45" s="95">
        <f>ROUND(SUM('Stats Global'!AE11,'Stats Global'!AE12,'Stats Global'!AE20,'Stats Global'!AE15,'Stats Global'!AE19,'Stats Global'!AE18,'Stats Global'!AE23)/'Stats Global'!AA6,1)</f>
        <v>1.3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"PartD":[15,35,30,21,24,46.7],</v>
      </c>
      <c r="L46" s="76" t="s">
        <v>138</v>
      </c>
      <c r="N46" s="96">
        <f>MAX(Table1113[Midranges])</f>
        <v>6</v>
      </c>
      <c r="O46" s="76" t="str">
        <f>IF(N46&lt;&gt;0,IF(N46=T4,O4,IF(N46=T5,O5,IF(T6=N46,O6,IF(T7=N46,O7,IF(T8=N46,O8,IF(T9=N46,O9,O10)))))),"N/A")</f>
        <v>Ryan Pattemore</v>
      </c>
      <c r="P46" s="95">
        <f>ROUND(SUM('Stats Global'!AG11,'Stats Global'!AG12,'Stats Global'!AG20,'Stats Global'!AG15,'Stats Global'!AG19,'Stats Global'!AG18,'Stats Global'!AG23)/'Stats Global'!AA6,1)</f>
        <v>0.5</v>
      </c>
    </row>
    <row r="47" spans="1:16" ht="14.25" customHeight="1" x14ac:dyDescent="0.45">
      <c r="N47" s="96">
        <f>MAX(Table1113[Threes])</f>
        <v>4</v>
      </c>
      <c r="O47" s="103" t="str">
        <f>IF(N47&lt;&gt;0,IF(N47=V4,O4,IF(N47=V5,O5,IF(V6=N47,O6,IF(V7=N47,O7,IF(V8=N47,O8,IF(V9=N47,O9,O10)))))),"N/A")</f>
        <v>Clarrie Jones</v>
      </c>
      <c r="P47" s="76">
        <f>ROUND(H4/'Stats Global'!AA6,1)</f>
        <v>3.6</v>
      </c>
    </row>
    <row r="48" spans="1:16" ht="14.25" customHeight="1" x14ac:dyDescent="0.45">
      <c r="P48" s="76">
        <f>ROUND(I4/'Stats Global'!AA6,1)</f>
        <v>5.9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16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 t="s">
        <v>90</v>
      </c>
      <c r="I3" s="81" t="s">
        <v>91</v>
      </c>
      <c r="J3" s="81" t="s">
        <v>92</v>
      </c>
      <c r="K3" s="78"/>
      <c r="L3" s="103" t="s">
        <v>193</v>
      </c>
      <c r="U3" s="56"/>
      <c r="V3" s="78"/>
      <c r="W3" s="78"/>
      <c r="X3" s="78"/>
    </row>
    <row r="4" spans="1:24" ht="14.25" customHeight="1" x14ac:dyDescent="0.45">
      <c r="A4" s="124" t="str">
        <f>'Stats Global'!B5</f>
        <v>11-July</v>
      </c>
      <c r="B4" s="125">
        <f>'Stats Global'!L5</f>
        <v>12</v>
      </c>
      <c r="C4" s="125">
        <f>'Stats Global'!M5+'Stats Global'!N5</f>
        <v>3</v>
      </c>
      <c r="D4" s="125">
        <f>'Stats Global'!Q5</f>
        <v>3</v>
      </c>
      <c r="E4" s="126" t="s">
        <v>30</v>
      </c>
      <c r="F4" s="126" t="s">
        <v>50</v>
      </c>
      <c r="H4" s="81">
        <f>SUM(B7:B40)</f>
        <v>52</v>
      </c>
      <c r="I4" s="81">
        <f>SUM(C7:C40)</f>
        <v>50</v>
      </c>
      <c r="J4" s="78">
        <f>SUM(D7:D40)</f>
        <v>22</v>
      </c>
      <c r="K4" s="84"/>
      <c r="L4" s="104" t="s">
        <v>4</v>
      </c>
      <c r="M4" s="105" t="s">
        <v>0</v>
      </c>
      <c r="N4" s="105" t="s">
        <v>85</v>
      </c>
      <c r="O4" s="106" t="s">
        <v>1</v>
      </c>
      <c r="P4" s="107" t="s">
        <v>80</v>
      </c>
      <c r="Q4" s="107" t="s">
        <v>2</v>
      </c>
      <c r="R4" s="107" t="s">
        <v>117</v>
      </c>
      <c r="S4" s="106" t="s">
        <v>3</v>
      </c>
      <c r="T4" s="107" t="s">
        <v>118</v>
      </c>
      <c r="U4" s="107" t="s">
        <v>120</v>
      </c>
      <c r="V4" s="84"/>
      <c r="W4" s="84"/>
      <c r="X4" s="84"/>
    </row>
    <row r="5" spans="1:24" ht="14.25" customHeight="1" x14ac:dyDescent="0.45">
      <c r="A5" s="124" t="str">
        <f>'Stats Global'!B6</f>
        <v>12-July</v>
      </c>
      <c r="B5" s="125">
        <f>'Stats Global'!L6</f>
        <v>15</v>
      </c>
      <c r="C5" s="125">
        <f>'Stats Global'!M6+'Stats Global'!N6</f>
        <v>6</v>
      </c>
      <c r="D5" s="125">
        <f>'Stats Global'!Q6</f>
        <v>3</v>
      </c>
      <c r="E5" s="126" t="s">
        <v>30</v>
      </c>
      <c r="F5" s="126" t="s">
        <v>50</v>
      </c>
      <c r="K5" s="84"/>
      <c r="L5" s="84" t="s">
        <v>50</v>
      </c>
      <c r="M5" s="98">
        <f>'Stats Global'!AA17</f>
        <v>31</v>
      </c>
      <c r="N5" s="98">
        <f>'Stats Global'!AB17</f>
        <v>3.1</v>
      </c>
      <c r="O5" s="98">
        <f>'Stats Global'!AC17</f>
        <v>5</v>
      </c>
      <c r="P5" s="98">
        <f>'Stats Global'!AD17</f>
        <v>0.5</v>
      </c>
      <c r="Q5" s="98">
        <f>'Stats Global'!AE17</f>
        <v>18</v>
      </c>
      <c r="R5" s="98">
        <f>'Stats Global'!AF17</f>
        <v>1.8</v>
      </c>
      <c r="S5" s="98">
        <f>'Stats Global'!AG17</f>
        <v>4</v>
      </c>
      <c r="T5" s="98">
        <f>'Stats Global'!AH17</f>
        <v>0.4</v>
      </c>
      <c r="U5" s="98">
        <f>'Stats Global'!AJ17</f>
        <v>0</v>
      </c>
      <c r="V5" s="84"/>
      <c r="W5" s="84"/>
      <c r="X5" s="84"/>
    </row>
    <row r="6" spans="1:24" ht="14.25" customHeight="1" x14ac:dyDescent="0.45">
      <c r="A6" s="124" t="str">
        <f>'Stats Global'!B7</f>
        <v>13-July</v>
      </c>
      <c r="B6" s="125">
        <f>'Stats Global'!L7</f>
        <v>1</v>
      </c>
      <c r="C6" s="125">
        <f>'Stats Global'!M7+'Stats Global'!N7</f>
        <v>6</v>
      </c>
      <c r="D6" s="125">
        <f>'Stats Global'!Q7</f>
        <v>1</v>
      </c>
      <c r="E6" s="126" t="s">
        <v>208</v>
      </c>
      <c r="F6" s="126" t="s">
        <v>55</v>
      </c>
      <c r="H6" s="81"/>
      <c r="I6" s="97"/>
      <c r="K6" s="84"/>
      <c r="L6" s="84" t="s">
        <v>30</v>
      </c>
      <c r="M6" s="98">
        <f>'Stats Global'!AA10</f>
        <v>15</v>
      </c>
      <c r="N6" s="98">
        <f>'Stats Global'!AB10</f>
        <v>3.75</v>
      </c>
      <c r="O6" s="98">
        <f>'Stats Global'!AC10</f>
        <v>13</v>
      </c>
      <c r="P6" s="98">
        <f>'Stats Global'!AD10</f>
        <v>3.25</v>
      </c>
      <c r="Q6" s="98">
        <f>'Stats Global'!AE10</f>
        <v>0</v>
      </c>
      <c r="R6" s="98">
        <f>'Stats Global'!AF10</f>
        <v>0</v>
      </c>
      <c r="S6" s="98">
        <f>'Stats Global'!AG10</f>
        <v>1</v>
      </c>
      <c r="T6" s="98">
        <f>'Stats Global'!AH10</f>
        <v>0.25</v>
      </c>
      <c r="U6" s="98">
        <f>'Stats Global'!AJ10</f>
        <v>6</v>
      </c>
      <c r="V6" s="84"/>
      <c r="W6" s="84"/>
      <c r="X6" s="84"/>
    </row>
    <row r="7" spans="1:24" ht="14.25" customHeight="1" x14ac:dyDescent="0.45">
      <c r="A7" s="75" t="str">
        <f>'Stats Global'!B8</f>
        <v>17-July</v>
      </c>
      <c r="B7" s="83">
        <f>'Stats Global'!L8</f>
        <v>3</v>
      </c>
      <c r="C7" s="83">
        <f>'Stats Global'!M8+'Stats Global'!N8</f>
        <v>5</v>
      </c>
      <c r="D7" s="83">
        <f>'Stats Global'!Q8</f>
        <v>2</v>
      </c>
      <c r="E7" s="80" t="s">
        <v>50</v>
      </c>
      <c r="F7" s="80" t="s">
        <v>208</v>
      </c>
      <c r="H7" s="81"/>
      <c r="I7" s="97"/>
      <c r="K7" s="84"/>
      <c r="L7" s="84" t="s">
        <v>42</v>
      </c>
      <c r="M7" s="98">
        <f>'Stats Global'!AA13</f>
        <v>3</v>
      </c>
      <c r="N7" s="98">
        <f>'Stats Global'!AB13</f>
        <v>0.375</v>
      </c>
      <c r="O7" s="98">
        <f>'Stats Global'!AC13</f>
        <v>2</v>
      </c>
      <c r="P7" s="98">
        <f>'Stats Global'!AD13</f>
        <v>0.25</v>
      </c>
      <c r="Q7" s="98">
        <f>'Stats Global'!AE13</f>
        <v>1</v>
      </c>
      <c r="R7" s="98">
        <f>'Stats Global'!AF13</f>
        <v>0.125</v>
      </c>
      <c r="S7" s="98">
        <f>'Stats Global'!AG13</f>
        <v>0</v>
      </c>
      <c r="T7" s="98">
        <f>'Stats Global'!AH13</f>
        <v>0</v>
      </c>
      <c r="U7" s="98">
        <f>'Stats Global'!AJ13</f>
        <v>2</v>
      </c>
      <c r="V7" s="84"/>
      <c r="W7" s="84"/>
      <c r="X7" s="84"/>
    </row>
    <row r="8" spans="1:24" ht="14.25" customHeight="1" x14ac:dyDescent="0.45">
      <c r="A8" s="75" t="str">
        <f>'Stats Global'!B9</f>
        <v>18-July</v>
      </c>
      <c r="B8" s="83">
        <f>'Stats Global'!L9</f>
        <v>1</v>
      </c>
      <c r="C8" s="83">
        <f>'Stats Global'!M9+'Stats Global'!N9</f>
        <v>6</v>
      </c>
      <c r="D8" s="83">
        <f>'Stats Global'!Q9</f>
        <v>2</v>
      </c>
      <c r="E8" s="80" t="s">
        <v>208</v>
      </c>
      <c r="F8" s="80" t="s">
        <v>50</v>
      </c>
      <c r="H8" s="81"/>
      <c r="I8" s="97"/>
      <c r="K8" s="84"/>
      <c r="L8" s="84" t="s">
        <v>115</v>
      </c>
      <c r="M8" s="98">
        <f>'Stats Global'!AA14</f>
        <v>6</v>
      </c>
      <c r="N8" s="98">
        <f>'Stats Global'!AB14</f>
        <v>0.6</v>
      </c>
      <c r="O8" s="98">
        <f>'Stats Global'!AC14</f>
        <v>4</v>
      </c>
      <c r="P8" s="98">
        <f>'Stats Global'!AD14</f>
        <v>0.4</v>
      </c>
      <c r="Q8" s="98">
        <f>'Stats Global'!AE14</f>
        <v>2</v>
      </c>
      <c r="R8" s="98">
        <f>'Stats Global'!AF14</f>
        <v>0.2</v>
      </c>
      <c r="S8" s="98">
        <f>'Stats Global'!AG14</f>
        <v>0</v>
      </c>
      <c r="T8" s="98">
        <f>'Stats Global'!AH14</f>
        <v>0</v>
      </c>
      <c r="U8" s="98">
        <f>'Stats Global'!AJ14</f>
        <v>0</v>
      </c>
      <c r="V8" s="84"/>
      <c r="W8" s="84"/>
      <c r="X8" s="84"/>
    </row>
    <row r="9" spans="1:24" ht="14.25" customHeight="1" x14ac:dyDescent="0.45">
      <c r="A9" s="75" t="str">
        <f>'Stats Global'!B10</f>
        <v>19-July</v>
      </c>
      <c r="B9" s="83">
        <f>'Stats Global'!L10</f>
        <v>0</v>
      </c>
      <c r="C9" s="83">
        <f>'Stats Global'!M10+'Stats Global'!N10</f>
        <v>7</v>
      </c>
      <c r="D9" s="83">
        <f>'Stats Global'!Q10</f>
        <v>2</v>
      </c>
      <c r="E9" s="80" t="s">
        <v>208</v>
      </c>
      <c r="F9" s="80" t="s">
        <v>208</v>
      </c>
      <c r="H9" s="81"/>
      <c r="I9" s="97"/>
      <c r="K9" s="84"/>
      <c r="L9" s="84" t="s">
        <v>201</v>
      </c>
      <c r="M9" s="98">
        <f>'Stats Global'!AA19</f>
        <v>1</v>
      </c>
      <c r="N9" s="98">
        <f>'Stats Global'!AB19</f>
        <v>0.2</v>
      </c>
      <c r="O9" s="98">
        <f>'Stats Global'!AC19</f>
        <v>0</v>
      </c>
      <c r="P9" s="98">
        <f>'Stats Global'!AD19</f>
        <v>0</v>
      </c>
      <c r="Q9" s="98">
        <f>'Stats Global'!AE19</f>
        <v>1</v>
      </c>
      <c r="R9" s="98">
        <f>'Stats Global'!AF19</f>
        <v>0.2</v>
      </c>
      <c r="S9" s="98">
        <f>'Stats Global'!AG19</f>
        <v>0</v>
      </c>
      <c r="T9" s="98">
        <f>'Stats Global'!AH19</f>
        <v>0</v>
      </c>
      <c r="U9" s="98">
        <f>'Stats Global'!AJ19</f>
        <v>5</v>
      </c>
      <c r="V9" s="84"/>
      <c r="W9" s="84"/>
      <c r="X9" s="84"/>
    </row>
    <row r="10" spans="1:24" ht="14.25" customHeight="1" x14ac:dyDescent="0.45">
      <c r="A10" s="75" t="str">
        <f>'Stats Global'!B11</f>
        <v>20-July</v>
      </c>
      <c r="B10" s="83">
        <f>'Stats Global'!L11</f>
        <v>2</v>
      </c>
      <c r="C10" s="83">
        <f>'Stats Global'!M11+'Stats Global'!N11</f>
        <v>4</v>
      </c>
      <c r="D10" s="83">
        <f>'Stats Global'!Q11</f>
        <v>1</v>
      </c>
      <c r="E10" s="80" t="s">
        <v>50</v>
      </c>
      <c r="F10" s="80" t="s">
        <v>50</v>
      </c>
      <c r="H10" s="81"/>
      <c r="I10" s="97"/>
      <c r="K10" s="56"/>
      <c r="L10" s="148"/>
      <c r="M10" s="148"/>
      <c r="N10" s="148"/>
      <c r="O10" s="148"/>
      <c r="Q10" s="148"/>
      <c r="R10" s="148"/>
      <c r="S10" s="148"/>
      <c r="T10" s="148"/>
      <c r="U10" s="56"/>
      <c r="V10" s="84"/>
      <c r="W10" s="84"/>
      <c r="X10" s="84"/>
    </row>
    <row r="11" spans="1:24" ht="14.25" customHeight="1" x14ac:dyDescent="0.45">
      <c r="A11" s="75" t="str">
        <f>'Stats Global'!B12</f>
        <v>24-July</v>
      </c>
      <c r="B11" s="83">
        <f>'Stats Global'!L12</f>
        <v>9</v>
      </c>
      <c r="C11" s="83">
        <f>'Stats Global'!M12+'Stats Global'!N12</f>
        <v>1</v>
      </c>
      <c r="D11" s="83">
        <f>'Stats Global'!Q12</f>
        <v>3</v>
      </c>
      <c r="E11" s="80" t="s">
        <v>30</v>
      </c>
      <c r="F11" s="80" t="s">
        <v>115</v>
      </c>
      <c r="H11" s="81"/>
      <c r="I11" s="97"/>
      <c r="K11" s="84"/>
      <c r="L11" s="84"/>
      <c r="M11" s="84"/>
      <c r="N11" s="84"/>
      <c r="O11" s="84"/>
      <c r="Q11" s="84"/>
      <c r="R11" s="84"/>
      <c r="S11" s="84"/>
      <c r="T11" s="84"/>
      <c r="U11" s="56"/>
      <c r="V11" s="84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Global'!L13</f>
        <v>8</v>
      </c>
      <c r="C12" s="83">
        <f>'Stats Global'!M13+'Stats Global'!N13</f>
        <v>5</v>
      </c>
      <c r="D12" s="83">
        <f>'Stats Global'!Q13</f>
        <v>3</v>
      </c>
      <c r="E12" s="80" t="s">
        <v>30</v>
      </c>
      <c r="F12" s="80" t="s">
        <v>50</v>
      </c>
      <c r="H12" s="81"/>
      <c r="I12" s="97"/>
      <c r="K12" s="84"/>
      <c r="L12" s="84"/>
      <c r="M12" s="84"/>
      <c r="N12" s="84"/>
      <c r="O12" s="84"/>
      <c r="Q12" s="84"/>
      <c r="R12" s="84"/>
      <c r="S12" s="84"/>
      <c r="T12" s="84"/>
      <c r="U12" s="56"/>
      <c r="V12" s="84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Global'!L14</f>
        <v>8</v>
      </c>
      <c r="C13" s="83">
        <f>'Stats Global'!M14+'Stats Global'!N14</f>
        <v>3</v>
      </c>
      <c r="D13" s="83">
        <f>'Stats Global'!Q14</f>
        <v>3</v>
      </c>
      <c r="E13" s="80" t="s">
        <v>254</v>
      </c>
      <c r="F13" s="80" t="s">
        <v>30</v>
      </c>
      <c r="H13" s="81"/>
      <c r="I13" s="97"/>
      <c r="K13" s="84"/>
      <c r="L13" s="84"/>
      <c r="M13" s="84"/>
      <c r="N13" s="84"/>
      <c r="O13" s="84"/>
      <c r="Q13" s="84"/>
      <c r="R13" s="84"/>
      <c r="S13" s="84"/>
      <c r="T13" s="84"/>
      <c r="U13" s="56"/>
      <c r="V13" s="84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Global'!L15</f>
        <v>3</v>
      </c>
      <c r="C14" s="83">
        <f>'Stats Global'!M15+'Stats Global'!N15</f>
        <v>7</v>
      </c>
      <c r="D14" s="83">
        <f>'Stats Global'!Q15</f>
        <v>1</v>
      </c>
      <c r="E14" s="80" t="s">
        <v>50</v>
      </c>
      <c r="F14" s="80" t="s">
        <v>259</v>
      </c>
      <c r="K14" s="84"/>
      <c r="L14" s="84"/>
      <c r="M14" s="84"/>
      <c r="N14" s="84"/>
      <c r="O14" s="84"/>
      <c r="Q14" s="84"/>
      <c r="R14" s="84"/>
      <c r="S14" s="84"/>
      <c r="T14" s="84"/>
      <c r="U14" s="56"/>
      <c r="V14" s="84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Global'!L16</f>
        <v>6</v>
      </c>
      <c r="C15" s="83">
        <f>'Stats Global'!M16+'Stats Global'!N16</f>
        <v>5</v>
      </c>
      <c r="D15" s="83">
        <f>'Stats Global'!Q16</f>
        <v>2</v>
      </c>
      <c r="E15" s="80" t="s">
        <v>50</v>
      </c>
      <c r="F15" s="80" t="s">
        <v>50</v>
      </c>
      <c r="K15" s="84"/>
      <c r="L15" s="84"/>
      <c r="M15" s="84"/>
      <c r="N15" s="84"/>
      <c r="O15" s="84"/>
      <c r="Q15" s="84"/>
      <c r="R15" s="84"/>
      <c r="S15" s="84"/>
      <c r="T15" s="84"/>
      <c r="U15" s="56"/>
      <c r="V15" s="84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Global'!L17</f>
        <v>12</v>
      </c>
      <c r="C16" s="83">
        <f>'Stats Global'!M17+'Stats Global'!N17</f>
        <v>7</v>
      </c>
      <c r="D16" s="83">
        <f>'Stats Global'!Q17</f>
        <v>3</v>
      </c>
      <c r="E16" s="80" t="s">
        <v>30</v>
      </c>
      <c r="F16" s="80" t="s">
        <v>50</v>
      </c>
      <c r="K16" s="84"/>
      <c r="L16" s="84"/>
      <c r="M16" s="84"/>
      <c r="N16" s="84"/>
      <c r="O16" s="84"/>
      <c r="Q16" s="84"/>
      <c r="R16" s="84"/>
      <c r="S16" s="84"/>
      <c r="T16" s="84"/>
      <c r="U16" s="56"/>
      <c r="V16" s="84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Global'!L18</f>
        <v>0</v>
      </c>
      <c r="C17" s="83">
        <f>'Stats Global'!M18+'Stats Global'!N18</f>
        <v>0</v>
      </c>
      <c r="D17" s="83">
        <f>'Stats Global'!Q18</f>
        <v>0</v>
      </c>
      <c r="E17" s="87"/>
      <c r="F17" s="87"/>
      <c r="K17" s="84"/>
      <c r="L17" s="84"/>
      <c r="M17" s="84"/>
      <c r="N17" s="84"/>
      <c r="O17" s="84"/>
      <c r="Q17" s="84"/>
      <c r="R17" s="84"/>
      <c r="S17" s="84"/>
      <c r="T17" s="84"/>
      <c r="U17" s="56"/>
      <c r="V17" s="84"/>
      <c r="W17" s="84"/>
      <c r="X17" s="84"/>
    </row>
    <row r="18" spans="1:24" ht="14.25" customHeight="1" x14ac:dyDescent="0.45">
      <c r="A18" s="75">
        <f>'Stats Global'!B19</f>
        <v>0</v>
      </c>
      <c r="B18" s="83">
        <f>'Stats Global'!L19</f>
        <v>0</v>
      </c>
      <c r="C18" s="83">
        <f>'Stats Global'!M19+'Stats Global'!N19</f>
        <v>0</v>
      </c>
      <c r="D18" s="83">
        <f>'Stats Global'!Q19</f>
        <v>0</v>
      </c>
      <c r="E18" s="88"/>
      <c r="F18" s="88"/>
      <c r="K18" s="84"/>
      <c r="L18" s="84"/>
      <c r="M18" s="84"/>
      <c r="N18" s="84"/>
      <c r="O18" s="84"/>
      <c r="Q18" s="84"/>
      <c r="R18" s="84"/>
      <c r="S18" s="84"/>
      <c r="T18" s="84"/>
      <c r="U18" s="56"/>
      <c r="V18" s="84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Global'!L20</f>
        <v>0</v>
      </c>
      <c r="C19" s="83">
        <f>'Stats Global'!M20+'Stats Global'!N20</f>
        <v>0</v>
      </c>
      <c r="D19" s="83">
        <f>'Stats Global'!Q20</f>
        <v>0</v>
      </c>
      <c r="E19" s="89"/>
      <c r="F19" s="89"/>
      <c r="K19" s="84"/>
      <c r="L19" s="84"/>
      <c r="M19" s="84"/>
      <c r="N19" s="84"/>
      <c r="O19" s="84"/>
      <c r="Q19" s="84"/>
      <c r="R19" s="84"/>
      <c r="S19" s="84"/>
      <c r="T19" s="84"/>
      <c r="U19" s="56"/>
      <c r="V19" s="84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Global'!L21</f>
        <v>0</v>
      </c>
      <c r="C20" s="83">
        <f>'Stats Global'!M21+'Stats Global'!N21</f>
        <v>0</v>
      </c>
      <c r="D20" s="83">
        <f>'Stats Global'!Q21</f>
        <v>0</v>
      </c>
      <c r="E20" s="90"/>
      <c r="F20" s="90"/>
      <c r="K20" s="84"/>
      <c r="L20" s="84"/>
      <c r="M20" s="84"/>
      <c r="N20" s="84"/>
      <c r="O20" s="84"/>
      <c r="Q20" s="84"/>
      <c r="R20" s="84"/>
      <c r="S20" s="84"/>
      <c r="T20" s="84"/>
      <c r="U20" s="56"/>
      <c r="V20" s="84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Global'!L22</f>
        <v>0</v>
      </c>
      <c r="C21" s="83">
        <f>'Stats Global'!M22+'Stats Global'!N22</f>
        <v>0</v>
      </c>
      <c r="D21" s="83">
        <f>'Stats Global'!Q22</f>
        <v>0</v>
      </c>
      <c r="E21" s="80"/>
      <c r="F21" s="80"/>
      <c r="K21" s="84"/>
      <c r="L21" s="84"/>
      <c r="M21" s="84"/>
      <c r="N21" s="84"/>
      <c r="O21" s="84"/>
      <c r="Q21" s="84"/>
      <c r="R21" s="84"/>
      <c r="S21" s="84"/>
      <c r="T21" s="84"/>
      <c r="U21" s="56"/>
      <c r="V21" s="84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Global'!L23</f>
        <v>0</v>
      </c>
      <c r="C22" s="83">
        <f>'Stats Global'!M23+'Stats Global'!N23</f>
        <v>0</v>
      </c>
      <c r="D22" s="83">
        <f>'Stats Global'!Q23</f>
        <v>0</v>
      </c>
      <c r="E22" s="80"/>
      <c r="F22" s="80"/>
      <c r="K22" s="84"/>
      <c r="L22" s="84"/>
      <c r="M22" s="84"/>
      <c r="N22" s="84"/>
      <c r="O22" s="84"/>
      <c r="Q22" s="84"/>
      <c r="R22" s="84"/>
      <c r="S22" s="84"/>
      <c r="T22" s="84"/>
      <c r="U22" s="56"/>
      <c r="V22" s="84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Global'!L24</f>
        <v>0</v>
      </c>
      <c r="C23" s="83">
        <f>'Stats Global'!M24+'Stats Global'!N24</f>
        <v>0</v>
      </c>
      <c r="D23" s="83">
        <f>'Stats Global'!Q24</f>
        <v>0</v>
      </c>
      <c r="E23" s="91"/>
      <c r="F23" s="80"/>
      <c r="G23" s="92"/>
      <c r="K23" s="84"/>
      <c r="L23" s="84"/>
      <c r="M23" s="84"/>
      <c r="N23" s="84"/>
      <c r="O23" s="84"/>
      <c r="Q23" s="84"/>
      <c r="R23" s="84"/>
      <c r="S23" s="84"/>
      <c r="T23" s="84"/>
      <c r="U23" s="56"/>
      <c r="V23" s="84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Global'!L25</f>
        <v>0</v>
      </c>
      <c r="C24" s="83">
        <f>'Stats Global'!M25+'Stats Global'!N25</f>
        <v>0</v>
      </c>
      <c r="D24" s="83">
        <f>'Stats Global'!Q25</f>
        <v>0</v>
      </c>
      <c r="E24" s="91"/>
      <c r="F24" s="80"/>
      <c r="G24" s="92"/>
      <c r="K24" s="84"/>
      <c r="L24" s="84"/>
      <c r="M24" s="84"/>
      <c r="N24" s="84"/>
      <c r="O24" s="84"/>
      <c r="Q24" s="84"/>
      <c r="R24" s="84"/>
      <c r="S24" s="84"/>
      <c r="T24" s="84"/>
      <c r="U24" s="56"/>
      <c r="V24" s="84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Global'!L26</f>
        <v>0</v>
      </c>
      <c r="C25" s="83">
        <f>'Stats Global'!M26+'Stats Global'!N26</f>
        <v>0</v>
      </c>
      <c r="D25" s="83">
        <f>'Stats Global'!Q26</f>
        <v>0</v>
      </c>
      <c r="E25" s="91"/>
      <c r="F25" s="80"/>
      <c r="G25" s="92"/>
      <c r="K25" s="84"/>
      <c r="L25" s="84"/>
      <c r="M25" s="84"/>
      <c r="N25" s="84"/>
      <c r="O25" s="84"/>
      <c r="Q25" s="84"/>
      <c r="R25" s="84"/>
      <c r="S25" s="84"/>
      <c r="T25" s="84"/>
      <c r="U25" s="56"/>
      <c r="V25" s="84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Global'!L27</f>
        <v>0</v>
      </c>
      <c r="C26" s="83">
        <f>'Stats Global'!M27+'Stats Global'!N27</f>
        <v>0</v>
      </c>
      <c r="D26" s="83">
        <f>'Stats Global'!Q27</f>
        <v>0</v>
      </c>
      <c r="E26" s="80"/>
      <c r="F26" s="80"/>
      <c r="K26" s="84"/>
      <c r="L26" s="84"/>
      <c r="M26" s="84"/>
      <c r="N26" s="84"/>
      <c r="O26" s="84"/>
      <c r="Q26" s="84"/>
      <c r="R26" s="84"/>
      <c r="S26" s="84"/>
      <c r="T26" s="84"/>
      <c r="U26" s="56"/>
      <c r="V26" s="84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Global'!L28</f>
        <v>0</v>
      </c>
      <c r="C27" s="83">
        <f>'Stats Global'!M28+'Stats Global'!N28</f>
        <v>0</v>
      </c>
      <c r="D27" s="83">
        <f>'Stats Global'!Q28</f>
        <v>0</v>
      </c>
      <c r="E27" s="80"/>
      <c r="F27" s="80"/>
      <c r="K27" s="84"/>
      <c r="L27" s="84"/>
      <c r="M27" s="84"/>
      <c r="N27" s="84"/>
      <c r="O27" s="84"/>
      <c r="Q27" s="84"/>
      <c r="R27" s="84"/>
      <c r="S27" s="84"/>
      <c r="T27" s="84"/>
      <c r="U27" s="56"/>
      <c r="V27" s="84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Global'!L29</f>
        <v>0</v>
      </c>
      <c r="C28" s="83">
        <f>'Stats Global'!M29+'Stats Global'!N29</f>
        <v>0</v>
      </c>
      <c r="D28" s="83">
        <f>'Stats Global'!Q29</f>
        <v>0</v>
      </c>
      <c r="E28" s="80"/>
      <c r="F28" s="80"/>
      <c r="K28" s="84"/>
      <c r="L28" s="84"/>
      <c r="M28" s="84"/>
      <c r="N28" s="84"/>
      <c r="O28" s="84"/>
      <c r="Q28" s="84"/>
      <c r="R28" s="84"/>
      <c r="S28" s="84"/>
      <c r="T28" s="84"/>
      <c r="U28" s="56"/>
      <c r="V28" s="84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Global'!L30</f>
        <v>0</v>
      </c>
      <c r="C29" s="83">
        <f>'Stats Global'!M30+'Stats Global'!N30</f>
        <v>0</v>
      </c>
      <c r="D29" s="83">
        <f>'Stats Global'!Q30</f>
        <v>0</v>
      </c>
      <c r="E29" s="80"/>
      <c r="F29" s="80"/>
      <c r="K29" s="84"/>
      <c r="L29" s="84"/>
      <c r="M29" s="84"/>
      <c r="N29" s="84"/>
      <c r="O29" s="84"/>
      <c r="Q29" s="84"/>
      <c r="R29" s="84"/>
      <c r="S29" s="84"/>
      <c r="T29" s="84"/>
      <c r="U29" s="56"/>
      <c r="V29" s="98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Global'!L31</f>
        <v>0</v>
      </c>
      <c r="C30" s="83">
        <f>'Stats Global'!M31+'Stats Global'!N31</f>
        <v>0</v>
      </c>
      <c r="D30" s="83">
        <f>'Stats Global'!Q31</f>
        <v>0</v>
      </c>
      <c r="E30" s="80"/>
      <c r="F30" s="80"/>
      <c r="K30" s="84"/>
      <c r="L30" s="84"/>
      <c r="M30" s="84"/>
      <c r="N30" s="84"/>
      <c r="O30" s="84"/>
      <c r="P30" s="81"/>
      <c r="Q30" s="84"/>
      <c r="R30" s="84"/>
      <c r="S30" s="84"/>
      <c r="T30" s="84"/>
      <c r="U30" s="56"/>
      <c r="V30" s="84"/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Global'!L32</f>
        <v>0</v>
      </c>
      <c r="C31" s="83">
        <f>'Stats Global'!M32+'Stats Global'!N32</f>
        <v>0</v>
      </c>
      <c r="D31" s="83">
        <f>'Stats Global'!Q32</f>
        <v>0</v>
      </c>
      <c r="E31" s="80"/>
      <c r="F31" s="80"/>
      <c r="J31" s="81"/>
      <c r="Q31" s="93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Global'!L33</f>
        <v>0</v>
      </c>
      <c r="C32" s="83">
        <f>'Stats Global'!M33+'Stats Global'!N33</f>
        <v>0</v>
      </c>
      <c r="D32" s="83">
        <f>'Stats Global'!Q33</f>
        <v>0</v>
      </c>
      <c r="E32" s="80"/>
      <c r="F32" s="80"/>
      <c r="J32" s="81"/>
      <c r="K32" s="94" t="str">
        <f>M32&amp;H4&amp;","&amp;I4&amp;"],"</f>
        <v>"PartA":[52,50],</v>
      </c>
      <c r="L32" s="81"/>
      <c r="M32" s="76" t="s">
        <v>135</v>
      </c>
      <c r="O32" s="76" t="s">
        <v>139</v>
      </c>
      <c r="Q32" s="95">
        <f>ROUND(SUM('Stats Global'!AA10,'Stats Global'!AA14,'Stats Global'!AA17,'Stats Global'!AA13,'Stats Global'!AA24)/'Stats Global'!AA6,1)</f>
        <v>5.8</v>
      </c>
    </row>
    <row r="33" spans="1:17" ht="14.25" customHeight="1" x14ac:dyDescent="0.45">
      <c r="A33" s="75">
        <f>'Stats Global'!B34</f>
        <v>0</v>
      </c>
      <c r="B33" s="83">
        <f>'Stats Global'!L34</f>
        <v>0</v>
      </c>
      <c r="C33" s="83">
        <f>'Stats Global'!M34+'Stats Global'!N34</f>
        <v>0</v>
      </c>
      <c r="D33" s="83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"PartB":[31,"Samuel McConaghy",13,"Alexander Galt",18,"Samuel McConaghy",4,"Samuel McConaghy"],</v>
      </c>
      <c r="M33" s="76" t="s">
        <v>136</v>
      </c>
      <c r="O33" s="96">
        <f>MAX(Table11[Points])</f>
        <v>31</v>
      </c>
      <c r="P33" s="76" t="str">
        <f>IF(O33&lt;&gt;0,IF(O33=M5,L5,IF(O33=M6,L6,IF(M7=O33,L7,IF(M8=O33,L8,L9)))),"N/A")</f>
        <v>Samuel McConaghy</v>
      </c>
      <c r="Q33" s="95">
        <f>ROUND(SUM('Stats Global'!AC10,'Stats Global'!AC14,'Stats Global'!AC17,'Stats Global'!AC13,'Stats Global'!AC24)/'Stats Global'!AA6,1)</f>
        <v>2.7</v>
      </c>
    </row>
    <row r="34" spans="1:17" ht="14.25" customHeight="1" x14ac:dyDescent="0.45">
      <c r="A34" s="75">
        <f>'Stats Global'!B35</f>
        <v>0</v>
      </c>
      <c r="B34" s="83">
        <f>'Stats Global'!L35</f>
        <v>0</v>
      </c>
      <c r="C34" s="83">
        <f>'Stats Global'!M35+'Stats Global'!N35</f>
        <v>0</v>
      </c>
      <c r="D34" s="83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"PartC":[5.8,2.7,2.1,0.5,5.2,5],</v>
      </c>
      <c r="M34" s="76" t="s">
        <v>137</v>
      </c>
      <c r="O34" s="96">
        <f>MAX(Table11[Finishes])</f>
        <v>13</v>
      </c>
      <c r="P34" s="76" t="str">
        <f>IF(O34&lt;&gt;0,IF(O34=O5,L5,IF(O34=O6,L6,IF(O7=O34,L7,IF(O8=O34,L8,L9)))),"N/A")</f>
        <v>Alexander Galt</v>
      </c>
      <c r="Q34" s="95">
        <f>ROUND(SUM('Stats Global'!AE10,'Stats Global'!AE14,'Stats Global'!AE17,'Stats Global'!AE13,'Stats Global'!AE24)/'Stats Global'!AA6,1)</f>
        <v>2.1</v>
      </c>
    </row>
    <row r="35" spans="1:17" ht="14.25" customHeight="1" x14ac:dyDescent="0.45">
      <c r="A35" s="75">
        <f>'Stats Global'!B36</f>
        <v>0</v>
      </c>
      <c r="B35" s="83">
        <f>'Stats Global'!L36</f>
        <v>0</v>
      </c>
      <c r="C35" s="83">
        <f>'Stats Global'!M36+'Stats Global'!N36</f>
        <v>0</v>
      </c>
      <c r="D35" s="83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"PartD":[28,29,49.1,24,21,53.3],</v>
      </c>
      <c r="M35" s="76" t="s">
        <v>138</v>
      </c>
      <c r="O35" s="96">
        <f>MAX(Table11[Midranges])</f>
        <v>18</v>
      </c>
      <c r="P35" s="76" t="str">
        <f>IF(O35&lt;&gt;0,IF(O35=Q5,L5,IF(O35=Q6,L6,IF(Q7=O35,L7,IF(Q8=O35,L8,L9)))),"N/A")</f>
        <v>Samuel McConaghy</v>
      </c>
      <c r="Q35" s="95">
        <f>ROUND(SUM('Stats Global'!AG10,'Stats Global'!AG14,'Stats Global'!AG17,'Stats Global'!AG13,'Stats Global'!AG24)/'Stats Global'!AA6,1)</f>
        <v>0.5</v>
      </c>
    </row>
    <row r="36" spans="1:17" ht="14.25" customHeight="1" x14ac:dyDescent="0.45">
      <c r="A36" s="75">
        <f>'Stats Global'!B37</f>
        <v>0</v>
      </c>
      <c r="B36" s="83">
        <f>'Stats Global'!L37</f>
        <v>0</v>
      </c>
      <c r="C36" s="83">
        <f>'Stats Global'!M37+'Stats Global'!N37</f>
        <v>0</v>
      </c>
      <c r="D36" s="83">
        <f>'Stats Global'!Q37</f>
        <v>0</v>
      </c>
      <c r="E36" s="80"/>
      <c r="F36" s="80"/>
      <c r="O36" s="96">
        <f>MAX(Table11[Threes])</f>
        <v>4</v>
      </c>
      <c r="P36" s="76" t="str">
        <f>IF(O36&lt;&gt;0,IF(O36=S5,L5,IF(O36=S6,L6,IF(S7=O36,L7,IF(S8=O36,L8,L9)))),"N/A")</f>
        <v>Samuel McConaghy</v>
      </c>
      <c r="Q36" s="76">
        <f>ROUND(H4/'Stats Global'!AA6,1)</f>
        <v>5.2</v>
      </c>
    </row>
    <row r="37" spans="1:17" ht="14.25" customHeight="1" x14ac:dyDescent="0.45">
      <c r="A37" s="75">
        <f>'Stats Global'!B38</f>
        <v>0</v>
      </c>
      <c r="B37" s="83">
        <f>'Stats Global'!L38</f>
        <v>0</v>
      </c>
      <c r="C37" s="83">
        <f>'Stats Global'!M38+'Stats Global'!N38</f>
        <v>0</v>
      </c>
      <c r="D37" s="83">
        <f>'Stats Global'!Q38</f>
        <v>0</v>
      </c>
      <c r="E37" s="80"/>
      <c r="F37" s="80"/>
      <c r="Q37" s="76">
        <f>ROUND(I4/'Stats Global'!AA6,1)</f>
        <v>5</v>
      </c>
    </row>
    <row r="38" spans="1:17" ht="14.25" customHeight="1" x14ac:dyDescent="0.45">
      <c r="A38" s="75">
        <f>'Stats Global'!B39</f>
        <v>0</v>
      </c>
      <c r="B38" s="83">
        <f>'Stats Global'!L39</f>
        <v>0</v>
      </c>
      <c r="C38" s="83">
        <f>'Stats Global'!M39+'Stats Global'!N39</f>
        <v>0</v>
      </c>
      <c r="D38" s="83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3">
        <f>'Stats Global'!L40</f>
        <v>0</v>
      </c>
      <c r="C39" s="83">
        <f>'Stats Global'!M40+'Stats Global'!N40</f>
        <v>0</v>
      </c>
      <c r="D39" s="83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3">
        <f>'Stats Global'!L41</f>
        <v>0</v>
      </c>
      <c r="C40" s="83">
        <f>'Stats Global'!M41+'Stats Global'!N41</f>
        <v>0</v>
      </c>
      <c r="D40" s="83">
        <f>'Stats Global'!Q41</f>
        <v>0</v>
      </c>
      <c r="E40" s="80"/>
      <c r="F40" s="80"/>
    </row>
    <row r="41" spans="1:17" ht="14.25" customHeight="1" x14ac:dyDescent="0.45">
      <c r="C41" s="121">
        <f>SUM(B7:B40)/SUM(B7:C40)</f>
        <v>0.50980392156862742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O6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7" t="s">
        <v>119</v>
      </c>
      <c r="U41" s="157"/>
      <c r="V41" s="157"/>
    </row>
    <row r="42" spans="2:26" ht="14.25" customHeight="1" x14ac:dyDescent="0.9">
      <c r="R42" s="99"/>
      <c r="S42" s="99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E1000"/>
  <sheetViews>
    <sheetView zoomScale="79" workbookViewId="0">
      <selection activeCell="C3" sqref="C3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0,</v>
      </c>
      <c r="S25" s="16" t="str">
        <f t="shared" si="9"/>
        <v>0,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7" t="s">
        <v>119</v>
      </c>
      <c r="U41" s="157"/>
      <c r="V41" s="157"/>
    </row>
    <row r="42" spans="2:26" ht="14.25" customHeight="1" x14ac:dyDescent="0.9">
      <c r="R42" s="99"/>
      <c r="S42" s="99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"Date":["3-August"],</v>
      </c>
    </row>
    <row r="45" spans="2:26" ht="14.25" customHeight="1" x14ac:dyDescent="0.45">
      <c r="B45" s="74" t="str">
        <f>C2</f>
        <v>3-August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E1000"/>
  <sheetViews>
    <sheetView zoomScale="79" workbookViewId="0">
      <selection activeCell="C28" activeCellId="3" sqref="C9:F9 C12:F14 C20:F25 C28:F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201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205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205</v>
      </c>
      <c r="G14" s="25">
        <v>3</v>
      </c>
      <c r="H14" s="25">
        <v>2</v>
      </c>
      <c r="I14" s="25">
        <v>1</v>
      </c>
      <c r="Q14" s="2" t="s">
        <v>201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206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205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205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205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28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205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</row>
    <row r="23" spans="2:28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205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</row>
    <row r="25" spans="2:28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</row>
    <row r="26" spans="2:28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206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</row>
    <row r="27" spans="2:28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205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</row>
    <row r="28" spans="2:28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205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</row>
    <row r="29" spans="2:28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206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</row>
    <row r="30" spans="2:28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</row>
    <row r="31" spans="2:28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</row>
    <row r="32" spans="2:28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</row>
    <row r="33" spans="2:26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7" t="s">
        <v>119</v>
      </c>
      <c r="U41" s="157"/>
      <c r="V41" s="157"/>
    </row>
    <row r="42" spans="2:26" ht="14.25" customHeight="1" x14ac:dyDescent="0.9">
      <c r="R42" s="99"/>
      <c r="S42" s="99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"Date":["2-August"],</v>
      </c>
    </row>
    <row r="45" spans="2:26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E1000"/>
  <sheetViews>
    <sheetView zoomScale="79" workbookViewId="0">
      <selection activeCell="C15" activeCellId="1" sqref="C11:E12 C15:E1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206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206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206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205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205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205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205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9"/>
      <c r="S41" s="99"/>
      <c r="T41" s="157" t="s">
        <v>119</v>
      </c>
      <c r="U41" s="157"/>
      <c r="V41" s="157"/>
    </row>
    <row r="42" spans="2:26" ht="14.25" customHeight="1" x14ac:dyDescent="0.9">
      <c r="R42" s="99"/>
      <c r="S42" s="99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100" t="s">
        <v>177</v>
      </c>
      <c r="H44" s="100" t="s">
        <v>178</v>
      </c>
      <c r="I44" s="16" t="s">
        <v>172</v>
      </c>
      <c r="J44" s="16" t="s">
        <v>179</v>
      </c>
      <c r="K44" s="100" t="s">
        <v>180</v>
      </c>
      <c r="L44" s="16" t="s">
        <v>173</v>
      </c>
      <c r="M44" s="100" t="s">
        <v>181</v>
      </c>
      <c r="N44" s="100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"Date":["1-August"],</v>
      </c>
    </row>
    <row r="45" spans="2:26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SfW</vt:lpstr>
      <vt:lpstr>Stats Global</vt:lpstr>
      <vt:lpstr>Statistics LG</vt:lpstr>
      <vt:lpstr>Statistics WW</vt:lpstr>
      <vt:lpstr>Statistics 5M</vt:lpstr>
      <vt:lpstr>Template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2023-08-03T01:25:40Z</dcterms:modified>
</cp:coreProperties>
</file>