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05AB161E-2B97-4EDF-9E63-A5E4E28ED039}" xr6:coauthVersionLast="47" xr6:coauthVersionMax="47" xr10:uidLastSave="{00000000-0000-0000-0000-000000000000}"/>
  <bookViews>
    <workbookView xWindow="-98" yWindow="-98" windowWidth="22695" windowHeight="14595" firstSheet="1" activeTab="3" xr2:uid="{1E3275F7-0219-46B7-B9B0-3246E28631A6}"/>
  </bookViews>
  <sheets>
    <sheet name="Awards" sheetId="31" r:id="rId1"/>
    <sheet name="SfW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Championship Game" sheetId="34" r:id="rId8"/>
    <sheet name="Play-In" sheetId="33" r:id="rId9"/>
    <sheet name="Final Ladder" sheetId="32" r:id="rId10"/>
    <sheet name="Finals 3" sheetId="30" r:id="rId11"/>
    <sheet name="Finals 2" sheetId="29" r:id="rId12"/>
    <sheet name="Finals 1" sheetId="28" r:id="rId13"/>
    <sheet name="1708" sheetId="27" r:id="rId14"/>
    <sheet name="1508" sheetId="26" r:id="rId15"/>
    <sheet name="1408" sheetId="25" r:id="rId16"/>
    <sheet name="1008" sheetId="24" r:id="rId17"/>
    <sheet name="0908" sheetId="23" r:id="rId18"/>
    <sheet name="0808" sheetId="22" r:id="rId19"/>
    <sheet name="0308" sheetId="21" r:id="rId20"/>
    <sheet name="0208" sheetId="20" r:id="rId21"/>
    <sheet name="0108" sheetId="19" r:id="rId22"/>
    <sheet name="3107" sheetId="18" r:id="rId23"/>
    <sheet name="2707" sheetId="17" r:id="rId24"/>
    <sheet name="2607" sheetId="16" r:id="rId25"/>
    <sheet name="2407" sheetId="15" r:id="rId26"/>
    <sheet name="2007" sheetId="14" r:id="rId27"/>
    <sheet name="1907" sheetId="13" r:id="rId28"/>
    <sheet name="1807" sheetId="12" r:id="rId29"/>
    <sheet name="1707" sheetId="11" r:id="rId30"/>
    <sheet name="Preseason 3" sheetId="10" r:id="rId31"/>
    <sheet name="Preseason 2" sheetId="9" r:id="rId32"/>
    <sheet name="Preseason 1" sheetId="8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4" l="1"/>
  <c r="P27" i="4"/>
  <c r="Q45" i="34"/>
  <c r="P45" i="34"/>
  <c r="O45" i="34"/>
  <c r="B45" i="34"/>
  <c r="T44" i="34"/>
  <c r="AA39" i="34"/>
  <c r="Z39" i="34"/>
  <c r="Y39" i="34"/>
  <c r="V39" i="34"/>
  <c r="U39" i="34"/>
  <c r="T39" i="34"/>
  <c r="S39" i="34"/>
  <c r="AA38" i="34"/>
  <c r="Z38" i="34"/>
  <c r="Y38" i="34"/>
  <c r="AA37" i="34"/>
  <c r="Z37" i="34"/>
  <c r="Y37" i="34"/>
  <c r="V37" i="34"/>
  <c r="U37" i="34"/>
  <c r="T37" i="34"/>
  <c r="S37" i="34"/>
  <c r="AA36" i="34"/>
  <c r="Z36" i="34"/>
  <c r="Y36" i="34"/>
  <c r="V36" i="34"/>
  <c r="U36" i="34"/>
  <c r="T36" i="34"/>
  <c r="S36" i="34"/>
  <c r="AG35" i="34"/>
  <c r="AF35" i="34"/>
  <c r="AE35" i="34"/>
  <c r="AD35" i="34" s="1"/>
  <c r="AA35" i="34"/>
  <c r="Z35" i="34"/>
  <c r="Y35" i="34"/>
  <c r="AG34" i="34"/>
  <c r="AF34" i="34"/>
  <c r="AE34" i="34"/>
  <c r="AA34" i="34"/>
  <c r="Z34" i="34"/>
  <c r="Y34" i="34"/>
  <c r="AG33" i="34"/>
  <c r="AF33" i="34"/>
  <c r="AE33" i="34"/>
  <c r="AA33" i="34"/>
  <c r="Z33" i="34"/>
  <c r="Y33" i="34"/>
  <c r="AG32" i="34"/>
  <c r="AF32" i="34"/>
  <c r="AE32" i="34"/>
  <c r="AD32" i="34"/>
  <c r="AA32" i="34"/>
  <c r="Z32" i="34"/>
  <c r="Y32" i="34"/>
  <c r="AG31" i="34"/>
  <c r="AF31" i="34"/>
  <c r="AE31" i="34"/>
  <c r="AA31" i="34"/>
  <c r="Z31" i="34"/>
  <c r="Y31" i="34"/>
  <c r="V31" i="34"/>
  <c r="U31" i="34"/>
  <c r="T31" i="34"/>
  <c r="S31" i="34"/>
  <c r="AG30" i="34"/>
  <c r="AF30" i="34"/>
  <c r="AE30" i="34"/>
  <c r="AD30" i="34" s="1"/>
  <c r="AA30" i="34"/>
  <c r="Z30" i="34"/>
  <c r="Y30" i="34"/>
  <c r="AG29" i="34"/>
  <c r="AF29" i="34"/>
  <c r="AE29" i="34"/>
  <c r="AD29" i="34" s="1"/>
  <c r="AA29" i="34"/>
  <c r="Z29" i="34"/>
  <c r="Y29" i="34"/>
  <c r="V29" i="34"/>
  <c r="U29" i="34"/>
  <c r="T29" i="34"/>
  <c r="S29" i="34"/>
  <c r="AG28" i="34"/>
  <c r="AF28" i="34"/>
  <c r="AE28" i="34"/>
  <c r="AA28" i="34"/>
  <c r="Z28" i="34"/>
  <c r="Y28" i="34"/>
  <c r="AG27" i="34"/>
  <c r="AF27" i="34"/>
  <c r="AE27" i="34"/>
  <c r="AA27" i="34"/>
  <c r="Z27" i="34"/>
  <c r="Y27" i="34"/>
  <c r="AG26" i="34"/>
  <c r="AF26" i="34"/>
  <c r="AE26" i="34"/>
  <c r="AD26" i="34" s="1"/>
  <c r="AA26" i="34"/>
  <c r="Z26" i="34"/>
  <c r="Y26" i="34"/>
  <c r="AG25" i="34"/>
  <c r="AF25" i="34"/>
  <c r="AE25" i="34"/>
  <c r="AA25" i="34"/>
  <c r="Z25" i="34"/>
  <c r="Y25" i="34"/>
  <c r="V25" i="34"/>
  <c r="U25" i="34"/>
  <c r="T25" i="34"/>
  <c r="S25" i="34"/>
  <c r="AG24" i="34"/>
  <c r="AF24" i="34"/>
  <c r="AE24" i="34"/>
  <c r="AD24" i="34"/>
  <c r="AA24" i="34"/>
  <c r="Z24" i="34"/>
  <c r="Y24" i="34"/>
  <c r="V24" i="34"/>
  <c r="U24" i="34"/>
  <c r="T24" i="34"/>
  <c r="S24" i="34"/>
  <c r="AA23" i="34"/>
  <c r="Z23" i="34"/>
  <c r="Y23" i="34"/>
  <c r="V23" i="34"/>
  <c r="U23" i="34"/>
  <c r="T23" i="34"/>
  <c r="S23" i="34"/>
  <c r="AA22" i="34"/>
  <c r="Z22" i="34"/>
  <c r="Y22" i="34"/>
  <c r="AA21" i="34"/>
  <c r="Z21" i="34"/>
  <c r="Y21" i="34"/>
  <c r="AA20" i="34"/>
  <c r="Z20" i="34"/>
  <c r="Y20" i="34"/>
  <c r="AA19" i="34"/>
  <c r="Z19" i="34"/>
  <c r="Y19" i="34"/>
  <c r="V19" i="34"/>
  <c r="S19" i="34" s="1"/>
  <c r="U19" i="34"/>
  <c r="T19" i="34"/>
  <c r="AA18" i="34"/>
  <c r="Z18" i="34"/>
  <c r="Y18" i="34"/>
  <c r="V18" i="34"/>
  <c r="V38" i="34" s="1"/>
  <c r="U18" i="34"/>
  <c r="U38" i="34" s="1"/>
  <c r="T18" i="34"/>
  <c r="T38" i="34" s="1"/>
  <c r="AA17" i="34"/>
  <c r="Z17" i="34"/>
  <c r="Y17" i="34"/>
  <c r="V17" i="34"/>
  <c r="S17" i="34" s="1"/>
  <c r="U17" i="34"/>
  <c r="T17" i="34"/>
  <c r="AA16" i="34"/>
  <c r="Z16" i="34"/>
  <c r="Y16" i="34"/>
  <c r="V16" i="34"/>
  <c r="S16" i="34" s="1"/>
  <c r="U16" i="34"/>
  <c r="T16" i="34"/>
  <c r="AA15" i="34"/>
  <c r="Z15" i="34"/>
  <c r="Y15" i="34"/>
  <c r="V15" i="34"/>
  <c r="V35" i="34" s="1"/>
  <c r="U15" i="34"/>
  <c r="U35" i="34" s="1"/>
  <c r="T15" i="34"/>
  <c r="T35" i="34" s="1"/>
  <c r="S15" i="34"/>
  <c r="S35" i="34" s="1"/>
  <c r="AA14" i="34"/>
  <c r="Z14" i="34"/>
  <c r="Y14" i="34"/>
  <c r="V14" i="34"/>
  <c r="V34" i="34" s="1"/>
  <c r="U14" i="34"/>
  <c r="U34" i="34" s="1"/>
  <c r="T14" i="34"/>
  <c r="T34" i="34" s="1"/>
  <c r="AA13" i="34"/>
  <c r="Z13" i="34"/>
  <c r="Y13" i="34"/>
  <c r="V13" i="34"/>
  <c r="S13" i="34" s="1"/>
  <c r="S33" i="34" s="1"/>
  <c r="U13" i="34"/>
  <c r="U33" i="34" s="1"/>
  <c r="T13" i="34"/>
  <c r="T33" i="34" s="1"/>
  <c r="AA12" i="34"/>
  <c r="Z12" i="34"/>
  <c r="Y12" i="34"/>
  <c r="V12" i="34"/>
  <c r="V32" i="34" s="1"/>
  <c r="U12" i="34"/>
  <c r="U32" i="34" s="1"/>
  <c r="T12" i="34"/>
  <c r="T32" i="34" s="1"/>
  <c r="AA11" i="34"/>
  <c r="Z11" i="34"/>
  <c r="Y11" i="34"/>
  <c r="V11" i="34"/>
  <c r="S11" i="34" s="1"/>
  <c r="U11" i="34"/>
  <c r="T11" i="34"/>
  <c r="AA10" i="34"/>
  <c r="Z10" i="34"/>
  <c r="Y10" i="34"/>
  <c r="V10" i="34"/>
  <c r="V30" i="34" s="1"/>
  <c r="U10" i="34"/>
  <c r="U30" i="34" s="1"/>
  <c r="T10" i="34"/>
  <c r="T30" i="34" s="1"/>
  <c r="S10" i="34"/>
  <c r="S30" i="34" s="1"/>
  <c r="AA9" i="34"/>
  <c r="Z9" i="34"/>
  <c r="Y9" i="34"/>
  <c r="V9" i="34"/>
  <c r="S9" i="34" s="1"/>
  <c r="U9" i="34"/>
  <c r="T9" i="34"/>
  <c r="AA8" i="34"/>
  <c r="Z8" i="34"/>
  <c r="Y8" i="34"/>
  <c r="V8" i="34"/>
  <c r="S8" i="34" s="1"/>
  <c r="S28" i="34" s="1"/>
  <c r="U8" i="34"/>
  <c r="U28" i="34" s="1"/>
  <c r="T8" i="34"/>
  <c r="T28" i="34" s="1"/>
  <c r="AA7" i="34"/>
  <c r="Z7" i="34"/>
  <c r="Y7" i="34"/>
  <c r="V7" i="34"/>
  <c r="V27" i="34" s="1"/>
  <c r="U7" i="34"/>
  <c r="U27" i="34" s="1"/>
  <c r="T7" i="34"/>
  <c r="T27" i="34" s="1"/>
  <c r="AA6" i="34"/>
  <c r="Z6" i="34"/>
  <c r="Y6" i="34"/>
  <c r="V6" i="34"/>
  <c r="V26" i="34" s="1"/>
  <c r="U6" i="34"/>
  <c r="U26" i="34" s="1"/>
  <c r="T6" i="34"/>
  <c r="T26" i="34" s="1"/>
  <c r="AA5" i="34"/>
  <c r="Z5" i="34"/>
  <c r="G45" i="34" s="1"/>
  <c r="Y5" i="34"/>
  <c r="V5" i="34"/>
  <c r="U5" i="34"/>
  <c r="T5" i="34"/>
  <c r="S5" i="34"/>
  <c r="O5" i="34"/>
  <c r="N5" i="34"/>
  <c r="M5" i="34"/>
  <c r="I45" i="34" s="1"/>
  <c r="AA4" i="34"/>
  <c r="Z4" i="34"/>
  <c r="Y4" i="34"/>
  <c r="V4" i="34"/>
  <c r="S4" i="34" s="1"/>
  <c r="U4" i="34"/>
  <c r="T4" i="34"/>
  <c r="N4" i="34"/>
  <c r="M4" i="34"/>
  <c r="O4" i="34" s="1"/>
  <c r="V3" i="34"/>
  <c r="U3" i="34"/>
  <c r="T3" i="34"/>
  <c r="S3" i="34"/>
  <c r="N3" i="34"/>
  <c r="M3" i="34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B89" i="3"/>
  <c r="AC89" i="3"/>
  <c r="AD89" i="3"/>
  <c r="AA89" i="3"/>
  <c r="Q45" i="33"/>
  <c r="P45" i="33"/>
  <c r="O45" i="33"/>
  <c r="B45" i="33"/>
  <c r="T44" i="33"/>
  <c r="AA39" i="33"/>
  <c r="Z39" i="33"/>
  <c r="Y39" i="33"/>
  <c r="AA38" i="33"/>
  <c r="Z38" i="33"/>
  <c r="Y38" i="33"/>
  <c r="AA37" i="33"/>
  <c r="Z37" i="33"/>
  <c r="Y37" i="33"/>
  <c r="AA36" i="33"/>
  <c r="Z36" i="33"/>
  <c r="Y36" i="33"/>
  <c r="AG35" i="33"/>
  <c r="AF35" i="33"/>
  <c r="AE35" i="33"/>
  <c r="AA35" i="33"/>
  <c r="Z35" i="33"/>
  <c r="Y35" i="33"/>
  <c r="V35" i="33"/>
  <c r="U35" i="33"/>
  <c r="T35" i="33"/>
  <c r="S35" i="33"/>
  <c r="AG34" i="33"/>
  <c r="AF34" i="33"/>
  <c r="AE34" i="33"/>
  <c r="AA34" i="33"/>
  <c r="Z34" i="33"/>
  <c r="Y34" i="33"/>
  <c r="V34" i="33"/>
  <c r="U34" i="33"/>
  <c r="T34" i="33"/>
  <c r="S34" i="33"/>
  <c r="AG33" i="33"/>
  <c r="AF33" i="33"/>
  <c r="AE33" i="33"/>
  <c r="AA33" i="33"/>
  <c r="Z33" i="33"/>
  <c r="Y33" i="33"/>
  <c r="V33" i="33"/>
  <c r="U33" i="33"/>
  <c r="T33" i="33"/>
  <c r="S33" i="33"/>
  <c r="AG32" i="33"/>
  <c r="AF32" i="33"/>
  <c r="AE32" i="33"/>
  <c r="AA32" i="33"/>
  <c r="Z32" i="33"/>
  <c r="Y32" i="33"/>
  <c r="AG31" i="33"/>
  <c r="AF31" i="33"/>
  <c r="AE31" i="33"/>
  <c r="AD31" i="33" s="1"/>
  <c r="AA31" i="33"/>
  <c r="Z31" i="33"/>
  <c r="Y31" i="33"/>
  <c r="AG30" i="33"/>
  <c r="AF30" i="33"/>
  <c r="AE30" i="33"/>
  <c r="AA30" i="33"/>
  <c r="Z30" i="33"/>
  <c r="Y30" i="33"/>
  <c r="AG29" i="33"/>
  <c r="AF29" i="33"/>
  <c r="AE29" i="33"/>
  <c r="AA29" i="33"/>
  <c r="Z29" i="33"/>
  <c r="Y29" i="33"/>
  <c r="AG28" i="33"/>
  <c r="AF28" i="33"/>
  <c r="AE28" i="33"/>
  <c r="AA28" i="33"/>
  <c r="Z28" i="33"/>
  <c r="Y28" i="33"/>
  <c r="AG27" i="33"/>
  <c r="AF27" i="33"/>
  <c r="AE27" i="33"/>
  <c r="AD27" i="33" s="1"/>
  <c r="AA27" i="33"/>
  <c r="Z27" i="33"/>
  <c r="Y27" i="33"/>
  <c r="AG26" i="33"/>
  <c r="AF26" i="33"/>
  <c r="AE26" i="33"/>
  <c r="AA26" i="33"/>
  <c r="Z26" i="33"/>
  <c r="Y26" i="33"/>
  <c r="AG25" i="33"/>
  <c r="AF25" i="33"/>
  <c r="AE25" i="33"/>
  <c r="AA25" i="33"/>
  <c r="Z25" i="33"/>
  <c r="Y25" i="33"/>
  <c r="V25" i="33"/>
  <c r="U25" i="33"/>
  <c r="T25" i="33"/>
  <c r="S25" i="33"/>
  <c r="AG24" i="33"/>
  <c r="AF24" i="33"/>
  <c r="AE24" i="33"/>
  <c r="AA24" i="33"/>
  <c r="Z24" i="33"/>
  <c r="Y24" i="33"/>
  <c r="AA23" i="33"/>
  <c r="Z23" i="33"/>
  <c r="Y23" i="33"/>
  <c r="AA22" i="33"/>
  <c r="Z22" i="33"/>
  <c r="Y22" i="33"/>
  <c r="AA21" i="33"/>
  <c r="Z21" i="33"/>
  <c r="Y21" i="33"/>
  <c r="AA20" i="33"/>
  <c r="Z20" i="33"/>
  <c r="Y20" i="33"/>
  <c r="AA19" i="33"/>
  <c r="Z19" i="33"/>
  <c r="Y19" i="33"/>
  <c r="V19" i="33"/>
  <c r="V39" i="33" s="1"/>
  <c r="U19" i="33"/>
  <c r="U39" i="33" s="1"/>
  <c r="T19" i="33"/>
  <c r="T39" i="33" s="1"/>
  <c r="AA18" i="33"/>
  <c r="Z18" i="33"/>
  <c r="Y18" i="33"/>
  <c r="V18" i="33"/>
  <c r="V38" i="33" s="1"/>
  <c r="U18" i="33"/>
  <c r="U38" i="33" s="1"/>
  <c r="T18" i="33"/>
  <c r="T38" i="33" s="1"/>
  <c r="S18" i="33"/>
  <c r="S38" i="33" s="1"/>
  <c r="AA17" i="33"/>
  <c r="Z17" i="33"/>
  <c r="Y17" i="33"/>
  <c r="V17" i="33"/>
  <c r="V37" i="33" s="1"/>
  <c r="U17" i="33"/>
  <c r="U37" i="33" s="1"/>
  <c r="T17" i="33"/>
  <c r="T37" i="33" s="1"/>
  <c r="AA16" i="33"/>
  <c r="Z16" i="33"/>
  <c r="Y16" i="33"/>
  <c r="V16" i="33"/>
  <c r="V36" i="33" s="1"/>
  <c r="U16" i="33"/>
  <c r="U36" i="33" s="1"/>
  <c r="T16" i="33"/>
  <c r="T36" i="33" s="1"/>
  <c r="AA15" i="33"/>
  <c r="Z15" i="33"/>
  <c r="Y15" i="33"/>
  <c r="V15" i="33"/>
  <c r="S15" i="33" s="1"/>
  <c r="U15" i="33"/>
  <c r="T15" i="33"/>
  <c r="AA14" i="33"/>
  <c r="Z14" i="33"/>
  <c r="Y14" i="33"/>
  <c r="V14" i="33"/>
  <c r="S14" i="33" s="1"/>
  <c r="U14" i="33"/>
  <c r="T14" i="33"/>
  <c r="AA13" i="33"/>
  <c r="Z13" i="33"/>
  <c r="Y13" i="33"/>
  <c r="V13" i="33"/>
  <c r="S13" i="33" s="1"/>
  <c r="U13" i="33"/>
  <c r="T13" i="33"/>
  <c r="AA12" i="33"/>
  <c r="Z12" i="33"/>
  <c r="Y12" i="33"/>
  <c r="V12" i="33"/>
  <c r="V32" i="33" s="1"/>
  <c r="U12" i="33"/>
  <c r="U32" i="33" s="1"/>
  <c r="T12" i="33"/>
  <c r="T32" i="33" s="1"/>
  <c r="AA11" i="33"/>
  <c r="Z11" i="33"/>
  <c r="Y11" i="33"/>
  <c r="V11" i="33"/>
  <c r="S11" i="33" s="1"/>
  <c r="S31" i="33" s="1"/>
  <c r="U11" i="33"/>
  <c r="U31" i="33" s="1"/>
  <c r="T11" i="33"/>
  <c r="T31" i="33" s="1"/>
  <c r="AA10" i="33"/>
  <c r="Z10" i="33"/>
  <c r="Y10" i="33"/>
  <c r="V10" i="33"/>
  <c r="V30" i="33" s="1"/>
  <c r="U10" i="33"/>
  <c r="U30" i="33" s="1"/>
  <c r="T10" i="33"/>
  <c r="T30" i="33" s="1"/>
  <c r="S10" i="33"/>
  <c r="S30" i="33" s="1"/>
  <c r="AA9" i="33"/>
  <c r="Z9" i="33"/>
  <c r="Y9" i="33"/>
  <c r="V9" i="33"/>
  <c r="V29" i="33" s="1"/>
  <c r="U9" i="33"/>
  <c r="U29" i="33" s="1"/>
  <c r="T9" i="33"/>
  <c r="T29" i="33" s="1"/>
  <c r="AA8" i="33"/>
  <c r="Z8" i="33"/>
  <c r="Y8" i="33"/>
  <c r="V8" i="33"/>
  <c r="V28" i="33" s="1"/>
  <c r="U8" i="33"/>
  <c r="U28" i="33" s="1"/>
  <c r="T8" i="33"/>
  <c r="T28" i="33" s="1"/>
  <c r="AA7" i="33"/>
  <c r="Z7" i="33"/>
  <c r="Y7" i="33"/>
  <c r="V7" i="33"/>
  <c r="S7" i="33" s="1"/>
  <c r="S27" i="33" s="1"/>
  <c r="U7" i="33"/>
  <c r="U27" i="33" s="1"/>
  <c r="T7" i="33"/>
  <c r="T27" i="33" s="1"/>
  <c r="AA6" i="33"/>
  <c r="Z6" i="33"/>
  <c r="Y6" i="33"/>
  <c r="V6" i="33"/>
  <c r="V26" i="33" s="1"/>
  <c r="U6" i="33"/>
  <c r="U26" i="33" s="1"/>
  <c r="T6" i="33"/>
  <c r="T26" i="33" s="1"/>
  <c r="AA5" i="33"/>
  <c r="Z5" i="33"/>
  <c r="Y5" i="33"/>
  <c r="V5" i="33"/>
  <c r="S5" i="33" s="1"/>
  <c r="U5" i="33"/>
  <c r="T5" i="33"/>
  <c r="N5" i="33"/>
  <c r="M5" i="33"/>
  <c r="I45" i="33" s="1"/>
  <c r="AA4" i="33"/>
  <c r="Z4" i="33"/>
  <c r="Y4" i="33"/>
  <c r="V4" i="33"/>
  <c r="V24" i="33" s="1"/>
  <c r="U4" i="33"/>
  <c r="U24" i="33" s="1"/>
  <c r="T4" i="33"/>
  <c r="T24" i="33" s="1"/>
  <c r="S4" i="33"/>
  <c r="S24" i="33" s="1"/>
  <c r="N4" i="33"/>
  <c r="M4" i="33"/>
  <c r="V3" i="33"/>
  <c r="S3" i="33" s="1"/>
  <c r="S23" i="33" s="1"/>
  <c r="U3" i="33"/>
  <c r="U23" i="33" s="1"/>
  <c r="T3" i="33"/>
  <c r="T23" i="33" s="1"/>
  <c r="N3" i="33"/>
  <c r="M3" i="33"/>
  <c r="N5" i="32"/>
  <c r="M5" i="32"/>
  <c r="N4" i="32"/>
  <c r="M4" i="32"/>
  <c r="N3" i="32"/>
  <c r="M3" i="32"/>
  <c r="G28" i="3"/>
  <c r="H28" i="3"/>
  <c r="J28" i="3"/>
  <c r="K28" i="3"/>
  <c r="M28" i="3"/>
  <c r="N28" i="3"/>
  <c r="O28" i="3"/>
  <c r="P28" i="3"/>
  <c r="Q28" i="3"/>
  <c r="B28" i="3"/>
  <c r="T17" i="32"/>
  <c r="T37" i="32" s="1"/>
  <c r="U17" i="32"/>
  <c r="U37" i="32" s="1"/>
  <c r="V17" i="32"/>
  <c r="S17" i="32" s="1"/>
  <c r="Q45" i="32"/>
  <c r="P45" i="32"/>
  <c r="O45" i="32"/>
  <c r="B45" i="32"/>
  <c r="T44" i="32"/>
  <c r="AA39" i="32"/>
  <c r="Z39" i="32"/>
  <c r="Y39" i="32"/>
  <c r="AA38" i="32"/>
  <c r="Z38" i="32"/>
  <c r="Y38" i="32"/>
  <c r="AA37" i="32"/>
  <c r="Z37" i="32"/>
  <c r="Y37" i="32"/>
  <c r="AA36" i="32"/>
  <c r="Z36" i="32"/>
  <c r="Y36" i="32"/>
  <c r="AG35" i="32"/>
  <c r="AF35" i="32"/>
  <c r="AE35" i="32"/>
  <c r="AA35" i="32"/>
  <c r="Z35" i="32"/>
  <c r="Y35" i="32"/>
  <c r="AG34" i="32"/>
  <c r="AF34" i="32"/>
  <c r="AE34" i="32"/>
  <c r="AA34" i="32"/>
  <c r="Z34" i="32"/>
  <c r="Y34" i="32"/>
  <c r="V34" i="32"/>
  <c r="U34" i="32"/>
  <c r="T34" i="32"/>
  <c r="S34" i="32"/>
  <c r="AG33" i="32"/>
  <c r="AF33" i="32"/>
  <c r="AE33" i="32"/>
  <c r="AA33" i="32"/>
  <c r="Z33" i="32"/>
  <c r="Y33" i="32"/>
  <c r="AG32" i="32"/>
  <c r="AF32" i="32"/>
  <c r="AE32" i="32"/>
  <c r="AA32" i="32"/>
  <c r="Z32" i="32"/>
  <c r="Y32" i="32"/>
  <c r="AG31" i="32"/>
  <c r="AF31" i="32"/>
  <c r="AE31" i="32"/>
  <c r="AA31" i="32"/>
  <c r="Z31" i="32"/>
  <c r="Y31" i="32"/>
  <c r="AG30" i="32"/>
  <c r="AF30" i="32"/>
  <c r="AE30" i="32"/>
  <c r="AA30" i="32"/>
  <c r="Z30" i="32"/>
  <c r="Y30" i="32"/>
  <c r="AG29" i="32"/>
  <c r="AF29" i="32"/>
  <c r="AE29" i="32"/>
  <c r="AA29" i="32"/>
  <c r="Z29" i="32"/>
  <c r="Y29" i="32"/>
  <c r="AG28" i="32"/>
  <c r="AF28" i="32"/>
  <c r="AE28" i="32"/>
  <c r="AA28" i="32"/>
  <c r="Z28" i="32"/>
  <c r="Y28" i="32"/>
  <c r="AG27" i="32"/>
  <c r="AF27" i="32"/>
  <c r="AE27" i="32"/>
  <c r="AA27" i="32"/>
  <c r="Z27" i="32"/>
  <c r="Y27" i="32"/>
  <c r="AG26" i="32"/>
  <c r="AF26" i="32"/>
  <c r="AE26" i="32"/>
  <c r="AA26" i="32"/>
  <c r="Z26" i="32"/>
  <c r="Y26" i="32"/>
  <c r="V26" i="32"/>
  <c r="U26" i="32"/>
  <c r="T26" i="32"/>
  <c r="S26" i="32"/>
  <c r="AG25" i="32"/>
  <c r="AF25" i="32"/>
  <c r="AE25" i="32"/>
  <c r="AA25" i="32"/>
  <c r="Z25" i="32"/>
  <c r="Y25" i="32"/>
  <c r="AG24" i="32"/>
  <c r="AF24" i="32"/>
  <c r="AE24" i="32"/>
  <c r="AA24" i="32"/>
  <c r="Z24" i="32"/>
  <c r="Y24" i="32"/>
  <c r="AA23" i="32"/>
  <c r="Z23" i="32"/>
  <c r="Y23" i="32"/>
  <c r="AA22" i="32"/>
  <c r="Z22" i="32"/>
  <c r="Y22" i="32"/>
  <c r="AA21" i="32"/>
  <c r="Z21" i="32"/>
  <c r="Y21" i="32"/>
  <c r="AA20" i="32"/>
  <c r="Z20" i="32"/>
  <c r="Y20" i="32"/>
  <c r="AA19" i="32"/>
  <c r="Z19" i="32"/>
  <c r="Y19" i="32"/>
  <c r="V19" i="32"/>
  <c r="V39" i="32" s="1"/>
  <c r="U19" i="32"/>
  <c r="U39" i="32" s="1"/>
  <c r="T19" i="32"/>
  <c r="T39" i="32" s="1"/>
  <c r="AA18" i="32"/>
  <c r="Z18" i="32"/>
  <c r="Y18" i="32"/>
  <c r="V18" i="32"/>
  <c r="V38" i="32" s="1"/>
  <c r="U18" i="32"/>
  <c r="U38" i="32" s="1"/>
  <c r="T18" i="32"/>
  <c r="T38" i="32" s="1"/>
  <c r="AA17" i="32"/>
  <c r="Z17" i="32"/>
  <c r="Y17" i="32"/>
  <c r="AA16" i="32"/>
  <c r="Z16" i="32"/>
  <c r="Y16" i="32"/>
  <c r="V16" i="32"/>
  <c r="V36" i="32" s="1"/>
  <c r="U16" i="32"/>
  <c r="U36" i="32" s="1"/>
  <c r="T16" i="32"/>
  <c r="T36" i="32" s="1"/>
  <c r="AA15" i="32"/>
  <c r="Z15" i="32"/>
  <c r="Y15" i="32"/>
  <c r="V15" i="32"/>
  <c r="V35" i="32" s="1"/>
  <c r="U15" i="32"/>
  <c r="U35" i="32" s="1"/>
  <c r="T15" i="32"/>
  <c r="T35" i="32" s="1"/>
  <c r="AA14" i="32"/>
  <c r="Z14" i="32"/>
  <c r="Y14" i="32"/>
  <c r="V14" i="32"/>
  <c r="U14" i="32"/>
  <c r="T14" i="32"/>
  <c r="AA13" i="32"/>
  <c r="Z13" i="32"/>
  <c r="Y13" i="32"/>
  <c r="V13" i="32"/>
  <c r="S13" i="32" s="1"/>
  <c r="S33" i="32" s="1"/>
  <c r="U13" i="32"/>
  <c r="U33" i="32" s="1"/>
  <c r="T13" i="32"/>
  <c r="T33" i="32" s="1"/>
  <c r="AA12" i="32"/>
  <c r="Z12" i="32"/>
  <c r="Y12" i="32"/>
  <c r="V12" i="32"/>
  <c r="V32" i="32" s="1"/>
  <c r="U12" i="32"/>
  <c r="U32" i="32" s="1"/>
  <c r="T12" i="32"/>
  <c r="T32" i="32" s="1"/>
  <c r="AA11" i="32"/>
  <c r="Z11" i="32"/>
  <c r="Y11" i="32"/>
  <c r="V11" i="32"/>
  <c r="S11" i="32" s="1"/>
  <c r="S31" i="32" s="1"/>
  <c r="U11" i="32"/>
  <c r="U31" i="32" s="1"/>
  <c r="T11" i="32"/>
  <c r="T31" i="32" s="1"/>
  <c r="AA10" i="32"/>
  <c r="Z10" i="32"/>
  <c r="Y10" i="32"/>
  <c r="V10" i="32"/>
  <c r="V30" i="32" s="1"/>
  <c r="U10" i="32"/>
  <c r="U30" i="32" s="1"/>
  <c r="T10" i="32"/>
  <c r="T30" i="32" s="1"/>
  <c r="AA9" i="32"/>
  <c r="Z9" i="32"/>
  <c r="Y9" i="32"/>
  <c r="V9" i="32"/>
  <c r="S9" i="32" s="1"/>
  <c r="S29" i="32" s="1"/>
  <c r="U9" i="32"/>
  <c r="U29" i="32" s="1"/>
  <c r="T9" i="32"/>
  <c r="T29" i="32" s="1"/>
  <c r="AA8" i="32"/>
  <c r="Z8" i="32"/>
  <c r="Y8" i="32"/>
  <c r="V8" i="32"/>
  <c r="V28" i="32" s="1"/>
  <c r="U8" i="32"/>
  <c r="U28" i="32" s="1"/>
  <c r="T8" i="32"/>
  <c r="T28" i="32" s="1"/>
  <c r="AA7" i="32"/>
  <c r="Z7" i="32"/>
  <c r="Y7" i="32"/>
  <c r="V7" i="32"/>
  <c r="V27" i="32" s="1"/>
  <c r="U7" i="32"/>
  <c r="U27" i="32" s="1"/>
  <c r="T7" i="32"/>
  <c r="T27" i="32" s="1"/>
  <c r="AA6" i="32"/>
  <c r="Z6" i="32"/>
  <c r="Y6" i="32"/>
  <c r="V6" i="32"/>
  <c r="S6" i="32" s="1"/>
  <c r="U6" i="32"/>
  <c r="T6" i="32"/>
  <c r="AA5" i="32"/>
  <c r="Z5" i="32"/>
  <c r="Y5" i="32"/>
  <c r="V5" i="32"/>
  <c r="S5" i="32" s="1"/>
  <c r="S25" i="32" s="1"/>
  <c r="U5" i="32"/>
  <c r="U25" i="32" s="1"/>
  <c r="T5" i="32"/>
  <c r="T25" i="32" s="1"/>
  <c r="I45" i="32"/>
  <c r="I28" i="3" s="1"/>
  <c r="AA4" i="32"/>
  <c r="Z4" i="32"/>
  <c r="Y4" i="32"/>
  <c r="V4" i="32"/>
  <c r="V24" i="32" s="1"/>
  <c r="U4" i="32"/>
  <c r="U24" i="32" s="1"/>
  <c r="T4" i="32"/>
  <c r="T24" i="32" s="1"/>
  <c r="V3" i="32"/>
  <c r="V23" i="32" s="1"/>
  <c r="U3" i="32"/>
  <c r="U23" i="32" s="1"/>
  <c r="T3" i="32"/>
  <c r="Q45" i="30"/>
  <c r="P45" i="30"/>
  <c r="O45" i="30"/>
  <c r="B45" i="30"/>
  <c r="T44" i="30"/>
  <c r="AA39" i="30"/>
  <c r="Z39" i="30"/>
  <c r="Y39" i="30"/>
  <c r="V39" i="30"/>
  <c r="U39" i="30"/>
  <c r="T39" i="30"/>
  <c r="S39" i="30"/>
  <c r="AA38" i="30"/>
  <c r="Z38" i="30"/>
  <c r="Y38" i="30"/>
  <c r="AA37" i="30"/>
  <c r="Z37" i="30"/>
  <c r="Y37" i="30"/>
  <c r="AA36" i="30"/>
  <c r="Z36" i="30"/>
  <c r="Y36" i="30"/>
  <c r="AG35" i="30"/>
  <c r="AF35" i="30"/>
  <c r="AE35" i="30"/>
  <c r="AA35" i="30"/>
  <c r="Z35" i="30"/>
  <c r="Y35" i="30"/>
  <c r="AG34" i="30"/>
  <c r="AF34" i="30"/>
  <c r="AE34" i="30"/>
  <c r="AD34" i="30" s="1"/>
  <c r="AA34" i="30"/>
  <c r="Z34" i="30"/>
  <c r="Y34" i="30"/>
  <c r="V34" i="30"/>
  <c r="U34" i="30"/>
  <c r="T34" i="30"/>
  <c r="S34" i="30"/>
  <c r="AG33" i="30"/>
  <c r="AF33" i="30"/>
  <c r="AE33" i="30"/>
  <c r="AA33" i="30"/>
  <c r="Z33" i="30"/>
  <c r="Y33" i="30"/>
  <c r="AG32" i="30"/>
  <c r="AF32" i="30"/>
  <c r="AE32" i="30"/>
  <c r="AD32" i="30"/>
  <c r="AA32" i="30"/>
  <c r="Z32" i="30"/>
  <c r="Y32" i="30"/>
  <c r="AG31" i="30"/>
  <c r="AF31" i="30"/>
  <c r="AE31" i="30"/>
  <c r="AA31" i="30"/>
  <c r="Z31" i="30"/>
  <c r="Y31" i="30"/>
  <c r="AG30" i="30"/>
  <c r="AF30" i="30"/>
  <c r="AE30" i="30"/>
  <c r="AA30" i="30"/>
  <c r="Z30" i="30"/>
  <c r="Y30" i="30"/>
  <c r="AG29" i="30"/>
  <c r="AF29" i="30"/>
  <c r="AE29" i="30"/>
  <c r="AA29" i="30"/>
  <c r="Z29" i="30"/>
  <c r="Y29" i="30"/>
  <c r="AG28" i="30"/>
  <c r="AF28" i="30"/>
  <c r="AE28" i="30"/>
  <c r="AA28" i="30"/>
  <c r="Z28" i="30"/>
  <c r="Y28" i="30"/>
  <c r="AG27" i="30"/>
  <c r="AF27" i="30"/>
  <c r="AE27" i="30"/>
  <c r="AA27" i="30"/>
  <c r="Z27" i="30"/>
  <c r="Y27" i="30"/>
  <c r="AG26" i="30"/>
  <c r="AF26" i="30"/>
  <c r="AE26" i="30"/>
  <c r="AD26" i="30"/>
  <c r="AA26" i="30"/>
  <c r="Z26" i="30"/>
  <c r="Y26" i="30"/>
  <c r="AG25" i="30"/>
  <c r="AF25" i="30"/>
  <c r="AE25" i="30"/>
  <c r="AA25" i="30"/>
  <c r="Z25" i="30"/>
  <c r="Y25" i="30"/>
  <c r="AG24" i="30"/>
  <c r="AF24" i="30"/>
  <c r="AE24" i="30"/>
  <c r="AD24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V19" i="30"/>
  <c r="S19" i="30" s="1"/>
  <c r="U19" i="30"/>
  <c r="T19" i="30"/>
  <c r="AA18" i="30"/>
  <c r="Z18" i="30"/>
  <c r="Y18" i="30"/>
  <c r="V18" i="30"/>
  <c r="V38" i="30" s="1"/>
  <c r="U18" i="30"/>
  <c r="U38" i="30" s="1"/>
  <c r="T18" i="30"/>
  <c r="T38" i="30" s="1"/>
  <c r="AA17" i="30"/>
  <c r="Z17" i="30"/>
  <c r="Y17" i="30"/>
  <c r="V17" i="30"/>
  <c r="S17" i="30" s="1"/>
  <c r="S37" i="30" s="1"/>
  <c r="U17" i="30"/>
  <c r="U37" i="30" s="1"/>
  <c r="T17" i="30"/>
  <c r="T37" i="30" s="1"/>
  <c r="AA16" i="30"/>
  <c r="Z16" i="30"/>
  <c r="Y16" i="30"/>
  <c r="V16" i="30"/>
  <c r="S16" i="30" s="1"/>
  <c r="S36" i="30" s="1"/>
  <c r="U16" i="30"/>
  <c r="U36" i="30" s="1"/>
  <c r="T16" i="30"/>
  <c r="T36" i="30" s="1"/>
  <c r="AA15" i="30"/>
  <c r="Z15" i="30"/>
  <c r="Y15" i="30"/>
  <c r="V15" i="30"/>
  <c r="V35" i="30" s="1"/>
  <c r="U15" i="30"/>
  <c r="U35" i="30" s="1"/>
  <c r="T15" i="30"/>
  <c r="T35" i="30" s="1"/>
  <c r="AA14" i="30"/>
  <c r="Z14" i="30"/>
  <c r="Y14" i="30"/>
  <c r="V14" i="30"/>
  <c r="S14" i="30" s="1"/>
  <c r="U14" i="30"/>
  <c r="T14" i="30"/>
  <c r="AA13" i="30"/>
  <c r="Z13" i="30"/>
  <c r="Y13" i="30"/>
  <c r="V13" i="30"/>
  <c r="U13" i="30"/>
  <c r="U33" i="30" s="1"/>
  <c r="T13" i="30"/>
  <c r="T33" i="30" s="1"/>
  <c r="AA12" i="30"/>
  <c r="Z12" i="30"/>
  <c r="Y12" i="30"/>
  <c r="V12" i="30"/>
  <c r="V32" i="30" s="1"/>
  <c r="U12" i="30"/>
  <c r="U32" i="30" s="1"/>
  <c r="T12" i="30"/>
  <c r="T32" i="30" s="1"/>
  <c r="AA11" i="30"/>
  <c r="Z11" i="30"/>
  <c r="Y11" i="30"/>
  <c r="V11" i="30"/>
  <c r="S11" i="30" s="1"/>
  <c r="S31" i="30" s="1"/>
  <c r="U11" i="30"/>
  <c r="U31" i="30" s="1"/>
  <c r="T11" i="30"/>
  <c r="T31" i="30" s="1"/>
  <c r="AA10" i="30"/>
  <c r="Z10" i="30"/>
  <c r="Y10" i="30"/>
  <c r="V10" i="30"/>
  <c r="V30" i="30" s="1"/>
  <c r="U10" i="30"/>
  <c r="U30" i="30" s="1"/>
  <c r="T10" i="30"/>
  <c r="T30" i="30" s="1"/>
  <c r="AA9" i="30"/>
  <c r="Z9" i="30"/>
  <c r="Y9" i="30"/>
  <c r="V9" i="30"/>
  <c r="S9" i="30" s="1"/>
  <c r="S29" i="30" s="1"/>
  <c r="U9" i="30"/>
  <c r="U29" i="30" s="1"/>
  <c r="T9" i="30"/>
  <c r="T29" i="30" s="1"/>
  <c r="AA8" i="30"/>
  <c r="Z8" i="30"/>
  <c r="Y8" i="30"/>
  <c r="V8" i="30"/>
  <c r="S8" i="30" s="1"/>
  <c r="S28" i="30" s="1"/>
  <c r="U8" i="30"/>
  <c r="U28" i="30" s="1"/>
  <c r="T8" i="30"/>
  <c r="T28" i="30" s="1"/>
  <c r="AA7" i="30"/>
  <c r="Z7" i="30"/>
  <c r="Y7" i="30"/>
  <c r="V7" i="30"/>
  <c r="V27" i="30" s="1"/>
  <c r="U7" i="30"/>
  <c r="U27" i="30" s="1"/>
  <c r="T7" i="30"/>
  <c r="T27" i="30" s="1"/>
  <c r="AA6" i="30"/>
  <c r="Z6" i="30"/>
  <c r="Y6" i="30"/>
  <c r="V6" i="30"/>
  <c r="V26" i="30" s="1"/>
  <c r="U6" i="30"/>
  <c r="U26" i="30" s="1"/>
  <c r="T6" i="30"/>
  <c r="T26" i="30" s="1"/>
  <c r="AA5" i="30"/>
  <c r="Z5" i="30"/>
  <c r="Y5" i="30"/>
  <c r="V5" i="30"/>
  <c r="V25" i="30" s="1"/>
  <c r="U5" i="30"/>
  <c r="U25" i="30" s="1"/>
  <c r="T5" i="30"/>
  <c r="T25" i="30" s="1"/>
  <c r="N5" i="30"/>
  <c r="O5" i="30" s="1"/>
  <c r="M5" i="30"/>
  <c r="I45" i="30" s="1"/>
  <c r="I27" i="3" s="1"/>
  <c r="AA4" i="30"/>
  <c r="Z4" i="30"/>
  <c r="Y4" i="30"/>
  <c r="V4" i="30"/>
  <c r="V24" i="30" s="1"/>
  <c r="U4" i="30"/>
  <c r="U24" i="30" s="1"/>
  <c r="T4" i="30"/>
  <c r="T24" i="30" s="1"/>
  <c r="N4" i="30"/>
  <c r="M4" i="30"/>
  <c r="O4" i="30" s="1"/>
  <c r="V3" i="30"/>
  <c r="V23" i="30" s="1"/>
  <c r="U3" i="30"/>
  <c r="U23" i="30" s="1"/>
  <c r="T3" i="30"/>
  <c r="T23" i="30" s="1"/>
  <c r="N3" i="30"/>
  <c r="M3" i="30"/>
  <c r="F45" i="30" s="1"/>
  <c r="T81" i="31"/>
  <c r="U81" i="31"/>
  <c r="V81" i="31"/>
  <c r="W81" i="31"/>
  <c r="X81" i="31"/>
  <c r="Y81" i="31"/>
  <c r="Z81" i="31"/>
  <c r="AA81" i="31"/>
  <c r="AI81" i="31" s="1"/>
  <c r="AB81" i="31"/>
  <c r="AC81" i="31"/>
  <c r="AD81" i="31"/>
  <c r="AE81" i="31"/>
  <c r="AF81" i="31"/>
  <c r="AG81" i="31"/>
  <c r="AH81" i="31"/>
  <c r="T82" i="31"/>
  <c r="AI82" i="31" s="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T83" i="31"/>
  <c r="AI83" i="31" s="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T84" i="31"/>
  <c r="AI84" i="31" s="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T90" i="31"/>
  <c r="AI90" i="31" s="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T91" i="31"/>
  <c r="AI91" i="31" s="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T92" i="31"/>
  <c r="AI92" i="31" s="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81" i="31"/>
  <c r="AI62" i="31"/>
  <c r="AI63" i="31"/>
  <c r="AI64" i="31"/>
  <c r="AI65" i="31"/>
  <c r="AI66" i="31"/>
  <c r="AI67" i="31"/>
  <c r="AI68" i="31"/>
  <c r="AI69" i="31"/>
  <c r="AI70" i="31"/>
  <c r="AI71" i="31"/>
  <c r="AI72" i="31"/>
  <c r="AI73" i="31"/>
  <c r="AI74" i="31"/>
  <c r="AI75" i="31"/>
  <c r="AI77" i="31"/>
  <c r="AI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AI76" i="31" s="1"/>
  <c r="S77" i="31"/>
  <c r="S61" i="31"/>
  <c r="T101" i="31"/>
  <c r="U101" i="31"/>
  <c r="T102" i="31"/>
  <c r="U102" i="31"/>
  <c r="T103" i="31"/>
  <c r="V103" i="31" s="1"/>
  <c r="U103" i="31"/>
  <c r="T104" i="31"/>
  <c r="U104" i="31"/>
  <c r="T105" i="31"/>
  <c r="U105" i="31"/>
  <c r="T106" i="31"/>
  <c r="U106" i="31"/>
  <c r="T107" i="31"/>
  <c r="U107" i="31"/>
  <c r="T108" i="31"/>
  <c r="U108" i="31"/>
  <c r="T109" i="31"/>
  <c r="U109" i="31"/>
  <c r="T110" i="31"/>
  <c r="U110" i="31"/>
  <c r="T111" i="31"/>
  <c r="U111" i="31"/>
  <c r="T112" i="31"/>
  <c r="U112" i="31"/>
  <c r="T113" i="31"/>
  <c r="U113" i="31"/>
  <c r="T114" i="31"/>
  <c r="V114" i="31" s="1"/>
  <c r="U114" i="31"/>
  <c r="T115" i="31"/>
  <c r="U115" i="31"/>
  <c r="T116" i="31"/>
  <c r="U116" i="31"/>
  <c r="T117" i="31"/>
  <c r="U117" i="31"/>
  <c r="S102" i="31"/>
  <c r="S103" i="31"/>
  <c r="S104" i="31"/>
  <c r="S105" i="31"/>
  <c r="V105" i="31" s="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01" i="31"/>
  <c r="V101" i="31" s="1"/>
  <c r="V108" i="31"/>
  <c r="V104" i="31"/>
  <c r="T41" i="31"/>
  <c r="U41" i="31"/>
  <c r="T42" i="31"/>
  <c r="U42" i="31"/>
  <c r="T43" i="31"/>
  <c r="U43" i="31"/>
  <c r="T44" i="31"/>
  <c r="V44" i="31" s="1"/>
  <c r="U44" i="31"/>
  <c r="T45" i="31"/>
  <c r="U45" i="31"/>
  <c r="T46" i="31"/>
  <c r="U46" i="31"/>
  <c r="T47" i="31"/>
  <c r="U47" i="31"/>
  <c r="T48" i="31"/>
  <c r="U48" i="31"/>
  <c r="T49" i="31"/>
  <c r="U49" i="31"/>
  <c r="T50" i="31"/>
  <c r="U50" i="31"/>
  <c r="T51" i="31"/>
  <c r="U51" i="31"/>
  <c r="T52" i="31"/>
  <c r="V52" i="31" s="1"/>
  <c r="U52" i="31"/>
  <c r="T53" i="31"/>
  <c r="V53" i="31" s="1"/>
  <c r="U53" i="31"/>
  <c r="T54" i="31"/>
  <c r="U54" i="31"/>
  <c r="T55" i="31"/>
  <c r="U55" i="31"/>
  <c r="T56" i="31"/>
  <c r="U56" i="31"/>
  <c r="T57" i="31"/>
  <c r="U57" i="31"/>
  <c r="S42" i="31"/>
  <c r="S43" i="31"/>
  <c r="S44" i="31"/>
  <c r="S45" i="31"/>
  <c r="S46" i="31"/>
  <c r="S47" i="31"/>
  <c r="S48" i="31"/>
  <c r="S49" i="31"/>
  <c r="S50" i="31"/>
  <c r="V50" i="31" s="1"/>
  <c r="S51" i="31"/>
  <c r="S52" i="31"/>
  <c r="S53" i="31"/>
  <c r="S54" i="31"/>
  <c r="S55" i="31"/>
  <c r="S56" i="31"/>
  <c r="S57" i="31"/>
  <c r="S41" i="31"/>
  <c r="V41" i="31" s="1"/>
  <c r="V45" i="31"/>
  <c r="V42" i="31"/>
  <c r="T21" i="31"/>
  <c r="U21" i="31"/>
  <c r="T22" i="31"/>
  <c r="U22" i="31"/>
  <c r="T23" i="31"/>
  <c r="U23" i="31"/>
  <c r="T24" i="31"/>
  <c r="U24" i="31"/>
  <c r="T25" i="31"/>
  <c r="U25" i="31"/>
  <c r="T26" i="31"/>
  <c r="U26" i="31"/>
  <c r="T27" i="31"/>
  <c r="U27" i="31"/>
  <c r="T28" i="31"/>
  <c r="U28" i="31"/>
  <c r="T29" i="31"/>
  <c r="U29" i="31"/>
  <c r="T30" i="31"/>
  <c r="U30" i="31"/>
  <c r="T31" i="31"/>
  <c r="U31" i="31"/>
  <c r="T32" i="31"/>
  <c r="U32" i="31"/>
  <c r="T33" i="31"/>
  <c r="U33" i="31"/>
  <c r="T34" i="31"/>
  <c r="U34" i="31"/>
  <c r="T35" i="31"/>
  <c r="U35" i="31"/>
  <c r="T36" i="31"/>
  <c r="U36" i="31"/>
  <c r="T37" i="31"/>
  <c r="U37" i="31"/>
  <c r="S22" i="31"/>
  <c r="S23" i="31"/>
  <c r="S24" i="31"/>
  <c r="S25" i="31"/>
  <c r="S26" i="31"/>
  <c r="S27" i="31"/>
  <c r="V27" i="31" s="1"/>
  <c r="S28" i="31"/>
  <c r="S29" i="31"/>
  <c r="S30" i="31"/>
  <c r="S31" i="31"/>
  <c r="S32" i="31"/>
  <c r="S33" i="31"/>
  <c r="V33" i="31" s="1"/>
  <c r="S34" i="31"/>
  <c r="S35" i="31"/>
  <c r="V35" i="31" s="1"/>
  <c r="S36" i="31"/>
  <c r="S37" i="31"/>
  <c r="S21" i="31"/>
  <c r="T2" i="31"/>
  <c r="U2" i="31"/>
  <c r="V2" i="31"/>
  <c r="W2" i="31"/>
  <c r="X2" i="31"/>
  <c r="Y2" i="31"/>
  <c r="Z2" i="31"/>
  <c r="AA2" i="31"/>
  <c r="AB2" i="31"/>
  <c r="T3" i="31"/>
  <c r="U3" i="31"/>
  <c r="V3" i="31"/>
  <c r="W3" i="31"/>
  <c r="X3" i="31"/>
  <c r="Y3" i="31"/>
  <c r="Z3" i="31"/>
  <c r="AA3" i="31"/>
  <c r="AB3" i="31"/>
  <c r="T4" i="31"/>
  <c r="U4" i="31"/>
  <c r="V4" i="31"/>
  <c r="W4" i="31"/>
  <c r="X4" i="31"/>
  <c r="Y4" i="31"/>
  <c r="AC4" i="31" s="1"/>
  <c r="Z4" i="31"/>
  <c r="AA4" i="31"/>
  <c r="AB4" i="31"/>
  <c r="T5" i="31"/>
  <c r="U5" i="31"/>
  <c r="V5" i="31"/>
  <c r="W5" i="31"/>
  <c r="X5" i="31"/>
  <c r="Y5" i="31"/>
  <c r="Z5" i="31"/>
  <c r="AC5" i="31" s="1"/>
  <c r="AA5" i="31"/>
  <c r="AB5" i="31"/>
  <c r="T6" i="31"/>
  <c r="U6" i="31"/>
  <c r="V6" i="31"/>
  <c r="W6" i="31"/>
  <c r="X6" i="31"/>
  <c r="Y6" i="31"/>
  <c r="Z6" i="31"/>
  <c r="AA6" i="31"/>
  <c r="AB6" i="31"/>
  <c r="T7" i="31"/>
  <c r="U7" i="31"/>
  <c r="V7" i="31"/>
  <c r="W7" i="31"/>
  <c r="X7" i="31"/>
  <c r="Y7" i="31"/>
  <c r="Z7" i="31"/>
  <c r="AA7" i="31"/>
  <c r="AB7" i="31"/>
  <c r="T8" i="31"/>
  <c r="U8" i="31"/>
  <c r="V8" i="31"/>
  <c r="W8" i="31"/>
  <c r="X8" i="31"/>
  <c r="Y8" i="31"/>
  <c r="Z8" i="31"/>
  <c r="AA8" i="31"/>
  <c r="AB8" i="31"/>
  <c r="T9" i="31"/>
  <c r="U9" i="31"/>
  <c r="V9" i="31"/>
  <c r="W9" i="31"/>
  <c r="X9" i="31"/>
  <c r="Y9" i="31"/>
  <c r="Z9" i="31"/>
  <c r="AA9" i="31"/>
  <c r="AB9" i="31"/>
  <c r="T10" i="31"/>
  <c r="U10" i="31"/>
  <c r="V10" i="31"/>
  <c r="W10" i="31"/>
  <c r="X10" i="31"/>
  <c r="Y10" i="31"/>
  <c r="Z10" i="31"/>
  <c r="AA10" i="31"/>
  <c r="AB10" i="31"/>
  <c r="T11" i="31"/>
  <c r="U11" i="31"/>
  <c r="V11" i="31"/>
  <c r="W11" i="31"/>
  <c r="X11" i="31"/>
  <c r="Y11" i="31"/>
  <c r="Z11" i="31"/>
  <c r="AA11" i="31"/>
  <c r="AB11" i="31"/>
  <c r="T12" i="31"/>
  <c r="U12" i="31"/>
  <c r="V12" i="31"/>
  <c r="W12" i="31"/>
  <c r="X12" i="31"/>
  <c r="AC12" i="31" s="1"/>
  <c r="Y12" i="31"/>
  <c r="Z12" i="31"/>
  <c r="AA12" i="31"/>
  <c r="AB12" i="31"/>
  <c r="T13" i="31"/>
  <c r="U13" i="31"/>
  <c r="V13" i="31"/>
  <c r="W13" i="31"/>
  <c r="X13" i="31"/>
  <c r="Y13" i="31"/>
  <c r="Z13" i="31"/>
  <c r="AC13" i="31" s="1"/>
  <c r="AA13" i="31"/>
  <c r="AB13" i="31"/>
  <c r="T14" i="31"/>
  <c r="U14" i="31"/>
  <c r="V14" i="31"/>
  <c r="W14" i="31"/>
  <c r="X14" i="31"/>
  <c r="Y14" i="31"/>
  <c r="Z14" i="31"/>
  <c r="AA14" i="31"/>
  <c r="AB14" i="31"/>
  <c r="T15" i="31"/>
  <c r="U15" i="31"/>
  <c r="V15" i="31"/>
  <c r="W15" i="31"/>
  <c r="X15" i="31"/>
  <c r="Y15" i="31"/>
  <c r="Z15" i="31"/>
  <c r="AA15" i="31"/>
  <c r="AB15" i="31"/>
  <c r="T16" i="31"/>
  <c r="U16" i="31"/>
  <c r="V16" i="31"/>
  <c r="W16" i="31"/>
  <c r="X16" i="31"/>
  <c r="Y16" i="31"/>
  <c r="Z16" i="31"/>
  <c r="AA16" i="31"/>
  <c r="AB16" i="31"/>
  <c r="T17" i="31"/>
  <c r="U17" i="31"/>
  <c r="V17" i="31"/>
  <c r="W17" i="31"/>
  <c r="X17" i="31"/>
  <c r="Y17" i="31"/>
  <c r="Z17" i="31"/>
  <c r="AA17" i="31"/>
  <c r="AB17" i="31"/>
  <c r="T18" i="31"/>
  <c r="U18" i="31"/>
  <c r="V18" i="31"/>
  <c r="W18" i="31"/>
  <c r="X18" i="31"/>
  <c r="Y18" i="31"/>
  <c r="Z18" i="31"/>
  <c r="AA18" i="31"/>
  <c r="AB18" i="31"/>
  <c r="S3" i="31"/>
  <c r="AC3" i="31" s="1"/>
  <c r="S4" i="31"/>
  <c r="S5" i="31"/>
  <c r="S6" i="31"/>
  <c r="AC6" i="31" s="1"/>
  <c r="S7" i="31"/>
  <c r="AC7" i="31" s="1"/>
  <c r="S8" i="31"/>
  <c r="AC8" i="31" s="1"/>
  <c r="S9" i="31"/>
  <c r="AC9" i="31" s="1"/>
  <c r="S10" i="31"/>
  <c r="AC10" i="31" s="1"/>
  <c r="S11" i="31"/>
  <c r="AC11" i="31" s="1"/>
  <c r="S12" i="31"/>
  <c r="S13" i="31"/>
  <c r="S14" i="31"/>
  <c r="AC14" i="31" s="1"/>
  <c r="S15" i="31"/>
  <c r="AC15" i="31" s="1"/>
  <c r="S16" i="31"/>
  <c r="AC16" i="31" s="1"/>
  <c r="S17" i="31"/>
  <c r="S18" i="31"/>
  <c r="AC18" i="31" s="1"/>
  <c r="S2" i="31"/>
  <c r="AC2" i="31" s="1"/>
  <c r="S92" i="3"/>
  <c r="T92" i="3"/>
  <c r="U92" i="3"/>
  <c r="V92" i="3"/>
  <c r="V93" i="3" s="1"/>
  <c r="V94" i="3" s="1"/>
  <c r="V95" i="3" s="1"/>
  <c r="V96" i="3" s="1"/>
  <c r="S93" i="3"/>
  <c r="T93" i="3"/>
  <c r="T94" i="3" s="1"/>
  <c r="T95" i="3" s="1"/>
  <c r="T96" i="3" s="1"/>
  <c r="U93" i="3"/>
  <c r="U94" i="3" s="1"/>
  <c r="U95" i="3" s="1"/>
  <c r="U96" i="3" s="1"/>
  <c r="S94" i="3"/>
  <c r="S95" i="3"/>
  <c r="S96" i="3"/>
  <c r="B27" i="3"/>
  <c r="N5" i="28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U14" i="29"/>
  <c r="T14" i="29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E45" i="34" l="1"/>
  <c r="S7" i="34"/>
  <c r="S27" i="34" s="1"/>
  <c r="T45" i="34" s="1"/>
  <c r="S12" i="34"/>
  <c r="S32" i="34" s="1"/>
  <c r="S18" i="34"/>
  <c r="S38" i="34" s="1"/>
  <c r="AD25" i="34"/>
  <c r="S6" i="34"/>
  <c r="S26" i="34" s="1"/>
  <c r="AD28" i="34"/>
  <c r="AD34" i="34"/>
  <c r="AD27" i="34"/>
  <c r="AD33" i="34"/>
  <c r="M45" i="34"/>
  <c r="N45" i="34"/>
  <c r="AD31" i="34"/>
  <c r="K45" i="34"/>
  <c r="S14" i="34"/>
  <c r="S34" i="34" s="1"/>
  <c r="V33" i="34"/>
  <c r="T47" i="34"/>
  <c r="T46" i="34"/>
  <c r="O3" i="34"/>
  <c r="F45" i="34"/>
  <c r="V28" i="34"/>
  <c r="H45" i="34"/>
  <c r="J45" i="34"/>
  <c r="C45" i="34"/>
  <c r="D45" i="34" s="1"/>
  <c r="L45" i="34"/>
  <c r="AD33" i="33"/>
  <c r="O4" i="33"/>
  <c r="AD35" i="33"/>
  <c r="AD24" i="33"/>
  <c r="AD34" i="33"/>
  <c r="E45" i="33"/>
  <c r="AD25" i="33"/>
  <c r="V27" i="33"/>
  <c r="S8" i="33"/>
  <c r="S28" i="33" s="1"/>
  <c r="AD28" i="33"/>
  <c r="AD32" i="33"/>
  <c r="S16" i="33"/>
  <c r="S36" i="33" s="1"/>
  <c r="S9" i="33"/>
  <c r="S29" i="33" s="1"/>
  <c r="AD29" i="33"/>
  <c r="G45" i="33"/>
  <c r="V23" i="33"/>
  <c r="K45" i="33"/>
  <c r="M45" i="33"/>
  <c r="S17" i="33"/>
  <c r="S37" i="33" s="1"/>
  <c r="AD26" i="33"/>
  <c r="AD30" i="33"/>
  <c r="T47" i="33"/>
  <c r="T46" i="33"/>
  <c r="O3" i="33"/>
  <c r="F45" i="33"/>
  <c r="N45" i="33"/>
  <c r="O5" i="33"/>
  <c r="S6" i="33"/>
  <c r="S26" i="33" s="1"/>
  <c r="H45" i="33"/>
  <c r="S12" i="33"/>
  <c r="S32" i="33" s="1"/>
  <c r="V31" i="33"/>
  <c r="S19" i="33"/>
  <c r="S39" i="33" s="1"/>
  <c r="J45" i="33"/>
  <c r="C45" i="33"/>
  <c r="D45" i="33" s="1"/>
  <c r="L45" i="33"/>
  <c r="O3" i="32"/>
  <c r="S18" i="32"/>
  <c r="S38" i="32" s="1"/>
  <c r="S14" i="32"/>
  <c r="O4" i="32"/>
  <c r="AH103" i="3"/>
  <c r="AF103" i="3"/>
  <c r="AD27" i="32"/>
  <c r="AD33" i="32"/>
  <c r="AD25" i="32"/>
  <c r="AH104" i="3"/>
  <c r="AG96" i="3"/>
  <c r="AG94" i="3"/>
  <c r="AH89" i="3"/>
  <c r="AF102" i="3"/>
  <c r="AF96" i="3"/>
  <c r="AF94" i="3"/>
  <c r="AF90" i="3"/>
  <c r="S3" i="32"/>
  <c r="AD24" i="32"/>
  <c r="AF104" i="3"/>
  <c r="T23" i="32"/>
  <c r="T46" i="32" s="1"/>
  <c r="AH99" i="3"/>
  <c r="AH97" i="3"/>
  <c r="AH95" i="3"/>
  <c r="AH93" i="3"/>
  <c r="AH91" i="3"/>
  <c r="AH105" i="3"/>
  <c r="AG99" i="3"/>
  <c r="AG95" i="3"/>
  <c r="AG93" i="3"/>
  <c r="AG91" i="3"/>
  <c r="AG105" i="3"/>
  <c r="AF101" i="3"/>
  <c r="AF95" i="3"/>
  <c r="AF91" i="3"/>
  <c r="S10" i="32"/>
  <c r="AF105" i="3"/>
  <c r="AA16" i="3"/>
  <c r="AH102" i="3"/>
  <c r="AH98" i="3"/>
  <c r="AH96" i="3"/>
  <c r="AH94" i="3"/>
  <c r="AH92" i="3"/>
  <c r="S37" i="32"/>
  <c r="M45" i="32"/>
  <c r="S8" i="32"/>
  <c r="AD26" i="32"/>
  <c r="AD30" i="32"/>
  <c r="G45" i="32"/>
  <c r="K45" i="32"/>
  <c r="S12" i="32"/>
  <c r="AD29" i="32"/>
  <c r="AD35" i="32"/>
  <c r="S16" i="32"/>
  <c r="AD28" i="32"/>
  <c r="AD32" i="32"/>
  <c r="E45" i="32"/>
  <c r="E28" i="3" s="1"/>
  <c r="AD34" i="32"/>
  <c r="AD31" i="32"/>
  <c r="T47" i="32"/>
  <c r="S4" i="32"/>
  <c r="S7" i="32"/>
  <c r="S15" i="32"/>
  <c r="F45" i="32"/>
  <c r="F28" i="3" s="1"/>
  <c r="N45" i="32"/>
  <c r="O5" i="32"/>
  <c r="V25" i="32"/>
  <c r="V33" i="32"/>
  <c r="V37" i="32"/>
  <c r="H45" i="32"/>
  <c r="V31" i="32"/>
  <c r="S19" i="32"/>
  <c r="J45" i="32"/>
  <c r="V29" i="32"/>
  <c r="C45" i="32"/>
  <c r="C28" i="3" s="1"/>
  <c r="L45" i="32"/>
  <c r="L28" i="3" s="1"/>
  <c r="V113" i="31"/>
  <c r="V117" i="31"/>
  <c r="V109" i="31"/>
  <c r="V107" i="31"/>
  <c r="V116" i="31"/>
  <c r="V111" i="31"/>
  <c r="V110" i="31"/>
  <c r="V106" i="31"/>
  <c r="V102" i="31"/>
  <c r="V112" i="31"/>
  <c r="V51" i="31"/>
  <c r="V57" i="31"/>
  <c r="V49" i="31"/>
  <c r="V55" i="31"/>
  <c r="V47" i="31"/>
  <c r="V43" i="31"/>
  <c r="V54" i="31"/>
  <c r="V46" i="31"/>
  <c r="V25" i="31"/>
  <c r="AD33" i="30"/>
  <c r="AD29" i="30"/>
  <c r="S6" i="30"/>
  <c r="S26" i="30" s="1"/>
  <c r="S15" i="30"/>
  <c r="S35" i="30" s="1"/>
  <c r="O3" i="30"/>
  <c r="S5" i="30"/>
  <c r="S25" i="30" s="1"/>
  <c r="V31" i="30"/>
  <c r="S4" i="30"/>
  <c r="S24" i="30" s="1"/>
  <c r="S3" i="30"/>
  <c r="S23" i="30" s="1"/>
  <c r="AD27" i="30"/>
  <c r="AD35" i="30"/>
  <c r="M45" i="30"/>
  <c r="M27" i="3" s="1"/>
  <c r="G45" i="30"/>
  <c r="G27" i="3" s="1"/>
  <c r="AD25" i="30"/>
  <c r="AD30" i="30"/>
  <c r="V33" i="30"/>
  <c r="S13" i="30"/>
  <c r="S33" i="30" s="1"/>
  <c r="AD31" i="30"/>
  <c r="N45" i="30"/>
  <c r="K45" i="30"/>
  <c r="K27" i="3" s="1"/>
  <c r="S12" i="30"/>
  <c r="S32" i="30" s="1"/>
  <c r="AD28" i="30"/>
  <c r="E45" i="30"/>
  <c r="E27" i="3" s="1"/>
  <c r="H45" i="30"/>
  <c r="H27" i="3" s="1"/>
  <c r="S7" i="30"/>
  <c r="S27" i="30" s="1"/>
  <c r="T46" i="30"/>
  <c r="T47" i="30"/>
  <c r="J45" i="30"/>
  <c r="V28" i="30"/>
  <c r="V36" i="30"/>
  <c r="S10" i="30"/>
  <c r="S30" i="30" s="1"/>
  <c r="S18" i="30"/>
  <c r="S38" i="30" s="1"/>
  <c r="V29" i="30"/>
  <c r="C45" i="30"/>
  <c r="V37" i="30"/>
  <c r="L45" i="30"/>
  <c r="L27" i="3" s="1"/>
  <c r="AG100" i="3"/>
  <c r="AG98" i="3"/>
  <c r="AG90" i="3"/>
  <c r="AG89" i="3"/>
  <c r="AF100" i="3"/>
  <c r="AF98" i="3"/>
  <c r="AF92" i="3"/>
  <c r="AF89" i="3"/>
  <c r="AG103" i="3"/>
  <c r="AG101" i="3"/>
  <c r="AG97" i="3"/>
  <c r="AF99" i="3"/>
  <c r="AF93" i="3"/>
  <c r="AC17" i="31"/>
  <c r="AI93" i="31"/>
  <c r="AI85" i="31"/>
  <c r="AI97" i="31"/>
  <c r="AI89" i="31"/>
  <c r="AI94" i="31"/>
  <c r="AI96" i="31"/>
  <c r="AI88" i="31"/>
  <c r="AI95" i="31"/>
  <c r="AI87" i="31"/>
  <c r="AI86" i="31"/>
  <c r="V115" i="31"/>
  <c r="V56" i="31"/>
  <c r="V48" i="31"/>
  <c r="V34" i="31"/>
  <c r="V26" i="31"/>
  <c r="V21" i="31"/>
  <c r="V30" i="31"/>
  <c r="V22" i="31"/>
  <c r="V32" i="31"/>
  <c r="V24" i="31"/>
  <c r="V31" i="31"/>
  <c r="V23" i="31"/>
  <c r="V37" i="31"/>
  <c r="V29" i="31"/>
  <c r="V36" i="31"/>
  <c r="V28" i="31"/>
  <c r="Q27" i="3"/>
  <c r="F27" i="3"/>
  <c r="N27" i="3"/>
  <c r="J27" i="3"/>
  <c r="O4" i="29"/>
  <c r="L45" i="29"/>
  <c r="L26" i="3" s="1"/>
  <c r="O5" i="29"/>
  <c r="O3" i="29"/>
  <c r="C45" i="29"/>
  <c r="E45" i="29"/>
  <c r="E26" i="3" s="1"/>
  <c r="S13" i="29"/>
  <c r="AD29" i="29"/>
  <c r="AD33" i="29"/>
  <c r="AD35" i="29"/>
  <c r="AH100" i="3"/>
  <c r="AD28" i="29"/>
  <c r="AG104" i="3"/>
  <c r="AG102" i="3"/>
  <c r="AD24" i="29"/>
  <c r="AD27" i="29"/>
  <c r="AD31" i="29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G92" i="3"/>
  <c r="T47" i="28"/>
  <c r="M45" i="28"/>
  <c r="M25" i="3" s="1"/>
  <c r="AH101" i="3"/>
  <c r="AD31" i="28"/>
  <c r="AD26" i="28"/>
  <c r="AF97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T48" i="34" l="1"/>
  <c r="T48" i="33"/>
  <c r="T45" i="33"/>
  <c r="D45" i="32"/>
  <c r="D28" i="3" s="1"/>
  <c r="AE104" i="3"/>
  <c r="S36" i="32"/>
  <c r="S23" i="32"/>
  <c r="AE89" i="3"/>
  <c r="S24" i="32"/>
  <c r="AE90" i="3"/>
  <c r="S32" i="32"/>
  <c r="AE98" i="3"/>
  <c r="S28" i="32"/>
  <c r="AE94" i="3"/>
  <c r="S39" i="32"/>
  <c r="AE105" i="3"/>
  <c r="S35" i="32"/>
  <c r="AE101" i="3"/>
  <c r="S27" i="32"/>
  <c r="AE93" i="3"/>
  <c r="S30" i="32"/>
  <c r="AE96" i="3"/>
  <c r="T48" i="32"/>
  <c r="D45" i="30"/>
  <c r="D27" i="3" s="1"/>
  <c r="AE92" i="3"/>
  <c r="T45" i="30"/>
  <c r="AE99" i="3"/>
  <c r="T48" i="30"/>
  <c r="C27" i="3"/>
  <c r="P27" i="3"/>
  <c r="O27" i="3"/>
  <c r="D45" i="29"/>
  <c r="D26" i="3" s="1"/>
  <c r="C26" i="3"/>
  <c r="S23" i="29"/>
  <c r="S32" i="29"/>
  <c r="S35" i="29"/>
  <c r="S29" i="29"/>
  <c r="S39" i="29"/>
  <c r="S27" i="29"/>
  <c r="S25" i="29"/>
  <c r="S33" i="29"/>
  <c r="S31" i="29"/>
  <c r="AE97" i="3"/>
  <c r="S26" i="29"/>
  <c r="T48" i="29"/>
  <c r="O45" i="28"/>
  <c r="O25" i="3" s="1"/>
  <c r="T48" i="28"/>
  <c r="AE103" i="3"/>
  <c r="AE91" i="3"/>
  <c r="P45" i="28"/>
  <c r="P25" i="3" s="1"/>
  <c r="Q45" i="28"/>
  <c r="Q25" i="3" s="1"/>
  <c r="AE100" i="3"/>
  <c r="S36" i="28"/>
  <c r="AE102" i="3"/>
  <c r="S33" i="28"/>
  <c r="S23" i="28"/>
  <c r="D45" i="28"/>
  <c r="D25" i="3" s="1"/>
  <c r="C25" i="3"/>
  <c r="S29" i="28"/>
  <c r="AE95" i="3"/>
  <c r="S39" i="28"/>
  <c r="S27" i="28"/>
  <c r="S35" i="28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32" l="1"/>
  <c r="T45" i="29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<sst xmlns="http://schemas.openxmlformats.org/spreadsheetml/2006/main" count="5841" uniqueCount="358">
  <si>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</si>
  <si>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</si>
  <si>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</si>
  <si>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</si>
  <si>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</si>
  <si>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</si>
  <si>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</si>
  <si>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</si>
  <si>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</si>
  <si>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</si>
  <si>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</si>
  <si>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</si>
  <si>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</si>
  <si>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</si>
  <si>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</si>
  <si>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</si>
  <si>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</si>
  <si>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</si>
  <si>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</si>
  <si>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</si>
  <si>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</si>
  <si>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</si>
  <si>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</si>
  <si>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</si>
  <si>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</si>
  <si>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</si>
  <si>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</si>
  <si>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</si>
  <si>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</si>
  <si>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</si>
  <si>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</si>
  <si>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</si>
  <si>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</si>
  <si>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</si>
  <si>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</si>
  <si>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</si>
  <si>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</si>
  <si>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</si>
  <si>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</si>
  <si>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</si>
  <si>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</si>
  <si>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</si>
  <si>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</si>
  <si>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</si>
  <si>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</si>
  <si>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</si>
  <si>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</si>
  <si>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</si>
  <si>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</si>
  <si>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</si>
  <si>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</si>
  <si>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</si>
  <si>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</si>
  <si>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</si>
  <si>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</si>
  <si>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</si>
  <si>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</si>
  <si>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</si>
  <si>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</si>
  <si>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</si>
  <si>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</si>
  <si>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</si>
  <si>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</si>
  <si>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</si>
  <si>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</si>
  <si>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</si>
  <si>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</si>
  <si>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</si>
  <si>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</si>
  <si>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</si>
  <si>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</si>
  <si>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</si>
  <si>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</si>
  <si>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</si>
  <si>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</si>
  <si>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</si>
  <si>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</si>
  <si>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</si>
  <si>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</si>
  <si>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</si>
  <si>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</si>
  <si>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</si>
  <si>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</si>
  <si>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</si>
  <si>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</si>
  <si>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</si>
  <si>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</si>
  <si>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</si>
  <si>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</si>
  <si>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</si>
  <si>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</si>
  <si>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</si>
  <si>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</si>
  <si>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</si>
  <si>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</si>
  <si>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</si>
  <si>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</si>
  <si>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</si>
  <si>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</si>
  <si>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</si>
  <si>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</si>
  <si>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</si>
  <si>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</si>
  <si>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</si>
  <si>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</si>
  <si>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</si>
  <si>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</si>
  <si>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</si>
  <si>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</si>
  <si>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</si>
  <si>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</si>
  <si>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</si>
  <si>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</si>
  <si>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</si>
  <si>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</si>
  <si>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</si>
  <si>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</si>
  <si>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</si>
  <si>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</si>
  <si>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</si>
  <si>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</si>
  <si>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</si>
  <si>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</si>
  <si>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</si>
  <si>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</si>
  <si>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</si>
  <si>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</si>
  <si>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</si>
  <si>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</si>
  <si>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</si>
  <si>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</si>
  <si>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</si>
  <si>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</si>
  <si>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</si>
  <si>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</si>
  <si>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</si>
  <si>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</si>
  <si>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</si>
  <si>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</si>
  <si>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</si>
  <si>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</si>
  <si>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</si>
  <si>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</si>
  <si>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</si>
  <si>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</si>
  <si>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</si>
  <si>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</si>
  <si>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</si>
  <si>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</si>
  <si>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</si>
  <si>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</si>
  <si>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</si>
  <si>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</si>
  <si>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</si>
  <si>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</si>
  <si>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</si>
  <si>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</si>
  <si>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</si>
  <si>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</si>
  <si>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</si>
  <si>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</si>
  <si>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</si>
  <si>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</si>
  <si>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</si>
  <si>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</si>
  <si>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</si>
  <si>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</si>
  <si>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</si>
  <si>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</si>
  <si>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</si>
  <si>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</si>
  <si>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</si>
  <si>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</si>
  <si>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</si>
  <si>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</si>
  <si>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</si>
  <si>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</si>
  <si>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</si>
  <si>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</si>
  <si>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</si>
  <si>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</si>
  <si>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</si>
  <si>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</si>
  <si>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</si>
  <si>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</si>
  <si>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</si>
  <si>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</si>
  <si>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</si>
  <si>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</si>
  <si>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</si>
  <si>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</si>
  <si>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</si>
  <si>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</si>
  <si>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</si>
  <si>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</si>
  <si>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</si>
  <si>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</si>
  <si>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</si>
  <si>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</si>
  <si>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</si>
  <si>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</si>
  <si>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</si>
  <si>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</si>
  <si>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</si>
  <si>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</si>
  <si>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</si>
  <si>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</si>
  <si>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</si>
  <si>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</si>
  <si>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</si>
  <si>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</si>
  <si>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</si>
  <si>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</si>
  <si>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</si>
  <si>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</si>
  <si>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</si>
  <si>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</si>
  <si>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</si>
  <si>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</si>
  <si>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</si>
  <si>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</si>
  <si>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</si>
  <si>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</si>
  <si>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</si>
  <si>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</si>
  <si>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</si>
  <si>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</si>
  <si>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</si>
  <si>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</si>
  <si>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</si>
  <si>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</si>
  <si>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</si>
  <si>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</si>
  <si>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</si>
  <si>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</si>
  <si>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</si>
  <si>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</si>
  <si>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</si>
  <si>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</si>
  <si>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</si>
  <si>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</si>
  <si>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</si>
  <si>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</si>
  <si>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</si>
  <si>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</si>
  <si>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</si>
  <si>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</si>
  <si>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</si>
  <si>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</si>
  <si>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</si>
  <si>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</si>
  <si>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</si>
  <si>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</si>
  <si>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</si>
  <si>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</si>
  <si>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</si>
  <si>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</si>
  <si>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</si>
  <si>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</si>
  <si>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</si>
  <si>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</si>
  <si>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</si>
  <si>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</si>
  <si>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</si>
  <si>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</si>
  <si>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</si>
  <si>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</si>
  <si>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</si>
  <si>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</si>
  <si>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</si>
  <si>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</si>
  <si>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</si>
  <si>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</si>
  <si>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</si>
  <si>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</si>
  <si>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</si>
  <si>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</si>
  <si>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</si>
  <si>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</si>
  <si>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</si>
  <si>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</si>
  <si>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</si>
  <si>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</si>
  <si>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</si>
  <si>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</si>
  <si>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</si>
  <si>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</si>
  <si>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</si>
  <si>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</si>
  <si>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</si>
  <si>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</si>
  <si>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</si>
  <si>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</si>
  <si>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</si>
  <si>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</si>
  <si>
    <t>23-August</t>
  </si>
  <si>
    <t>MVP ORDER</t>
  </si>
  <si>
    <t>Please select your favourite three for mip</t>
  </si>
  <si>
    <t>Please select your favourite three for X-Factor</t>
  </si>
  <si>
    <t>Offensive team order</t>
  </si>
  <si>
    <t>Defensive team order</t>
  </si>
  <si>
    <t>Teammate of the term</t>
  </si>
  <si>
    <t>Notable performance</t>
  </si>
  <si>
    <t>Samuel McConaghy scoring 12 points</t>
  </si>
  <si>
    <t>Conor Farrington recording 6 rebounds and 3 steals in one day</t>
  </si>
  <si>
    <t>Clarrie Jones hitting a league high 3 threes, including the shot to come second for the day</t>
  </si>
  <si>
    <t>Loose Gooses going 15-0</t>
  </si>
  <si>
    <t xml:space="preserve"> Clarrie Jones</t>
  </si>
  <si>
    <t xml:space="preserve"> Nicholas Szogi</t>
  </si>
  <si>
    <t xml:space="preserve"> Lukas Johnston</t>
  </si>
  <si>
    <t xml:space="preserve"> Ryan Pattemore</t>
  </si>
  <si>
    <t xml:space="preserve"> Conor Farrington</t>
  </si>
  <si>
    <t xml:space="preserve"> Sam James</t>
  </si>
  <si>
    <t xml:space="preserve"> Mitch Yue</t>
  </si>
  <si>
    <t xml:space="preserve"> Jasper Collier</t>
  </si>
  <si>
    <t xml:space="preserve"> Will Weekes</t>
  </si>
  <si>
    <t xml:space="preserve"> Christopher Tomkinson</t>
  </si>
  <si>
    <t xml:space="preserve"> Angus Walker</t>
  </si>
  <si>
    <t xml:space="preserve"> Alexander Galt</t>
  </si>
  <si>
    <t xml:space="preserve"> Rudy Hoschke</t>
  </si>
  <si>
    <t xml:space="preserve"> Michael Iffland</t>
  </si>
  <si>
    <t xml:space="preserve"> William Kim</t>
  </si>
  <si>
    <t xml:space="preserve"> Samuel McConaghy</t>
  </si>
  <si>
    <t>SUM</t>
  </si>
  <si>
    <t>Will W</t>
  </si>
  <si>
    <t>Nicholas Szogi, Clarrie Jones, Christopher Tomkinson</t>
  </si>
  <si>
    <t>Sam James, Ryan Pattemore, Mitch Yue</t>
  </si>
  <si>
    <t>Nicholas Szogi, Lukas Johnston, Clarrie Jones</t>
  </si>
  <si>
    <t>Conor Farrington, Lukas Johnston, Will Weekes</t>
  </si>
  <si>
    <t>Christopher Tomkinson, Lukas Johnston, Conor Farrington</t>
  </si>
  <si>
    <t>3-0</t>
  </si>
  <si>
    <t>3-1</t>
  </si>
  <si>
    <t>2-2</t>
  </si>
  <si>
    <t>3-2</t>
  </si>
  <si>
    <t>9-October</t>
  </si>
  <si>
    <t>1-3</t>
  </si>
  <si>
    <t>4-1</t>
  </si>
  <si>
    <t>5-1</t>
  </si>
  <si>
    <t>2-5</t>
  </si>
  <si>
    <t>3-5</t>
  </si>
  <si>
    <t>4-5</t>
  </si>
  <si>
    <t>5-5</t>
  </si>
  <si>
    <t>6-5</t>
  </si>
  <si>
    <t>7-5</t>
  </si>
  <si>
    <t>6-7</t>
  </si>
  <si>
    <t>8-6</t>
  </si>
  <si>
    <t>7-8</t>
  </si>
  <si>
    <t>9-7</t>
  </si>
  <si>
    <t>8-9</t>
  </si>
  <si>
    <t>9-9</t>
  </si>
  <si>
    <t>11-9</t>
  </si>
  <si>
    <t>12-9</t>
  </si>
  <si>
    <t>13-9</t>
  </si>
  <si>
    <t>14-9</t>
  </si>
  <si>
    <t>15-9</t>
  </si>
  <si>
    <t>16-9</t>
  </si>
  <si>
    <t>10-October</t>
  </si>
  <si>
    <t>11-October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</si>
</sst>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5" fillId="0" borderId="1"/>
    <xf numFmtId="9" fontId="26" fillId="0" borderId="0" applyFont="0" applyFill="0" applyBorder="0" applyAlignment="0" applyProtection="0"/>
  </cellStyleXfs>
  <cellXfs count="194">
    <xf numFmtId="0" fontId="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8" fillId="0" borderId="0" xfId="0" applyFont="1"/>
    <xf numFmtId="2" fontId="27" fillId="0" borderId="0" xfId="0" applyNumberFormat="1" applyFont="1"/>
    <xf numFmtId="164" fontId="29" fillId="0" borderId="0" xfId="0" applyNumberFormat="1" applyFont="1"/>
    <xf numFmtId="0" fontId="28" fillId="0" borderId="0" xfId="0" applyFont="1" applyAlignment="1"/>
    <xf numFmtId="2" fontId="26" fillId="0" borderId="0" xfId="0" applyNumberFormat="1" applyFont="1"/>
    <xf numFmtId="1" fontId="26" fillId="0" borderId="0" xfId="0" applyNumberFormat="1" applyFont="1"/>
    <xf numFmtId="1" fontId="27" fillId="0" borderId="0" xfId="0" applyNumberFormat="1" applyFont="1"/>
    <xf numFmtId="10" fontId="27" fillId="0" borderId="0" xfId="0" applyNumberFormat="1" applyFont="1"/>
    <xf numFmtId="0" fontId="26" fillId="0" borderId="0" xfId="0" applyFont="1"/>
    <xf numFmtId="16" fontId="26" fillId="0" borderId="0" xfId="0" applyNumberFormat="1" applyFont="1" applyAlignment="1"/>
    <xf numFmtId="0" fontId="31" fillId="0" borderId="0" xfId="0" applyFont="1" applyAlignment="1"/>
    <xf numFmtId="0" fontId="3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1" fillId="0" borderId="3" xfId="0" applyFont="1" applyFill="1" applyBorder="1"/>
    <xf numFmtId="0" fontId="31" fillId="0" borderId="4" xfId="0" applyFont="1" applyFill="1" applyBorder="1"/>
    <xf numFmtId="0" fontId="31" fillId="0" borderId="4" xfId="0" applyFont="1" applyFill="1" applyBorder="1" applyAlignment="1"/>
    <xf numFmtId="0" fontId="32" fillId="0" borderId="4" xfId="0" applyFont="1" applyFill="1" applyBorder="1" applyAlignment="1"/>
    <xf numFmtId="0" fontId="28" fillId="0" borderId="5" xfId="0" applyFont="1" applyFill="1" applyBorder="1"/>
    <xf numFmtId="0" fontId="0" fillId="0" borderId="0" xfId="0"/>
    <xf numFmtId="0" fontId="37" fillId="0" borderId="0" xfId="0" applyFont="1"/>
    <xf numFmtId="9" fontId="0" fillId="0" borderId="0" xfId="2" applyFont="1" applyAlignment="1"/>
    <xf numFmtId="0" fontId="31" fillId="0" borderId="0" xfId="0" applyFont="1" applyFill="1"/>
    <xf numFmtId="0" fontId="31" fillId="0" borderId="0" xfId="0" applyFont="1" applyFill="1" applyAlignment="1"/>
    <xf numFmtId="0" fontId="32" fillId="0" borderId="0" xfId="0" applyFont="1" applyFill="1" applyAlignment="1"/>
    <xf numFmtId="1" fontId="0" fillId="0" borderId="0" xfId="0" quotePrefix="1" applyNumberFormat="1" applyFont="1" applyFill="1" applyAlignment="1"/>
    <xf numFmtId="2" fontId="27" fillId="0" borderId="0" xfId="0" applyNumberFormat="1" applyFont="1" applyFill="1"/>
    <xf numFmtId="1" fontId="26" fillId="0" borderId="0" xfId="0" applyNumberFormat="1" applyFont="1" applyFill="1" applyAlignment="1"/>
    <xf numFmtId="0" fontId="2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2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25" fillId="0" borderId="0" xfId="0" applyFont="1" applyAlignment="1"/>
    <xf numFmtId="165" fontId="3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3" fillId="0" borderId="0" xfId="0" applyFont="1" applyAlignment="1"/>
    <xf numFmtId="16" fontId="24" fillId="0" borderId="0" xfId="0" applyNumberFormat="1" applyFont="1" applyAlignment="1"/>
    <xf numFmtId="0" fontId="26" fillId="0" borderId="0" xfId="0" applyFont="1" applyFill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49" fontId="27" fillId="0" borderId="0" xfId="0" applyNumberFormat="1" applyFont="1"/>
    <xf numFmtId="0" fontId="28" fillId="3" borderId="0" xfId="0" applyFont="1" applyFill="1"/>
    <xf numFmtId="0" fontId="26" fillId="3" borderId="0" xfId="0" applyFont="1" applyFill="1"/>
    <xf numFmtId="0" fontId="3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8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7" fillId="0" borderId="2" xfId="0" applyNumberFormat="1" applyFont="1" applyFill="1" applyBorder="1"/>
    <xf numFmtId="1" fontId="26" fillId="0" borderId="2" xfId="0" applyNumberFormat="1" applyFont="1" applyFill="1" applyBorder="1" applyAlignment="1"/>
    <xf numFmtId="0" fontId="26" fillId="0" borderId="2" xfId="0" applyFont="1" applyFill="1" applyBorder="1"/>
    <xf numFmtId="1" fontId="27" fillId="0" borderId="6" xfId="0" applyNumberFormat="1" applyFont="1" applyFill="1" applyBorder="1"/>
    <xf numFmtId="0" fontId="21" fillId="0" borderId="0" xfId="0" applyFont="1" applyAlignment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9" fontId="27" fillId="0" borderId="1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9" fontId="27" fillId="0" borderId="0" xfId="0" applyNumberFormat="1" applyFont="1" applyAlignment="1">
      <alignment vertical="center"/>
    </xf>
    <xf numFmtId="0" fontId="2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" fontId="27" fillId="0" borderId="1" xfId="0" applyNumberFormat="1" applyFont="1" applyFill="1" applyBorder="1" applyAlignment="1">
      <alignment vertical="center"/>
    </xf>
    <xf numFmtId="0" fontId="36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7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" xfId="0" applyFont="1" applyFill="1" applyBorder="1"/>
    <xf numFmtId="0" fontId="39" fillId="0" borderId="1" xfId="0" applyFont="1" applyFill="1" applyBorder="1" applyAlignment="1"/>
    <xf numFmtId="0" fontId="40" fillId="0" borderId="1" xfId="0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3" borderId="2" xfId="0" applyFont="1" applyFill="1" applyBorder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7" fillId="0" borderId="0" xfId="0" applyNumberFormat="1" applyFont="1"/>
    <xf numFmtId="16" fontId="27" fillId="5" borderId="0" xfId="0" applyNumberFormat="1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7" fillId="6" borderId="1" xfId="0" applyFont="1" applyFill="1" applyBorder="1" applyAlignment="1">
      <alignment vertical="center"/>
    </xf>
    <xf numFmtId="1" fontId="26" fillId="0" borderId="0" xfId="0" applyNumberFormat="1" applyFont="1" applyFill="1"/>
    <xf numFmtId="0" fontId="0" fillId="0" borderId="1" xfId="2" applyNumberFormat="1" applyFont="1" applyFill="1" applyBorder="1" applyAlignment="1"/>
    <xf numFmtId="10" fontId="31" fillId="0" borderId="1" xfId="2" applyNumberFormat="1" applyFont="1" applyFill="1" applyBorder="1" applyAlignment="1"/>
    <xf numFmtId="0" fontId="16" fillId="0" borderId="0" xfId="0" applyFont="1" applyAlignment="1"/>
    <xf numFmtId="0" fontId="15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2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13" fillId="0" borderId="0" xfId="0" applyFont="1"/>
    <xf numFmtId="0" fontId="27" fillId="0" borderId="0" xfId="0" applyFont="1" applyFill="1" applyAlignment="1">
      <alignment vertical="center"/>
    </xf>
    <xf numFmtId="0" fontId="1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7" fillId="0" borderId="1" xfId="0" applyFont="1" applyFill="1" applyBorder="1"/>
    <xf numFmtId="166" fontId="27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7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35" fillId="0" borderId="1" xfId="1" applyNumberForma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2" xfId="0" applyFont="1" applyFill="1" applyBorder="1" applyAlignment="1"/>
    <xf numFmtId="0" fontId="4" fillId="7" borderId="8" xfId="0" applyFont="1" applyFill="1" applyBorder="1" applyAlignment="1"/>
    <xf numFmtId="0" fontId="4" fillId="0" borderId="8" xfId="0" applyFont="1" applyBorder="1" applyAlignment="1"/>
    <xf numFmtId="0" fontId="4" fillId="7" borderId="9" xfId="0" applyFont="1" applyFill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8" borderId="11" xfId="0" applyFont="1" applyFill="1" applyBorder="1" applyAlignment="1"/>
    <xf numFmtId="9" fontId="4" fillId="8" borderId="12" xfId="0" applyNumberFormat="1" applyFont="1" applyFill="1" applyBorder="1" applyAlignment="1"/>
    <xf numFmtId="0" fontId="4" fillId="8" borderId="12" xfId="0" applyFont="1" applyFill="1" applyBorder="1" applyAlignment="1"/>
    <xf numFmtId="0" fontId="4" fillId="7" borderId="8" xfId="0" applyNumberFormat="1" applyFont="1" applyFill="1" applyBorder="1" applyAlignment="1"/>
    <xf numFmtId="0" fontId="4" fillId="0" borderId="8" xfId="0" applyNumberFormat="1" applyFont="1" applyBorder="1" applyAlignment="1"/>
    <xf numFmtId="0" fontId="4" fillId="0" borderId="10" xfId="0" applyNumberFormat="1" applyFont="1" applyBorder="1" applyAlignment="1"/>
    <xf numFmtId="2" fontId="4" fillId="0" borderId="12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10" xfId="0" applyNumberFormat="1" applyFont="1" applyFill="1" applyBorder="1" applyAlignment="1"/>
    <xf numFmtId="0" fontId="35" fillId="0" borderId="1" xfId="1" applyNumberFormat="1"/>
    <xf numFmtId="0" fontId="35" fillId="0" borderId="1" xfId="1" applyNumberFormat="1" applyFill="1"/>
    <xf numFmtId="0" fontId="3" fillId="3" borderId="0" xfId="0" applyFont="1" applyFill="1" applyAlignment="1">
      <alignment vertical="center"/>
    </xf>
    <xf numFmtId="0" fontId="42" fillId="0" borderId="2" xfId="0" applyFont="1" applyFill="1" applyBorder="1" applyAlignment="1"/>
    <xf numFmtId="1" fontId="42" fillId="0" borderId="2" xfId="0" quotePrefix="1" applyNumberFormat="1" applyFont="1" applyFill="1" applyBorder="1" applyAlignment="1"/>
    <xf numFmtId="2" fontId="43" fillId="0" borderId="2" xfId="0" applyNumberFormat="1" applyFont="1" applyFill="1" applyBorder="1"/>
    <xf numFmtId="1" fontId="42" fillId="0" borderId="2" xfId="0" applyNumberFormat="1" applyFont="1" applyFill="1" applyBorder="1" applyAlignment="1"/>
    <xf numFmtId="0" fontId="42" fillId="0" borderId="2" xfId="0" applyFont="1" applyFill="1" applyBorder="1"/>
    <xf numFmtId="1" fontId="43" fillId="0" borderId="6" xfId="0" applyNumberFormat="1" applyFont="1" applyFill="1" applyBorder="1"/>
    <xf numFmtId="0" fontId="42" fillId="0" borderId="2" xfId="0" applyNumberFormat="1" applyFont="1" applyFill="1" applyBorder="1"/>
    <xf numFmtId="0" fontId="42" fillId="0" borderId="7" xfId="0" applyFont="1" applyFill="1" applyBorder="1" applyAlignment="1"/>
    <xf numFmtId="2" fontId="43" fillId="0" borderId="7" xfId="0" applyNumberFormat="1" applyFont="1" applyFill="1" applyBorder="1"/>
    <xf numFmtId="0" fontId="42" fillId="0" borderId="7" xfId="0" applyNumberFormat="1" applyFont="1" applyFill="1" applyBorder="1"/>
    <xf numFmtId="0" fontId="35" fillId="0" borderId="1" xfId="1" applyNumberFormat="1"/>
    <xf numFmtId="0" fontId="3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1" xfId="1" applyNumberFormat="1"/>
    <xf numFmtId="0" fontId="44" fillId="0" borderId="1" xfId="0" applyFont="1" applyFill="1" applyBorder="1" applyAlignment="1"/>
    <xf numFmtId="0" fontId="1" fillId="0" borderId="0" xfId="0" applyFont="1" applyAlignment="1"/>
    <xf numFmtId="0" fontId="35" fillId="0" borderId="1" xfId="1" applyNumberFormat="1"/>
    <xf numFmtId="0" fontId="0" fillId="0" borderId="0" xfId="0" quotePrefix="1"/>
    <xf numFmtId="0" fontId="3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0.6275071633237822</c:v>
                </c:pt>
                <c:pt idx="1">
                  <c:v>0.2435530085959885</c:v>
                </c:pt>
                <c:pt idx="2">
                  <c:v>0.12893982808022922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37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44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412" dataDxfId="410" headerRowBorderDxfId="411" tableBorderDxfId="409" totalsRowBorderDxfId="408">
  <autoFilter ref="Z7:AJ24" xr:uid="{598ECA3B-99B4-4CAB-8F81-5D711AA5A7FC}"/>
  <tableColumns count="11">
    <tableColumn id="1" xr3:uid="{9B036617-5450-4894-9268-827D2E0914FF}" name="Scoring" dataDxfId="407"/>
    <tableColumn id="2" xr3:uid="{6662CE93-E9C4-47DE-9476-E46126825B0A}" name="Points" dataDxfId="406">
      <calculatedColumnFormula>SUM(AL29,AA49,AL49,AA69,AL69,AA89,AL89)</calculatedColumnFormula>
    </tableColumn>
    <tableColumn id="3" xr3:uid="{8FDDFCB0-2692-4EB0-948C-7B877263B55B}" name="Average" dataDxfId="40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404">
      <calculatedColumnFormula>SUM(AM29,AB49,AM49,AB69,AM69,AB89,AM89)</calculatedColumnFormula>
    </tableColumn>
    <tableColumn id="5" xr3:uid="{5F324C66-956D-4EDC-870F-8EDE96C328C8}" name="Averages" dataDxfId="40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402">
      <calculatedColumnFormula>SUM(AN29,AC49,AN49,AC69,AN69,AC89,AN89)</calculatedColumnFormula>
    </tableColumn>
    <tableColumn id="7" xr3:uid="{8E7E6B37-23A0-4556-8839-B9D7834E3E68}" name="Averages2" dataDxfId="40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400">
      <calculatedColumnFormula>SUM(AO29,AD49,AO49,AD69,AO69,AD89,AO89)</calculatedColumnFormula>
    </tableColumn>
    <tableColumn id="9" xr3:uid="{E0C0BF1C-40E8-4137-8E0F-BB238D651DAE}" name="Averages3" dataDxfId="39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98">
      <calculatedColumnFormula>SfW!C3</calculatedColumnFormula>
    </tableColumn>
    <tableColumn id="11" xr3:uid="{E167D7FA-56F9-4571-B292-FF3869585F59}" name="Missed Games" dataDxfId="39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300">
  <autoFilter ref="AW7:BC24" xr:uid="{96B06DCA-2A57-491D-9968-278FF3FBD78A}"/>
  <tableColumns count="7">
    <tableColumn id="1" xr3:uid="{FE52DA28-AC9B-4385-A502-8DDB5D1FBA9E}" name="Name" dataDxfId="299"/>
    <tableColumn id="2" xr3:uid="{D93DA907-1A5C-4FC6-A721-6072347E34BF}" name="Total R" dataDxfId="298">
      <calculatedColumnFormula>'1707'!AC4+'1807'!AC4+'2407'!AC4+'2607'!AC4</calculatedColumnFormula>
    </tableColumn>
    <tableColumn id="3" xr3:uid="{EBD2E9CC-2367-4D50-957C-38F9CE276205}" name="Total A" dataDxfId="297">
      <calculatedColumnFormula>'1707'!AD4+'1807'!AD4+'2407'!AD4+'2607'!AD4</calculatedColumnFormula>
    </tableColumn>
    <tableColumn id="4" xr3:uid="{7DF9F4A1-F7D8-44DD-8445-ABFA3454613B}" name="Total S" dataDxfId="296">
      <calculatedColumnFormula>'1707'!AE4+'1807'!AE4+'2407'!AE4+'2607'!AE4</calculatedColumnFormula>
    </tableColumn>
    <tableColumn id="5" xr3:uid="{1AAD62E4-FA3F-4F41-8BD0-85F54409C489}" name="Avg R" dataDxfId="29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91" dataDxfId="290">
  <autoFilter ref="R3:AA8" xr:uid="{744FF78C-74B5-4798-AD3D-741E3ACB43CF}"/>
  <tableColumns count="10">
    <tableColumn id="1" xr3:uid="{B3B5C08C-655A-460A-A171-B3B0C826FF04}" name="Name" dataDxfId="289"/>
    <tableColumn id="2" xr3:uid="{427944B0-44CA-4325-A406-29F83026BA5E}" name="Points" dataDxfId="288">
      <calculatedColumnFormula>'Stats Global'!AA22</calculatedColumnFormula>
    </tableColumn>
    <tableColumn id="3" xr3:uid="{5E06D173-4DBE-4045-9072-0A0A77D19C84}" name="Average" dataDxfId="287"/>
    <tableColumn id="4" xr3:uid="{E74131A4-1DCA-4A89-8989-A4CF80175582}" name="Finishes" dataDxfId="286"/>
    <tableColumn id="5" xr3:uid="{FC3336D4-2CB5-4673-A345-7C9CCED7ADEE}" name="Averages" dataDxfId="285"/>
    <tableColumn id="6" xr3:uid="{BD6313A7-5D92-4B66-9B85-7ABC12DE9691}" name="Midranges" dataDxfId="284"/>
    <tableColumn id="7" xr3:uid="{6D0293BC-7E06-45CE-9D4B-FE4769DF9D9F}" name="Averages2" dataDxfId="283"/>
    <tableColumn id="8" xr3:uid="{89C1C64B-DD66-482C-BCDE-8B912D2676EF}" name="Threes" dataDxfId="282"/>
    <tableColumn id="9" xr3:uid="{7748B87C-1833-4BD6-9162-76373407E655}" name="Averages3" dataDxfId="281"/>
    <tableColumn id="10" xr3:uid="{D870E191-A52F-442E-AA52-A42CFAD05573}" name="Missed Games" dataDxfId="28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79" dataDxfId="278" tableBorderDxfId="277">
  <autoFilter ref="AC2:AO14" xr:uid="{1FFC47C7-DFD7-4A9F-A1A5-1CA685184237}"/>
  <tableColumns count="13">
    <tableColumn id="1" xr3:uid="{FB71619C-EB39-4988-B4DB-5EDC829403C2}" name="Against Us" dataDxfId="276"/>
    <tableColumn id="2" xr3:uid="{A05D2E0F-7123-4E1F-B29C-F30D2F0BF127}" name="Points" dataDxfId="27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7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7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7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71">
      <calculatedColumnFormula>Table3[[#This Row],[Points]]/('Stats Global'!$AA$6-'Stats Global'!$AJ$10)</calculatedColumnFormula>
    </tableColumn>
    <tableColumn id="7" xr3:uid="{C5F438D0-3649-45D5-96FD-9D3510FBA489}" name="AVG F" dataDxfId="270"/>
    <tableColumn id="8" xr3:uid="{4FE2170E-9694-4785-914B-948DCD739ABA}" name="AVG M" dataDxfId="269"/>
    <tableColumn id="9" xr3:uid="{2E746532-8EE6-4676-8881-EEE8EA96A6B2}" name="AVG T" dataDxfId="268"/>
    <tableColumn id="10" xr3:uid="{12C6BBBE-13C7-4FFC-B357-00756FCC2217}" name="Difference P" dataDxfId="267">
      <calculatedColumnFormula>'Stats Global'!AB10-Table3[[#This Row],[AVG P]]</calculatedColumnFormula>
    </tableColumn>
    <tableColumn id="11" xr3:uid="{B6506F90-A35B-444D-8607-68FB9AC442F9}" name="Difference F" dataDxfId="266"/>
    <tableColumn id="12" xr3:uid="{090A7971-5A51-4381-ADE6-805EDA460DAB}" name="Difference M" dataDxfId="265"/>
    <tableColumn id="13" xr3:uid="{455AB6FD-A12D-42D6-A826-A5BA8E9EE48E}" name="Difference T" dataDxfId="2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63" dataDxfId="262">
  <autoFilter ref="O3:X10" xr:uid="{54759C84-3153-4DC9-9240-E2749AA0D92B}"/>
  <tableColumns count="10">
    <tableColumn id="1" xr3:uid="{7790729E-C8E5-45C1-8784-25212A2654AA}" name="Name" dataDxfId="261"/>
    <tableColumn id="2" xr3:uid="{52A67B2B-967C-4970-8D83-8F8E9CC61522}" name="Points" dataDxfId="260"/>
    <tableColumn id="3" xr3:uid="{BA1FA2C8-AEC0-4644-83DB-5097750D7188}" name="Average" dataDxfId="259"/>
    <tableColumn id="4" xr3:uid="{4CF66F5D-BF10-4CBD-88FF-CCD38730E1CD}" name="Finishes" dataDxfId="258"/>
    <tableColumn id="5" xr3:uid="{BC246D5B-7E78-41A6-B796-C93ED8E53DF9}" name="Averages" dataDxfId="257"/>
    <tableColumn id="6" xr3:uid="{AB819419-CC06-4A40-8DED-E231125129C0}" name="Midranges" dataDxfId="256"/>
    <tableColumn id="7" xr3:uid="{064AA562-C451-4362-805E-D12DC76C3530}" name="Averages2" dataDxfId="255"/>
    <tableColumn id="8" xr3:uid="{BD0D8BAE-15E4-4B38-87FE-B682D7BAEE75}" name="Threes" dataDxfId="254"/>
    <tableColumn id="9" xr3:uid="{541E391B-4B08-4E98-A63F-753C11193269}" name="Averages3" dataDxfId="253"/>
    <tableColumn id="10" xr3:uid="{999BB5D2-D6FB-4EB9-A268-D62EA72F939D}" name="Missed Games" dataDxfId="25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51" dataDxfId="250">
  <autoFilter ref="L4:U10" xr:uid="{C12CFC3F-7D59-4C0F-8D43-3F8ACD58C2BD}"/>
  <tableColumns count="10">
    <tableColumn id="1" xr3:uid="{CE15C23D-9493-4B21-9D40-1A25D210C18E}" name="Name" dataDxfId="249"/>
    <tableColumn id="2" xr3:uid="{6BB170B1-AA38-4699-9B96-400D2947EE9C}" name="Points" dataDxfId="248"/>
    <tableColumn id="3" xr3:uid="{EC8B6CBB-FCC9-416C-AEA6-738419DFE531}" name="Average" dataDxfId="247"/>
    <tableColumn id="4" xr3:uid="{315DA055-9A43-468A-A501-1092626F523F}" name="Finishes" dataDxfId="246"/>
    <tableColumn id="5" xr3:uid="{56B6FF4D-95D4-4550-88E4-C781ABDA83A6}" name="Averages" dataDxfId="245"/>
    <tableColumn id="6" xr3:uid="{F7B5C0B8-FBE2-44B0-A372-112C7776FCCF}" name="Midranges" dataDxfId="244"/>
    <tableColumn id="7" xr3:uid="{1A1C2126-FEB1-408F-8523-049E53028B4E}" name="Averages2" dataDxfId="243"/>
    <tableColumn id="8" xr3:uid="{AE94036B-3777-4C1B-97D5-7BFA1037C0BF}" name="Threes" dataDxfId="242"/>
    <tableColumn id="9" xr3:uid="{448B0903-7F66-40BA-809F-74ADBF397B45}" name="Averages3" dataDxfId="241"/>
    <tableColumn id="10" xr3:uid="{E0CAC55D-8398-4928-A219-C01706996D48}" name="Missed Games" dataDxfId="2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39" dataDxfId="237" headerRowBorderDxfId="238" tableBorderDxfId="236" totalsRowBorderDxfId="235">
  <autoFilter ref="AB23:AF35" xr:uid="{13FD7CD8-C40D-411F-89C3-F53649174B3A}"/>
  <tableColumns count="5">
    <tableColumn id="1" xr3:uid="{55112290-2A71-4FFD-A96D-ED94D1FAD6CA}" name="Name" dataDxfId="234"/>
    <tableColumn id="2" xr3:uid="{92074427-DAC9-482D-B452-A84499E2326C}" name="Points" dataDxfId="23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232">
      <calculatedColumnFormula>COUNTIFS(E$4:E$35,AB24,F$4:F$35,"Finish")</calculatedColumnFormula>
    </tableColumn>
    <tableColumn id="4" xr3:uid="{F5E1BC98-B8DA-4352-AA36-948EEFB2D6BE}" name="Midranges" dataDxfId="231">
      <calculatedColumnFormula>COUNTIFS(E$4:E$35,AB24,F$4:F$35,"Midrange")</calculatedColumnFormula>
    </tableColumn>
    <tableColumn id="5" xr3:uid="{792FABB2-60F3-4593-AE66-08C16949FD78}" name="Threes" dataDxfId="2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0A8B214-367B-4EE9-8161-15341BCB14F5}" name="Table631343537363839" displayName="Table631343537363839" ref="AC23:AG35" totalsRowShown="0" headerRowDxfId="229" dataDxfId="227" headerRowBorderDxfId="228" tableBorderDxfId="226" totalsRowBorderDxfId="225">
  <autoFilter ref="AC23:AG35" xr:uid="{6B8B7F39-2C3A-40A8-B657-A420C89C98BF}"/>
  <tableColumns count="5">
    <tableColumn id="1" xr3:uid="{5093CAD0-853C-4CDF-AFFA-D014452F3D68}" name="Name" dataDxfId="224"/>
    <tableColumn id="2" xr3:uid="{47F437D8-F6EF-40FF-BD11-45917385604D}" name="Points" dataDxfId="223">
      <calculatedColumnFormula>Table631343537363839[[#This Row],[Finishes]]+Table631343537363839[[#This Row],[Midranges]]+Table631343537363839[[#This Row],[Threes]]+Table631343537363839[[#This Row],[Threes]]</calculatedColumnFormula>
    </tableColumn>
    <tableColumn id="3" xr3:uid="{14444D8C-B6E1-4190-B31A-C02CFBADC96B}" name="Finishes" dataDxfId="222">
      <calculatedColumnFormula>COUNTIFS(E$4:E$35,AC24,F$4:F$35,"Finish")</calculatedColumnFormula>
    </tableColumn>
    <tableColumn id="4" xr3:uid="{5E5D76DA-2402-4659-AA90-B0473B50FA95}" name="Midranges" dataDxfId="221">
      <calculatedColumnFormula>COUNTIFS(E$4:E$35,AC24,F$4:F$35,"Midrange")</calculatedColumnFormula>
    </tableColumn>
    <tableColumn id="5" xr3:uid="{148632A0-2745-417F-8B12-8D0C66A14474}" name="Threes" dataDxfId="22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DE4FC06-3FCE-485A-943A-795496697553}" name="Table6313435373638" displayName="Table6313435373638" ref="AC23:AG35" totalsRowShown="0" headerRowDxfId="219" dataDxfId="217" headerRowBorderDxfId="218" tableBorderDxfId="216" totalsRowBorderDxfId="215">
  <autoFilter ref="AC23:AG35" xr:uid="{6B8B7F39-2C3A-40A8-B657-A420C89C98BF}"/>
  <tableColumns count="5">
    <tableColumn id="1" xr3:uid="{597544EB-487A-420F-8FBE-B4F91A510B35}" name="Name" dataDxfId="214"/>
    <tableColumn id="2" xr3:uid="{32DFC898-61D9-4A65-B2A4-923DACEBDD39}" name="Points" dataDxfId="213">
      <calculatedColumnFormula>Table6313435373638[[#This Row],[Finishes]]+Table6313435373638[[#This Row],[Midranges]]+Table6313435373638[[#This Row],[Threes]]+Table6313435373638[[#This Row],[Threes]]</calculatedColumnFormula>
    </tableColumn>
    <tableColumn id="3" xr3:uid="{95394A44-8DB9-4A95-8734-674152922400}" name="Finishes" dataDxfId="212">
      <calculatedColumnFormula>COUNTIFS(E$4:E$35,AC24,F$4:F$35,"Finish")</calculatedColumnFormula>
    </tableColumn>
    <tableColumn id="4" xr3:uid="{80AD2359-205E-4918-AA65-598F68AAA961}" name="Midranges" dataDxfId="211">
      <calculatedColumnFormula>COUNTIFS(E$4:E$35,AC24,F$4:F$35,"Midrange")</calculatedColumnFormula>
    </tableColumn>
    <tableColumn id="5" xr3:uid="{9A597D4D-D1EB-4AA5-9495-91B2BB549352}" name="Threes" dataDxfId="21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62FD6A4-6718-4FC4-8885-2DC639169644}" name="Table63134353736" displayName="Table63134353736" ref="AC23:AG35" totalsRowShown="0" headerRowDxfId="209" dataDxfId="207" headerRowBorderDxfId="208" tableBorderDxfId="206" totalsRowBorderDxfId="205">
  <autoFilter ref="AC23:AG35" xr:uid="{6B8B7F39-2C3A-40A8-B657-A420C89C98BF}"/>
  <tableColumns count="5">
    <tableColumn id="1" xr3:uid="{EA1DAD7D-B2D1-40A1-AB09-170B8581505A}" name="Name" dataDxfId="204"/>
    <tableColumn id="2" xr3:uid="{E9C6ACB7-CA96-47D1-A554-5C647EBFDC2D}" name="Points" dataDxfId="203">
      <calculatedColumnFormula>Table63134353736[[#This Row],[Finishes]]+Table63134353736[[#This Row],[Midranges]]+Table63134353736[[#This Row],[Threes]]+Table63134353736[[#This Row],[Threes]]</calculatedColumnFormula>
    </tableColumn>
    <tableColumn id="3" xr3:uid="{878D5307-D1DC-4C80-A5C7-EF70E1A14BA8}" name="Finishes" dataDxfId="202">
      <calculatedColumnFormula>COUNTIFS(E$4:E$35,AC24,F$4:F$35,"Finish")</calculatedColumnFormula>
    </tableColumn>
    <tableColumn id="4" xr3:uid="{348251EA-E022-48DF-B85B-1241A87CF38A}" name="Midranges" dataDxfId="201">
      <calculatedColumnFormula>COUNTIFS(E$4:E$35,AC24,F$4:F$35,"Midrange")</calculatedColumnFormula>
    </tableColumn>
    <tableColumn id="5" xr3:uid="{FD7E14CF-1D59-44EF-8E52-0ACC35976CF7}" name="Threes" dataDxfId="20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B8B7F39-2C3A-40A8-B657-A420C89C98BF}" name="Table631343537" displayName="Table631343537" ref="AC23:AG35" totalsRowShown="0" headerRowDxfId="199" dataDxfId="197" headerRowBorderDxfId="198" tableBorderDxfId="196" totalsRowBorderDxfId="195">
  <autoFilter ref="AC23:AG35" xr:uid="{6B8B7F39-2C3A-40A8-B657-A420C89C98BF}"/>
  <tableColumns count="5">
    <tableColumn id="1" xr3:uid="{7E46181B-86B7-46AA-9DDB-8AF59D958688}" name="Name" dataDxfId="194"/>
    <tableColumn id="2" xr3:uid="{2FD21375-E481-4DBC-A77E-9C69967436B9}" name="Points" dataDxfId="193">
      <calculatedColumnFormula>Table631343537[[#This Row],[Finishes]]+Table631343537[[#This Row],[Midranges]]+Table631343537[[#This Row],[Threes]]+Table631343537[[#This Row],[Threes]]</calculatedColumnFormula>
    </tableColumn>
    <tableColumn id="3" xr3:uid="{8FC82A54-7001-48B5-9055-63F13BE958B0}" name="Finishes" dataDxfId="192">
      <calculatedColumnFormula>COUNTIFS(E$4:E$35,AC24,F$4:F$35,"Finish")</calculatedColumnFormula>
    </tableColumn>
    <tableColumn id="4" xr3:uid="{774383B4-9899-4633-981B-D846A6AA37F8}" name="Midranges" dataDxfId="191">
      <calculatedColumnFormula>COUNTIFS(E$4:E$35,AC24,F$4:F$35,"Midrange")</calculatedColumnFormula>
    </tableColumn>
    <tableColumn id="5" xr3:uid="{305716DF-4E61-4BCC-BEB4-92CCB5FAFFEC}" name="Threes" dataDxfId="19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96" dataDxfId="395">
  <autoFilter ref="Z28:AI45" xr:uid="{84D0C431-52CF-4ABD-AA3E-D31975A289B1}"/>
  <tableColumns count="10">
    <tableColumn id="1" xr3:uid="{4DB7A2B8-7BD8-4BD7-8F53-2A7873A4EAAE}" name="Scoring" dataDxfId="394"/>
    <tableColumn id="2" xr3:uid="{BE8EBD49-660A-4C9F-970E-230EBB942EF1}" name="Points" dataDxfId="393">
      <calculatedColumnFormula>'Preseason 1'!R3+'Preseason 2'!R3+'Preseason 3'!R3</calculatedColumnFormula>
    </tableColumn>
    <tableColumn id="3" xr3:uid="{C2C49EF0-4D8C-4F8C-8D19-CDD1481D9568}" name="Finishes" dataDxfId="392">
      <calculatedColumnFormula>'Preseason 1'!S3+'Preseason 2'!S3+'Preseason 3'!S3</calculatedColumnFormula>
    </tableColumn>
    <tableColumn id="4" xr3:uid="{7E789F8C-B8F3-4D6E-AB6C-C9454835B062}" name="Midranges" dataDxfId="391">
      <calculatedColumnFormula>'Preseason 1'!T3+'Preseason 2'!T3+'Preseason 3'!T3</calculatedColumnFormula>
    </tableColumn>
    <tableColumn id="5" xr3:uid="{18C990F2-A6D0-4F57-B96A-D00066DCC8D8}" name="Threes" dataDxfId="390">
      <calculatedColumnFormula>'Preseason 1'!U3+'Preseason 2'!U3+'Preseason 3'!U3</calculatedColumnFormula>
    </tableColumn>
    <tableColumn id="6" xr3:uid="{40526534-76CA-42BA-A8B6-AB092D9CE18F}" name="Avg P" dataDxfId="389">
      <calculatedColumnFormula>AA29/($AA$27-Table2[[#This Row],[Missed Games]])</calculatedColumnFormula>
    </tableColumn>
    <tableColumn id="7" xr3:uid="{693AF117-21F6-4887-B78D-D59235BABA44}" name="Avg F" dataDxfId="388">
      <calculatedColumnFormula>AB29/($AA$27-Table2[[#This Row],[Missed Games]])</calculatedColumnFormula>
    </tableColumn>
    <tableColumn id="8" xr3:uid="{02AC8FBF-EBB3-4AFC-BAC5-B773E33B7279}" name="Avg M" dataDxfId="387">
      <calculatedColumnFormula>AC29/($AA$27-Table2[[#This Row],[Missed Games]])</calculatedColumnFormula>
    </tableColumn>
    <tableColumn id="9" xr3:uid="{CCF75EB4-34C4-4D47-9D51-E8D85C07E38B}" name="Avg T" dataDxfId="386">
      <calculatedColumnFormula>AD29/($AA$27-Table2[[#This Row],[Missed Games]])</calculatedColumnFormula>
    </tableColumn>
    <tableColumn id="10" xr3:uid="{1A786A5C-D0C2-4ABC-904C-983180542D5F}" name="Missed Games" dataDxfId="38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189" dataDxfId="187" headerRowBorderDxfId="188" tableBorderDxfId="186" totalsRowBorderDxfId="185">
  <autoFilter ref="AC23:AG35" xr:uid="{13FD7CD8-C40D-411F-89C3-F53649174B3A}"/>
  <tableColumns count="5">
    <tableColumn id="1" xr3:uid="{AA537C55-6BD8-4E52-B11D-EC80EBF0F9DA}" name="Name" dataDxfId="184"/>
    <tableColumn id="2" xr3:uid="{577B4867-2C4C-4E58-9A1F-0D5BAC71BBA0}" name="Points" dataDxfId="183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182">
      <calculatedColumnFormula>COUNTIFS(E$4:E$35,AC24,F$4:F$35,"Finish")</calculatedColumnFormula>
    </tableColumn>
    <tableColumn id="4" xr3:uid="{6D3532CE-F61A-4287-BF69-5434C1567F43}" name="Midranges" dataDxfId="181">
      <calculatedColumnFormula>COUNTIFS(E$4:E$35,AC24,F$4:F$35,"Midrange")</calculatedColumnFormula>
    </tableColumn>
    <tableColumn id="5" xr3:uid="{40913FB1-BF41-4346-BA89-3058C5F4C26A}" name="Threes" dataDxfId="18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79" dataDxfId="177" headerRowBorderDxfId="178" tableBorderDxfId="176" totalsRowBorderDxfId="175">
  <autoFilter ref="AC23:AG35" xr:uid="{13FD7CD8-C40D-411F-89C3-F53649174B3A}"/>
  <tableColumns count="5">
    <tableColumn id="1" xr3:uid="{5722898C-8B7C-4F0E-B206-8584C19CF3F0}" name="Name" dataDxfId="174"/>
    <tableColumn id="2" xr3:uid="{0B64D802-5FC2-4AA1-A62E-B6CF28717633}" name="Points" dataDxfId="173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72">
      <calculatedColumnFormula>COUNTIFS(E$4:E$35,AC24,F$4:F$35,"Finish")</calculatedColumnFormula>
    </tableColumn>
    <tableColumn id="4" xr3:uid="{1EB8037A-001D-4FEE-A67C-37F522BB9F3B}" name="Midranges" dataDxfId="171">
      <calculatedColumnFormula>COUNTIFS(E$4:E$35,AC24,F$4:F$35,"Midrange")</calculatedColumnFormula>
    </tableColumn>
    <tableColumn id="5" xr3:uid="{21DC8F64-C38B-4516-B315-723E408E3841}" name="Threes" dataDxfId="17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69" dataDxfId="167" headerRowBorderDxfId="168" tableBorderDxfId="166" totalsRowBorderDxfId="165">
  <autoFilter ref="AB23:AF35" xr:uid="{13FD7CD8-C40D-411F-89C3-F53649174B3A}"/>
  <tableColumns count="5">
    <tableColumn id="1" xr3:uid="{574C6AFA-0DD5-4E48-92F8-1F51665EBF50}" name="Name" dataDxfId="164"/>
    <tableColumn id="2" xr3:uid="{73CC7313-6932-4808-B503-006EA032F725}" name="Points" dataDxfId="163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62">
      <calculatedColumnFormula>COUNTIFS(E$4:E$35,AB24,F$4:F$35,"Finish")</calculatedColumnFormula>
    </tableColumn>
    <tableColumn id="4" xr3:uid="{5B87B6E1-7107-49A4-83EF-5808FD74997E}" name="Midranges" dataDxfId="161">
      <calculatedColumnFormula>COUNTIFS(E$4:E$35,AB24,F$4:F$35,"Midrange")</calculatedColumnFormula>
    </tableColumn>
    <tableColumn id="5" xr3:uid="{325B3640-0298-4E89-A2F0-E49C7B0A3C4C}" name="Threes" dataDxfId="1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91C5C250-A408-4754-A8CE-26D442D6CDAA}" name="Name" dataDxfId="154"/>
    <tableColumn id="2" xr3:uid="{30358CE6-D7D2-4D5C-8B2B-68CC2496D5EE}" name="Points" dataDxfId="153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52">
      <calculatedColumnFormula>COUNTIFS(E$4:E$35,AB24,F$4:F$35,"Finish")</calculatedColumnFormula>
    </tableColumn>
    <tableColumn id="4" xr3:uid="{A81D1110-5FEE-4844-939E-93EEBD082E97}" name="Midranges" dataDxfId="151">
      <calculatedColumnFormula>COUNTIFS(E$4:E$35,AB24,F$4:F$35,"Midrange")</calculatedColumnFormula>
    </tableColumn>
    <tableColumn id="5" xr3:uid="{21615588-C03B-492D-9E7F-96AAEBF7CCB0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49" dataDxfId="147" headerRowBorderDxfId="148" tableBorderDxfId="146" totalsRowBorderDxfId="145">
  <autoFilter ref="AB23:AF35" xr:uid="{13FD7CD8-C40D-411F-89C3-F53649174B3A}"/>
  <tableColumns count="5">
    <tableColumn id="1" xr3:uid="{72B8CB40-987E-41F5-A060-5823CF015223}" name="Name" dataDxfId="144"/>
    <tableColumn id="2" xr3:uid="{33F2A167-F049-4052-A26F-5C3D436136E1}" name="Points" dataDxfId="14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42">
      <calculatedColumnFormula>COUNTIFS(E$4:E$35,AB24,F$4:F$35,"Finish")</calculatedColumnFormula>
    </tableColumn>
    <tableColumn id="4" xr3:uid="{8C55320D-B379-4351-AC73-977A4AAF9956}" name="Midranges" dataDxfId="141">
      <calculatedColumnFormula>COUNTIFS(E$4:E$35,AB24,F$4:F$35,"Midrange")</calculatedColumnFormula>
    </tableColumn>
    <tableColumn id="5" xr3:uid="{9ED51C54-01E7-4718-9C8E-3E59C8E64B2E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39" dataDxfId="137" headerRowBorderDxfId="138" tableBorderDxfId="136" totalsRowBorderDxfId="135">
  <autoFilter ref="AB23:AF35" xr:uid="{A58502EA-6343-4A42-B904-BF5AA09EF1C9}"/>
  <tableColumns count="5">
    <tableColumn id="1" xr3:uid="{C42AD260-96D1-4BAD-8582-9EB233D448AD}" name="Name" dataDxfId="134"/>
    <tableColumn id="2" xr3:uid="{119BAC15-6DB1-4EED-9491-B9735D1A1CCD}" name="Points" dataDxfId="13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32">
      <calculatedColumnFormula>COUNTIFS(E$4:E$35,AB24,F$4:F$35,"Finish")</calculatedColumnFormula>
    </tableColumn>
    <tableColumn id="4" xr3:uid="{28ADA3B1-482E-43CA-AD2A-02F7A09CACFD}" name="Midranges" dataDxfId="131">
      <calculatedColumnFormula>COUNTIFS(E$4:E$35,AB24,F$4:F$35,"Midrange")</calculatedColumnFormula>
    </tableColumn>
    <tableColumn id="5" xr3:uid="{C9AC02A1-010E-43D2-BDCE-C22B864C549F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29" dataDxfId="127" headerRowBorderDxfId="128" tableBorderDxfId="126" totalsRowBorderDxfId="125">
  <autoFilter ref="AB23:AF35" xr:uid="{6E76429B-169B-468D-824D-A87B796442C0}"/>
  <tableColumns count="5">
    <tableColumn id="1" xr3:uid="{702D6C1A-EF35-4C14-A8EC-BBE79BC5BE81}" name="Name" dataDxfId="124"/>
    <tableColumn id="2" xr3:uid="{9BD04D9B-64B3-4165-9C75-3A9A0F304D9A}" name="Points" dataDxfId="12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22">
      <calculatedColumnFormula>COUNTIFS(E$4:E$35,AB24,F$4:F$35,"Finish")</calculatedColumnFormula>
    </tableColumn>
    <tableColumn id="4" xr3:uid="{179483FA-F4DC-46F6-9EBD-2B72684FBED5}" name="Midranges" dataDxfId="121">
      <calculatedColumnFormula>COUNTIFS(E$4:E$35,AB24,F$4:F$35,"Midrange")</calculatedColumnFormula>
    </tableColumn>
    <tableColumn id="5" xr3:uid="{82BFCC2E-BA97-42C7-9C9C-9D4A2257CC8D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19" dataDxfId="117" headerRowBorderDxfId="118" tableBorderDxfId="116" totalsRowBorderDxfId="115">
  <autoFilter ref="AB23:AF35" xr:uid="{711C1840-2FF8-49B4-9F4B-8223C0525289}"/>
  <tableColumns count="5">
    <tableColumn id="1" xr3:uid="{0B03E012-9A8E-4767-A04A-C16CD3CCDC33}" name="Name" dataDxfId="114"/>
    <tableColumn id="2" xr3:uid="{A2B7E625-74CD-4FF7-8B9D-7F3ACC55103A}" name="Points" dataDxfId="11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12">
      <calculatedColumnFormula>COUNTIFS(E$4:E$35,AB24,F$4:F$35,"Finish")</calculatedColumnFormula>
    </tableColumn>
    <tableColumn id="4" xr3:uid="{D078A61B-1896-43FA-8563-E4D3FCD6B4DD}" name="Midranges" dataDxfId="111">
      <calculatedColumnFormula>COUNTIFS(E$4:E$35,AB24,F$4:F$35,"Midrange")</calculatedColumnFormula>
    </tableColumn>
    <tableColumn id="5" xr3:uid="{A9701953-19FF-4D79-8455-76372461AB88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09" dataDxfId="107" headerRowBorderDxfId="108" tableBorderDxfId="106" totalsRowBorderDxfId="105">
  <autoFilter ref="AB23:AF35" xr:uid="{AE26177D-8CDE-4D62-99F6-2C9B80BCEAD6}"/>
  <tableColumns count="5">
    <tableColumn id="1" xr3:uid="{4C6C9C10-76EC-4EDA-B740-1EF5587C01D1}" name="Name" dataDxfId="104"/>
    <tableColumn id="2" xr3:uid="{6B881634-AC7D-412B-9F02-D156A1201211}" name="Points" dataDxfId="10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02">
      <calculatedColumnFormula>COUNTIFS(E$4:E$35,AB24,F$4:F$35,"Finish")</calculatedColumnFormula>
    </tableColumn>
    <tableColumn id="4" xr3:uid="{B1AB5C9D-3E0B-4B27-ADFF-1DF93EE6CC84}" name="Midranges" dataDxfId="101">
      <calculatedColumnFormula>COUNTIFS(E$4:E$35,AB24,F$4:F$35,"Midrange")</calculatedColumnFormula>
    </tableColumn>
    <tableColumn id="5" xr3:uid="{7C0B5A5A-E056-494F-86B0-CBEB8D1475C9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99" dataDxfId="97" headerRowBorderDxfId="98" tableBorderDxfId="96" totalsRowBorderDxfId="95">
  <autoFilter ref="AB23:AF35" xr:uid="{A35046DB-B0F1-42B0-86FE-D063621EE515}"/>
  <tableColumns count="5">
    <tableColumn id="1" xr3:uid="{27893731-032B-4D12-B452-2AA29EA44EC6}" name="Name" dataDxfId="94"/>
    <tableColumn id="2" xr3:uid="{E8C49AAC-F230-4F21-AC21-34B9ED55BD7B}" name="Points" dataDxfId="9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92">
      <calculatedColumnFormula>COUNTIFS(E$4:E$35,AB24,F$4:F$35,"Finish")</calculatedColumnFormula>
    </tableColumn>
    <tableColumn id="4" xr3:uid="{74575A80-2AA7-42B7-B656-A6420844C111}" name="Midranges" dataDxfId="91">
      <calculatedColumnFormula>COUNTIFS(E$4:E$35,AB24,F$4:F$35,"Midrange")</calculatedColumnFormula>
    </tableColumn>
    <tableColumn id="5" xr3:uid="{FF198C28-8745-4B95-8E6C-BFE1083D2908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84" dataDxfId="383">
  <autoFilter ref="AK28:AT45" xr:uid="{46F39EBA-1E74-46F4-A6E5-473672128124}"/>
  <tableColumns count="10">
    <tableColumn id="1" xr3:uid="{5D003608-C1C2-4694-9447-8632FB8D7348}" name="Scoring" dataDxfId="382"/>
    <tableColumn id="2" xr3:uid="{D15F4085-CED5-4CDD-B43B-BF7EB59B45A3}" name="Points" dataDxfId="381">
      <calculatedColumnFormula>'1707'!R3+'1807'!R3+'1907'!R3+'2007'!R3</calculatedColumnFormula>
    </tableColumn>
    <tableColumn id="3" xr3:uid="{2D436F37-54B6-4820-9145-F48B4EF9B294}" name="Finishes" dataDxfId="380">
      <calculatedColumnFormula>'1707'!S3+'1807'!S3+'1907'!S3+'2007'!S3</calculatedColumnFormula>
    </tableColumn>
    <tableColumn id="4" xr3:uid="{1D9B6A22-B682-47F3-B738-7C138F317A41}" name="Midranges" dataDxfId="379">
      <calculatedColumnFormula>'1707'!T3+'1807'!T3+'1907'!T3+'2007'!T3</calculatedColumnFormula>
    </tableColumn>
    <tableColumn id="5" xr3:uid="{9966C9A0-3872-44E9-BB39-05DE197EAA68}" name="Threes" dataDxfId="378">
      <calculatedColumnFormula>'1707'!U3+'1807'!U3+'1907'!U3+'2007'!U3</calculatedColumnFormula>
    </tableColumn>
    <tableColumn id="6" xr3:uid="{CC4AB646-735F-425F-8528-C5EFE7FE11DC}" name="Avg P" dataDxfId="377">
      <calculatedColumnFormula>AL29/($AL$27-Table211[[#This Row],[Missed Games]])</calculatedColumnFormula>
    </tableColumn>
    <tableColumn id="7" xr3:uid="{F8D0247E-C6F7-467A-9F38-46084D44F8AB}" name="Avg F" dataDxfId="376">
      <calculatedColumnFormula>AM29/($AL$27-Table211[[#This Row],[Missed Games]])</calculatedColumnFormula>
    </tableColumn>
    <tableColumn id="8" xr3:uid="{7CCF1C77-9DB0-4EB2-B7D0-FD0BDBEBFA0E}" name="Avg M" dataDxfId="375">
      <calculatedColumnFormula>AN29/($AL$27-Table211[[#This Row],[Missed Games]])</calculatedColumnFormula>
    </tableColumn>
    <tableColumn id="9" xr3:uid="{582A1A4E-5383-4383-A480-735408867046}" name="Avg T" dataDxfId="374">
      <calculatedColumnFormula>AO29/($AL$27-Table211[[#This Row],[Missed Games]])</calculatedColumnFormula>
    </tableColumn>
    <tableColumn id="10" xr3:uid="{E547AEB5-F9BA-4C5F-8DCE-34B6A8FF303A}" name="Missed Games" dataDxfId="37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89" dataDxfId="87" headerRowBorderDxfId="88" tableBorderDxfId="86" totalsRowBorderDxfId="85">
  <autoFilter ref="AB23:AF35" xr:uid="{1714D4D3-70C5-4A24-9A4E-A2AAB9CF35E3}"/>
  <tableColumns count="5">
    <tableColumn id="1" xr3:uid="{B8B5BD79-26B0-4FEE-85E2-FC16FA5B1C5A}" name="Name" dataDxfId="84"/>
    <tableColumn id="2" xr3:uid="{34EEB8C6-0E0C-432C-AC65-35959B908E48}" name="Points" dataDxfId="8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82">
      <calculatedColumnFormula>COUNTIFS(E$4:E$35,AB24,F$4:F$35,"Finish")</calculatedColumnFormula>
    </tableColumn>
    <tableColumn id="4" xr3:uid="{8013E110-47EC-40EA-9D63-E2D90CA59A8E}" name="Midranges" dataDxfId="81">
      <calculatedColumnFormula>COUNTIFS(E$4:E$35,AB24,F$4:F$35,"Midrange")</calculatedColumnFormula>
    </tableColumn>
    <tableColumn id="5" xr3:uid="{48311BF4-567F-401E-B8D3-DAB12DC4901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79" dataDxfId="77" headerRowBorderDxfId="78" tableBorderDxfId="76" totalsRowBorderDxfId="75">
  <autoFilter ref="AB23:AF35" xr:uid="{303E2669-BFE0-4C11-83AB-A66D3AD911D5}"/>
  <tableColumns count="5">
    <tableColumn id="1" xr3:uid="{0ACC658A-A2E6-4822-B4CF-E42B064307EC}" name="Name" dataDxfId="74"/>
    <tableColumn id="2" xr3:uid="{69E1B66B-C7C3-4733-9803-F7800D41C7AE}" name="Points" dataDxfId="7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72">
      <calculatedColumnFormula>COUNTIFS(E$4:E$35,AB24,F$4:F$35,"Finish")</calculatedColumnFormula>
    </tableColumn>
    <tableColumn id="4" xr3:uid="{ADB45E9B-AC7D-4069-B639-5DC6C0CF2238}" name="Midranges" dataDxfId="71">
      <calculatedColumnFormula>COUNTIFS(E$4:E$35,AB24,F$4:F$35,"Midrange")</calculatedColumnFormula>
    </tableColumn>
    <tableColumn id="5" xr3:uid="{551A75D2-68CD-46CD-B2A5-EA83451074D7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69" dataDxfId="67" headerRowBorderDxfId="68" tableBorderDxfId="66" totalsRowBorderDxfId="65">
  <autoFilter ref="AB23:AF35" xr:uid="{2C607A1D-5CBE-4AF6-B74F-A17EBEC2C394}"/>
  <tableColumns count="5">
    <tableColumn id="1" xr3:uid="{CA259BF9-3B7B-4C35-8EB0-8FC507F52620}" name="Name" dataDxfId="64"/>
    <tableColumn id="2" xr3:uid="{ACDF4FA4-A3AA-4EBC-A234-FB46076B438E}" name="Points" dataDxfId="6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62">
      <calculatedColumnFormula>COUNTIFS(E$4:E$35,AB24,F$4:F$35,"Finish")</calculatedColumnFormula>
    </tableColumn>
    <tableColumn id="4" xr3:uid="{0A3A77CE-3099-4A7B-981B-6A0F44B14D11}" name="Midranges" dataDxfId="61">
      <calculatedColumnFormula>COUNTIFS(E$4:E$35,AB24,F$4:F$35,"Midrange")</calculatedColumnFormula>
    </tableColumn>
    <tableColumn id="5" xr3:uid="{013E6D90-7B5B-4FB5-B0D3-D87F11C976DB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59" dataDxfId="57" headerRowBorderDxfId="58" tableBorderDxfId="56" totalsRowBorderDxfId="55">
  <autoFilter ref="AB23:AF35" xr:uid="{68118DB3-D0FB-483A-9EB4-32A2F2A95163}"/>
  <tableColumns count="5">
    <tableColumn id="1" xr3:uid="{CE47220C-0A23-4BEF-BE09-10F142B36862}" name="Name" dataDxfId="54"/>
    <tableColumn id="2" xr3:uid="{DF770B97-23E2-457C-9D37-5E9A3C3679DB}" name="Points" dataDxfId="5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52">
      <calculatedColumnFormula>COUNTIFS(E$4:E$35,AB24,F$4:F$35,"Finish")</calculatedColumnFormula>
    </tableColumn>
    <tableColumn id="4" xr3:uid="{9D32120F-F6FF-46CE-AE03-4EFA07E2703A}" name="Midranges" dataDxfId="51">
      <calculatedColumnFormula>COUNTIFS(E$4:E$35,AB24,F$4:F$35,"Midrange")</calculatedColumnFormula>
    </tableColumn>
    <tableColumn id="5" xr3:uid="{B0534804-3982-48F8-9692-9B112C42BBA4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49" dataDxfId="47" headerRowBorderDxfId="48" tableBorderDxfId="46" totalsRowBorderDxfId="45">
  <autoFilter ref="AB23:AF35" xr:uid="{9EF1906A-B3B3-4BEF-9867-FBF932269708}"/>
  <tableColumns count="5">
    <tableColumn id="1" xr3:uid="{19D780D9-93BA-439D-92CE-5E0011FC94C9}" name="Name" dataDxfId="44"/>
    <tableColumn id="2" xr3:uid="{F8FAB1B7-4D3F-462E-A255-9B298AE0F23D}" name="Points" dataDxfId="4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42">
      <calculatedColumnFormula>COUNTIFS(E$4:E$35,AB24,F$4:F$35,"Finish")</calculatedColumnFormula>
    </tableColumn>
    <tableColumn id="4" xr3:uid="{B84E09E7-4B7B-46CB-A382-B3A5B718B665}" name="Midranges" dataDxfId="41">
      <calculatedColumnFormula>COUNTIFS(E$4:E$35,AB24,F$4:F$35,"Midrange")</calculatedColumnFormula>
    </tableColumn>
    <tableColumn id="5" xr3:uid="{E05FF50D-26D5-4849-BD53-F8BE653947F2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39" dataDxfId="37" headerRowBorderDxfId="38" tableBorderDxfId="36" totalsRowBorderDxfId="35">
  <autoFilter ref="AB23:AF35" xr:uid="{3CDAA49A-970D-45E7-8776-FCD763C64D3D}"/>
  <tableColumns count="5">
    <tableColumn id="1" xr3:uid="{BE7D80F2-C167-4417-ABD8-DE86C19C3613}" name="Name" dataDxfId="34"/>
    <tableColumn id="2" xr3:uid="{073E7847-0F0B-4218-ADFE-40B8292E2D26}" name="Points" dataDxfId="3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32">
      <calculatedColumnFormula>COUNTIFS(E$4:E$35,AB24,F$4:F$35,"Finish")</calculatedColumnFormula>
    </tableColumn>
    <tableColumn id="4" xr3:uid="{64DD9251-F793-4491-85A1-6DBBF9E100BF}" name="Midranges" dataDxfId="31">
      <calculatedColumnFormula>COUNTIFS(E$4:E$35,AB24,F$4:F$35,"Midrange")</calculatedColumnFormula>
    </tableColumn>
    <tableColumn id="5" xr3:uid="{762904B8-CD39-408A-B16D-C23402BF9CDD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29" dataDxfId="27" headerRowBorderDxfId="28" tableBorderDxfId="26" totalsRowBorderDxfId="25">
  <autoFilter ref="AB23:AF35" xr:uid="{C6A4DFB5-74A3-4A64-AACD-91CE9502F555}"/>
  <tableColumns count="5">
    <tableColumn id="1" xr3:uid="{0299C96A-7BCA-47EB-AD86-241664A4F514}" name="Name" dataDxfId="24"/>
    <tableColumn id="2" xr3:uid="{5098BEB7-25CA-4164-914A-AC4AFA7BF2BC}" name="Points" dataDxfId="2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22">
      <calculatedColumnFormula>COUNTIFS(E$4:E$35,AB24,F$4:F$35,"Finish")</calculatedColumnFormula>
    </tableColumn>
    <tableColumn id="4" xr3:uid="{AB612CFA-1FA9-4ADE-AE53-130B2B192FB9}" name="Midranges" dataDxfId="21">
      <calculatedColumnFormula>COUNTIFS(E$4:E$35,AB24,F$4:F$35,"Midrange")</calculatedColumnFormula>
    </tableColumn>
    <tableColumn id="5" xr3:uid="{7E81C066-5B3D-4F5F-AA57-F66CFF5F91A1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19" dataDxfId="17" headerRowBorderDxfId="18" tableBorderDxfId="16" totalsRowBorderDxfId="15">
  <autoFilter ref="AB23:AF35" xr:uid="{AD350964-0408-4154-ACAC-3710508D9D87}"/>
  <tableColumns count="5">
    <tableColumn id="1" xr3:uid="{16BEA131-6137-4539-A2D9-4DB11B2311B6}" name="Name" dataDxfId="14"/>
    <tableColumn id="2" xr3:uid="{6AEC6A03-BBB8-42C1-A1C9-687F7E0DE182}" name="Points" dataDxfId="1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12">
      <calculatedColumnFormula>COUNTIFS(E$4:E$35,AB24,F$4:F$35,"Finish")</calculatedColumnFormula>
    </tableColumn>
    <tableColumn id="4" xr3:uid="{01AC69BC-B8B8-4D13-9632-3DA4330300C1}" name="Midranges" dataDxfId="11">
      <calculatedColumnFormula>COUNTIFS(E$4:E$35,AB24,F$4:F$35,"Midrange")</calculatedColumnFormula>
    </tableColumn>
    <tableColumn id="5" xr3:uid="{563C2D33-CBB1-4A24-AD12-1F7EB0B8E5B4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9" dataDxfId="7" headerRowBorderDxfId="8" tableBorderDxfId="6" totalsRowBorderDxfId="5">
  <autoFilter ref="AB23:AF35" xr:uid="{BA72D610-9C91-48B2-AE6A-0F3391E34A4D}"/>
  <tableColumns count="5">
    <tableColumn id="1" xr3:uid="{51F1B0CF-10E2-4194-85E6-583F7CE73389}" name="Name" dataDxfId="4"/>
    <tableColumn id="2" xr3:uid="{45797C8D-217B-47BB-9393-DBE33DBFD489}" name="Points" dataDxfId="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2">
      <calculatedColumnFormula>COUNTIFS(E$4:E$35,AB24,F$4:F$35,"Finish")</calculatedColumnFormula>
    </tableColumn>
    <tableColumn id="4" xr3:uid="{67931CF6-4491-412B-9EC1-E1177336345D}" name="Midranges" dataDxfId="1">
      <calculatedColumnFormula>COUNTIFS(E$4:E$35,AB24,F$4:F$35,"Midrange")</calculatedColumnFormula>
    </tableColumn>
    <tableColumn id="5" xr3:uid="{55B3E858-EE70-46D9-B721-DC47897AA8BB}" name="Threes" dataDxfId="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72" dataDxfId="371">
  <autoFilter ref="Z48:AI65" xr:uid="{D27C125F-71B2-44D9-9F7A-9BED67755DD3}"/>
  <tableColumns count="10">
    <tableColumn id="1" xr3:uid="{0B0344E8-2677-4FAB-9B03-4745991FB5AE}" name="Scoring" dataDxfId="370"/>
    <tableColumn id="2" xr3:uid="{58CA1107-8BB4-4A5D-BA00-31619C8D3973}" name="Points" dataDxfId="369">
      <calculatedColumnFormula>'2407'!R3+'2607'!R3+'2707'!R3</calculatedColumnFormula>
    </tableColumn>
    <tableColumn id="3" xr3:uid="{8090861E-1FDF-44F4-9DB6-BB814E32C754}" name="Finishes" dataDxfId="368">
      <calculatedColumnFormula>'2407'!S3+'2607'!S3+'2707'!S3</calculatedColumnFormula>
    </tableColumn>
    <tableColumn id="4" xr3:uid="{972D0347-DAB3-4985-A738-E5D78740D498}" name="Midranges" dataDxfId="367">
      <calculatedColumnFormula>'2407'!T3+'2607'!T3+'2707'!T3</calculatedColumnFormula>
    </tableColumn>
    <tableColumn id="5" xr3:uid="{48F5F884-1753-4988-9056-632B5EB6BBCB}" name="Threes" dataDxfId="366">
      <calculatedColumnFormula>'2407'!U3+'2607'!U3+'2707'!U3</calculatedColumnFormula>
    </tableColumn>
    <tableColumn id="6" xr3:uid="{6953B627-EA05-418F-A758-FD59263EA60D}" name="Avg P" dataDxfId="365">
      <calculatedColumnFormula>Table21123[[#This Row],[Points]]/($AA$47-Table21123[[#This Row],[Missed Games]])</calculatedColumnFormula>
    </tableColumn>
    <tableColumn id="7" xr3:uid="{BE057C9C-5ECD-4AC2-A9C0-18C89CFB52BC}" name="Avg F" dataDxfId="364">
      <calculatedColumnFormula>Table21123[[#This Row],[Finishes]]/($AA$47-Table21123[[#This Row],[Missed Games]])</calculatedColumnFormula>
    </tableColumn>
    <tableColumn id="8" xr3:uid="{0FDEBEE7-CD5E-4A44-A0AE-74F044F1FF46}" name="Avg M" dataDxfId="363">
      <calculatedColumnFormula>Table21123[[#This Row],[Midranges]]/($AA$47-Table21123[[#This Row],[Missed Games]])</calculatedColumnFormula>
    </tableColumn>
    <tableColumn id="9" xr3:uid="{76975BB6-3677-41A8-BC24-7536B1D876D3}" name="Avg T" dataDxfId="362">
      <calculatedColumnFormula>Table21123[[#This Row],[Threes]]/($AA$47-Table21123[[#This Row],[Missed Games]])</calculatedColumnFormula>
    </tableColumn>
    <tableColumn id="10" xr3:uid="{E5ADB69B-3BA2-4019-8C83-8B02221F187E}" name="Missed Games" dataDxfId="36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60" dataDxfId="359">
  <autoFilter ref="AK48:AT65" xr:uid="{22B89D2C-1B74-4036-A4ED-A5E61F1B3AAC}"/>
  <tableColumns count="10">
    <tableColumn id="1" xr3:uid="{3D35891E-3654-497A-8DB2-BF0BD916CA29}" name="Scoring" dataDxfId="358"/>
    <tableColumn id="2" xr3:uid="{54B5B6AF-372A-4E07-B4D6-DFC66F7E20C5}" name="Points" dataDxfId="357">
      <calculatedColumnFormula>'3107'!R3+'0108'!R3+'0208'!R3+'0308'!R3</calculatedColumnFormula>
    </tableColumn>
    <tableColumn id="3" xr3:uid="{6CA15B41-F560-4B43-8836-163F5BB5689C}" name="Finishes" dataDxfId="356">
      <calculatedColumnFormula>'3107'!S3+'0108'!S3+'0208'!S3+'0308'!S3</calculatedColumnFormula>
    </tableColumn>
    <tableColumn id="4" xr3:uid="{8FF05262-0051-44F7-966E-8D405318BA69}" name="Midranges" dataDxfId="355">
      <calculatedColumnFormula>'3107'!T3+'0108'!T3+'0208'!T3+'0308'!T3</calculatedColumnFormula>
    </tableColumn>
    <tableColumn id="5" xr3:uid="{F0D843FC-7A93-4C9A-BCCF-E789F7811B3B}" name="Threes" dataDxfId="354">
      <calculatedColumnFormula>'3107'!U3+'0108'!U3+'0208'!U3+'0308'!U3</calculatedColumnFormula>
    </tableColumn>
    <tableColumn id="6" xr3:uid="{F0498F8A-F646-4C1F-A3CF-E89E73750FC1}" name="Avg P" dataDxfId="353">
      <calculatedColumnFormula>AL49/($AL$47-Table21124[[#This Row],[Missed Games]])</calculatedColumnFormula>
    </tableColumn>
    <tableColumn id="7" xr3:uid="{A387BC88-F45C-4386-8503-EFEA33BDAC38}" name="Avg F" dataDxfId="352">
      <calculatedColumnFormula>AM49/($AL$47-Table21124[[#This Row],[Missed Games]])</calculatedColumnFormula>
    </tableColumn>
    <tableColumn id="8" xr3:uid="{BEA82919-0828-4351-A01A-D72E13E63FAB}" name="Avg M" dataDxfId="351">
      <calculatedColumnFormula>AN49/($AL$47-Table21124[[#This Row],[Missed Games]])</calculatedColumnFormula>
    </tableColumn>
    <tableColumn id="9" xr3:uid="{ABEBCE01-BCA4-4342-966C-27301889B607}" name="Avg T" dataDxfId="350">
      <calculatedColumnFormula>AO49/($AL$47-Table21124[[#This Row],[Missed Games]])</calculatedColumnFormula>
    </tableColumn>
    <tableColumn id="10" xr3:uid="{65E7A8E7-4C51-42E4-AB0F-B7FF6099D70A}" name="Missed Games" dataDxfId="34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48" dataDxfId="347">
  <autoFilter ref="AK68:AT85" xr:uid="{18C7D514-96DE-4BA6-B019-3E860ED143EC}"/>
  <tableColumns count="10">
    <tableColumn id="1" xr3:uid="{D144EF14-69FD-4E71-90C7-56F49F45FAE5}" name="Scoring" dataDxfId="346"/>
    <tableColumn id="2" xr3:uid="{34D1D392-F3E0-4C36-9EED-849D5B1149E6}" name="Points" dataDxfId="345">
      <calculatedColumnFormula>'1408'!R3+'1508'!R3+'1708'!R3</calculatedColumnFormula>
    </tableColumn>
    <tableColumn id="3" xr3:uid="{E91D98A2-80BD-4E5C-9036-2FCC8185369F}" name="Finishes" dataDxfId="344">
      <calculatedColumnFormula>'1408'!S3+'1508'!S3+'1708'!S3</calculatedColumnFormula>
    </tableColumn>
    <tableColumn id="4" xr3:uid="{D2E5029E-4811-4E9B-9A2D-5F5F8F322B0D}" name="Midranges" dataDxfId="343">
      <calculatedColumnFormula>'1408'!T3+'1508'!T3+'1708'!T3</calculatedColumnFormula>
    </tableColumn>
    <tableColumn id="5" xr3:uid="{B3E76CEE-33DA-4B18-8DCE-8EBC7EE592D7}" name="Threes" dataDxfId="342">
      <calculatedColumnFormula>'1408'!U3+'1508'!U3+'1708'!U3</calculatedColumnFormula>
    </tableColumn>
    <tableColumn id="6" xr3:uid="{6ABE1879-8018-4498-A9A1-22CF831F0364}" name="Avg P" dataDxfId="341">
      <calculatedColumnFormula>Table21125[[#This Row],[Points]]/($AL$67-Table21125[[#This Row],[Missed Games]])</calculatedColumnFormula>
    </tableColumn>
    <tableColumn id="7" xr3:uid="{8DA4DD79-8A2A-49E4-996F-C1ACCED3C565}" name="Avg F" dataDxfId="340">
      <calculatedColumnFormula>Table21125[[#This Row],[Finishes]]/($AL$67-Table21125[[#This Row],[Missed Games]])</calculatedColumnFormula>
    </tableColumn>
    <tableColumn id="8" xr3:uid="{256EA4BC-BA61-49E2-969F-0786AA9AA6EA}" name="Avg M" dataDxfId="339">
      <calculatedColumnFormula>Table21125[[#This Row],[Midranges]]/($AL$67-Table21125[[#This Row],[Missed Games]])</calculatedColumnFormula>
    </tableColumn>
    <tableColumn id="9" xr3:uid="{0E5566B2-99EC-4B03-A074-8705C4EDA484}" name="Avg T" dataDxfId="338">
      <calculatedColumnFormula>Table21125[[#This Row],[Threes]]/($AL$67-Table21125[[#This Row],[Missed Games]])</calculatedColumnFormula>
    </tableColumn>
    <tableColumn id="10" xr3:uid="{3E2357F0-493E-401D-AC75-9AAB260F684E}" name="Missed Games" dataDxfId="33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336" dataDxfId="335">
  <autoFilter ref="Z68:AI85" xr:uid="{F118BED8-7AAF-4E55-A61F-C75C69A64AAE}"/>
  <tableColumns count="10">
    <tableColumn id="1" xr3:uid="{7723929D-65B3-40BB-8FDD-C4533243706C}" name="Scoring" dataDxfId="334"/>
    <tableColumn id="2" xr3:uid="{EC28DE3D-619E-4930-A3AF-7AD1BE1D4843}" name="Points" dataDxfId="333">
      <calculatedColumnFormula>'0808'!R3+'0908'!R3+'1008'!R3</calculatedColumnFormula>
    </tableColumn>
    <tableColumn id="3" xr3:uid="{9537269D-8C1D-42B5-866F-D03CE61A8512}" name="Finishes" dataDxfId="332">
      <calculatedColumnFormula>'0808'!S3+'0908'!S3+'1008'!S3</calculatedColumnFormula>
    </tableColumn>
    <tableColumn id="4" xr3:uid="{AC590DDB-BE19-4A14-8B98-1E5E2430AA45}" name="Midranges" dataDxfId="331">
      <calculatedColumnFormula>'0808'!T3+'0908'!T3+'1008'!T3</calculatedColumnFormula>
    </tableColumn>
    <tableColumn id="5" xr3:uid="{C96D3ACD-F34D-477E-86DE-4650EE56BC94}" name="Threes" dataDxfId="330">
      <calculatedColumnFormula>'0808'!U3+'0908'!U3+'1008'!U3</calculatedColumnFormula>
    </tableColumn>
    <tableColumn id="6" xr3:uid="{A43DE5E9-BB01-49FA-A204-66EE7BAA2E9F}" name="Avg P" dataDxfId="329">
      <calculatedColumnFormula>Table21126[[#This Row],[Points]]/($AA$67-Table21126[[#This Row],[Missed Games]])</calculatedColumnFormula>
    </tableColumn>
    <tableColumn id="7" xr3:uid="{C75A19FF-6041-45C2-BACB-E347F06B6329}" name="Avg F" dataDxfId="328">
      <calculatedColumnFormula>Table21126[[#This Row],[Finishes]]/($AA$67-Table21126[[#This Row],[Missed Games]])</calculatedColumnFormula>
    </tableColumn>
    <tableColumn id="8" xr3:uid="{00D3FCFC-C9C5-4C96-BE0E-8E1FDC95D07C}" name="Avg M" dataDxfId="327">
      <calculatedColumnFormula>Table21126[[#This Row],[Midranges]]/($AA$67-Table21126[[#This Row],[Missed Games]])</calculatedColumnFormula>
    </tableColumn>
    <tableColumn id="9" xr3:uid="{0448FF4E-9D2D-47F6-89B7-F17D36B05E8A}" name="Avg T" dataDxfId="326">
      <calculatedColumnFormula>Table21126[[#This Row],[Threes]]/($AA$67-Table21126[[#This Row],[Missed Games]])</calculatedColumnFormula>
    </tableColumn>
    <tableColumn id="10" xr3:uid="{D5BDFA2D-095B-44F8-8567-15B3B1520E5A}" name="Missed Games" dataDxfId="32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324" dataDxfId="323">
  <autoFilter ref="Z88:AI105" xr:uid="{BDD2E472-3925-41A7-BECD-3315E6E71ECC}"/>
  <tableColumns count="10">
    <tableColumn id="1" xr3:uid="{9DBD966D-620C-4B97-A502-29D00ABE150B}" name="Scoring" dataDxfId="322"/>
    <tableColumn id="2" xr3:uid="{F8F81F0E-16B3-4472-9D90-A92149C763E4}" name="Points" dataDxfId="321">
      <calculatedColumnFormula>'Finals 1'!S3+'Finals 2'!S3+'Finals 3'!S3+'Final Ladder'!S3+'Play-In'!S3</calculatedColumnFormula>
    </tableColumn>
    <tableColumn id="3" xr3:uid="{09859CE1-290D-4977-B02C-46F4E5A6FDC2}" name="Finishes" dataDxfId="320">
      <calculatedColumnFormula>'Finals 1'!T3+'Finals 2'!T3+'Finals 3'!T3+'Final Ladder'!T3+'Play-In'!T3</calculatedColumnFormula>
    </tableColumn>
    <tableColumn id="4" xr3:uid="{7D751A0E-2895-46DF-B5E2-5A8AA5531CD2}" name="Midranges" dataDxfId="319">
      <calculatedColumnFormula>'Finals 1'!U3+'Finals 2'!U3+'Finals 3'!U3+'Final Ladder'!U3+'Play-In'!U3</calculatedColumnFormula>
    </tableColumn>
    <tableColumn id="5" xr3:uid="{591CDC71-B0EA-413B-B6C1-77884E7E50D4}" name="Threes" dataDxfId="318">
      <calculatedColumnFormula>'Finals 1'!V3+'Finals 2'!V3+'Finals 3'!V3+'Final Ladder'!V3+'Play-In'!V3</calculatedColumnFormula>
    </tableColumn>
    <tableColumn id="6" xr3:uid="{52ED768C-5557-42DC-9824-7A4D9B547153}" name="Avg P" dataDxfId="317">
      <calculatedColumnFormula>Table21127[[#This Row],[Points]]/($AA$87-Table21127[[#This Row],[Missed Games]])</calculatedColumnFormula>
    </tableColumn>
    <tableColumn id="7" xr3:uid="{FC79BE87-72E2-4F5E-83D6-CDCE645EB943}" name="Avg F" dataDxfId="316">
      <calculatedColumnFormula>Table21127[[#This Row],[Finishes]]/($AA$87-Table21127[[#This Row],[Missed Games]])</calculatedColumnFormula>
    </tableColumn>
    <tableColumn id="8" xr3:uid="{BA012C22-0D65-4C11-98A7-4F958703D04B}" name="Avg M" dataDxfId="315">
      <calculatedColumnFormula>Table21127[[#This Row],[Midranges]]/($AA$87-Table21127[[#This Row],[Missed Games]])</calculatedColumnFormula>
    </tableColumn>
    <tableColumn id="9" xr3:uid="{63344F2B-5D94-417D-85E2-C2BFBACE3E7E}" name="Avg T" dataDxfId="314">
      <calculatedColumnFormula>Table21127[[#This Row],[Threes]]/($AA$87-Table21127[[#This Row],[Missed Games]])</calculatedColumnFormula>
    </tableColumn>
    <tableColumn id="10" xr3:uid="{1AD5A604-8909-45B3-8E43-11D407451CEA}" name="Missed Games" dataDxfId="313">
      <calculatedColumnFormula>COUNTIF('Finals 1'!W3, TRUE)+COUNTIF('Finals 2'!W3, TRUE)+COUNTIF('Finals 3'!W3, TRUE)+COUNTIF('Final Ladder'!W3, TRUE)+COUNTIF('Play-In'!W3,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312" dataDxfId="311">
  <autoFilter ref="AK88:AT105" xr:uid="{F9183685-60DE-4163-AA62-BE4F563EE570}"/>
  <tableColumns count="10">
    <tableColumn id="1" xr3:uid="{E62FBAA0-D6F6-4997-96C9-B6B13FAA9B6E}" name="Scoring" dataDxfId="310"/>
    <tableColumn id="2" xr3:uid="{0A655F6F-9A21-4167-85B6-B9F7DC2070CA}" name="Points" dataDxfId="309">
      <calculatedColumnFormula>Template!AC63</calculatedColumnFormula>
    </tableColumn>
    <tableColumn id="3" xr3:uid="{460771D3-3BD8-4DA3-AF1B-1A0F98EF1499}" name="Finishes" dataDxfId="308">
      <calculatedColumnFormula>Template!AD63</calculatedColumnFormula>
    </tableColumn>
    <tableColumn id="4" xr3:uid="{3C08B2D7-823D-49C3-A627-A5848E664B2F}" name="Midranges" dataDxfId="307">
      <calculatedColumnFormula>Template!AE63</calculatedColumnFormula>
    </tableColumn>
    <tableColumn id="5" xr3:uid="{E88F45FB-4C46-4674-86D5-74808E7E5368}" name="Threes" dataDxfId="306">
      <calculatedColumnFormula>Template!AF63</calculatedColumnFormula>
    </tableColumn>
    <tableColumn id="6" xr3:uid="{0C0E8016-1E6E-4F25-9675-4EE061FFD0F7}" name="Avg P" dataDxfId="305">
      <calculatedColumnFormula>AL89/$AA$27</calculatedColumnFormula>
    </tableColumn>
    <tableColumn id="7" xr3:uid="{F7AC350B-AE4B-4912-B21D-16D99E2AE8BF}" name="Avg F" dataDxfId="304">
      <calculatedColumnFormula>AM89/$AA$27</calculatedColumnFormula>
    </tableColumn>
    <tableColumn id="8" xr3:uid="{F451E5CA-B9C4-4EFA-A647-CEDB2FB39550}" name="Avg M" dataDxfId="303">
      <calculatedColumnFormula>AN89/$AA$27</calculatedColumnFormula>
    </tableColumn>
    <tableColumn id="9" xr3:uid="{ED1D92B5-05F1-40CE-A89F-E6627FAB4A59}" name="Avg T" dataDxfId="302">
      <calculatedColumnFormula>AO89/$AA$27</calculatedColumnFormula>
    </tableColumn>
    <tableColumn id="10" xr3:uid="{48A4808A-3DE6-4644-83F5-C2AEDDFC3E5E}" name="Missed Games" dataDxfId="30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85F-ECE9-4FE5-9060-0824930AEC25}">
  <dimension ref="A1:AI135"/>
  <sheetViews>
    <sheetView zoomScale="40" zoomScaleNormal="40" workbookViewId="0">
      <selection activeCell="AI102" sqref="AI102"/>
    </sheetView>
  </sheetViews>
  <sheetFormatPr defaultColWidth="15.59765625" defaultRowHeight="14.25" x14ac:dyDescent="0.45"/>
  <sheetData>
    <row r="1" spans="1:29" x14ac:dyDescent="0.45">
      <c r="A1" s="25" t="s">
        <v>296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 s="189" t="s">
        <v>323</v>
      </c>
    </row>
    <row r="2" spans="1:29" x14ac:dyDescent="0.45">
      <c r="A2" s="25" t="s">
        <v>58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  <c r="G2" t="s">
        <v>312</v>
      </c>
      <c r="H2" t="s">
        <v>313</v>
      </c>
      <c r="I2" t="s">
        <v>314</v>
      </c>
      <c r="J2" t="s">
        <v>315</v>
      </c>
      <c r="R2" s="188" t="s">
        <v>45</v>
      </c>
      <c r="S2">
        <f t="shared" ref="S2:S18" si="0">(S$1*COUNTIF(A$2:A$11, ("*"&amp;$R2&amp;"*")))</f>
        <v>0</v>
      </c>
      <c r="T2" s="16">
        <f t="shared" ref="T2:T18" si="1">(T$1*COUNTIF(B$2:B$11, ("*"&amp;$R2&amp;"*")))</f>
        <v>0</v>
      </c>
      <c r="U2" s="16">
        <f t="shared" ref="U2:U18" si="2">(U$1*COUNTIF(C$2:C$11, ("*"&amp;$R2&amp;"*")))</f>
        <v>8</v>
      </c>
      <c r="V2" s="16">
        <f t="shared" ref="V2:V18" si="3">(V$1*COUNTIF(D$2:D$11, ("*"&amp;$R2&amp;"*")))</f>
        <v>0</v>
      </c>
      <c r="W2" s="16">
        <f t="shared" ref="W2:W18" si="4">(W$1*COUNTIF(E$2:E$11, ("*"&amp;$R2&amp;"*")))</f>
        <v>6</v>
      </c>
      <c r="X2" s="16">
        <f t="shared" ref="X2:X18" si="5">(X$1*COUNTIF(F$2:F$11, ("*"&amp;$R2&amp;"*")))</f>
        <v>0</v>
      </c>
      <c r="Y2" s="16">
        <f t="shared" ref="Y2:Y18" si="6">(Y$1*COUNTIF(G$2:G$11, ("*"&amp;$R2&amp;"*")))</f>
        <v>8</v>
      </c>
      <c r="Z2" s="16">
        <f t="shared" ref="Z2:Z18" si="7">(Z$1*COUNTIF(H$2:H$11, ("*"&amp;$R2&amp;"*")))</f>
        <v>6</v>
      </c>
      <c r="AA2" s="16">
        <f t="shared" ref="AA2:AA18" si="8">(AA$1*COUNTIF(I$2:I$11, ("*"&amp;$R2&amp;"*")))</f>
        <v>6</v>
      </c>
      <c r="AB2" s="16">
        <f t="shared" ref="AB2:AB18" si="9">(AB$1*COUNTIF(J$2:J$11, ("*"&amp;$R2&amp;"*")))</f>
        <v>1</v>
      </c>
      <c r="AC2" s="16">
        <f>SUM(S2:AB2)</f>
        <v>35</v>
      </c>
    </row>
    <row r="3" spans="1:29" x14ac:dyDescent="0.45">
      <c r="A3" s="25" t="s">
        <v>44</v>
      </c>
      <c r="B3" t="s">
        <v>316</v>
      </c>
      <c r="C3" t="s">
        <v>308</v>
      </c>
      <c r="D3" t="s">
        <v>311</v>
      </c>
      <c r="E3" t="s">
        <v>309</v>
      </c>
      <c r="F3" t="s">
        <v>310</v>
      </c>
      <c r="G3" t="s">
        <v>312</v>
      </c>
      <c r="H3" t="s">
        <v>313</v>
      </c>
      <c r="I3" t="s">
        <v>314</v>
      </c>
      <c r="J3" t="s">
        <v>315</v>
      </c>
      <c r="R3" s="188" t="s">
        <v>49</v>
      </c>
      <c r="S3" s="16">
        <f t="shared" si="0"/>
        <v>0</v>
      </c>
      <c r="T3" s="16">
        <f t="shared" si="1"/>
        <v>0</v>
      </c>
      <c r="U3" s="16">
        <f t="shared" si="2"/>
        <v>8</v>
      </c>
      <c r="V3" s="16">
        <f t="shared" si="3"/>
        <v>21</v>
      </c>
      <c r="W3" s="16">
        <f t="shared" si="4"/>
        <v>6</v>
      </c>
      <c r="X3" s="16">
        <f t="shared" si="5"/>
        <v>10</v>
      </c>
      <c r="Y3" s="16">
        <f t="shared" si="6"/>
        <v>0</v>
      </c>
      <c r="Z3" s="16">
        <f t="shared" si="7"/>
        <v>3</v>
      </c>
      <c r="AA3" s="16">
        <f t="shared" si="8"/>
        <v>2</v>
      </c>
      <c r="AB3" s="16">
        <f t="shared" si="9"/>
        <v>1</v>
      </c>
      <c r="AC3" s="16">
        <f t="shared" ref="AC3:AC18" si="10">SUM(S3:AB3)</f>
        <v>51</v>
      </c>
    </row>
    <row r="4" spans="1:29" x14ac:dyDescent="0.45">
      <c r="A4" s="25" t="s">
        <v>58</v>
      </c>
      <c r="B4" t="s">
        <v>309</v>
      </c>
      <c r="C4" t="s">
        <v>308</v>
      </c>
      <c r="D4" t="s">
        <v>311</v>
      </c>
      <c r="E4" t="s">
        <v>312</v>
      </c>
      <c r="F4" t="s">
        <v>310</v>
      </c>
      <c r="G4" t="s">
        <v>307</v>
      </c>
      <c r="H4" t="s">
        <v>314</v>
      </c>
      <c r="I4" t="s">
        <v>315</v>
      </c>
      <c r="J4" t="s">
        <v>313</v>
      </c>
      <c r="R4" s="188" t="s">
        <v>51</v>
      </c>
      <c r="S4" s="16">
        <f t="shared" si="0"/>
        <v>0</v>
      </c>
      <c r="T4" s="16">
        <f t="shared" si="1"/>
        <v>0</v>
      </c>
      <c r="U4" s="16">
        <f t="shared" si="2"/>
        <v>0</v>
      </c>
      <c r="V4" s="16">
        <f t="shared" si="3"/>
        <v>0</v>
      </c>
      <c r="W4" s="16">
        <f t="shared" si="4"/>
        <v>0</v>
      </c>
      <c r="X4" s="16">
        <f t="shared" si="5"/>
        <v>0</v>
      </c>
      <c r="Y4" s="16">
        <f t="shared" si="6"/>
        <v>0</v>
      </c>
      <c r="Z4" s="16">
        <f t="shared" si="7"/>
        <v>0</v>
      </c>
      <c r="AA4" s="16">
        <f t="shared" si="8"/>
        <v>0</v>
      </c>
      <c r="AB4" s="16">
        <f t="shared" si="9"/>
        <v>0</v>
      </c>
      <c r="AC4" s="16">
        <f t="shared" si="10"/>
        <v>0</v>
      </c>
    </row>
    <row r="5" spans="1:29" x14ac:dyDescent="0.45">
      <c r="A5" s="25" t="s">
        <v>58</v>
      </c>
      <c r="B5" t="s">
        <v>308</v>
      </c>
      <c r="C5" t="s">
        <v>309</v>
      </c>
      <c r="D5" t="s">
        <v>307</v>
      </c>
      <c r="E5" t="s">
        <v>311</v>
      </c>
      <c r="F5" t="s">
        <v>310</v>
      </c>
      <c r="G5" t="s">
        <v>314</v>
      </c>
      <c r="H5" t="s">
        <v>315</v>
      </c>
      <c r="I5" t="s">
        <v>313</v>
      </c>
      <c r="J5" t="s">
        <v>312</v>
      </c>
      <c r="R5" s="188" t="s">
        <v>54</v>
      </c>
      <c r="S5" s="16">
        <f t="shared" si="0"/>
        <v>0</v>
      </c>
      <c r="T5" s="16">
        <f t="shared" si="1"/>
        <v>0</v>
      </c>
      <c r="U5" s="16">
        <f t="shared" si="2"/>
        <v>0</v>
      </c>
      <c r="V5" s="16">
        <f t="shared" si="3"/>
        <v>0</v>
      </c>
      <c r="W5" s="16">
        <f t="shared" si="4"/>
        <v>0</v>
      </c>
      <c r="X5" s="16">
        <f t="shared" si="5"/>
        <v>0</v>
      </c>
      <c r="Y5" s="16">
        <f t="shared" si="6"/>
        <v>0</v>
      </c>
      <c r="Z5" s="16">
        <f t="shared" si="7"/>
        <v>0</v>
      </c>
      <c r="AA5" s="16">
        <f t="shared" si="8"/>
        <v>0</v>
      </c>
      <c r="AB5" s="16">
        <f t="shared" si="9"/>
        <v>0</v>
      </c>
      <c r="AC5" s="16">
        <f t="shared" si="10"/>
        <v>0</v>
      </c>
    </row>
    <row r="6" spans="1:29" x14ac:dyDescent="0.45">
      <c r="A6" s="25" t="s">
        <v>55</v>
      </c>
      <c r="B6" t="s">
        <v>316</v>
      </c>
      <c r="C6" t="s">
        <v>310</v>
      </c>
      <c r="D6" t="s">
        <v>311</v>
      </c>
      <c r="E6" t="s">
        <v>309</v>
      </c>
      <c r="F6" t="s">
        <v>312</v>
      </c>
      <c r="G6" t="s">
        <v>313</v>
      </c>
      <c r="H6" t="s">
        <v>314</v>
      </c>
      <c r="I6" t="s">
        <v>315</v>
      </c>
      <c r="J6" t="s">
        <v>307</v>
      </c>
      <c r="R6" s="188" t="s">
        <v>57</v>
      </c>
      <c r="S6" s="16">
        <f t="shared" si="0"/>
        <v>0</v>
      </c>
      <c r="T6" s="16">
        <f t="shared" si="1"/>
        <v>0</v>
      </c>
      <c r="U6" s="16">
        <f t="shared" si="2"/>
        <v>0</v>
      </c>
      <c r="V6" s="16">
        <f t="shared" si="3"/>
        <v>0</v>
      </c>
      <c r="W6" s="16">
        <f t="shared" si="4"/>
        <v>0</v>
      </c>
      <c r="X6" s="16">
        <f t="shared" si="5"/>
        <v>0</v>
      </c>
      <c r="Y6" s="16">
        <f t="shared" si="6"/>
        <v>0</v>
      </c>
      <c r="Z6" s="16">
        <f t="shared" si="7"/>
        <v>0</v>
      </c>
      <c r="AA6" s="16">
        <f t="shared" si="8"/>
        <v>0</v>
      </c>
      <c r="AB6" s="16">
        <f t="shared" si="9"/>
        <v>0</v>
      </c>
      <c r="AC6" s="16">
        <f t="shared" si="10"/>
        <v>0</v>
      </c>
    </row>
    <row r="7" spans="1:29" x14ac:dyDescent="0.45">
      <c r="A7" s="25" t="s">
        <v>44</v>
      </c>
      <c r="B7" t="s">
        <v>308</v>
      </c>
      <c r="C7" t="s">
        <v>310</v>
      </c>
      <c r="D7" t="s">
        <v>316</v>
      </c>
      <c r="E7" t="s">
        <v>314</v>
      </c>
      <c r="F7" t="s">
        <v>311</v>
      </c>
      <c r="G7" t="s">
        <v>309</v>
      </c>
      <c r="H7" t="s">
        <v>312</v>
      </c>
      <c r="I7" t="s">
        <v>315</v>
      </c>
      <c r="J7" t="s">
        <v>313</v>
      </c>
      <c r="R7" s="188" t="s">
        <v>60</v>
      </c>
      <c r="S7" s="16">
        <f t="shared" si="0"/>
        <v>10</v>
      </c>
      <c r="T7" s="16">
        <f t="shared" si="1"/>
        <v>9</v>
      </c>
      <c r="U7" s="16">
        <f t="shared" si="2"/>
        <v>16</v>
      </c>
      <c r="V7" s="16">
        <f t="shared" si="3"/>
        <v>14</v>
      </c>
      <c r="W7" s="16">
        <f t="shared" si="4"/>
        <v>12</v>
      </c>
      <c r="X7" s="16">
        <f t="shared" si="5"/>
        <v>0</v>
      </c>
      <c r="Y7" s="16">
        <f t="shared" si="6"/>
        <v>8</v>
      </c>
      <c r="Z7" s="16">
        <f t="shared" si="7"/>
        <v>0</v>
      </c>
      <c r="AA7" s="16">
        <f t="shared" si="8"/>
        <v>0</v>
      </c>
      <c r="AB7" s="16">
        <f t="shared" si="9"/>
        <v>0</v>
      </c>
      <c r="AC7" s="16">
        <f t="shared" si="10"/>
        <v>69</v>
      </c>
    </row>
    <row r="8" spans="1:29" x14ac:dyDescent="0.45">
      <c r="A8" s="25" t="s">
        <v>58</v>
      </c>
      <c r="B8" t="s">
        <v>312</v>
      </c>
      <c r="C8" t="s">
        <v>311</v>
      </c>
      <c r="D8" t="s">
        <v>310</v>
      </c>
      <c r="E8" t="s">
        <v>307</v>
      </c>
      <c r="F8" t="s">
        <v>308</v>
      </c>
      <c r="G8" t="s">
        <v>309</v>
      </c>
      <c r="H8" t="s">
        <v>313</v>
      </c>
      <c r="I8" t="s">
        <v>315</v>
      </c>
      <c r="J8" t="s">
        <v>314</v>
      </c>
      <c r="R8" s="188" t="s">
        <v>93</v>
      </c>
      <c r="S8" s="16">
        <f t="shared" si="0"/>
        <v>0</v>
      </c>
      <c r="T8" s="16">
        <f t="shared" si="1"/>
        <v>0</v>
      </c>
      <c r="U8" s="16">
        <f t="shared" si="2"/>
        <v>0</v>
      </c>
      <c r="V8" s="16">
        <f t="shared" si="3"/>
        <v>0</v>
      </c>
      <c r="W8" s="16">
        <f t="shared" si="4"/>
        <v>0</v>
      </c>
      <c r="X8" s="16">
        <f t="shared" si="5"/>
        <v>0</v>
      </c>
      <c r="Y8" s="16">
        <f t="shared" si="6"/>
        <v>0</v>
      </c>
      <c r="Z8" s="16">
        <f t="shared" si="7"/>
        <v>0</v>
      </c>
      <c r="AA8" s="16">
        <f t="shared" si="8"/>
        <v>0</v>
      </c>
      <c r="AB8" s="16">
        <f t="shared" si="9"/>
        <v>0</v>
      </c>
      <c r="AC8" s="16">
        <f t="shared" si="10"/>
        <v>0</v>
      </c>
    </row>
    <row r="9" spans="1:29" x14ac:dyDescent="0.45">
      <c r="A9" s="25" t="s">
        <v>58</v>
      </c>
      <c r="B9" t="s">
        <v>308</v>
      </c>
      <c r="C9" t="s">
        <v>309</v>
      </c>
      <c r="D9" t="s">
        <v>312</v>
      </c>
      <c r="E9" t="s">
        <v>307</v>
      </c>
      <c r="F9" t="s">
        <v>310</v>
      </c>
      <c r="G9" t="s">
        <v>314</v>
      </c>
      <c r="H9" t="s">
        <v>313</v>
      </c>
      <c r="I9" t="s">
        <v>311</v>
      </c>
      <c r="J9" t="s">
        <v>315</v>
      </c>
      <c r="R9" s="188" t="s">
        <v>63</v>
      </c>
      <c r="S9" s="16">
        <f t="shared" si="0"/>
        <v>20</v>
      </c>
      <c r="T9" s="16">
        <f t="shared" si="1"/>
        <v>9</v>
      </c>
      <c r="U9" s="16">
        <f t="shared" si="2"/>
        <v>0</v>
      </c>
      <c r="V9" s="16">
        <f t="shared" si="3"/>
        <v>14</v>
      </c>
      <c r="W9" s="16">
        <f t="shared" si="4"/>
        <v>12</v>
      </c>
      <c r="X9" s="16">
        <f t="shared" si="5"/>
        <v>5</v>
      </c>
      <c r="Y9" s="16">
        <f t="shared" si="6"/>
        <v>4</v>
      </c>
      <c r="Z9" s="16">
        <f t="shared" si="7"/>
        <v>0</v>
      </c>
      <c r="AA9" s="16">
        <f t="shared" si="8"/>
        <v>0</v>
      </c>
      <c r="AB9" s="16">
        <f t="shared" si="9"/>
        <v>1</v>
      </c>
      <c r="AC9" s="16">
        <f t="shared" si="10"/>
        <v>65</v>
      </c>
    </row>
    <row r="10" spans="1:29" x14ac:dyDescent="0.45">
      <c r="A10" s="25" t="s">
        <v>42</v>
      </c>
      <c r="B10" t="s">
        <v>308</v>
      </c>
      <c r="C10" t="s">
        <v>316</v>
      </c>
      <c r="D10" t="s">
        <v>307</v>
      </c>
      <c r="E10" t="s">
        <v>312</v>
      </c>
      <c r="F10" t="s">
        <v>313</v>
      </c>
      <c r="G10" t="s">
        <v>310</v>
      </c>
      <c r="H10" t="s">
        <v>311</v>
      </c>
      <c r="I10" t="s">
        <v>314</v>
      </c>
      <c r="J10" t="s">
        <v>315</v>
      </c>
      <c r="R10" s="188" t="s">
        <v>66</v>
      </c>
      <c r="S10" s="16">
        <f t="shared" si="0"/>
        <v>0</v>
      </c>
      <c r="T10" s="16">
        <f t="shared" si="1"/>
        <v>0</v>
      </c>
      <c r="U10" s="16">
        <f t="shared" si="2"/>
        <v>0</v>
      </c>
      <c r="V10" s="16">
        <f t="shared" si="3"/>
        <v>0</v>
      </c>
      <c r="W10" s="16">
        <f t="shared" si="4"/>
        <v>0</v>
      </c>
      <c r="X10" s="16">
        <f t="shared" si="5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</row>
    <row r="11" spans="1:29" x14ac:dyDescent="0.45">
      <c r="A11" s="25" t="s">
        <v>58</v>
      </c>
      <c r="B11" t="s">
        <v>312</v>
      </c>
      <c r="C11" t="s">
        <v>314</v>
      </c>
      <c r="D11" t="s">
        <v>309</v>
      </c>
      <c r="E11" t="s">
        <v>315</v>
      </c>
      <c r="F11" t="s">
        <v>307</v>
      </c>
      <c r="G11" t="s">
        <v>308</v>
      </c>
      <c r="H11" t="s">
        <v>310</v>
      </c>
      <c r="I11" t="s">
        <v>313</v>
      </c>
      <c r="J11" t="s">
        <v>311</v>
      </c>
      <c r="R11" s="188" t="s">
        <v>68</v>
      </c>
      <c r="S11" s="16">
        <f t="shared" si="0"/>
        <v>0</v>
      </c>
      <c r="T11" s="16">
        <f t="shared" si="1"/>
        <v>0</v>
      </c>
      <c r="U11" s="16">
        <f t="shared" si="2"/>
        <v>0</v>
      </c>
      <c r="V11" s="16">
        <f t="shared" si="3"/>
        <v>0</v>
      </c>
      <c r="W11" s="16">
        <f t="shared" si="4"/>
        <v>0</v>
      </c>
      <c r="X11" s="16">
        <f t="shared" si="5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</row>
    <row r="12" spans="1:29" x14ac:dyDescent="0.45">
      <c r="A12" s="25" t="s">
        <v>42</v>
      </c>
      <c r="B12" t="s">
        <v>316</v>
      </c>
      <c r="C12" t="s">
        <v>311</v>
      </c>
      <c r="D12" t="s">
        <v>308</v>
      </c>
      <c r="E12" t="s">
        <v>310</v>
      </c>
      <c r="F12" t="s">
        <v>307</v>
      </c>
      <c r="G12" t="s">
        <v>312</v>
      </c>
      <c r="H12" t="s">
        <v>313</v>
      </c>
      <c r="I12" t="s">
        <v>314</v>
      </c>
      <c r="J12" t="s">
        <v>315</v>
      </c>
      <c r="R12" s="188" t="s">
        <v>69</v>
      </c>
      <c r="S12" s="16">
        <f t="shared" si="0"/>
        <v>0</v>
      </c>
      <c r="T12" s="16">
        <f t="shared" si="1"/>
        <v>0</v>
      </c>
      <c r="U12" s="16">
        <f t="shared" si="2"/>
        <v>16</v>
      </c>
      <c r="V12" s="16">
        <f t="shared" si="3"/>
        <v>7</v>
      </c>
      <c r="W12" s="16">
        <f t="shared" si="4"/>
        <v>6</v>
      </c>
      <c r="X12" s="16">
        <f t="shared" si="5"/>
        <v>20</v>
      </c>
      <c r="Y12" s="16">
        <f t="shared" si="6"/>
        <v>4</v>
      </c>
      <c r="Z12" s="16">
        <f t="shared" si="7"/>
        <v>3</v>
      </c>
      <c r="AA12" s="16">
        <f t="shared" si="8"/>
        <v>0</v>
      </c>
      <c r="AB12" s="16">
        <f t="shared" si="9"/>
        <v>0</v>
      </c>
      <c r="AC12" s="16">
        <f t="shared" si="10"/>
        <v>56</v>
      </c>
    </row>
    <row r="13" spans="1:29" x14ac:dyDescent="0.45">
      <c r="A13" s="25" t="s">
        <v>58</v>
      </c>
      <c r="B13" t="s">
        <v>309</v>
      </c>
      <c r="C13" t="s">
        <v>311</v>
      </c>
      <c r="D13" t="s">
        <v>312</v>
      </c>
      <c r="E13" t="s">
        <v>314</v>
      </c>
      <c r="F13" t="s">
        <v>310</v>
      </c>
      <c r="G13" t="s">
        <v>308</v>
      </c>
      <c r="H13" t="s">
        <v>313</v>
      </c>
      <c r="I13" t="s">
        <v>315</v>
      </c>
      <c r="J13" t="s">
        <v>307</v>
      </c>
      <c r="R13" s="188" t="s">
        <v>200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</row>
    <row r="14" spans="1:29" x14ac:dyDescent="0.45">
      <c r="A14" s="25" t="s">
        <v>58</v>
      </c>
      <c r="B14" t="s">
        <v>311</v>
      </c>
      <c r="C14" t="s">
        <v>309</v>
      </c>
      <c r="D14" t="s">
        <v>307</v>
      </c>
      <c r="E14" t="s">
        <v>312</v>
      </c>
      <c r="F14" t="s">
        <v>308</v>
      </c>
      <c r="G14" t="s">
        <v>310</v>
      </c>
      <c r="H14" t="s">
        <v>313</v>
      </c>
      <c r="I14" t="s">
        <v>315</v>
      </c>
      <c r="J14" t="s">
        <v>314</v>
      </c>
      <c r="R14" s="188" t="s">
        <v>128</v>
      </c>
      <c r="S14" s="16">
        <f t="shared" si="0"/>
        <v>10</v>
      </c>
      <c r="T14" s="16">
        <f t="shared" si="1"/>
        <v>36</v>
      </c>
      <c r="U14" s="16">
        <f t="shared" si="2"/>
        <v>24</v>
      </c>
      <c r="V14" s="16">
        <f t="shared" si="3"/>
        <v>0</v>
      </c>
      <c r="W14" s="16">
        <f t="shared" si="4"/>
        <v>0</v>
      </c>
      <c r="X14" s="16">
        <f t="shared" si="5"/>
        <v>5</v>
      </c>
      <c r="Y14" s="16">
        <f t="shared" si="6"/>
        <v>4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79</v>
      </c>
    </row>
    <row r="15" spans="1:29" x14ac:dyDescent="0.45">
      <c r="A15" s="25" t="s">
        <v>42</v>
      </c>
      <c r="B15" t="s">
        <v>315</v>
      </c>
      <c r="C15" t="s">
        <v>314</v>
      </c>
      <c r="D15" t="s">
        <v>311</v>
      </c>
      <c r="E15" t="s">
        <v>312</v>
      </c>
      <c r="F15" t="s">
        <v>310</v>
      </c>
      <c r="G15" t="s">
        <v>308</v>
      </c>
      <c r="H15" t="s">
        <v>316</v>
      </c>
      <c r="I15" t="s">
        <v>307</v>
      </c>
      <c r="J15" t="s">
        <v>313</v>
      </c>
      <c r="R15" s="188" t="s">
        <v>127</v>
      </c>
      <c r="S15" s="16">
        <f t="shared" si="0"/>
        <v>60</v>
      </c>
      <c r="T15" s="16">
        <f t="shared" si="1"/>
        <v>18</v>
      </c>
      <c r="U15" s="16">
        <f t="shared" si="2"/>
        <v>8</v>
      </c>
      <c r="V15" s="16">
        <f t="shared" si="3"/>
        <v>7</v>
      </c>
      <c r="W15" s="16">
        <f t="shared" si="4"/>
        <v>0</v>
      </c>
      <c r="X15" s="16">
        <f t="shared" si="5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93</v>
      </c>
    </row>
    <row r="16" spans="1:29" x14ac:dyDescent="0.45">
      <c r="A16" s="25" t="s">
        <v>28</v>
      </c>
      <c r="B16" t="s">
        <v>316</v>
      </c>
      <c r="C16" t="s">
        <v>310</v>
      </c>
      <c r="D16" t="s">
        <v>308</v>
      </c>
      <c r="E16" t="s">
        <v>309</v>
      </c>
      <c r="F16" t="s">
        <v>307</v>
      </c>
      <c r="G16" t="s">
        <v>312</v>
      </c>
      <c r="H16" t="s">
        <v>314</v>
      </c>
      <c r="I16" t="s">
        <v>315</v>
      </c>
      <c r="J16" t="s">
        <v>313</v>
      </c>
      <c r="R16" s="188" t="s">
        <v>73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</row>
    <row r="17" spans="1:29" x14ac:dyDescent="0.45">
      <c r="R17" s="188" t="s">
        <v>324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6</v>
      </c>
      <c r="X17" s="16">
        <f t="shared" si="5"/>
        <v>0</v>
      </c>
      <c r="Y17" s="16">
        <f t="shared" si="6"/>
        <v>0</v>
      </c>
      <c r="Z17" s="16">
        <f t="shared" si="7"/>
        <v>3</v>
      </c>
      <c r="AA17" s="16">
        <f t="shared" si="8"/>
        <v>8</v>
      </c>
      <c r="AB17" s="16">
        <f t="shared" si="9"/>
        <v>4</v>
      </c>
      <c r="AC17" s="16">
        <f t="shared" si="10"/>
        <v>21</v>
      </c>
    </row>
    <row r="18" spans="1:29" x14ac:dyDescent="0.45">
      <c r="R18" s="188" t="s">
        <v>75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0</v>
      </c>
      <c r="X18" s="16">
        <f t="shared" si="5"/>
        <v>5</v>
      </c>
      <c r="Y18" s="16">
        <f t="shared" si="6"/>
        <v>4</v>
      </c>
      <c r="Z18" s="16">
        <f t="shared" si="7"/>
        <v>12</v>
      </c>
      <c r="AA18" s="16">
        <f t="shared" si="8"/>
        <v>4</v>
      </c>
      <c r="AB18" s="16">
        <f t="shared" si="9"/>
        <v>2</v>
      </c>
      <c r="AC18" s="16">
        <f t="shared" si="10"/>
        <v>27</v>
      </c>
    </row>
    <row r="20" spans="1:29" x14ac:dyDescent="0.45">
      <c r="A20" s="25" t="s">
        <v>297</v>
      </c>
      <c r="R20" s="16"/>
      <c r="S20" s="16">
        <v>1</v>
      </c>
      <c r="T20" s="16">
        <v>1</v>
      </c>
      <c r="U20" s="16">
        <v>1</v>
      </c>
      <c r="V20" s="189" t="s">
        <v>323</v>
      </c>
      <c r="W20" s="16"/>
      <c r="X20" s="16"/>
      <c r="Y20" s="16"/>
      <c r="Z20" s="16"/>
      <c r="AA20" s="16"/>
      <c r="AB20" s="16"/>
      <c r="AC20" s="189"/>
    </row>
    <row r="21" spans="1:29" x14ac:dyDescent="0.45">
      <c r="A21" s="25" t="s">
        <v>44</v>
      </c>
      <c r="B21" t="s">
        <v>316</v>
      </c>
      <c r="C21" t="s">
        <v>312</v>
      </c>
      <c r="R21" s="188" t="s">
        <v>45</v>
      </c>
      <c r="S21" s="16">
        <f>(S$20*COUNTIF(A$21:A$30, ("*"&amp;$R21&amp;"*")))</f>
        <v>0</v>
      </c>
      <c r="T21" s="16">
        <f t="shared" ref="T21:U36" si="11">(T$20*COUNTIF(B$21:B$30, ("*"&amp;$R21&amp;"*")))</f>
        <v>0</v>
      </c>
      <c r="U21" s="16">
        <f t="shared" si="11"/>
        <v>2</v>
      </c>
      <c r="V21" s="16">
        <f t="shared" ref="V21:V37" si="12">SUM(S21:U21)</f>
        <v>2</v>
      </c>
      <c r="W21" s="16"/>
      <c r="X21" s="16"/>
      <c r="Y21" s="16"/>
      <c r="Z21" s="16"/>
      <c r="AA21" s="16"/>
      <c r="AB21" s="16"/>
    </row>
    <row r="22" spans="1:29" x14ac:dyDescent="0.45">
      <c r="A22" s="25" t="s">
        <v>28</v>
      </c>
      <c r="B22" t="s">
        <v>307</v>
      </c>
      <c r="C22" t="s">
        <v>310</v>
      </c>
      <c r="R22" s="188" t="s">
        <v>49</v>
      </c>
      <c r="S22" s="16">
        <f t="shared" ref="S22:S37" si="13">(S$20*COUNTIF(A$21:A$30, ("*"&amp;$R22&amp;"*")))</f>
        <v>4</v>
      </c>
      <c r="T22" s="16">
        <f t="shared" si="11"/>
        <v>0</v>
      </c>
      <c r="U22" s="16">
        <f t="shared" si="11"/>
        <v>0</v>
      </c>
      <c r="V22" s="16">
        <f t="shared" si="12"/>
        <v>4</v>
      </c>
      <c r="W22" s="16"/>
      <c r="X22" s="16"/>
      <c r="Y22" s="16"/>
      <c r="Z22" s="16"/>
      <c r="AA22" s="16"/>
      <c r="AB22" s="16"/>
    </row>
    <row r="23" spans="1:29" x14ac:dyDescent="0.45">
      <c r="A23" s="25" t="s">
        <v>28</v>
      </c>
      <c r="B23" t="s">
        <v>312</v>
      </c>
      <c r="C23" t="s">
        <v>316</v>
      </c>
      <c r="R23" s="188" t="s">
        <v>51</v>
      </c>
      <c r="S23" s="16">
        <f t="shared" si="13"/>
        <v>0</v>
      </c>
      <c r="T23" s="16">
        <f t="shared" si="11"/>
        <v>0</v>
      </c>
      <c r="U23" s="16">
        <f t="shared" si="11"/>
        <v>0</v>
      </c>
      <c r="V23" s="16">
        <f t="shared" si="12"/>
        <v>0</v>
      </c>
      <c r="W23" s="16"/>
      <c r="X23" s="16"/>
      <c r="Y23" s="16"/>
      <c r="Z23" s="16"/>
      <c r="AA23" s="16"/>
      <c r="AB23" s="16"/>
    </row>
    <row r="24" spans="1:29" x14ac:dyDescent="0.45">
      <c r="A24" s="25" t="s">
        <v>28</v>
      </c>
      <c r="B24" t="s">
        <v>315</v>
      </c>
      <c r="C24" t="s">
        <v>314</v>
      </c>
      <c r="R24" s="188" t="s">
        <v>54</v>
      </c>
      <c r="S24" s="16">
        <f t="shared" si="13"/>
        <v>0</v>
      </c>
      <c r="T24" s="16">
        <f t="shared" si="11"/>
        <v>0</v>
      </c>
      <c r="U24" s="16">
        <f t="shared" si="11"/>
        <v>0</v>
      </c>
      <c r="V24" s="16">
        <f t="shared" si="12"/>
        <v>0</v>
      </c>
      <c r="W24" s="16"/>
      <c r="X24" s="16"/>
      <c r="Y24" s="16"/>
      <c r="Z24" s="16"/>
      <c r="AA24" s="16"/>
      <c r="AB24" s="16"/>
    </row>
    <row r="25" spans="1:29" x14ac:dyDescent="0.45">
      <c r="A25" s="25" t="s">
        <v>115</v>
      </c>
      <c r="B25" t="s">
        <v>308</v>
      </c>
      <c r="C25" t="s">
        <v>313</v>
      </c>
      <c r="R25" s="188" t="s">
        <v>57</v>
      </c>
      <c r="S25" s="16">
        <f t="shared" si="13"/>
        <v>0</v>
      </c>
      <c r="T25" s="16">
        <f t="shared" si="11"/>
        <v>0</v>
      </c>
      <c r="U25" s="16">
        <f t="shared" si="11"/>
        <v>0</v>
      </c>
      <c r="V25" s="16">
        <f t="shared" si="12"/>
        <v>0</v>
      </c>
      <c r="W25" s="16"/>
      <c r="X25" s="16"/>
      <c r="Y25" s="16"/>
      <c r="Z25" s="16"/>
      <c r="AA25" s="16"/>
      <c r="AB25" s="16"/>
    </row>
    <row r="26" spans="1:29" x14ac:dyDescent="0.45">
      <c r="A26" s="25" t="s">
        <v>115</v>
      </c>
      <c r="B26" t="s">
        <v>310</v>
      </c>
      <c r="C26" t="s">
        <v>313</v>
      </c>
      <c r="R26" s="188" t="s">
        <v>60</v>
      </c>
      <c r="S26" s="16">
        <f t="shared" si="13"/>
        <v>0</v>
      </c>
      <c r="T26" s="16">
        <f t="shared" si="11"/>
        <v>0</v>
      </c>
      <c r="U26" s="16">
        <f t="shared" si="11"/>
        <v>1</v>
      </c>
      <c r="V26" s="16">
        <f t="shared" si="12"/>
        <v>1</v>
      </c>
      <c r="W26" s="16"/>
      <c r="X26" s="16"/>
      <c r="Y26" s="16"/>
      <c r="Z26" s="16"/>
      <c r="AA26" s="16"/>
      <c r="AB26" s="16"/>
    </row>
    <row r="27" spans="1:29" x14ac:dyDescent="0.45">
      <c r="A27" s="25" t="s">
        <v>28</v>
      </c>
      <c r="B27" t="s">
        <v>312</v>
      </c>
      <c r="C27" t="s">
        <v>310</v>
      </c>
      <c r="R27" s="188" t="s">
        <v>93</v>
      </c>
      <c r="S27" s="16">
        <f t="shared" si="13"/>
        <v>0</v>
      </c>
      <c r="T27" s="16">
        <f t="shared" si="11"/>
        <v>0</v>
      </c>
      <c r="U27" s="16">
        <f t="shared" si="11"/>
        <v>0</v>
      </c>
      <c r="V27" s="16">
        <f t="shared" si="12"/>
        <v>0</v>
      </c>
      <c r="W27" s="16"/>
      <c r="X27" s="16"/>
      <c r="Y27" s="16"/>
      <c r="Z27" s="16"/>
      <c r="AA27" s="16"/>
      <c r="AB27" s="16"/>
    </row>
    <row r="28" spans="1:29" x14ac:dyDescent="0.45">
      <c r="A28" s="25" t="s">
        <v>115</v>
      </c>
      <c r="B28" t="s">
        <v>310</v>
      </c>
      <c r="C28" t="s">
        <v>314</v>
      </c>
      <c r="R28" s="188" t="s">
        <v>63</v>
      </c>
      <c r="S28" s="16">
        <f t="shared" si="13"/>
        <v>1</v>
      </c>
      <c r="T28" s="16">
        <f t="shared" si="11"/>
        <v>1</v>
      </c>
      <c r="U28" s="16">
        <f t="shared" si="11"/>
        <v>0</v>
      </c>
      <c r="V28" s="16">
        <f t="shared" si="12"/>
        <v>2</v>
      </c>
      <c r="W28" s="16"/>
      <c r="X28" s="16"/>
      <c r="Y28" s="16"/>
      <c r="Z28" s="16"/>
      <c r="AA28" s="16"/>
      <c r="AB28" s="16"/>
    </row>
    <row r="29" spans="1:29" x14ac:dyDescent="0.45">
      <c r="A29" s="25" t="s">
        <v>115</v>
      </c>
      <c r="B29" t="s">
        <v>313</v>
      </c>
      <c r="C29" t="s">
        <v>316</v>
      </c>
      <c r="R29" s="188" t="s">
        <v>66</v>
      </c>
      <c r="S29" s="16">
        <f t="shared" si="13"/>
        <v>0</v>
      </c>
      <c r="T29" s="16">
        <f t="shared" si="11"/>
        <v>0</v>
      </c>
      <c r="U29" s="16">
        <f t="shared" si="11"/>
        <v>0</v>
      </c>
      <c r="V29" s="16">
        <f t="shared" si="12"/>
        <v>0</v>
      </c>
      <c r="W29" s="16"/>
      <c r="X29" s="16"/>
      <c r="Y29" s="16"/>
      <c r="Z29" s="16"/>
      <c r="AA29" s="16"/>
      <c r="AB29" s="16"/>
    </row>
    <row r="30" spans="1:29" x14ac:dyDescent="0.45">
      <c r="A30" s="25" t="s">
        <v>58</v>
      </c>
      <c r="B30" t="s">
        <v>312</v>
      </c>
      <c r="C30" t="s">
        <v>309</v>
      </c>
      <c r="R30" s="188" t="s">
        <v>68</v>
      </c>
      <c r="S30" s="16">
        <f t="shared" si="13"/>
        <v>0</v>
      </c>
      <c r="T30" s="16">
        <f t="shared" si="11"/>
        <v>0</v>
      </c>
      <c r="U30" s="16">
        <f t="shared" si="11"/>
        <v>0</v>
      </c>
      <c r="V30" s="16">
        <f t="shared" si="12"/>
        <v>0</v>
      </c>
      <c r="W30" s="16"/>
      <c r="X30" s="16"/>
      <c r="Y30" s="16"/>
      <c r="Z30" s="16"/>
      <c r="AA30" s="16"/>
      <c r="AB30" s="16"/>
    </row>
    <row r="31" spans="1:29" x14ac:dyDescent="0.45">
      <c r="A31" s="25" t="s">
        <v>202</v>
      </c>
      <c r="B31" t="s">
        <v>316</v>
      </c>
      <c r="C31" t="s">
        <v>309</v>
      </c>
      <c r="R31" s="188" t="s">
        <v>69</v>
      </c>
      <c r="S31" s="16">
        <f t="shared" si="13"/>
        <v>0</v>
      </c>
      <c r="T31" s="16">
        <f t="shared" si="11"/>
        <v>2</v>
      </c>
      <c r="U31" s="16">
        <f t="shared" si="11"/>
        <v>2</v>
      </c>
      <c r="V31" s="16">
        <f t="shared" si="12"/>
        <v>4</v>
      </c>
      <c r="W31" s="16"/>
      <c r="X31" s="16"/>
      <c r="Y31" s="16"/>
      <c r="Z31" s="16"/>
      <c r="AA31" s="16"/>
      <c r="AB31" s="16"/>
    </row>
    <row r="32" spans="1:29" x14ac:dyDescent="0.45">
      <c r="A32" s="25" t="s">
        <v>28</v>
      </c>
      <c r="B32" t="s">
        <v>315</v>
      </c>
      <c r="C32" t="s">
        <v>316</v>
      </c>
      <c r="R32" s="188" t="s">
        <v>200</v>
      </c>
      <c r="S32" s="16">
        <f t="shared" si="13"/>
        <v>0</v>
      </c>
      <c r="T32" s="16">
        <f t="shared" si="11"/>
        <v>0</v>
      </c>
      <c r="U32" s="16">
        <f t="shared" si="11"/>
        <v>0</v>
      </c>
      <c r="V32" s="16">
        <f t="shared" si="12"/>
        <v>0</v>
      </c>
      <c r="W32" s="16"/>
      <c r="X32" s="16"/>
      <c r="Y32" s="16"/>
      <c r="Z32" s="16"/>
      <c r="AA32" s="16"/>
      <c r="AB32" s="16"/>
    </row>
    <row r="33" spans="1:29" x14ac:dyDescent="0.45">
      <c r="A33" s="25" t="s">
        <v>28</v>
      </c>
      <c r="B33" t="s">
        <v>312</v>
      </c>
      <c r="C33" t="s">
        <v>316</v>
      </c>
      <c r="R33" s="188" t="s">
        <v>128</v>
      </c>
      <c r="S33" s="16">
        <f t="shared" si="13"/>
        <v>0</v>
      </c>
      <c r="T33" s="16">
        <f t="shared" si="11"/>
        <v>1</v>
      </c>
      <c r="U33" s="16">
        <f t="shared" si="11"/>
        <v>0</v>
      </c>
      <c r="V33" s="16">
        <f t="shared" si="12"/>
        <v>1</v>
      </c>
      <c r="W33" s="16"/>
      <c r="X33" s="16"/>
      <c r="Y33" s="16"/>
      <c r="Z33" s="16"/>
      <c r="AA33" s="16"/>
      <c r="AB33" s="16"/>
    </row>
    <row r="34" spans="1:29" x14ac:dyDescent="0.45">
      <c r="A34" s="25" t="s">
        <v>44</v>
      </c>
      <c r="B34" t="s">
        <v>312</v>
      </c>
      <c r="C34" t="s">
        <v>315</v>
      </c>
      <c r="R34" s="188" t="s">
        <v>127</v>
      </c>
      <c r="S34" s="16">
        <f t="shared" si="13"/>
        <v>1</v>
      </c>
      <c r="T34" s="16">
        <f t="shared" si="11"/>
        <v>1</v>
      </c>
      <c r="U34" s="16">
        <f t="shared" si="11"/>
        <v>2</v>
      </c>
      <c r="V34" s="16">
        <f t="shared" si="12"/>
        <v>4</v>
      </c>
      <c r="W34" s="16"/>
      <c r="X34" s="16"/>
      <c r="Y34" s="16"/>
      <c r="Z34" s="16"/>
      <c r="AA34" s="16"/>
      <c r="AB34" s="16"/>
    </row>
    <row r="35" spans="1:29" x14ac:dyDescent="0.45">
      <c r="A35" s="25" t="s">
        <v>28</v>
      </c>
      <c r="B35" t="s">
        <v>316</v>
      </c>
      <c r="C35" t="s">
        <v>312</v>
      </c>
      <c r="R35" s="188" t="s">
        <v>73</v>
      </c>
      <c r="S35" s="16">
        <f t="shared" si="13"/>
        <v>0</v>
      </c>
      <c r="T35" s="16">
        <f t="shared" si="11"/>
        <v>0</v>
      </c>
      <c r="U35" s="16">
        <f t="shared" si="11"/>
        <v>0</v>
      </c>
      <c r="V35" s="16">
        <f t="shared" si="12"/>
        <v>0</v>
      </c>
      <c r="W35" s="16"/>
      <c r="X35" s="16"/>
      <c r="Y35" s="16"/>
      <c r="Z35" s="16"/>
      <c r="AA35" s="16"/>
      <c r="AB35" s="16"/>
    </row>
    <row r="36" spans="1:29" x14ac:dyDescent="0.45">
      <c r="R36" s="188" t="s">
        <v>324</v>
      </c>
      <c r="S36" s="16">
        <f t="shared" si="13"/>
        <v>0</v>
      </c>
      <c r="T36" s="16">
        <f t="shared" si="11"/>
        <v>1</v>
      </c>
      <c r="U36" s="16">
        <f t="shared" si="11"/>
        <v>0</v>
      </c>
      <c r="V36" s="16">
        <f t="shared" si="12"/>
        <v>1</v>
      </c>
      <c r="W36" s="16"/>
      <c r="X36" s="16"/>
      <c r="Y36" s="16"/>
      <c r="Z36" s="16"/>
      <c r="AA36" s="16"/>
      <c r="AB36" s="16"/>
    </row>
    <row r="37" spans="1:29" x14ac:dyDescent="0.45">
      <c r="R37" s="188" t="s">
        <v>75</v>
      </c>
      <c r="S37" s="16">
        <f t="shared" si="13"/>
        <v>0</v>
      </c>
      <c r="T37" s="16">
        <f t="shared" ref="T37" si="14">(T$20*COUNTIF(B$21:B$30, ("*"&amp;$R37&amp;"*")))</f>
        <v>1</v>
      </c>
      <c r="U37" s="16">
        <f t="shared" ref="U37" si="15">(U$20*COUNTIF(C$21:C$30, ("*"&amp;$R37&amp;"*")))</f>
        <v>2</v>
      </c>
      <c r="V37" s="16">
        <f t="shared" si="12"/>
        <v>3</v>
      </c>
      <c r="W37" s="16"/>
      <c r="X37" s="16"/>
      <c r="Y37" s="16"/>
      <c r="Z37" s="16"/>
      <c r="AA37" s="16"/>
      <c r="AB37" s="16"/>
    </row>
    <row r="40" spans="1:29" x14ac:dyDescent="0.45">
      <c r="A40" s="25" t="s">
        <v>298</v>
      </c>
      <c r="R40" s="16"/>
      <c r="S40" s="16">
        <v>1</v>
      </c>
      <c r="T40" s="16">
        <v>1</v>
      </c>
      <c r="U40" s="16">
        <v>1</v>
      </c>
      <c r="V40" s="189" t="s">
        <v>323</v>
      </c>
      <c r="W40" s="16"/>
      <c r="X40" s="16"/>
      <c r="Y40" s="16"/>
      <c r="Z40" s="16"/>
      <c r="AA40" s="16"/>
      <c r="AB40" s="16"/>
      <c r="AC40" s="189"/>
    </row>
    <row r="41" spans="1:29" x14ac:dyDescent="0.45">
      <c r="A41" s="25" t="s">
        <v>28</v>
      </c>
      <c r="B41" t="s">
        <v>312</v>
      </c>
      <c r="C41" t="s">
        <v>307</v>
      </c>
      <c r="R41" s="188" t="s">
        <v>45</v>
      </c>
      <c r="S41" s="16">
        <f>(S$40*COUNTIF(A$41:A$50, ("*"&amp;$R41&amp;"*")))</f>
        <v>0</v>
      </c>
      <c r="T41" s="16">
        <f t="shared" ref="T41:U56" si="16">(T$40*COUNTIF(B$41:B$50, ("*"&amp;$R41&amp;"*")))</f>
        <v>0</v>
      </c>
      <c r="U41" s="16">
        <f t="shared" si="16"/>
        <v>0</v>
      </c>
      <c r="V41" s="16">
        <f t="shared" ref="V41:V57" si="17">SUM(S41:U41)</f>
        <v>0</v>
      </c>
      <c r="W41" s="16"/>
      <c r="X41" s="16"/>
      <c r="Y41" s="16"/>
      <c r="Z41" s="16"/>
      <c r="AA41" s="16"/>
      <c r="AB41" s="16"/>
      <c r="AC41" s="16"/>
    </row>
    <row r="42" spans="1:29" x14ac:dyDescent="0.45">
      <c r="A42" s="25" t="s">
        <v>44</v>
      </c>
      <c r="B42" t="s">
        <v>316</v>
      </c>
      <c r="C42" t="s">
        <v>309</v>
      </c>
      <c r="R42" s="188" t="s">
        <v>49</v>
      </c>
      <c r="S42" s="16">
        <f t="shared" ref="S42:S57" si="18">(S$40*COUNTIF(A$41:A$50, ("*"&amp;$R42&amp;"*")))</f>
        <v>1</v>
      </c>
      <c r="T42" s="16">
        <f t="shared" si="16"/>
        <v>0</v>
      </c>
      <c r="U42" s="16">
        <f t="shared" si="16"/>
        <v>1</v>
      </c>
      <c r="V42" s="16">
        <f t="shared" si="17"/>
        <v>2</v>
      </c>
      <c r="W42" s="16"/>
      <c r="X42" s="16"/>
      <c r="Y42" s="16"/>
      <c r="Z42" s="16"/>
      <c r="AA42" s="16"/>
      <c r="AB42" s="16"/>
      <c r="AC42" s="16"/>
    </row>
    <row r="43" spans="1:29" x14ac:dyDescent="0.45">
      <c r="A43" s="25" t="s">
        <v>44</v>
      </c>
      <c r="B43" t="s">
        <v>312</v>
      </c>
      <c r="C43" t="s">
        <v>311</v>
      </c>
      <c r="R43" s="188" t="s">
        <v>51</v>
      </c>
      <c r="S43" s="16">
        <f t="shared" si="18"/>
        <v>0</v>
      </c>
      <c r="T43" s="16">
        <f t="shared" si="16"/>
        <v>0</v>
      </c>
      <c r="U43" s="16">
        <f t="shared" si="16"/>
        <v>0</v>
      </c>
      <c r="V43" s="16">
        <f t="shared" si="17"/>
        <v>0</v>
      </c>
      <c r="W43" s="16"/>
      <c r="X43" s="16"/>
      <c r="Y43" s="16"/>
      <c r="Z43" s="16"/>
      <c r="AA43" s="16"/>
      <c r="AB43" s="16"/>
      <c r="AC43" s="16"/>
    </row>
    <row r="44" spans="1:29" x14ac:dyDescent="0.45">
      <c r="A44" s="25" t="s">
        <v>55</v>
      </c>
      <c r="B44" t="s">
        <v>316</v>
      </c>
      <c r="C44" t="s">
        <v>307</v>
      </c>
      <c r="R44" s="188" t="s">
        <v>54</v>
      </c>
      <c r="S44" s="16">
        <f t="shared" si="18"/>
        <v>0</v>
      </c>
      <c r="T44" s="16">
        <f t="shared" si="16"/>
        <v>0</v>
      </c>
      <c r="U44" s="16">
        <f t="shared" si="16"/>
        <v>0</v>
      </c>
      <c r="V44" s="16">
        <f t="shared" si="17"/>
        <v>0</v>
      </c>
      <c r="W44" s="16"/>
      <c r="X44" s="16"/>
      <c r="Y44" s="16"/>
      <c r="Z44" s="16"/>
      <c r="AA44" s="16"/>
      <c r="AB44" s="16"/>
      <c r="AC44" s="16"/>
    </row>
    <row r="45" spans="1:29" x14ac:dyDescent="0.45">
      <c r="A45" s="25" t="s">
        <v>67</v>
      </c>
      <c r="B45" t="s">
        <v>308</v>
      </c>
      <c r="C45" t="s">
        <v>310</v>
      </c>
      <c r="R45" s="188" t="s">
        <v>57</v>
      </c>
      <c r="S45" s="16">
        <f t="shared" si="18"/>
        <v>0</v>
      </c>
      <c r="T45" s="16">
        <f t="shared" si="16"/>
        <v>0</v>
      </c>
      <c r="U45" s="16">
        <f t="shared" si="16"/>
        <v>0</v>
      </c>
      <c r="V45" s="16">
        <f t="shared" si="17"/>
        <v>0</v>
      </c>
      <c r="W45" s="16"/>
      <c r="X45" s="16"/>
      <c r="Y45" s="16"/>
      <c r="Z45" s="16"/>
      <c r="AA45" s="16"/>
      <c r="AB45" s="16"/>
      <c r="AC45" s="16"/>
    </row>
    <row r="46" spans="1:29" x14ac:dyDescent="0.45">
      <c r="A46" s="25" t="s">
        <v>67</v>
      </c>
      <c r="B46" t="s">
        <v>310</v>
      </c>
      <c r="C46" t="s">
        <v>307</v>
      </c>
      <c r="R46" s="188" t="s">
        <v>60</v>
      </c>
      <c r="S46" s="16">
        <f t="shared" si="18"/>
        <v>0</v>
      </c>
      <c r="T46" s="16">
        <f t="shared" si="16"/>
        <v>0</v>
      </c>
      <c r="U46" s="16">
        <f t="shared" si="16"/>
        <v>1</v>
      </c>
      <c r="V46" s="16">
        <f t="shared" si="17"/>
        <v>1</v>
      </c>
      <c r="W46" s="16"/>
      <c r="X46" s="16"/>
      <c r="Y46" s="16"/>
      <c r="Z46" s="16"/>
      <c r="AA46" s="16"/>
      <c r="AB46" s="16"/>
      <c r="AC46" s="16"/>
    </row>
    <row r="47" spans="1:29" x14ac:dyDescent="0.45">
      <c r="A47" s="25" t="s">
        <v>44</v>
      </c>
      <c r="B47" t="s">
        <v>316</v>
      </c>
      <c r="C47" t="s">
        <v>308</v>
      </c>
      <c r="R47" s="188" t="s">
        <v>93</v>
      </c>
      <c r="S47" s="16">
        <f t="shared" si="18"/>
        <v>0</v>
      </c>
      <c r="T47" s="16">
        <f t="shared" si="16"/>
        <v>0</v>
      </c>
      <c r="U47" s="16">
        <f t="shared" si="16"/>
        <v>0</v>
      </c>
      <c r="V47" s="16">
        <f t="shared" si="17"/>
        <v>0</v>
      </c>
      <c r="W47" s="16"/>
      <c r="X47" s="16"/>
      <c r="Y47" s="16"/>
      <c r="Z47" s="16"/>
      <c r="AA47" s="16"/>
      <c r="AB47" s="16"/>
      <c r="AC47" s="16"/>
    </row>
    <row r="48" spans="1:29" x14ac:dyDescent="0.45">
      <c r="A48" s="25" t="s">
        <v>58</v>
      </c>
      <c r="B48" t="s">
        <v>308</v>
      </c>
      <c r="C48" t="s">
        <v>307</v>
      </c>
      <c r="R48" s="188" t="s">
        <v>63</v>
      </c>
      <c r="S48" s="16">
        <f t="shared" si="18"/>
        <v>5</v>
      </c>
      <c r="T48" s="16">
        <f t="shared" si="16"/>
        <v>0</v>
      </c>
      <c r="U48" s="16">
        <f t="shared" si="16"/>
        <v>4</v>
      </c>
      <c r="V48" s="16">
        <f t="shared" si="17"/>
        <v>9</v>
      </c>
      <c r="W48" s="16"/>
      <c r="X48" s="16"/>
      <c r="Y48" s="16"/>
      <c r="Z48" s="16"/>
      <c r="AA48" s="16"/>
      <c r="AB48" s="16"/>
      <c r="AC48" s="16"/>
    </row>
    <row r="49" spans="1:35" x14ac:dyDescent="0.45">
      <c r="A49" s="25" t="s">
        <v>44</v>
      </c>
      <c r="B49" t="s">
        <v>312</v>
      </c>
      <c r="C49" t="s">
        <v>310</v>
      </c>
      <c r="R49" s="188" t="s">
        <v>66</v>
      </c>
      <c r="S49" s="16">
        <f t="shared" si="18"/>
        <v>0</v>
      </c>
      <c r="T49" s="16">
        <f t="shared" si="16"/>
        <v>0</v>
      </c>
      <c r="U49" s="16">
        <f t="shared" si="16"/>
        <v>0</v>
      </c>
      <c r="V49" s="16">
        <f t="shared" si="17"/>
        <v>0</v>
      </c>
      <c r="W49" s="16"/>
      <c r="X49" s="16"/>
      <c r="Y49" s="16"/>
      <c r="Z49" s="16"/>
      <c r="AA49" s="16"/>
      <c r="AB49" s="16"/>
      <c r="AC49" s="16"/>
    </row>
    <row r="50" spans="1:35" x14ac:dyDescent="0.45">
      <c r="A50" s="25" t="s">
        <v>44</v>
      </c>
      <c r="B50" t="s">
        <v>312</v>
      </c>
      <c r="C50" t="s">
        <v>316</v>
      </c>
      <c r="R50" s="188" t="s">
        <v>68</v>
      </c>
      <c r="S50" s="16">
        <f t="shared" si="18"/>
        <v>0</v>
      </c>
      <c r="T50" s="16">
        <f t="shared" si="16"/>
        <v>0</v>
      </c>
      <c r="U50" s="16">
        <f t="shared" si="16"/>
        <v>0</v>
      </c>
      <c r="V50" s="16">
        <f t="shared" si="17"/>
        <v>0</v>
      </c>
      <c r="W50" s="16"/>
      <c r="X50" s="16"/>
      <c r="Y50" s="16"/>
      <c r="Z50" s="16"/>
      <c r="AA50" s="16"/>
      <c r="AB50" s="16"/>
      <c r="AC50" s="16"/>
    </row>
    <row r="51" spans="1:35" x14ac:dyDescent="0.45">
      <c r="A51" s="25" t="s">
        <v>325</v>
      </c>
      <c r="R51" s="188" t="s">
        <v>69</v>
      </c>
      <c r="S51" s="16">
        <f t="shared" si="18"/>
        <v>0</v>
      </c>
      <c r="T51" s="16">
        <f t="shared" si="16"/>
        <v>1</v>
      </c>
      <c r="U51" s="16">
        <f t="shared" si="16"/>
        <v>2</v>
      </c>
      <c r="V51" s="16">
        <f t="shared" si="17"/>
        <v>3</v>
      </c>
      <c r="W51" s="16"/>
      <c r="X51" s="16"/>
      <c r="Y51" s="16"/>
      <c r="Z51" s="16"/>
      <c r="AA51" s="16"/>
      <c r="AB51" s="16"/>
      <c r="AC51" s="16"/>
    </row>
    <row r="52" spans="1:35" x14ac:dyDescent="0.45">
      <c r="A52" s="25" t="s">
        <v>326</v>
      </c>
      <c r="R52" s="188" t="s">
        <v>200</v>
      </c>
      <c r="S52" s="16">
        <f t="shared" si="18"/>
        <v>0</v>
      </c>
      <c r="T52" s="16">
        <f t="shared" si="16"/>
        <v>0</v>
      </c>
      <c r="U52" s="16">
        <f t="shared" si="16"/>
        <v>0</v>
      </c>
      <c r="V52" s="16">
        <f t="shared" si="17"/>
        <v>0</v>
      </c>
      <c r="W52" s="16"/>
      <c r="X52" s="16"/>
      <c r="Y52" s="16"/>
      <c r="Z52" s="16"/>
      <c r="AA52" s="16"/>
      <c r="AB52" s="16"/>
      <c r="AC52" s="16"/>
    </row>
    <row r="53" spans="1:35" x14ac:dyDescent="0.45">
      <c r="A53" s="25" t="s">
        <v>327</v>
      </c>
      <c r="R53" s="188" t="s">
        <v>128</v>
      </c>
      <c r="S53" s="16">
        <f t="shared" si="18"/>
        <v>1</v>
      </c>
      <c r="T53" s="16">
        <f t="shared" si="16"/>
        <v>2</v>
      </c>
      <c r="U53" s="16">
        <f t="shared" si="16"/>
        <v>1</v>
      </c>
      <c r="V53" s="16">
        <f t="shared" si="17"/>
        <v>4</v>
      </c>
      <c r="W53" s="16"/>
      <c r="X53" s="16"/>
      <c r="Y53" s="16"/>
      <c r="Z53" s="16"/>
      <c r="AA53" s="16"/>
      <c r="AB53" s="16"/>
      <c r="AC53" s="16"/>
    </row>
    <row r="54" spans="1:35" x14ac:dyDescent="0.45">
      <c r="A54" s="25" t="s">
        <v>328</v>
      </c>
      <c r="R54" s="188" t="s">
        <v>127</v>
      </c>
      <c r="S54" s="16">
        <f t="shared" si="18"/>
        <v>1</v>
      </c>
      <c r="T54" s="16">
        <f t="shared" si="16"/>
        <v>3</v>
      </c>
      <c r="U54" s="16">
        <f t="shared" si="16"/>
        <v>1</v>
      </c>
      <c r="V54" s="16">
        <f t="shared" si="17"/>
        <v>5</v>
      </c>
      <c r="W54" s="16"/>
      <c r="X54" s="16"/>
      <c r="Y54" s="16"/>
      <c r="Z54" s="16"/>
      <c r="AA54" s="16"/>
      <c r="AB54" s="16"/>
      <c r="AC54" s="16"/>
    </row>
    <row r="55" spans="1:35" x14ac:dyDescent="0.45">
      <c r="A55" s="25" t="s">
        <v>329</v>
      </c>
      <c r="R55" s="188" t="s">
        <v>73</v>
      </c>
      <c r="S55" s="16">
        <f t="shared" si="18"/>
        <v>0</v>
      </c>
      <c r="T55" s="16">
        <f t="shared" si="16"/>
        <v>0</v>
      </c>
      <c r="U55" s="16">
        <f t="shared" si="16"/>
        <v>0</v>
      </c>
      <c r="V55" s="16">
        <f t="shared" si="17"/>
        <v>0</v>
      </c>
      <c r="W55" s="16"/>
      <c r="X55" s="16"/>
      <c r="Y55" s="16"/>
      <c r="Z55" s="16"/>
      <c r="AA55" s="16"/>
      <c r="AB55" s="16"/>
      <c r="AC55" s="16"/>
    </row>
    <row r="56" spans="1:35" x14ac:dyDescent="0.45">
      <c r="R56" s="188" t="s">
        <v>324</v>
      </c>
      <c r="S56" s="16">
        <f t="shared" si="18"/>
        <v>0</v>
      </c>
      <c r="T56" s="16">
        <f t="shared" si="16"/>
        <v>0</v>
      </c>
      <c r="U56" s="16">
        <f t="shared" si="16"/>
        <v>0</v>
      </c>
      <c r="V56" s="16">
        <f t="shared" si="17"/>
        <v>0</v>
      </c>
      <c r="W56" s="16"/>
      <c r="X56" s="16"/>
      <c r="Y56" s="16"/>
      <c r="Z56" s="16"/>
      <c r="AA56" s="16"/>
      <c r="AB56" s="16"/>
      <c r="AC56" s="16"/>
    </row>
    <row r="57" spans="1:35" x14ac:dyDescent="0.45">
      <c r="R57" s="188" t="s">
        <v>75</v>
      </c>
      <c r="S57" s="16">
        <f t="shared" si="18"/>
        <v>2</v>
      </c>
      <c r="T57" s="16">
        <f t="shared" ref="T57" si="19">(T$40*COUNTIF(B$41:B$50, ("*"&amp;$R57&amp;"*")))</f>
        <v>0</v>
      </c>
      <c r="U57" s="16">
        <f t="shared" ref="U57" si="20">(U$40*COUNTIF(C$41:C$50, ("*"&amp;$R57&amp;"*")))</f>
        <v>0</v>
      </c>
      <c r="V57" s="16">
        <f t="shared" si="17"/>
        <v>2</v>
      </c>
      <c r="W57" s="16"/>
      <c r="X57" s="16"/>
      <c r="Y57" s="16"/>
      <c r="Z57" s="16"/>
      <c r="AA57" s="16"/>
      <c r="AB57" s="16"/>
      <c r="AC57" s="16"/>
    </row>
    <row r="60" spans="1:35" x14ac:dyDescent="0.45">
      <c r="A60" s="25" t="s">
        <v>299</v>
      </c>
      <c r="R60" s="16"/>
      <c r="S60" s="16">
        <v>16</v>
      </c>
      <c r="T60" s="16">
        <v>15</v>
      </c>
      <c r="U60" s="16">
        <v>14</v>
      </c>
      <c r="V60" s="16">
        <v>13</v>
      </c>
      <c r="W60" s="16">
        <v>12</v>
      </c>
      <c r="X60" s="16">
        <v>11</v>
      </c>
      <c r="Y60" s="16">
        <v>10</v>
      </c>
      <c r="Z60" s="16">
        <v>9</v>
      </c>
      <c r="AA60" s="16">
        <v>8</v>
      </c>
      <c r="AB60" s="16">
        <v>7</v>
      </c>
      <c r="AC60" s="16">
        <v>6</v>
      </c>
      <c r="AD60" s="16">
        <v>5</v>
      </c>
      <c r="AE60" s="16">
        <v>4</v>
      </c>
      <c r="AF60" s="16">
        <v>3</v>
      </c>
      <c r="AG60" s="16">
        <v>2</v>
      </c>
      <c r="AH60" s="16">
        <v>1</v>
      </c>
      <c r="AI60" s="189" t="s">
        <v>323</v>
      </c>
    </row>
    <row r="61" spans="1:35" x14ac:dyDescent="0.45">
      <c r="A61" s="25" t="s">
        <v>50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 t="s">
        <v>307</v>
      </c>
      <c r="H61" t="s">
        <v>308</v>
      </c>
      <c r="I61" t="s">
        <v>316</v>
      </c>
      <c r="J61" t="s">
        <v>309</v>
      </c>
      <c r="K61" t="s">
        <v>312</v>
      </c>
      <c r="L61" t="s">
        <v>310</v>
      </c>
      <c r="M61" t="s">
        <v>311</v>
      </c>
      <c r="N61" t="s">
        <v>313</v>
      </c>
      <c r="O61" t="s">
        <v>314</v>
      </c>
      <c r="P61" t="s">
        <v>315</v>
      </c>
      <c r="R61" s="188" t="s">
        <v>45</v>
      </c>
      <c r="S61" s="16">
        <f>(S$60*COUNTIF(A$61:A$70, ("*"&amp;$R61&amp;"*")))</f>
        <v>0</v>
      </c>
      <c r="T61" s="16">
        <f t="shared" ref="T61:AH76" si="21">(T$60*COUNTIF(B$61:B$70, ("*"&amp;$R61&amp;"*")))</f>
        <v>0</v>
      </c>
      <c r="U61" s="16">
        <f t="shared" si="21"/>
        <v>0</v>
      </c>
      <c r="V61" s="16">
        <f t="shared" si="21"/>
        <v>0</v>
      </c>
      <c r="W61" s="16">
        <f t="shared" si="21"/>
        <v>0</v>
      </c>
      <c r="X61" s="16">
        <f t="shared" si="21"/>
        <v>0</v>
      </c>
      <c r="Y61" s="16">
        <f t="shared" si="21"/>
        <v>0</v>
      </c>
      <c r="Z61" s="16">
        <f t="shared" si="21"/>
        <v>0</v>
      </c>
      <c r="AA61" s="16">
        <f t="shared" si="21"/>
        <v>0</v>
      </c>
      <c r="AB61" s="16">
        <f t="shared" si="21"/>
        <v>7</v>
      </c>
      <c r="AC61" s="16">
        <f t="shared" si="21"/>
        <v>6</v>
      </c>
      <c r="AD61" s="16">
        <f t="shared" si="21"/>
        <v>5</v>
      </c>
      <c r="AE61" s="16">
        <f t="shared" si="21"/>
        <v>16</v>
      </c>
      <c r="AF61" s="16">
        <f t="shared" si="21"/>
        <v>0</v>
      </c>
      <c r="AG61" s="16">
        <f t="shared" si="21"/>
        <v>4</v>
      </c>
      <c r="AH61" s="16">
        <f t="shared" si="21"/>
        <v>1</v>
      </c>
      <c r="AI61" s="16">
        <f>SUM(S61:AH61)</f>
        <v>39</v>
      </c>
    </row>
    <row r="62" spans="1:35" x14ac:dyDescent="0.45">
      <c r="A62" s="25" t="s">
        <v>61</v>
      </c>
      <c r="B62" t="s">
        <v>322</v>
      </c>
      <c r="C62" t="s">
        <v>319</v>
      </c>
      <c r="D62" t="s">
        <v>318</v>
      </c>
      <c r="E62" t="s">
        <v>320</v>
      </c>
      <c r="F62" t="s">
        <v>321</v>
      </c>
      <c r="G62" t="s">
        <v>307</v>
      </c>
      <c r="H62" t="s">
        <v>316</v>
      </c>
      <c r="I62" t="s">
        <v>309</v>
      </c>
      <c r="J62" t="s">
        <v>308</v>
      </c>
      <c r="K62" t="s">
        <v>311</v>
      </c>
      <c r="L62" t="s">
        <v>310</v>
      </c>
      <c r="M62" t="s">
        <v>314</v>
      </c>
      <c r="N62" t="s">
        <v>312</v>
      </c>
      <c r="O62" t="s">
        <v>315</v>
      </c>
      <c r="P62" t="s">
        <v>313</v>
      </c>
      <c r="R62" s="188" t="s">
        <v>49</v>
      </c>
      <c r="S62" s="16">
        <f t="shared" ref="S62:S77" si="22">(S$60*COUNTIF(A$61:A$70, ("*"&amp;$R62&amp;"*")))</f>
        <v>0</v>
      </c>
      <c r="T62" s="16">
        <f t="shared" si="21"/>
        <v>0</v>
      </c>
      <c r="U62" s="16">
        <f t="shared" si="21"/>
        <v>0</v>
      </c>
      <c r="V62" s="16">
        <f t="shared" si="21"/>
        <v>0</v>
      </c>
      <c r="W62" s="16">
        <f t="shared" si="21"/>
        <v>0</v>
      </c>
      <c r="X62" s="16">
        <f t="shared" si="21"/>
        <v>0</v>
      </c>
      <c r="Y62" s="16">
        <f t="shared" si="21"/>
        <v>0</v>
      </c>
      <c r="Z62" s="16">
        <f t="shared" si="21"/>
        <v>0</v>
      </c>
      <c r="AA62" s="16">
        <f t="shared" si="21"/>
        <v>0</v>
      </c>
      <c r="AB62" s="16">
        <f t="shared" si="21"/>
        <v>0</v>
      </c>
      <c r="AC62" s="16">
        <f t="shared" si="21"/>
        <v>12</v>
      </c>
      <c r="AD62" s="16">
        <f t="shared" si="21"/>
        <v>10</v>
      </c>
      <c r="AE62" s="16">
        <f t="shared" si="21"/>
        <v>4</v>
      </c>
      <c r="AF62" s="16">
        <f t="shared" si="21"/>
        <v>9</v>
      </c>
      <c r="AG62" s="16">
        <f t="shared" si="21"/>
        <v>2</v>
      </c>
      <c r="AH62" s="16">
        <f t="shared" si="21"/>
        <v>1</v>
      </c>
      <c r="AI62" s="16">
        <f t="shared" ref="AI62:AI77" si="23">SUM(S62:AH62)</f>
        <v>38</v>
      </c>
    </row>
    <row r="63" spans="1:35" x14ac:dyDescent="0.45">
      <c r="A63" s="25" t="s">
        <v>50</v>
      </c>
      <c r="B63" t="s">
        <v>317</v>
      </c>
      <c r="C63" t="s">
        <v>318</v>
      </c>
      <c r="D63" t="s">
        <v>319</v>
      </c>
      <c r="E63" t="s">
        <v>320</v>
      </c>
      <c r="F63" t="s">
        <v>316</v>
      </c>
      <c r="G63" t="s">
        <v>321</v>
      </c>
      <c r="H63" t="s">
        <v>309</v>
      </c>
      <c r="I63" t="s">
        <v>308</v>
      </c>
      <c r="J63" t="s">
        <v>314</v>
      </c>
      <c r="K63" t="s">
        <v>311</v>
      </c>
      <c r="L63" t="s">
        <v>312</v>
      </c>
      <c r="M63" t="s">
        <v>307</v>
      </c>
      <c r="N63" t="s">
        <v>310</v>
      </c>
      <c r="O63" t="s">
        <v>315</v>
      </c>
      <c r="P63" t="s">
        <v>313</v>
      </c>
      <c r="R63" s="188" t="s">
        <v>51</v>
      </c>
      <c r="S63" s="16">
        <f t="shared" si="22"/>
        <v>0</v>
      </c>
      <c r="T63" s="16">
        <f t="shared" si="21"/>
        <v>30</v>
      </c>
      <c r="U63" s="16">
        <f t="shared" si="21"/>
        <v>84</v>
      </c>
      <c r="V63" s="16">
        <f t="shared" si="21"/>
        <v>13</v>
      </c>
      <c r="W63" s="16">
        <f t="shared" si="21"/>
        <v>0</v>
      </c>
      <c r="X63" s="16">
        <f t="shared" si="21"/>
        <v>11</v>
      </c>
      <c r="Y63" s="16">
        <f t="shared" si="21"/>
        <v>0</v>
      </c>
      <c r="Z63" s="16">
        <f t="shared" si="21"/>
        <v>0</v>
      </c>
      <c r="AA63" s="16">
        <f t="shared" si="21"/>
        <v>0</v>
      </c>
      <c r="AB63" s="16">
        <f t="shared" si="21"/>
        <v>0</v>
      </c>
      <c r="AC63" s="16">
        <f t="shared" si="21"/>
        <v>0</v>
      </c>
      <c r="AD63" s="16">
        <f t="shared" si="21"/>
        <v>0</v>
      </c>
      <c r="AE63" s="16">
        <f t="shared" si="21"/>
        <v>0</v>
      </c>
      <c r="AF63" s="16">
        <f t="shared" si="21"/>
        <v>0</v>
      </c>
      <c r="AG63" s="16">
        <f t="shared" si="21"/>
        <v>0</v>
      </c>
      <c r="AH63" s="16">
        <f t="shared" si="21"/>
        <v>0</v>
      </c>
      <c r="AI63" s="16">
        <f t="shared" si="23"/>
        <v>138</v>
      </c>
    </row>
    <row r="64" spans="1:35" x14ac:dyDescent="0.45">
      <c r="A64" s="25" t="s">
        <v>50</v>
      </c>
      <c r="B64" t="s">
        <v>317</v>
      </c>
      <c r="C64" t="s">
        <v>318</v>
      </c>
      <c r="D64" t="s">
        <v>316</v>
      </c>
      <c r="E64" t="s">
        <v>320</v>
      </c>
      <c r="F64" t="s">
        <v>319</v>
      </c>
      <c r="G64" t="s">
        <v>321</v>
      </c>
      <c r="H64" t="s">
        <v>308</v>
      </c>
      <c r="I64" t="s">
        <v>309</v>
      </c>
      <c r="J64" t="s">
        <v>307</v>
      </c>
      <c r="K64" t="s">
        <v>312</v>
      </c>
      <c r="L64" t="s">
        <v>313</v>
      </c>
      <c r="M64" t="s">
        <v>315</v>
      </c>
      <c r="N64" t="s">
        <v>311</v>
      </c>
      <c r="O64" t="s">
        <v>310</v>
      </c>
      <c r="P64" t="s">
        <v>314</v>
      </c>
      <c r="R64" s="188" t="s">
        <v>54</v>
      </c>
      <c r="S64" s="16">
        <f t="shared" si="22"/>
        <v>0</v>
      </c>
      <c r="T64" s="16">
        <f t="shared" si="21"/>
        <v>30</v>
      </c>
      <c r="U64" s="16">
        <f t="shared" si="21"/>
        <v>42</v>
      </c>
      <c r="V64" s="16">
        <f t="shared" si="21"/>
        <v>39</v>
      </c>
      <c r="W64" s="16">
        <f t="shared" si="21"/>
        <v>0</v>
      </c>
      <c r="X64" s="16">
        <f t="shared" si="21"/>
        <v>22</v>
      </c>
      <c r="Y64" s="16">
        <f t="shared" si="21"/>
        <v>0</v>
      </c>
      <c r="Z64" s="16">
        <f t="shared" si="21"/>
        <v>0</v>
      </c>
      <c r="AA64" s="16">
        <f t="shared" si="21"/>
        <v>0</v>
      </c>
      <c r="AB64" s="16">
        <f t="shared" si="21"/>
        <v>0</v>
      </c>
      <c r="AC64" s="16">
        <f t="shared" si="21"/>
        <v>0</v>
      </c>
      <c r="AD64" s="16">
        <f t="shared" si="21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3"/>
        <v>133</v>
      </c>
    </row>
    <row r="65" spans="1:35" x14ac:dyDescent="0.45">
      <c r="A65" s="25" t="s">
        <v>50</v>
      </c>
      <c r="B65" t="s">
        <v>318</v>
      </c>
      <c r="C65" t="s">
        <v>317</v>
      </c>
      <c r="D65" t="s">
        <v>321</v>
      </c>
      <c r="E65" t="s">
        <v>307</v>
      </c>
      <c r="F65" t="s">
        <v>319</v>
      </c>
      <c r="G65" t="s">
        <v>320</v>
      </c>
      <c r="H65" t="s">
        <v>308</v>
      </c>
      <c r="I65" t="s">
        <v>309</v>
      </c>
      <c r="J65" t="s">
        <v>310</v>
      </c>
      <c r="K65" t="s">
        <v>316</v>
      </c>
      <c r="L65" t="s">
        <v>313</v>
      </c>
      <c r="M65" t="s">
        <v>314</v>
      </c>
      <c r="N65" t="s">
        <v>312</v>
      </c>
      <c r="O65" t="s">
        <v>311</v>
      </c>
      <c r="P65" t="s">
        <v>315</v>
      </c>
      <c r="R65" s="188" t="s">
        <v>57</v>
      </c>
      <c r="S65" s="16">
        <f t="shared" si="22"/>
        <v>0</v>
      </c>
      <c r="T65" s="16">
        <f t="shared" si="21"/>
        <v>0</v>
      </c>
      <c r="U65" s="16">
        <f t="shared" si="21"/>
        <v>0</v>
      </c>
      <c r="V65" s="16">
        <f t="shared" si="21"/>
        <v>0</v>
      </c>
      <c r="W65" s="16">
        <f t="shared" si="21"/>
        <v>72</v>
      </c>
      <c r="X65" s="16">
        <f t="shared" si="21"/>
        <v>22</v>
      </c>
      <c r="Y65" s="16">
        <f t="shared" si="21"/>
        <v>20</v>
      </c>
      <c r="Z65" s="16">
        <f t="shared" si="21"/>
        <v>0</v>
      </c>
      <c r="AA65" s="16">
        <f t="shared" si="21"/>
        <v>0</v>
      </c>
      <c r="AB65" s="16">
        <f t="shared" si="21"/>
        <v>0</v>
      </c>
      <c r="AC65" s="16">
        <f t="shared" si="21"/>
        <v>0</v>
      </c>
      <c r="AD65" s="16">
        <f t="shared" si="21"/>
        <v>0</v>
      </c>
      <c r="AE65" s="16">
        <f t="shared" si="21"/>
        <v>0</v>
      </c>
      <c r="AF65" s="16">
        <f t="shared" si="21"/>
        <v>0</v>
      </c>
      <c r="AG65" s="16">
        <f t="shared" si="21"/>
        <v>0</v>
      </c>
      <c r="AH65" s="16">
        <f t="shared" si="21"/>
        <v>0</v>
      </c>
      <c r="AI65" s="16">
        <f t="shared" si="23"/>
        <v>114</v>
      </c>
    </row>
    <row r="66" spans="1:35" x14ac:dyDescent="0.45">
      <c r="A66" s="25" t="s">
        <v>50</v>
      </c>
      <c r="B66" t="s">
        <v>317</v>
      </c>
      <c r="C66" t="s">
        <v>318</v>
      </c>
      <c r="D66" t="s">
        <v>319</v>
      </c>
      <c r="E66" t="s">
        <v>320</v>
      </c>
      <c r="F66" t="s">
        <v>321</v>
      </c>
      <c r="G66" t="s">
        <v>307</v>
      </c>
      <c r="H66" t="s">
        <v>310</v>
      </c>
      <c r="I66" t="s">
        <v>309</v>
      </c>
      <c r="J66" t="s">
        <v>308</v>
      </c>
      <c r="K66" t="s">
        <v>316</v>
      </c>
      <c r="L66" t="s">
        <v>311</v>
      </c>
      <c r="M66" t="s">
        <v>314</v>
      </c>
      <c r="N66" t="s">
        <v>312</v>
      </c>
      <c r="O66" t="s">
        <v>313</v>
      </c>
      <c r="P66" t="s">
        <v>315</v>
      </c>
      <c r="R66" s="188" t="s">
        <v>60</v>
      </c>
      <c r="S66" s="16">
        <f t="shared" si="22"/>
        <v>0</v>
      </c>
      <c r="T66" s="16">
        <f t="shared" si="21"/>
        <v>0</v>
      </c>
      <c r="U66" s="16">
        <f t="shared" si="21"/>
        <v>0</v>
      </c>
      <c r="V66" s="16">
        <f t="shared" si="21"/>
        <v>0</v>
      </c>
      <c r="W66" s="16">
        <f t="shared" si="21"/>
        <v>0</v>
      </c>
      <c r="X66" s="16">
        <f t="shared" si="21"/>
        <v>11</v>
      </c>
      <c r="Y66" s="16">
        <f t="shared" si="21"/>
        <v>20</v>
      </c>
      <c r="Z66" s="16">
        <f t="shared" si="21"/>
        <v>9</v>
      </c>
      <c r="AA66" s="16">
        <f t="shared" si="21"/>
        <v>32</v>
      </c>
      <c r="AB66" s="16">
        <f t="shared" si="21"/>
        <v>7</v>
      </c>
      <c r="AC66" s="16">
        <f t="shared" si="21"/>
        <v>0</v>
      </c>
      <c r="AD66" s="16">
        <f t="shared" si="21"/>
        <v>0</v>
      </c>
      <c r="AE66" s="16">
        <f t="shared" si="21"/>
        <v>0</v>
      </c>
      <c r="AF66" s="16">
        <f t="shared" si="21"/>
        <v>3</v>
      </c>
      <c r="AG66" s="16">
        <f t="shared" si="21"/>
        <v>0</v>
      </c>
      <c r="AH66" s="16">
        <f t="shared" si="21"/>
        <v>0</v>
      </c>
      <c r="AI66" s="16">
        <f t="shared" si="23"/>
        <v>82</v>
      </c>
    </row>
    <row r="67" spans="1:35" x14ac:dyDescent="0.45">
      <c r="A67" s="25" t="s">
        <v>61</v>
      </c>
      <c r="B67" t="s">
        <v>322</v>
      </c>
      <c r="C67" t="s">
        <v>319</v>
      </c>
      <c r="D67" t="s">
        <v>321</v>
      </c>
      <c r="E67" t="s">
        <v>320</v>
      </c>
      <c r="F67" t="s">
        <v>318</v>
      </c>
      <c r="G67" t="s">
        <v>316</v>
      </c>
      <c r="H67" t="s">
        <v>310</v>
      </c>
      <c r="I67" t="s">
        <v>307</v>
      </c>
      <c r="J67" t="s">
        <v>312</v>
      </c>
      <c r="K67" t="s">
        <v>308</v>
      </c>
      <c r="L67" t="s">
        <v>311</v>
      </c>
      <c r="M67" t="s">
        <v>314</v>
      </c>
      <c r="N67" t="s">
        <v>309</v>
      </c>
      <c r="O67" t="s">
        <v>315</v>
      </c>
      <c r="P67" t="s">
        <v>313</v>
      </c>
      <c r="R67" s="188" t="s">
        <v>93</v>
      </c>
      <c r="S67" s="16">
        <f t="shared" si="22"/>
        <v>0</v>
      </c>
      <c r="T67" s="16">
        <f t="shared" si="21"/>
        <v>0</v>
      </c>
      <c r="U67" s="16">
        <f t="shared" si="21"/>
        <v>0</v>
      </c>
      <c r="V67" s="16">
        <f t="shared" si="21"/>
        <v>0</v>
      </c>
      <c r="W67" s="16">
        <f t="shared" si="21"/>
        <v>0</v>
      </c>
      <c r="X67" s="16">
        <f t="shared" si="21"/>
        <v>0</v>
      </c>
      <c r="Y67" s="16">
        <f t="shared" si="21"/>
        <v>0</v>
      </c>
      <c r="Z67" s="16">
        <f t="shared" si="21"/>
        <v>0</v>
      </c>
      <c r="AA67" s="16">
        <f t="shared" si="21"/>
        <v>0</v>
      </c>
      <c r="AB67" s="16">
        <f t="shared" si="21"/>
        <v>0</v>
      </c>
      <c r="AC67" s="16">
        <f t="shared" si="21"/>
        <v>0</v>
      </c>
      <c r="AD67" s="16">
        <f t="shared" si="21"/>
        <v>0</v>
      </c>
      <c r="AE67" s="16">
        <f t="shared" si="21"/>
        <v>0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3"/>
        <v>0</v>
      </c>
    </row>
    <row r="68" spans="1:35" x14ac:dyDescent="0.45">
      <c r="A68" s="25" t="s">
        <v>61</v>
      </c>
      <c r="B68" t="s">
        <v>319</v>
      </c>
      <c r="C68" t="s">
        <v>318</v>
      </c>
      <c r="D68" t="s">
        <v>322</v>
      </c>
      <c r="E68" t="s">
        <v>321</v>
      </c>
      <c r="F68" t="s">
        <v>320</v>
      </c>
      <c r="G68" t="s">
        <v>309</v>
      </c>
      <c r="H68" t="s">
        <v>307</v>
      </c>
      <c r="I68" t="s">
        <v>316</v>
      </c>
      <c r="J68" t="s">
        <v>310</v>
      </c>
      <c r="K68" t="s">
        <v>308</v>
      </c>
      <c r="L68" t="s">
        <v>314</v>
      </c>
      <c r="M68" t="s">
        <v>312</v>
      </c>
      <c r="N68" t="s">
        <v>311</v>
      </c>
      <c r="O68" t="s">
        <v>313</v>
      </c>
      <c r="P68" t="s">
        <v>315</v>
      </c>
      <c r="R68" s="188" t="s">
        <v>63</v>
      </c>
      <c r="S68" s="16">
        <f t="shared" si="22"/>
        <v>0</v>
      </c>
      <c r="T68" s="16">
        <f t="shared" si="21"/>
        <v>0</v>
      </c>
      <c r="U68" s="16">
        <f t="shared" si="21"/>
        <v>0</v>
      </c>
      <c r="V68" s="16">
        <f t="shared" si="21"/>
        <v>0</v>
      </c>
      <c r="W68" s="16">
        <f t="shared" si="21"/>
        <v>12</v>
      </c>
      <c r="X68" s="16">
        <f t="shared" si="21"/>
        <v>0</v>
      </c>
      <c r="Y68" s="16">
        <f t="shared" si="21"/>
        <v>30</v>
      </c>
      <c r="Z68" s="16">
        <f t="shared" si="21"/>
        <v>9</v>
      </c>
      <c r="AA68" s="16">
        <f t="shared" si="21"/>
        <v>8</v>
      </c>
      <c r="AB68" s="16">
        <f t="shared" si="21"/>
        <v>21</v>
      </c>
      <c r="AC68" s="16">
        <f t="shared" si="21"/>
        <v>0</v>
      </c>
      <c r="AD68" s="16">
        <f t="shared" si="21"/>
        <v>0</v>
      </c>
      <c r="AE68" s="16">
        <f t="shared" si="21"/>
        <v>4</v>
      </c>
      <c r="AF68" s="16">
        <f t="shared" si="21"/>
        <v>0</v>
      </c>
      <c r="AG68" s="16">
        <f t="shared" si="21"/>
        <v>0</v>
      </c>
      <c r="AH68" s="16">
        <f t="shared" si="21"/>
        <v>0</v>
      </c>
      <c r="AI68" s="16">
        <f t="shared" si="23"/>
        <v>84</v>
      </c>
    </row>
    <row r="69" spans="1:35" x14ac:dyDescent="0.45">
      <c r="A69" s="25" t="s">
        <v>50</v>
      </c>
      <c r="B69" t="s">
        <v>319</v>
      </c>
      <c r="C69" t="s">
        <v>318</v>
      </c>
      <c r="D69" t="s">
        <v>317</v>
      </c>
      <c r="E69" t="s">
        <v>321</v>
      </c>
      <c r="F69" t="s">
        <v>309</v>
      </c>
      <c r="G69" t="s">
        <v>320</v>
      </c>
      <c r="H69" t="s">
        <v>308</v>
      </c>
      <c r="I69" t="s">
        <v>316</v>
      </c>
      <c r="J69" t="s">
        <v>307</v>
      </c>
      <c r="K69" t="s">
        <v>312</v>
      </c>
      <c r="L69" t="s">
        <v>310</v>
      </c>
      <c r="M69" t="s">
        <v>313</v>
      </c>
      <c r="N69" t="s">
        <v>311</v>
      </c>
      <c r="O69" t="s">
        <v>314</v>
      </c>
      <c r="P69" t="s">
        <v>315</v>
      </c>
      <c r="R69" s="188" t="s">
        <v>66</v>
      </c>
      <c r="S69" s="16">
        <f t="shared" si="22"/>
        <v>0</v>
      </c>
      <c r="T69" s="16">
        <f t="shared" si="21"/>
        <v>0</v>
      </c>
      <c r="U69" s="16">
        <f t="shared" si="21"/>
        <v>0</v>
      </c>
      <c r="V69" s="16">
        <f t="shared" si="21"/>
        <v>0</v>
      </c>
      <c r="W69" s="16">
        <f t="shared" si="21"/>
        <v>0</v>
      </c>
      <c r="X69" s="16">
        <f t="shared" si="21"/>
        <v>0</v>
      </c>
      <c r="Y69" s="16">
        <f t="shared" si="21"/>
        <v>0</v>
      </c>
      <c r="Z69" s="16">
        <f t="shared" si="21"/>
        <v>0</v>
      </c>
      <c r="AA69" s="16">
        <f t="shared" si="21"/>
        <v>0</v>
      </c>
      <c r="AB69" s="16">
        <f t="shared" si="21"/>
        <v>0</v>
      </c>
      <c r="AC69" s="16">
        <f t="shared" si="21"/>
        <v>0</v>
      </c>
      <c r="AD69" s="16">
        <f t="shared" si="21"/>
        <v>0</v>
      </c>
      <c r="AE69" s="16">
        <f t="shared" si="21"/>
        <v>0</v>
      </c>
      <c r="AF69" s="16">
        <f t="shared" si="21"/>
        <v>0</v>
      </c>
      <c r="AG69" s="16">
        <f t="shared" si="21"/>
        <v>0</v>
      </c>
      <c r="AH69" s="16">
        <f t="shared" si="21"/>
        <v>0</v>
      </c>
      <c r="AI69" s="16">
        <f t="shared" si="23"/>
        <v>0</v>
      </c>
    </row>
    <row r="70" spans="1:35" x14ac:dyDescent="0.45">
      <c r="A70" s="25" t="s">
        <v>61</v>
      </c>
      <c r="B70" t="s">
        <v>318</v>
      </c>
      <c r="C70" t="s">
        <v>319</v>
      </c>
      <c r="D70" t="s">
        <v>321</v>
      </c>
      <c r="E70" t="s">
        <v>322</v>
      </c>
      <c r="F70" t="s">
        <v>320</v>
      </c>
      <c r="G70" t="s">
        <v>309</v>
      </c>
      <c r="H70" t="s">
        <v>316</v>
      </c>
      <c r="I70" t="s">
        <v>312</v>
      </c>
      <c r="J70" t="s">
        <v>307</v>
      </c>
      <c r="K70" t="s">
        <v>314</v>
      </c>
      <c r="L70" t="s">
        <v>310</v>
      </c>
      <c r="M70" t="s">
        <v>308</v>
      </c>
      <c r="N70" t="s">
        <v>315</v>
      </c>
      <c r="O70" t="s">
        <v>313</v>
      </c>
      <c r="P70" t="s">
        <v>311</v>
      </c>
      <c r="R70" s="188" t="s">
        <v>68</v>
      </c>
      <c r="S70" s="16">
        <f t="shared" si="22"/>
        <v>0</v>
      </c>
      <c r="T70" s="16">
        <f t="shared" si="21"/>
        <v>0</v>
      </c>
      <c r="U70" s="16">
        <f t="shared" si="21"/>
        <v>0</v>
      </c>
      <c r="V70" s="16">
        <f t="shared" si="21"/>
        <v>0</v>
      </c>
      <c r="W70" s="16">
        <f t="shared" si="21"/>
        <v>0</v>
      </c>
      <c r="X70" s="16">
        <f t="shared" si="21"/>
        <v>0</v>
      </c>
      <c r="Y70" s="16">
        <f t="shared" si="21"/>
        <v>0</v>
      </c>
      <c r="Z70" s="16">
        <f t="shared" si="21"/>
        <v>0</v>
      </c>
      <c r="AA70" s="16">
        <f t="shared" si="21"/>
        <v>0</v>
      </c>
      <c r="AB70" s="16">
        <f t="shared" si="21"/>
        <v>0</v>
      </c>
      <c r="AC70" s="16">
        <f t="shared" si="21"/>
        <v>0</v>
      </c>
      <c r="AD70" s="16">
        <f t="shared" si="21"/>
        <v>0</v>
      </c>
      <c r="AE70" s="16">
        <f t="shared" si="21"/>
        <v>0</v>
      </c>
      <c r="AF70" s="16">
        <f t="shared" si="21"/>
        <v>0</v>
      </c>
      <c r="AG70" s="16">
        <f t="shared" si="21"/>
        <v>0</v>
      </c>
      <c r="AH70" s="16">
        <f t="shared" si="21"/>
        <v>0</v>
      </c>
      <c r="AI70" s="16">
        <f t="shared" si="23"/>
        <v>0</v>
      </c>
    </row>
    <row r="71" spans="1:35" x14ac:dyDescent="0.45">
      <c r="A71" s="25" t="s">
        <v>61</v>
      </c>
      <c r="B71" t="s">
        <v>322</v>
      </c>
      <c r="C71" t="s">
        <v>319</v>
      </c>
      <c r="D71" t="s">
        <v>318</v>
      </c>
      <c r="E71" t="s">
        <v>321</v>
      </c>
      <c r="F71" t="s">
        <v>309</v>
      </c>
      <c r="G71" t="s">
        <v>316</v>
      </c>
      <c r="H71" t="s">
        <v>308</v>
      </c>
      <c r="I71" t="s">
        <v>320</v>
      </c>
      <c r="J71" t="s">
        <v>310</v>
      </c>
      <c r="K71" t="s">
        <v>311</v>
      </c>
      <c r="L71" t="s">
        <v>307</v>
      </c>
      <c r="M71" t="s">
        <v>314</v>
      </c>
      <c r="N71" t="s">
        <v>312</v>
      </c>
      <c r="O71" t="s">
        <v>313</v>
      </c>
      <c r="P71" t="s">
        <v>315</v>
      </c>
      <c r="R71" s="188" t="s">
        <v>69</v>
      </c>
      <c r="S71" s="16">
        <f t="shared" si="22"/>
        <v>0</v>
      </c>
      <c r="T71" s="16">
        <f t="shared" si="21"/>
        <v>0</v>
      </c>
      <c r="U71" s="16">
        <f t="shared" si="21"/>
        <v>0</v>
      </c>
      <c r="V71" s="16">
        <f t="shared" si="21"/>
        <v>0</v>
      </c>
      <c r="W71" s="16">
        <f t="shared" si="21"/>
        <v>0</v>
      </c>
      <c r="X71" s="16">
        <f t="shared" si="21"/>
        <v>0</v>
      </c>
      <c r="Y71" s="16">
        <f t="shared" si="21"/>
        <v>0</v>
      </c>
      <c r="Z71" s="16">
        <f t="shared" si="21"/>
        <v>18</v>
      </c>
      <c r="AA71" s="16">
        <f t="shared" si="21"/>
        <v>0</v>
      </c>
      <c r="AB71" s="16">
        <f t="shared" si="21"/>
        <v>14</v>
      </c>
      <c r="AC71" s="16">
        <f t="shared" si="21"/>
        <v>0</v>
      </c>
      <c r="AD71" s="16">
        <f t="shared" si="21"/>
        <v>20</v>
      </c>
      <c r="AE71" s="16">
        <f t="shared" si="21"/>
        <v>0</v>
      </c>
      <c r="AF71" s="16">
        <f t="shared" si="21"/>
        <v>3</v>
      </c>
      <c r="AG71" s="16">
        <f t="shared" si="21"/>
        <v>2</v>
      </c>
      <c r="AH71" s="16">
        <f t="shared" si="21"/>
        <v>0</v>
      </c>
      <c r="AI71" s="16">
        <f t="shared" si="23"/>
        <v>57</v>
      </c>
    </row>
    <row r="72" spans="1:35" x14ac:dyDescent="0.45">
      <c r="A72" s="25" t="s">
        <v>61</v>
      </c>
      <c r="B72" t="s">
        <v>321</v>
      </c>
      <c r="C72" t="s">
        <v>319</v>
      </c>
      <c r="D72" t="s">
        <v>322</v>
      </c>
      <c r="E72" t="s">
        <v>318</v>
      </c>
      <c r="F72" t="s">
        <v>309</v>
      </c>
      <c r="G72" t="s">
        <v>316</v>
      </c>
      <c r="H72" t="s">
        <v>311</v>
      </c>
      <c r="I72" t="s">
        <v>308</v>
      </c>
      <c r="J72" t="s">
        <v>320</v>
      </c>
      <c r="K72" t="s">
        <v>312</v>
      </c>
      <c r="L72" t="s">
        <v>313</v>
      </c>
      <c r="M72" t="s">
        <v>314</v>
      </c>
      <c r="N72" t="s">
        <v>315</v>
      </c>
      <c r="O72" t="s">
        <v>310</v>
      </c>
      <c r="P72" t="s">
        <v>307</v>
      </c>
      <c r="R72" s="188" t="s">
        <v>200</v>
      </c>
      <c r="S72" s="16">
        <f t="shared" si="22"/>
        <v>0</v>
      </c>
      <c r="T72" s="16">
        <f t="shared" si="21"/>
        <v>0</v>
      </c>
      <c r="U72" s="16">
        <f t="shared" si="21"/>
        <v>0</v>
      </c>
      <c r="V72" s="16">
        <f t="shared" si="21"/>
        <v>0</v>
      </c>
      <c r="W72" s="16">
        <f t="shared" si="21"/>
        <v>0</v>
      </c>
      <c r="X72" s="16">
        <f t="shared" si="21"/>
        <v>0</v>
      </c>
      <c r="Y72" s="16">
        <f t="shared" si="21"/>
        <v>0</v>
      </c>
      <c r="Z72" s="16">
        <f t="shared" si="21"/>
        <v>0</v>
      </c>
      <c r="AA72" s="16">
        <f t="shared" si="21"/>
        <v>0</v>
      </c>
      <c r="AB72" s="16">
        <f t="shared" si="21"/>
        <v>0</v>
      </c>
      <c r="AC72" s="16">
        <f t="shared" si="21"/>
        <v>0</v>
      </c>
      <c r="AD72" s="16">
        <f t="shared" si="21"/>
        <v>0</v>
      </c>
      <c r="AE72" s="16">
        <f t="shared" si="21"/>
        <v>0</v>
      </c>
      <c r="AF72" s="16">
        <f t="shared" si="21"/>
        <v>0</v>
      </c>
      <c r="AG72" s="16">
        <f t="shared" si="21"/>
        <v>0</v>
      </c>
      <c r="AH72" s="16">
        <f t="shared" si="21"/>
        <v>0</v>
      </c>
      <c r="AI72" s="16">
        <f t="shared" si="23"/>
        <v>0</v>
      </c>
    </row>
    <row r="73" spans="1:35" x14ac:dyDescent="0.45">
      <c r="A73" s="25" t="s">
        <v>50</v>
      </c>
      <c r="B73" t="s">
        <v>318</v>
      </c>
      <c r="C73" t="s">
        <v>317</v>
      </c>
      <c r="D73" t="s">
        <v>319</v>
      </c>
      <c r="E73" t="s">
        <v>321</v>
      </c>
      <c r="F73" t="s">
        <v>316</v>
      </c>
      <c r="G73" t="s">
        <v>311</v>
      </c>
      <c r="H73" t="s">
        <v>320</v>
      </c>
      <c r="I73" t="s">
        <v>309</v>
      </c>
      <c r="J73" t="s">
        <v>312</v>
      </c>
      <c r="K73" t="s">
        <v>307</v>
      </c>
      <c r="L73" t="s">
        <v>310</v>
      </c>
      <c r="M73" t="s">
        <v>308</v>
      </c>
      <c r="N73" t="s">
        <v>315</v>
      </c>
      <c r="O73" t="s">
        <v>313</v>
      </c>
      <c r="P73" t="s">
        <v>314</v>
      </c>
      <c r="R73" s="188" t="s">
        <v>128</v>
      </c>
      <c r="S73" s="16">
        <f t="shared" si="22"/>
        <v>0</v>
      </c>
      <c r="T73" s="16">
        <f t="shared" si="21"/>
        <v>0</v>
      </c>
      <c r="U73" s="16">
        <f t="shared" si="21"/>
        <v>0</v>
      </c>
      <c r="V73" s="16">
        <f t="shared" si="21"/>
        <v>0</v>
      </c>
      <c r="W73" s="16">
        <f t="shared" si="21"/>
        <v>0</v>
      </c>
      <c r="X73" s="16">
        <f t="shared" si="21"/>
        <v>0</v>
      </c>
      <c r="Y73" s="16">
        <f t="shared" si="21"/>
        <v>0</v>
      </c>
      <c r="Z73" s="16">
        <f t="shared" si="21"/>
        <v>36</v>
      </c>
      <c r="AA73" s="16">
        <f t="shared" si="21"/>
        <v>8</v>
      </c>
      <c r="AB73" s="16">
        <f t="shared" si="21"/>
        <v>14</v>
      </c>
      <c r="AC73" s="16">
        <f t="shared" si="21"/>
        <v>12</v>
      </c>
      <c r="AD73" s="16">
        <f t="shared" si="21"/>
        <v>0</v>
      </c>
      <c r="AE73" s="16">
        <f t="shared" si="21"/>
        <v>4</v>
      </c>
      <c r="AF73" s="16">
        <f t="shared" si="21"/>
        <v>0</v>
      </c>
      <c r="AG73" s="16">
        <f t="shared" si="21"/>
        <v>0</v>
      </c>
      <c r="AH73" s="16">
        <f t="shared" si="21"/>
        <v>0</v>
      </c>
      <c r="AI73" s="16">
        <f t="shared" si="23"/>
        <v>74</v>
      </c>
    </row>
    <row r="74" spans="1:35" x14ac:dyDescent="0.45">
      <c r="A74" s="25" t="s">
        <v>202</v>
      </c>
      <c r="B74" t="s">
        <v>314</v>
      </c>
      <c r="C74" t="s">
        <v>311</v>
      </c>
      <c r="D74" t="s">
        <v>318</v>
      </c>
      <c r="E74" t="s">
        <v>319</v>
      </c>
      <c r="F74" t="s">
        <v>320</v>
      </c>
      <c r="G74" t="s">
        <v>309</v>
      </c>
      <c r="H74" t="s">
        <v>312</v>
      </c>
      <c r="I74" t="s">
        <v>307</v>
      </c>
      <c r="J74" t="s">
        <v>321</v>
      </c>
      <c r="K74" t="s">
        <v>322</v>
      </c>
      <c r="L74" t="s">
        <v>310</v>
      </c>
      <c r="M74" t="s">
        <v>308</v>
      </c>
      <c r="N74" t="s">
        <v>316</v>
      </c>
      <c r="O74" t="s">
        <v>317</v>
      </c>
      <c r="P74" t="s">
        <v>313</v>
      </c>
      <c r="R74" s="188" t="s">
        <v>127</v>
      </c>
      <c r="S74" s="16">
        <f t="shared" si="22"/>
        <v>0</v>
      </c>
      <c r="T74" s="16">
        <f t="shared" si="21"/>
        <v>0</v>
      </c>
      <c r="U74" s="16">
        <f t="shared" si="21"/>
        <v>0</v>
      </c>
      <c r="V74" s="16">
        <f t="shared" si="21"/>
        <v>13</v>
      </c>
      <c r="W74" s="16">
        <f t="shared" si="21"/>
        <v>0</v>
      </c>
      <c r="X74" s="16">
        <f t="shared" si="21"/>
        <v>11</v>
      </c>
      <c r="Y74" s="16">
        <f t="shared" si="21"/>
        <v>10</v>
      </c>
      <c r="Z74" s="16">
        <f t="shared" si="21"/>
        <v>18</v>
      </c>
      <c r="AA74" s="16">
        <f t="shared" si="21"/>
        <v>24</v>
      </c>
      <c r="AB74" s="16">
        <f t="shared" si="21"/>
        <v>0</v>
      </c>
      <c r="AC74" s="16">
        <f t="shared" si="21"/>
        <v>12</v>
      </c>
      <c r="AD74" s="16">
        <f t="shared" si="21"/>
        <v>0</v>
      </c>
      <c r="AE74" s="16">
        <f t="shared" si="21"/>
        <v>0</v>
      </c>
      <c r="AF74" s="16">
        <f t="shared" si="21"/>
        <v>0</v>
      </c>
      <c r="AG74" s="16">
        <f t="shared" si="21"/>
        <v>0</v>
      </c>
      <c r="AH74" s="16">
        <f t="shared" si="21"/>
        <v>0</v>
      </c>
      <c r="AI74" s="16">
        <f t="shared" si="23"/>
        <v>88</v>
      </c>
    </row>
    <row r="75" spans="1:35" x14ac:dyDescent="0.45">
      <c r="A75" s="25" t="s">
        <v>50</v>
      </c>
      <c r="B75" t="s">
        <v>317</v>
      </c>
      <c r="C75" t="s">
        <v>318</v>
      </c>
      <c r="D75" t="s">
        <v>321</v>
      </c>
      <c r="E75" t="s">
        <v>319</v>
      </c>
      <c r="F75" t="s">
        <v>320</v>
      </c>
      <c r="G75" t="s">
        <v>316</v>
      </c>
      <c r="H75" t="s">
        <v>309</v>
      </c>
      <c r="I75" t="s">
        <v>308</v>
      </c>
      <c r="J75" t="s">
        <v>307</v>
      </c>
      <c r="K75" t="s">
        <v>311</v>
      </c>
      <c r="L75" t="s">
        <v>314</v>
      </c>
      <c r="M75" t="s">
        <v>312</v>
      </c>
      <c r="N75" t="s">
        <v>310</v>
      </c>
      <c r="O75" t="s">
        <v>313</v>
      </c>
      <c r="P75" t="s">
        <v>315</v>
      </c>
      <c r="R75" s="188" t="s">
        <v>73</v>
      </c>
      <c r="S75" s="16">
        <f t="shared" si="22"/>
        <v>64</v>
      </c>
      <c r="T75" s="16">
        <f t="shared" si="21"/>
        <v>60</v>
      </c>
      <c r="U75" s="16">
        <f t="shared" si="21"/>
        <v>14</v>
      </c>
      <c r="V75" s="16">
        <f t="shared" si="21"/>
        <v>13</v>
      </c>
      <c r="W75" s="16">
        <f t="shared" si="21"/>
        <v>0</v>
      </c>
      <c r="X75" s="16">
        <f t="shared" si="21"/>
        <v>0</v>
      </c>
      <c r="Y75" s="16">
        <f t="shared" si="21"/>
        <v>0</v>
      </c>
      <c r="Z75" s="16">
        <f t="shared" si="21"/>
        <v>0</v>
      </c>
      <c r="AA75" s="16">
        <f t="shared" si="21"/>
        <v>0</v>
      </c>
      <c r="AB75" s="16">
        <f t="shared" si="21"/>
        <v>0</v>
      </c>
      <c r="AC75" s="16">
        <f t="shared" si="21"/>
        <v>0</v>
      </c>
      <c r="AD75" s="16">
        <f t="shared" si="21"/>
        <v>0</v>
      </c>
      <c r="AE75" s="16">
        <f t="shared" si="21"/>
        <v>0</v>
      </c>
      <c r="AF75" s="16">
        <f t="shared" si="21"/>
        <v>0</v>
      </c>
      <c r="AG75" s="16">
        <f t="shared" si="21"/>
        <v>0</v>
      </c>
      <c r="AH75" s="16">
        <f t="shared" si="21"/>
        <v>0</v>
      </c>
      <c r="AI75" s="16">
        <f t="shared" si="23"/>
        <v>151</v>
      </c>
    </row>
    <row r="76" spans="1:35" x14ac:dyDescent="0.45">
      <c r="R76" s="188" t="s">
        <v>324</v>
      </c>
      <c r="S76" s="16">
        <f t="shared" si="22"/>
        <v>0</v>
      </c>
      <c r="T76" s="16">
        <f t="shared" si="21"/>
        <v>0</v>
      </c>
      <c r="U76" s="16">
        <f t="shared" si="21"/>
        <v>0</v>
      </c>
      <c r="V76" s="16">
        <f t="shared" si="21"/>
        <v>0</v>
      </c>
      <c r="W76" s="16">
        <f t="shared" si="21"/>
        <v>0</v>
      </c>
      <c r="X76" s="16">
        <f t="shared" si="21"/>
        <v>0</v>
      </c>
      <c r="Y76" s="16">
        <f t="shared" si="21"/>
        <v>0</v>
      </c>
      <c r="Z76" s="16">
        <f t="shared" si="21"/>
        <v>0</v>
      </c>
      <c r="AA76" s="16">
        <f t="shared" si="21"/>
        <v>0</v>
      </c>
      <c r="AB76" s="16">
        <f t="shared" si="21"/>
        <v>0</v>
      </c>
      <c r="AC76" s="16">
        <f t="shared" si="21"/>
        <v>0</v>
      </c>
      <c r="AD76" s="16">
        <f t="shared" si="21"/>
        <v>0</v>
      </c>
      <c r="AE76" s="16">
        <f t="shared" si="21"/>
        <v>4</v>
      </c>
      <c r="AF76" s="16">
        <f t="shared" si="21"/>
        <v>3</v>
      </c>
      <c r="AG76" s="16">
        <f t="shared" si="21"/>
        <v>6</v>
      </c>
      <c r="AH76" s="16">
        <f t="shared" si="21"/>
        <v>5</v>
      </c>
      <c r="AI76" s="16">
        <f t="shared" si="23"/>
        <v>18</v>
      </c>
    </row>
    <row r="77" spans="1:35" x14ac:dyDescent="0.45">
      <c r="R77" s="188" t="s">
        <v>75</v>
      </c>
      <c r="S77" s="16">
        <f t="shared" si="22"/>
        <v>0</v>
      </c>
      <c r="T77" s="16">
        <f t="shared" ref="T77" si="24">(T$60*COUNTIF(B$61:B$70, ("*"&amp;$R77&amp;"*")))</f>
        <v>0</v>
      </c>
      <c r="U77" s="16">
        <f t="shared" ref="U77" si="25">(U$60*COUNTIF(C$61:C$70, ("*"&amp;$R77&amp;"*")))</f>
        <v>0</v>
      </c>
      <c r="V77" s="16">
        <f t="shared" ref="V77" si="26">(V$60*COUNTIF(D$61:D$70, ("*"&amp;$R77&amp;"*")))</f>
        <v>0</v>
      </c>
      <c r="W77" s="16">
        <f t="shared" ref="W77" si="27">(W$60*COUNTIF(E$61:E$70, ("*"&amp;$R77&amp;"*")))</f>
        <v>0</v>
      </c>
      <c r="X77" s="16">
        <f t="shared" ref="X77" si="28">(X$60*COUNTIF(F$61:F$70, ("*"&amp;$R77&amp;"*")))</f>
        <v>0</v>
      </c>
      <c r="Y77" s="16">
        <f t="shared" ref="Y77" si="29">(Y$60*COUNTIF(G$61:G$70, ("*"&amp;$R77&amp;"*")))</f>
        <v>0</v>
      </c>
      <c r="Z77" s="16">
        <f t="shared" ref="Z77" si="30">(Z$60*COUNTIF(H$61:H$70, ("*"&amp;$R77&amp;"*")))</f>
        <v>0</v>
      </c>
      <c r="AA77" s="16">
        <f t="shared" ref="AA77" si="31">(AA$60*COUNTIF(I$61:I$70, ("*"&amp;$R77&amp;"*")))</f>
        <v>0</v>
      </c>
      <c r="AB77" s="16">
        <f t="shared" ref="AB77" si="32">(AB$60*COUNTIF(J$61:J$70, ("*"&amp;$R77&amp;"*")))</f>
        <v>0</v>
      </c>
      <c r="AC77" s="16">
        <f t="shared" ref="AC77" si="33">(AC$60*COUNTIF(K$61:K$70, ("*"&amp;$R77&amp;"*")))</f>
        <v>0</v>
      </c>
      <c r="AD77" s="16">
        <f t="shared" ref="AD77" si="34">(AD$60*COUNTIF(L$61:L$70, ("*"&amp;$R77&amp;"*")))</f>
        <v>10</v>
      </c>
      <c r="AE77" s="16">
        <f t="shared" ref="AE77" si="35">(AE$60*COUNTIF(M$61:M$70, ("*"&amp;$R77&amp;"*")))</f>
        <v>4</v>
      </c>
      <c r="AF77" s="16">
        <f t="shared" ref="AF77" si="36">(AF$60*COUNTIF(N$61:N$70, ("*"&amp;$R77&amp;"*")))</f>
        <v>3</v>
      </c>
      <c r="AG77" s="16">
        <f t="shared" ref="AG77" si="37">(AG$60*COUNTIF(O$61:O$70, ("*"&amp;$R77&amp;"*")))</f>
        <v>6</v>
      </c>
      <c r="AH77" s="16">
        <f t="shared" ref="AH77" si="38">(AH$60*COUNTIF(P$61:P$70, ("*"&amp;$R77&amp;"*")))</f>
        <v>3</v>
      </c>
      <c r="AI77" s="16">
        <f t="shared" si="23"/>
        <v>26</v>
      </c>
    </row>
    <row r="80" spans="1:35" x14ac:dyDescent="0.45">
      <c r="A80" s="25" t="s">
        <v>300</v>
      </c>
      <c r="R80" s="16"/>
      <c r="S80" s="16">
        <v>16</v>
      </c>
      <c r="T80" s="16">
        <v>15</v>
      </c>
      <c r="U80" s="16">
        <v>14</v>
      </c>
      <c r="V80" s="16">
        <v>13</v>
      </c>
      <c r="W80" s="16">
        <v>12</v>
      </c>
      <c r="X80" s="16">
        <v>11</v>
      </c>
      <c r="Y80" s="16">
        <v>10</v>
      </c>
      <c r="Z80" s="16">
        <v>9</v>
      </c>
      <c r="AA80" s="16">
        <v>8</v>
      </c>
      <c r="AB80" s="16">
        <v>7</v>
      </c>
      <c r="AC80" s="16">
        <v>6</v>
      </c>
      <c r="AD80" s="16">
        <v>5</v>
      </c>
      <c r="AE80" s="16">
        <v>4</v>
      </c>
      <c r="AF80" s="16">
        <v>3</v>
      </c>
      <c r="AG80" s="16">
        <v>2</v>
      </c>
      <c r="AH80" s="16">
        <v>1</v>
      </c>
      <c r="AI80" s="189" t="s">
        <v>323</v>
      </c>
    </row>
    <row r="81" spans="1:35" x14ac:dyDescent="0.45">
      <c r="A81" s="25" t="s">
        <v>30</v>
      </c>
      <c r="B81" t="s">
        <v>319</v>
      </c>
      <c r="C81" t="s">
        <v>317</v>
      </c>
      <c r="D81" t="s">
        <v>322</v>
      </c>
      <c r="E81" t="s">
        <v>321</v>
      </c>
      <c r="F81" t="s">
        <v>320</v>
      </c>
      <c r="G81" t="s">
        <v>311</v>
      </c>
      <c r="H81" t="s">
        <v>316</v>
      </c>
      <c r="I81" t="s">
        <v>309</v>
      </c>
      <c r="J81" t="s">
        <v>307</v>
      </c>
      <c r="K81" t="s">
        <v>308</v>
      </c>
      <c r="L81" t="s">
        <v>310</v>
      </c>
      <c r="M81" t="s">
        <v>312</v>
      </c>
      <c r="N81" t="s">
        <v>313</v>
      </c>
      <c r="O81" t="s">
        <v>314</v>
      </c>
      <c r="P81" t="s">
        <v>315</v>
      </c>
      <c r="R81" s="188" t="s">
        <v>45</v>
      </c>
      <c r="S81" s="16">
        <f>(S$80*COUNTIF(A$81:A$90, ("*"&amp;$R81&amp;"*")))</f>
        <v>0</v>
      </c>
      <c r="T81" s="16">
        <f t="shared" ref="T81:AH96" si="39">(T$80*COUNTIF(B$81:B$90, ("*"&amp;$R81&amp;"*")))</f>
        <v>0</v>
      </c>
      <c r="U81" s="16">
        <f t="shared" si="39"/>
        <v>0</v>
      </c>
      <c r="V81" s="16">
        <f t="shared" si="39"/>
        <v>0</v>
      </c>
      <c r="W81" s="16">
        <f t="shared" si="39"/>
        <v>0</v>
      </c>
      <c r="X81" s="16">
        <f t="shared" si="39"/>
        <v>0</v>
      </c>
      <c r="Y81" s="16">
        <f t="shared" si="39"/>
        <v>0</v>
      </c>
      <c r="Z81" s="16">
        <f t="shared" si="39"/>
        <v>0</v>
      </c>
      <c r="AA81" s="16">
        <f t="shared" si="39"/>
        <v>8</v>
      </c>
      <c r="AB81" s="16">
        <f t="shared" si="39"/>
        <v>7</v>
      </c>
      <c r="AC81" s="16">
        <f t="shared" si="39"/>
        <v>6</v>
      </c>
      <c r="AD81" s="16">
        <f t="shared" si="39"/>
        <v>0</v>
      </c>
      <c r="AE81" s="16">
        <f t="shared" si="39"/>
        <v>4</v>
      </c>
      <c r="AF81" s="16">
        <f t="shared" si="39"/>
        <v>9</v>
      </c>
      <c r="AG81" s="16">
        <f t="shared" si="39"/>
        <v>4</v>
      </c>
      <c r="AH81" s="16">
        <f t="shared" si="39"/>
        <v>1</v>
      </c>
      <c r="AI81" s="16">
        <f>SUM(S81:AH81)</f>
        <v>39</v>
      </c>
    </row>
    <row r="82" spans="1:35" x14ac:dyDescent="0.45">
      <c r="A82" s="25" t="s">
        <v>30</v>
      </c>
      <c r="B82" t="s">
        <v>317</v>
      </c>
      <c r="C82" t="s">
        <v>319</v>
      </c>
      <c r="D82" t="s">
        <v>322</v>
      </c>
      <c r="E82" t="s">
        <v>321</v>
      </c>
      <c r="F82" t="s">
        <v>320</v>
      </c>
      <c r="G82" t="s">
        <v>307</v>
      </c>
      <c r="H82" t="s">
        <v>310</v>
      </c>
      <c r="I82" t="s">
        <v>316</v>
      </c>
      <c r="J82" t="s">
        <v>311</v>
      </c>
      <c r="K82" t="s">
        <v>309</v>
      </c>
      <c r="L82" t="s">
        <v>308</v>
      </c>
      <c r="M82" t="s">
        <v>314</v>
      </c>
      <c r="N82" t="s">
        <v>312</v>
      </c>
      <c r="O82" t="s">
        <v>315</v>
      </c>
      <c r="P82" t="s">
        <v>313</v>
      </c>
      <c r="R82" s="188" t="s">
        <v>49</v>
      </c>
      <c r="S82" s="16">
        <f t="shared" ref="S82:S97" si="40">(S$80*COUNTIF(A$81:A$90, ("*"&amp;$R82&amp;"*")))</f>
        <v>0</v>
      </c>
      <c r="T82" s="16">
        <f t="shared" si="39"/>
        <v>0</v>
      </c>
      <c r="U82" s="16">
        <f t="shared" si="39"/>
        <v>0</v>
      </c>
      <c r="V82" s="16">
        <f t="shared" si="39"/>
        <v>0</v>
      </c>
      <c r="W82" s="16">
        <f t="shared" si="39"/>
        <v>0</v>
      </c>
      <c r="X82" s="16">
        <f t="shared" si="39"/>
        <v>0</v>
      </c>
      <c r="Y82" s="16">
        <f t="shared" si="39"/>
        <v>10</v>
      </c>
      <c r="Z82" s="16">
        <f t="shared" si="39"/>
        <v>0</v>
      </c>
      <c r="AA82" s="16">
        <f t="shared" si="39"/>
        <v>8</v>
      </c>
      <c r="AB82" s="16">
        <f t="shared" si="39"/>
        <v>14</v>
      </c>
      <c r="AC82" s="16">
        <f t="shared" si="39"/>
        <v>0</v>
      </c>
      <c r="AD82" s="16">
        <f t="shared" si="39"/>
        <v>10</v>
      </c>
      <c r="AE82" s="16">
        <f t="shared" si="39"/>
        <v>4</v>
      </c>
      <c r="AF82" s="16">
        <f t="shared" si="39"/>
        <v>3</v>
      </c>
      <c r="AG82" s="16">
        <f t="shared" si="39"/>
        <v>2</v>
      </c>
      <c r="AH82" s="16">
        <f t="shared" si="39"/>
        <v>1</v>
      </c>
      <c r="AI82" s="16">
        <f t="shared" ref="AI82:AI97" si="41">SUM(S82:AH82)</f>
        <v>52</v>
      </c>
    </row>
    <row r="83" spans="1:35" x14ac:dyDescent="0.45">
      <c r="A83" s="25" t="s">
        <v>35</v>
      </c>
      <c r="B83" t="s">
        <v>318</v>
      </c>
      <c r="C83" t="s">
        <v>317</v>
      </c>
      <c r="D83" t="s">
        <v>322</v>
      </c>
      <c r="E83" t="s">
        <v>320</v>
      </c>
      <c r="F83" t="s">
        <v>316</v>
      </c>
      <c r="G83" t="s">
        <v>309</v>
      </c>
      <c r="H83" t="s">
        <v>308</v>
      </c>
      <c r="I83" t="s">
        <v>314</v>
      </c>
      <c r="J83" t="s">
        <v>311</v>
      </c>
      <c r="K83" t="s">
        <v>312</v>
      </c>
      <c r="L83" t="s">
        <v>307</v>
      </c>
      <c r="M83" t="s">
        <v>321</v>
      </c>
      <c r="N83" t="s">
        <v>310</v>
      </c>
      <c r="O83" t="s">
        <v>315</v>
      </c>
      <c r="P83" t="s">
        <v>313</v>
      </c>
      <c r="R83" s="188" t="s">
        <v>51</v>
      </c>
      <c r="S83" s="16">
        <f t="shared" si="40"/>
        <v>64</v>
      </c>
      <c r="T83" s="16">
        <f t="shared" si="39"/>
        <v>30</v>
      </c>
      <c r="U83" s="16">
        <f t="shared" si="39"/>
        <v>28</v>
      </c>
      <c r="V83" s="16">
        <f t="shared" si="39"/>
        <v>13</v>
      </c>
      <c r="W83" s="16">
        <f t="shared" si="39"/>
        <v>0</v>
      </c>
      <c r="X83" s="16">
        <f t="shared" si="39"/>
        <v>0</v>
      </c>
      <c r="Y83" s="16">
        <f t="shared" si="39"/>
        <v>0</v>
      </c>
      <c r="Z83" s="16">
        <f t="shared" si="39"/>
        <v>0</v>
      </c>
      <c r="AA83" s="16">
        <f t="shared" si="39"/>
        <v>0</v>
      </c>
      <c r="AB83" s="16">
        <f t="shared" si="39"/>
        <v>7</v>
      </c>
      <c r="AC83" s="16">
        <f t="shared" si="39"/>
        <v>0</v>
      </c>
      <c r="AD83" s="16">
        <f t="shared" si="39"/>
        <v>0</v>
      </c>
      <c r="AE83" s="16">
        <f t="shared" si="39"/>
        <v>0</v>
      </c>
      <c r="AF83" s="16">
        <f t="shared" si="39"/>
        <v>0</v>
      </c>
      <c r="AG83" s="16">
        <f t="shared" si="39"/>
        <v>0</v>
      </c>
      <c r="AH83" s="16">
        <f t="shared" si="39"/>
        <v>0</v>
      </c>
      <c r="AI83" s="16">
        <f t="shared" si="41"/>
        <v>142</v>
      </c>
    </row>
    <row r="84" spans="1:35" x14ac:dyDescent="0.45">
      <c r="A84" s="25" t="s">
        <v>30</v>
      </c>
      <c r="B84" t="s">
        <v>317</v>
      </c>
      <c r="C84" t="s">
        <v>319</v>
      </c>
      <c r="D84" t="s">
        <v>322</v>
      </c>
      <c r="E84" t="s">
        <v>321</v>
      </c>
      <c r="F84" t="s">
        <v>320</v>
      </c>
      <c r="G84" t="s">
        <v>309</v>
      </c>
      <c r="H84" t="s">
        <v>310</v>
      </c>
      <c r="I84" t="s">
        <v>308</v>
      </c>
      <c r="J84" t="s">
        <v>316</v>
      </c>
      <c r="K84" t="s">
        <v>307</v>
      </c>
      <c r="L84" t="s">
        <v>312</v>
      </c>
      <c r="M84" t="s">
        <v>313</v>
      </c>
      <c r="N84" t="s">
        <v>315</v>
      </c>
      <c r="O84" t="s">
        <v>311</v>
      </c>
      <c r="P84" t="s">
        <v>314</v>
      </c>
      <c r="R84" s="188" t="s">
        <v>54</v>
      </c>
      <c r="S84" s="16">
        <f t="shared" si="40"/>
        <v>64</v>
      </c>
      <c r="T84" s="16">
        <f t="shared" si="39"/>
        <v>45</v>
      </c>
      <c r="U84" s="16">
        <f t="shared" si="39"/>
        <v>42</v>
      </c>
      <c r="V84" s="16">
        <f t="shared" si="39"/>
        <v>0</v>
      </c>
      <c r="W84" s="16">
        <f t="shared" si="39"/>
        <v>0</v>
      </c>
      <c r="X84" s="16">
        <f t="shared" si="39"/>
        <v>0</v>
      </c>
      <c r="Y84" s="16">
        <f t="shared" si="39"/>
        <v>0</v>
      </c>
      <c r="Z84" s="16">
        <f t="shared" si="39"/>
        <v>0</v>
      </c>
      <c r="AA84" s="16">
        <f t="shared" si="39"/>
        <v>0</v>
      </c>
      <c r="AB84" s="16">
        <f t="shared" si="39"/>
        <v>0</v>
      </c>
      <c r="AC84" s="16">
        <f t="shared" si="39"/>
        <v>0</v>
      </c>
      <c r="AD84" s="16">
        <f t="shared" si="39"/>
        <v>0</v>
      </c>
      <c r="AE84" s="16">
        <f t="shared" si="39"/>
        <v>0</v>
      </c>
      <c r="AF84" s="16">
        <f t="shared" si="39"/>
        <v>0</v>
      </c>
      <c r="AG84" s="16">
        <f t="shared" si="39"/>
        <v>0</v>
      </c>
      <c r="AH84" s="16">
        <f t="shared" si="39"/>
        <v>0</v>
      </c>
      <c r="AI84" s="16">
        <f t="shared" si="41"/>
        <v>151</v>
      </c>
    </row>
    <row r="85" spans="1:35" x14ac:dyDescent="0.45">
      <c r="A85" s="25" t="s">
        <v>35</v>
      </c>
      <c r="B85" t="s">
        <v>322</v>
      </c>
      <c r="C85" t="s">
        <v>317</v>
      </c>
      <c r="D85" t="s">
        <v>318</v>
      </c>
      <c r="E85" t="s">
        <v>321</v>
      </c>
      <c r="F85" t="s">
        <v>320</v>
      </c>
      <c r="G85" t="s">
        <v>307</v>
      </c>
      <c r="H85" t="s">
        <v>309</v>
      </c>
      <c r="I85" t="s">
        <v>311</v>
      </c>
      <c r="J85" t="s">
        <v>308</v>
      </c>
      <c r="K85" t="s">
        <v>310</v>
      </c>
      <c r="L85" t="s">
        <v>316</v>
      </c>
      <c r="M85" t="s">
        <v>313</v>
      </c>
      <c r="N85" t="s">
        <v>314</v>
      </c>
      <c r="O85" t="s">
        <v>312</v>
      </c>
      <c r="P85" t="s">
        <v>315</v>
      </c>
      <c r="R85" s="188" t="s">
        <v>57</v>
      </c>
      <c r="S85" s="16">
        <f t="shared" si="40"/>
        <v>0</v>
      </c>
      <c r="T85" s="16">
        <f t="shared" si="39"/>
        <v>0</v>
      </c>
      <c r="U85" s="16">
        <f t="shared" si="39"/>
        <v>0</v>
      </c>
      <c r="V85" s="16">
        <f t="shared" si="39"/>
        <v>0</v>
      </c>
      <c r="W85" s="16">
        <f t="shared" si="39"/>
        <v>48</v>
      </c>
      <c r="X85" s="16">
        <f t="shared" si="39"/>
        <v>55</v>
      </c>
      <c r="Y85" s="16">
        <f t="shared" si="39"/>
        <v>10</v>
      </c>
      <c r="Z85" s="16">
        <f t="shared" si="39"/>
        <v>0</v>
      </c>
      <c r="AA85" s="16">
        <f t="shared" si="39"/>
        <v>0</v>
      </c>
      <c r="AB85" s="16">
        <f t="shared" si="39"/>
        <v>0</v>
      </c>
      <c r="AC85" s="16">
        <f t="shared" si="39"/>
        <v>0</v>
      </c>
      <c r="AD85" s="16">
        <f t="shared" si="39"/>
        <v>0</v>
      </c>
      <c r="AE85" s="16">
        <f t="shared" si="39"/>
        <v>0</v>
      </c>
      <c r="AF85" s="16">
        <f t="shared" si="39"/>
        <v>0</v>
      </c>
      <c r="AG85" s="16">
        <f t="shared" si="39"/>
        <v>0</v>
      </c>
      <c r="AH85" s="16">
        <f t="shared" si="39"/>
        <v>0</v>
      </c>
      <c r="AI85" s="16">
        <f t="shared" si="41"/>
        <v>113</v>
      </c>
    </row>
    <row r="86" spans="1:35" x14ac:dyDescent="0.45">
      <c r="A86" s="25" t="s">
        <v>35</v>
      </c>
      <c r="B86" t="s">
        <v>318</v>
      </c>
      <c r="C86" t="s">
        <v>310</v>
      </c>
      <c r="D86" t="s">
        <v>317</v>
      </c>
      <c r="E86" t="s">
        <v>321</v>
      </c>
      <c r="F86" t="s">
        <v>322</v>
      </c>
      <c r="G86" t="s">
        <v>320</v>
      </c>
      <c r="H86" t="s">
        <v>307</v>
      </c>
      <c r="I86" t="s">
        <v>308</v>
      </c>
      <c r="J86" t="s">
        <v>316</v>
      </c>
      <c r="K86" t="s">
        <v>314</v>
      </c>
      <c r="L86" t="s">
        <v>311</v>
      </c>
      <c r="M86" t="s">
        <v>309</v>
      </c>
      <c r="N86" t="s">
        <v>313</v>
      </c>
      <c r="O86" t="s">
        <v>312</v>
      </c>
      <c r="P86" t="s">
        <v>315</v>
      </c>
      <c r="R86" s="188" t="s">
        <v>60</v>
      </c>
      <c r="S86" s="16">
        <f t="shared" si="40"/>
        <v>0</v>
      </c>
      <c r="T86" s="16">
        <f t="shared" si="39"/>
        <v>0</v>
      </c>
      <c r="U86" s="16">
        <f t="shared" si="39"/>
        <v>0</v>
      </c>
      <c r="V86" s="16">
        <f t="shared" si="39"/>
        <v>0</v>
      </c>
      <c r="W86" s="16">
        <f t="shared" si="39"/>
        <v>0</v>
      </c>
      <c r="X86" s="16">
        <f t="shared" si="39"/>
        <v>11</v>
      </c>
      <c r="Y86" s="16">
        <f t="shared" si="39"/>
        <v>20</v>
      </c>
      <c r="Z86" s="16">
        <f t="shared" si="39"/>
        <v>9</v>
      </c>
      <c r="AA86" s="16">
        <f t="shared" si="39"/>
        <v>24</v>
      </c>
      <c r="AB86" s="16">
        <f t="shared" si="39"/>
        <v>0</v>
      </c>
      <c r="AC86" s="16">
        <f t="shared" si="39"/>
        <v>6</v>
      </c>
      <c r="AD86" s="16">
        <f t="shared" si="39"/>
        <v>5</v>
      </c>
      <c r="AE86" s="16">
        <f t="shared" si="39"/>
        <v>4</v>
      </c>
      <c r="AF86" s="16">
        <f t="shared" si="39"/>
        <v>0</v>
      </c>
      <c r="AG86" s="16">
        <f t="shared" si="39"/>
        <v>0</v>
      </c>
      <c r="AH86" s="16">
        <f t="shared" si="39"/>
        <v>0</v>
      </c>
      <c r="AI86" s="16">
        <f t="shared" si="41"/>
        <v>79</v>
      </c>
    </row>
    <row r="87" spans="1:35" x14ac:dyDescent="0.45">
      <c r="A87" s="25" t="s">
        <v>61</v>
      </c>
      <c r="B87" t="s">
        <v>322</v>
      </c>
      <c r="C87" t="s">
        <v>319</v>
      </c>
      <c r="D87" t="s">
        <v>310</v>
      </c>
      <c r="E87" t="s">
        <v>320</v>
      </c>
      <c r="F87" t="s">
        <v>321</v>
      </c>
      <c r="G87" t="s">
        <v>308</v>
      </c>
      <c r="H87" t="s">
        <v>312</v>
      </c>
      <c r="I87" t="s">
        <v>316</v>
      </c>
      <c r="J87" t="s">
        <v>318</v>
      </c>
      <c r="K87" t="s">
        <v>307</v>
      </c>
      <c r="L87" t="s">
        <v>309</v>
      </c>
      <c r="M87" t="s">
        <v>311</v>
      </c>
      <c r="N87" t="s">
        <v>314</v>
      </c>
      <c r="O87" t="s">
        <v>315</v>
      </c>
      <c r="P87" t="s">
        <v>313</v>
      </c>
      <c r="R87" s="188" t="s">
        <v>93</v>
      </c>
      <c r="S87" s="16">
        <f t="shared" si="40"/>
        <v>0</v>
      </c>
      <c r="T87" s="16">
        <f t="shared" si="39"/>
        <v>0</v>
      </c>
      <c r="U87" s="16">
        <f t="shared" si="39"/>
        <v>0</v>
      </c>
      <c r="V87" s="16">
        <f t="shared" si="39"/>
        <v>0</v>
      </c>
      <c r="W87" s="16">
        <f t="shared" si="39"/>
        <v>0</v>
      </c>
      <c r="X87" s="16">
        <f t="shared" si="39"/>
        <v>0</v>
      </c>
      <c r="Y87" s="16">
        <f t="shared" si="39"/>
        <v>0</v>
      </c>
      <c r="Z87" s="16">
        <f t="shared" si="39"/>
        <v>0</v>
      </c>
      <c r="AA87" s="16">
        <f t="shared" si="39"/>
        <v>0</v>
      </c>
      <c r="AB87" s="16">
        <f t="shared" si="39"/>
        <v>0</v>
      </c>
      <c r="AC87" s="16">
        <f t="shared" si="39"/>
        <v>0</v>
      </c>
      <c r="AD87" s="16">
        <f t="shared" si="39"/>
        <v>0</v>
      </c>
      <c r="AE87" s="16">
        <f t="shared" si="39"/>
        <v>0</v>
      </c>
      <c r="AF87" s="16">
        <f t="shared" si="39"/>
        <v>0</v>
      </c>
      <c r="AG87" s="16">
        <f t="shared" si="39"/>
        <v>0</v>
      </c>
      <c r="AH87" s="16">
        <f t="shared" si="39"/>
        <v>0</v>
      </c>
      <c r="AI87" s="16">
        <f t="shared" si="41"/>
        <v>0</v>
      </c>
    </row>
    <row r="88" spans="1:35" x14ac:dyDescent="0.45">
      <c r="A88" s="25" t="s">
        <v>61</v>
      </c>
      <c r="B88" t="s">
        <v>319</v>
      </c>
      <c r="C88" t="s">
        <v>318</v>
      </c>
      <c r="D88" t="s">
        <v>322</v>
      </c>
      <c r="E88" t="s">
        <v>320</v>
      </c>
      <c r="F88" t="s">
        <v>308</v>
      </c>
      <c r="G88" t="s">
        <v>310</v>
      </c>
      <c r="H88" t="s">
        <v>321</v>
      </c>
      <c r="I88" t="s">
        <v>309</v>
      </c>
      <c r="J88" t="s">
        <v>314</v>
      </c>
      <c r="K88" t="s">
        <v>316</v>
      </c>
      <c r="L88" t="s">
        <v>313</v>
      </c>
      <c r="M88" t="s">
        <v>307</v>
      </c>
      <c r="N88" t="s">
        <v>311</v>
      </c>
      <c r="O88" t="s">
        <v>312</v>
      </c>
      <c r="P88" t="s">
        <v>315</v>
      </c>
      <c r="R88" s="188" t="s">
        <v>63</v>
      </c>
      <c r="S88" s="16">
        <f t="shared" si="40"/>
        <v>0</v>
      </c>
      <c r="T88" s="16">
        <f t="shared" si="39"/>
        <v>0</v>
      </c>
      <c r="U88" s="16">
        <f t="shared" si="39"/>
        <v>0</v>
      </c>
      <c r="V88" s="16">
        <f t="shared" si="39"/>
        <v>0</v>
      </c>
      <c r="W88" s="16">
        <f t="shared" si="39"/>
        <v>0</v>
      </c>
      <c r="X88" s="16">
        <f t="shared" si="39"/>
        <v>0</v>
      </c>
      <c r="Y88" s="16">
        <f t="shared" si="39"/>
        <v>20</v>
      </c>
      <c r="Z88" s="16">
        <f t="shared" si="39"/>
        <v>27</v>
      </c>
      <c r="AA88" s="16">
        <f t="shared" si="39"/>
        <v>0</v>
      </c>
      <c r="AB88" s="16">
        <f t="shared" si="39"/>
        <v>7</v>
      </c>
      <c r="AC88" s="16">
        <f t="shared" si="39"/>
        <v>12</v>
      </c>
      <c r="AD88" s="16">
        <f t="shared" si="39"/>
        <v>5</v>
      </c>
      <c r="AE88" s="16">
        <f t="shared" si="39"/>
        <v>4</v>
      </c>
      <c r="AF88" s="16">
        <f t="shared" si="39"/>
        <v>0</v>
      </c>
      <c r="AG88" s="16">
        <f t="shared" si="39"/>
        <v>0</v>
      </c>
      <c r="AH88" s="16">
        <f t="shared" si="39"/>
        <v>0</v>
      </c>
      <c r="AI88" s="16">
        <f t="shared" si="41"/>
        <v>75</v>
      </c>
    </row>
    <row r="89" spans="1:35" x14ac:dyDescent="0.45">
      <c r="A89" s="25" t="s">
        <v>30</v>
      </c>
      <c r="B89" t="s">
        <v>319</v>
      </c>
      <c r="C89" t="s">
        <v>317</v>
      </c>
      <c r="D89" t="s">
        <v>322</v>
      </c>
      <c r="E89" t="s">
        <v>321</v>
      </c>
      <c r="F89" t="s">
        <v>320</v>
      </c>
      <c r="G89" t="s">
        <v>308</v>
      </c>
      <c r="H89" t="s">
        <v>307</v>
      </c>
      <c r="I89" t="s">
        <v>309</v>
      </c>
      <c r="J89" t="s">
        <v>316</v>
      </c>
      <c r="K89" t="s">
        <v>310</v>
      </c>
      <c r="L89" t="s">
        <v>311</v>
      </c>
      <c r="M89" t="s">
        <v>312</v>
      </c>
      <c r="N89" t="s">
        <v>313</v>
      </c>
      <c r="O89" t="s">
        <v>314</v>
      </c>
      <c r="P89" t="s">
        <v>315</v>
      </c>
      <c r="R89" s="188" t="s">
        <v>66</v>
      </c>
      <c r="S89" s="16">
        <f t="shared" si="40"/>
        <v>0</v>
      </c>
      <c r="T89" s="16">
        <f t="shared" si="39"/>
        <v>0</v>
      </c>
      <c r="U89" s="16">
        <f t="shared" si="39"/>
        <v>0</v>
      </c>
      <c r="V89" s="16">
        <f t="shared" si="39"/>
        <v>0</v>
      </c>
      <c r="W89" s="16">
        <f t="shared" si="39"/>
        <v>0</v>
      </c>
      <c r="X89" s="16">
        <f t="shared" si="39"/>
        <v>0</v>
      </c>
      <c r="Y89" s="16">
        <f t="shared" si="39"/>
        <v>0</v>
      </c>
      <c r="Z89" s="16">
        <f t="shared" si="39"/>
        <v>0</v>
      </c>
      <c r="AA89" s="16">
        <f t="shared" si="39"/>
        <v>0</v>
      </c>
      <c r="AB89" s="16">
        <f t="shared" si="39"/>
        <v>0</v>
      </c>
      <c r="AC89" s="16">
        <f t="shared" si="39"/>
        <v>0</v>
      </c>
      <c r="AD89" s="16">
        <f t="shared" si="39"/>
        <v>0</v>
      </c>
      <c r="AE89" s="16">
        <f t="shared" si="39"/>
        <v>0</v>
      </c>
      <c r="AF89" s="16">
        <f t="shared" si="39"/>
        <v>0</v>
      </c>
      <c r="AG89" s="16">
        <f t="shared" si="39"/>
        <v>0</v>
      </c>
      <c r="AH89" s="16">
        <f t="shared" si="39"/>
        <v>0</v>
      </c>
      <c r="AI89" s="16">
        <f t="shared" si="41"/>
        <v>0</v>
      </c>
    </row>
    <row r="90" spans="1:35" x14ac:dyDescent="0.45">
      <c r="A90" s="25" t="s">
        <v>35</v>
      </c>
      <c r="B90" t="s">
        <v>317</v>
      </c>
      <c r="C90" t="s">
        <v>318</v>
      </c>
      <c r="D90" t="s">
        <v>322</v>
      </c>
      <c r="E90" t="s">
        <v>320</v>
      </c>
      <c r="F90" t="s">
        <v>309</v>
      </c>
      <c r="G90" t="s">
        <v>312</v>
      </c>
      <c r="H90" t="s">
        <v>307</v>
      </c>
      <c r="I90" t="s">
        <v>321</v>
      </c>
      <c r="J90" t="s">
        <v>310</v>
      </c>
      <c r="K90" t="s">
        <v>308</v>
      </c>
      <c r="L90" t="s">
        <v>316</v>
      </c>
      <c r="M90" t="s">
        <v>315</v>
      </c>
      <c r="N90" t="s">
        <v>314</v>
      </c>
      <c r="O90" t="s">
        <v>313</v>
      </c>
      <c r="P90" t="s">
        <v>311</v>
      </c>
      <c r="R90" s="188" t="s">
        <v>68</v>
      </c>
      <c r="S90" s="16">
        <f t="shared" si="40"/>
        <v>0</v>
      </c>
      <c r="T90" s="16">
        <f t="shared" si="39"/>
        <v>0</v>
      </c>
      <c r="U90" s="16">
        <f t="shared" si="39"/>
        <v>0</v>
      </c>
      <c r="V90" s="16">
        <f t="shared" si="39"/>
        <v>0</v>
      </c>
      <c r="W90" s="16">
        <f t="shared" si="39"/>
        <v>0</v>
      </c>
      <c r="X90" s="16">
        <f t="shared" si="39"/>
        <v>0</v>
      </c>
      <c r="Y90" s="16">
        <f t="shared" si="39"/>
        <v>0</v>
      </c>
      <c r="Z90" s="16">
        <f t="shared" si="39"/>
        <v>0</v>
      </c>
      <c r="AA90" s="16">
        <f t="shared" si="39"/>
        <v>0</v>
      </c>
      <c r="AB90" s="16">
        <f t="shared" si="39"/>
        <v>0</v>
      </c>
      <c r="AC90" s="16">
        <f t="shared" si="39"/>
        <v>0</v>
      </c>
      <c r="AD90" s="16">
        <f t="shared" si="39"/>
        <v>0</v>
      </c>
      <c r="AE90" s="16">
        <f t="shared" si="39"/>
        <v>0</v>
      </c>
      <c r="AF90" s="16">
        <f t="shared" si="39"/>
        <v>0</v>
      </c>
      <c r="AG90" s="16">
        <f t="shared" si="39"/>
        <v>0</v>
      </c>
      <c r="AH90" s="16">
        <f t="shared" si="39"/>
        <v>0</v>
      </c>
      <c r="AI90" s="16">
        <f t="shared" si="41"/>
        <v>0</v>
      </c>
    </row>
    <row r="91" spans="1:35" x14ac:dyDescent="0.45">
      <c r="A91" s="25" t="s">
        <v>30</v>
      </c>
      <c r="B91" t="s">
        <v>319</v>
      </c>
      <c r="C91" t="s">
        <v>317</v>
      </c>
      <c r="D91" t="s">
        <v>322</v>
      </c>
      <c r="E91" t="s">
        <v>308</v>
      </c>
      <c r="F91" t="s">
        <v>310</v>
      </c>
      <c r="G91" t="s">
        <v>321</v>
      </c>
      <c r="H91" t="s">
        <v>320</v>
      </c>
      <c r="I91" t="s">
        <v>316</v>
      </c>
      <c r="J91" t="s">
        <v>311</v>
      </c>
      <c r="K91" t="s">
        <v>309</v>
      </c>
      <c r="L91" t="s">
        <v>307</v>
      </c>
      <c r="M91" t="s">
        <v>312</v>
      </c>
      <c r="N91" t="s">
        <v>314</v>
      </c>
      <c r="O91" t="s">
        <v>313</v>
      </c>
      <c r="P91" t="s">
        <v>315</v>
      </c>
      <c r="R91" s="188" t="s">
        <v>69</v>
      </c>
      <c r="S91" s="16">
        <f t="shared" si="40"/>
        <v>0</v>
      </c>
      <c r="T91" s="16">
        <f t="shared" si="39"/>
        <v>0</v>
      </c>
      <c r="U91" s="16">
        <f t="shared" si="39"/>
        <v>14</v>
      </c>
      <c r="V91" s="16">
        <f t="shared" si="39"/>
        <v>13</v>
      </c>
      <c r="W91" s="16">
        <f t="shared" si="39"/>
        <v>0</v>
      </c>
      <c r="X91" s="16">
        <f t="shared" si="39"/>
        <v>0</v>
      </c>
      <c r="Y91" s="16">
        <f t="shared" si="39"/>
        <v>10</v>
      </c>
      <c r="Z91" s="16">
        <f t="shared" si="39"/>
        <v>18</v>
      </c>
      <c r="AA91" s="16">
        <f t="shared" si="39"/>
        <v>0</v>
      </c>
      <c r="AB91" s="16">
        <f t="shared" si="39"/>
        <v>7</v>
      </c>
      <c r="AC91" s="16">
        <f t="shared" si="39"/>
        <v>12</v>
      </c>
      <c r="AD91" s="16">
        <f t="shared" si="39"/>
        <v>5</v>
      </c>
      <c r="AE91" s="16">
        <f t="shared" si="39"/>
        <v>0</v>
      </c>
      <c r="AF91" s="16">
        <f t="shared" si="39"/>
        <v>3</v>
      </c>
      <c r="AG91" s="16">
        <f t="shared" si="39"/>
        <v>0</v>
      </c>
      <c r="AH91" s="16">
        <f t="shared" si="39"/>
        <v>0</v>
      </c>
      <c r="AI91" s="16">
        <f t="shared" si="41"/>
        <v>82</v>
      </c>
    </row>
    <row r="92" spans="1:35" x14ac:dyDescent="0.45">
      <c r="A92" s="25" t="s">
        <v>61</v>
      </c>
      <c r="B92" t="s">
        <v>318</v>
      </c>
      <c r="C92" t="s">
        <v>322</v>
      </c>
      <c r="D92" t="s">
        <v>321</v>
      </c>
      <c r="E92" t="s">
        <v>310</v>
      </c>
      <c r="F92" t="s">
        <v>319</v>
      </c>
      <c r="G92" t="s">
        <v>316</v>
      </c>
      <c r="H92" t="s">
        <v>308</v>
      </c>
      <c r="I92" t="s">
        <v>309</v>
      </c>
      <c r="J92" t="s">
        <v>312</v>
      </c>
      <c r="K92" t="s">
        <v>314</v>
      </c>
      <c r="L92" t="s">
        <v>311</v>
      </c>
      <c r="M92" t="s">
        <v>315</v>
      </c>
      <c r="N92" t="s">
        <v>320</v>
      </c>
      <c r="O92" t="s">
        <v>313</v>
      </c>
      <c r="P92" t="s">
        <v>307</v>
      </c>
      <c r="R92" s="188" t="s">
        <v>200</v>
      </c>
      <c r="S92" s="16">
        <f t="shared" si="40"/>
        <v>0</v>
      </c>
      <c r="T92" s="16">
        <f t="shared" si="39"/>
        <v>0</v>
      </c>
      <c r="U92" s="16">
        <f t="shared" si="39"/>
        <v>0</v>
      </c>
      <c r="V92" s="16">
        <f t="shared" si="39"/>
        <v>0</v>
      </c>
      <c r="W92" s="16">
        <f t="shared" si="39"/>
        <v>0</v>
      </c>
      <c r="X92" s="16">
        <f t="shared" si="39"/>
        <v>0</v>
      </c>
      <c r="Y92" s="16">
        <f t="shared" si="39"/>
        <v>0</v>
      </c>
      <c r="Z92" s="16">
        <f t="shared" si="39"/>
        <v>0</v>
      </c>
      <c r="AA92" s="16">
        <f t="shared" si="39"/>
        <v>0</v>
      </c>
      <c r="AB92" s="16">
        <f t="shared" si="39"/>
        <v>0</v>
      </c>
      <c r="AC92" s="16">
        <f t="shared" si="39"/>
        <v>0</v>
      </c>
      <c r="AD92" s="16">
        <f t="shared" si="39"/>
        <v>0</v>
      </c>
      <c r="AE92" s="16">
        <f t="shared" si="39"/>
        <v>0</v>
      </c>
      <c r="AF92" s="16">
        <f t="shared" si="39"/>
        <v>0</v>
      </c>
      <c r="AG92" s="16">
        <f t="shared" si="39"/>
        <v>0</v>
      </c>
      <c r="AH92" s="16">
        <f t="shared" si="39"/>
        <v>0</v>
      </c>
      <c r="AI92" s="16">
        <f t="shared" si="41"/>
        <v>0</v>
      </c>
    </row>
    <row r="93" spans="1:35" x14ac:dyDescent="0.45">
      <c r="A93" s="25" t="s">
        <v>30</v>
      </c>
      <c r="B93" t="s">
        <v>317</v>
      </c>
      <c r="C93" t="s">
        <v>319</v>
      </c>
      <c r="D93" t="s">
        <v>322</v>
      </c>
      <c r="E93" t="s">
        <v>321</v>
      </c>
      <c r="F93" t="s">
        <v>320</v>
      </c>
      <c r="G93" t="s">
        <v>309</v>
      </c>
      <c r="H93" t="s">
        <v>308</v>
      </c>
      <c r="I93" t="s">
        <v>316</v>
      </c>
      <c r="J93" t="s">
        <v>311</v>
      </c>
      <c r="K93" t="s">
        <v>312</v>
      </c>
      <c r="L93" t="s">
        <v>307</v>
      </c>
      <c r="M93" t="s">
        <v>310</v>
      </c>
      <c r="N93" t="s">
        <v>315</v>
      </c>
      <c r="O93" t="s">
        <v>313</v>
      </c>
      <c r="P93" t="s">
        <v>314</v>
      </c>
      <c r="R93" s="188" t="s">
        <v>128</v>
      </c>
      <c r="S93" s="16">
        <f t="shared" si="40"/>
        <v>0</v>
      </c>
      <c r="T93" s="16">
        <f t="shared" si="39"/>
        <v>0</v>
      </c>
      <c r="U93" s="16">
        <f t="shared" si="39"/>
        <v>0</v>
      </c>
      <c r="V93" s="16">
        <f t="shared" si="39"/>
        <v>0</v>
      </c>
      <c r="W93" s="16">
        <f t="shared" si="39"/>
        <v>0</v>
      </c>
      <c r="X93" s="16">
        <f t="shared" si="39"/>
        <v>11</v>
      </c>
      <c r="Y93" s="16">
        <f t="shared" si="39"/>
        <v>20</v>
      </c>
      <c r="Z93" s="16">
        <f t="shared" si="39"/>
        <v>9</v>
      </c>
      <c r="AA93" s="16">
        <f t="shared" si="39"/>
        <v>16</v>
      </c>
      <c r="AB93" s="16">
        <f t="shared" si="39"/>
        <v>7</v>
      </c>
      <c r="AC93" s="16">
        <f t="shared" si="39"/>
        <v>12</v>
      </c>
      <c r="AD93" s="16">
        <f t="shared" si="39"/>
        <v>5</v>
      </c>
      <c r="AE93" s="16">
        <f t="shared" si="39"/>
        <v>0</v>
      </c>
      <c r="AF93" s="16">
        <f t="shared" si="39"/>
        <v>0</v>
      </c>
      <c r="AG93" s="16">
        <f t="shared" si="39"/>
        <v>0</v>
      </c>
      <c r="AH93" s="16">
        <f t="shared" si="39"/>
        <v>0</v>
      </c>
      <c r="AI93" s="16">
        <f t="shared" si="41"/>
        <v>80</v>
      </c>
    </row>
    <row r="94" spans="1:35" x14ac:dyDescent="0.45">
      <c r="A94" s="25" t="s">
        <v>202</v>
      </c>
      <c r="B94" t="s">
        <v>314</v>
      </c>
      <c r="C94" t="s">
        <v>311</v>
      </c>
      <c r="D94" t="s">
        <v>318</v>
      </c>
      <c r="E94" t="s">
        <v>319</v>
      </c>
      <c r="F94" t="s">
        <v>320</v>
      </c>
      <c r="G94" t="s">
        <v>309</v>
      </c>
      <c r="H94" t="s">
        <v>312</v>
      </c>
      <c r="I94" t="s">
        <v>307</v>
      </c>
      <c r="J94" t="s">
        <v>321</v>
      </c>
      <c r="K94" t="s">
        <v>322</v>
      </c>
      <c r="L94" t="s">
        <v>310</v>
      </c>
      <c r="M94" t="s">
        <v>308</v>
      </c>
      <c r="N94" t="s">
        <v>316</v>
      </c>
      <c r="O94" t="s">
        <v>317</v>
      </c>
      <c r="P94" t="s">
        <v>313</v>
      </c>
      <c r="R94" s="188" t="s">
        <v>127</v>
      </c>
      <c r="S94" s="16">
        <f t="shared" si="40"/>
        <v>0</v>
      </c>
      <c r="T94" s="16">
        <f t="shared" si="39"/>
        <v>0</v>
      </c>
      <c r="U94" s="16">
        <f t="shared" si="39"/>
        <v>0</v>
      </c>
      <c r="V94" s="16">
        <f t="shared" si="39"/>
        <v>0</v>
      </c>
      <c r="W94" s="16">
        <f t="shared" si="39"/>
        <v>0</v>
      </c>
      <c r="X94" s="16">
        <f t="shared" si="39"/>
        <v>11</v>
      </c>
      <c r="Y94" s="16">
        <f t="shared" si="39"/>
        <v>0</v>
      </c>
      <c r="Z94" s="16">
        <f t="shared" si="39"/>
        <v>9</v>
      </c>
      <c r="AA94" s="16">
        <f t="shared" si="39"/>
        <v>16</v>
      </c>
      <c r="AB94" s="16">
        <f t="shared" si="39"/>
        <v>21</v>
      </c>
      <c r="AC94" s="16">
        <f t="shared" si="39"/>
        <v>6</v>
      </c>
      <c r="AD94" s="16">
        <f t="shared" si="39"/>
        <v>10</v>
      </c>
      <c r="AE94" s="16">
        <f t="shared" si="39"/>
        <v>0</v>
      </c>
      <c r="AF94" s="16">
        <f t="shared" si="39"/>
        <v>0</v>
      </c>
      <c r="AG94" s="16">
        <f t="shared" si="39"/>
        <v>0</v>
      </c>
      <c r="AH94" s="16">
        <f t="shared" si="39"/>
        <v>0</v>
      </c>
      <c r="AI94" s="16">
        <f t="shared" si="41"/>
        <v>73</v>
      </c>
    </row>
    <row r="95" spans="1:35" x14ac:dyDescent="0.45">
      <c r="A95" s="25" t="s">
        <v>61</v>
      </c>
      <c r="B95" t="s">
        <v>318</v>
      </c>
      <c r="C95" t="s">
        <v>322</v>
      </c>
      <c r="D95" t="s">
        <v>321</v>
      </c>
      <c r="E95" t="s">
        <v>319</v>
      </c>
      <c r="F95" t="s">
        <v>320</v>
      </c>
      <c r="G95" t="s">
        <v>316</v>
      </c>
      <c r="H95" t="s">
        <v>311</v>
      </c>
      <c r="I95" t="s">
        <v>309</v>
      </c>
      <c r="J95" t="s">
        <v>310</v>
      </c>
      <c r="K95" t="s">
        <v>308</v>
      </c>
      <c r="L95" t="s">
        <v>313</v>
      </c>
      <c r="M95" t="s">
        <v>312</v>
      </c>
      <c r="N95" t="s">
        <v>314</v>
      </c>
      <c r="O95" t="s">
        <v>315</v>
      </c>
      <c r="P95" t="s">
        <v>307</v>
      </c>
      <c r="R95" s="188" t="s">
        <v>73</v>
      </c>
      <c r="S95" s="16">
        <f t="shared" si="40"/>
        <v>32</v>
      </c>
      <c r="T95" s="16">
        <f t="shared" si="39"/>
        <v>45</v>
      </c>
      <c r="U95" s="16">
        <f t="shared" si="39"/>
        <v>56</v>
      </c>
      <c r="V95" s="16">
        <f t="shared" si="39"/>
        <v>13</v>
      </c>
      <c r="W95" s="16">
        <f t="shared" si="39"/>
        <v>0</v>
      </c>
      <c r="X95" s="16">
        <f t="shared" si="39"/>
        <v>0</v>
      </c>
      <c r="Y95" s="16">
        <f t="shared" si="39"/>
        <v>0</v>
      </c>
      <c r="Z95" s="16">
        <f t="shared" si="39"/>
        <v>0</v>
      </c>
      <c r="AA95" s="16">
        <f t="shared" si="39"/>
        <v>0</v>
      </c>
      <c r="AB95" s="16">
        <f t="shared" si="39"/>
        <v>0</v>
      </c>
      <c r="AC95" s="16">
        <f t="shared" si="39"/>
        <v>0</v>
      </c>
      <c r="AD95" s="16">
        <f t="shared" si="39"/>
        <v>0</v>
      </c>
      <c r="AE95" s="16">
        <f t="shared" si="39"/>
        <v>0</v>
      </c>
      <c r="AF95" s="16">
        <f t="shared" si="39"/>
        <v>0</v>
      </c>
      <c r="AG95" s="16">
        <f t="shared" si="39"/>
        <v>0</v>
      </c>
      <c r="AH95" s="16">
        <f t="shared" si="39"/>
        <v>0</v>
      </c>
      <c r="AI95" s="16">
        <f t="shared" si="41"/>
        <v>146</v>
      </c>
    </row>
    <row r="96" spans="1:35" x14ac:dyDescent="0.45">
      <c r="R96" s="188" t="s">
        <v>324</v>
      </c>
      <c r="S96" s="16">
        <f t="shared" si="40"/>
        <v>0</v>
      </c>
      <c r="T96" s="16">
        <f t="shared" si="39"/>
        <v>0</v>
      </c>
      <c r="U96" s="16">
        <f t="shared" si="39"/>
        <v>0</v>
      </c>
      <c r="V96" s="16">
        <f t="shared" si="39"/>
        <v>0</v>
      </c>
      <c r="W96" s="16">
        <f t="shared" si="39"/>
        <v>0</v>
      </c>
      <c r="X96" s="16">
        <f t="shared" si="39"/>
        <v>0</v>
      </c>
      <c r="Y96" s="16">
        <f t="shared" si="39"/>
        <v>0</v>
      </c>
      <c r="Z96" s="16">
        <f t="shared" si="39"/>
        <v>0</v>
      </c>
      <c r="AA96" s="16">
        <f t="shared" si="39"/>
        <v>0</v>
      </c>
      <c r="AB96" s="16">
        <f t="shared" si="39"/>
        <v>0</v>
      </c>
      <c r="AC96" s="16">
        <f t="shared" si="39"/>
        <v>0</v>
      </c>
      <c r="AD96" s="16">
        <f t="shared" si="39"/>
        <v>0</v>
      </c>
      <c r="AE96" s="16">
        <f t="shared" si="39"/>
        <v>4</v>
      </c>
      <c r="AF96" s="16">
        <f t="shared" si="39"/>
        <v>3</v>
      </c>
      <c r="AG96" s="16">
        <f t="shared" si="39"/>
        <v>6</v>
      </c>
      <c r="AH96" s="16">
        <f t="shared" si="39"/>
        <v>5</v>
      </c>
      <c r="AI96" s="16">
        <f t="shared" si="41"/>
        <v>18</v>
      </c>
    </row>
    <row r="97" spans="1:35" x14ac:dyDescent="0.45">
      <c r="R97" s="188" t="s">
        <v>75</v>
      </c>
      <c r="S97" s="16">
        <f t="shared" si="40"/>
        <v>0</v>
      </c>
      <c r="T97" s="16">
        <f t="shared" ref="T97" si="42">(T$80*COUNTIF(B$81:B$90, ("*"&amp;$R97&amp;"*")))</f>
        <v>0</v>
      </c>
      <c r="U97" s="16">
        <f t="shared" ref="U97" si="43">(U$80*COUNTIF(C$81:C$90, ("*"&amp;$R97&amp;"*")))</f>
        <v>0</v>
      </c>
      <c r="V97" s="16">
        <f t="shared" ref="V97" si="44">(V$80*COUNTIF(D$81:D$90, ("*"&amp;$R97&amp;"*")))</f>
        <v>0</v>
      </c>
      <c r="W97" s="16">
        <f t="shared" ref="W97" si="45">(W$80*COUNTIF(E$81:E$90, ("*"&amp;$R97&amp;"*")))</f>
        <v>0</v>
      </c>
      <c r="X97" s="16">
        <f t="shared" ref="X97" si="46">(X$80*COUNTIF(F$81:F$90, ("*"&amp;$R97&amp;"*")))</f>
        <v>0</v>
      </c>
      <c r="Y97" s="16">
        <f t="shared" ref="Y97" si="47">(Y$80*COUNTIF(G$81:G$90, ("*"&amp;$R97&amp;"*")))</f>
        <v>0</v>
      </c>
      <c r="Z97" s="16">
        <f t="shared" ref="Z97" si="48">(Z$80*COUNTIF(H$81:H$90, ("*"&amp;$R97&amp;"*")))</f>
        <v>0</v>
      </c>
      <c r="AA97" s="16">
        <f t="shared" ref="AA97" si="49">(AA$80*COUNTIF(I$81:I$90, ("*"&amp;$R97&amp;"*")))</f>
        <v>0</v>
      </c>
      <c r="AB97" s="16">
        <f t="shared" ref="AB97" si="50">(AB$80*COUNTIF(J$81:J$90, ("*"&amp;$R97&amp;"*")))</f>
        <v>0</v>
      </c>
      <c r="AC97" s="16">
        <f t="shared" ref="AC97" si="51">(AC$80*COUNTIF(K$81:K$90, ("*"&amp;$R97&amp;"*")))</f>
        <v>0</v>
      </c>
      <c r="AD97" s="16">
        <f t="shared" ref="AD97" si="52">(AD$80*COUNTIF(L$81:L$90, ("*"&amp;$R97&amp;"*")))</f>
        <v>5</v>
      </c>
      <c r="AE97" s="16">
        <f t="shared" ref="AE97" si="53">(AE$80*COUNTIF(M$81:M$90, ("*"&amp;$R97&amp;"*")))</f>
        <v>8</v>
      </c>
      <c r="AF97" s="16">
        <f t="shared" ref="AF97" si="54">(AF$80*COUNTIF(N$81:N$90, ("*"&amp;$R97&amp;"*")))</f>
        <v>9</v>
      </c>
      <c r="AG97" s="16">
        <f t="shared" ref="AG97" si="55">(AG$80*COUNTIF(O$81:O$90, ("*"&amp;$R97&amp;"*")))</f>
        <v>2</v>
      </c>
      <c r="AH97" s="16">
        <f t="shared" ref="AH97" si="56">(AH$80*COUNTIF(P$81:P$90, ("*"&amp;$R97&amp;"*")))</f>
        <v>3</v>
      </c>
      <c r="AI97" s="16">
        <f t="shared" si="41"/>
        <v>27</v>
      </c>
    </row>
    <row r="100" spans="1:35" x14ac:dyDescent="0.45">
      <c r="A100" s="25" t="s">
        <v>301</v>
      </c>
      <c r="R100" s="16"/>
      <c r="S100" s="16">
        <v>1</v>
      </c>
      <c r="T100" s="16">
        <v>1</v>
      </c>
      <c r="U100" s="16">
        <v>1</v>
      </c>
      <c r="V100" s="189" t="s">
        <v>323</v>
      </c>
    </row>
    <row r="101" spans="1:35" x14ac:dyDescent="0.45">
      <c r="A101" s="25" t="s">
        <v>202</v>
      </c>
      <c r="B101" t="s">
        <v>312</v>
      </c>
      <c r="C101" t="s">
        <v>314</v>
      </c>
      <c r="R101" s="188" t="s">
        <v>45</v>
      </c>
      <c r="S101" s="16">
        <f>(S$100*COUNTIF(A$101:A$110, ("*"&amp;$R101&amp;"*")))</f>
        <v>0</v>
      </c>
      <c r="T101" s="16">
        <f t="shared" ref="T101:U116" si="57">(T$100*COUNTIF(B$101:B$110, ("*"&amp;$R101&amp;"*")))</f>
        <v>0</v>
      </c>
      <c r="U101" s="16">
        <f t="shared" si="57"/>
        <v>2</v>
      </c>
      <c r="V101" s="16">
        <f t="shared" ref="V101:V117" si="58">SUM(S101:U101)</f>
        <v>2</v>
      </c>
    </row>
    <row r="102" spans="1:35" x14ac:dyDescent="0.45">
      <c r="A102" s="25" t="s">
        <v>30</v>
      </c>
      <c r="B102" t="s">
        <v>320</v>
      </c>
      <c r="C102" t="s">
        <v>315</v>
      </c>
      <c r="R102" s="188" t="s">
        <v>49</v>
      </c>
      <c r="S102" s="16">
        <f t="shared" ref="S102:S117" si="59">(S$100*COUNTIF(A$101:A$110, ("*"&amp;$R102&amp;"*")))</f>
        <v>0</v>
      </c>
      <c r="T102" s="16">
        <f t="shared" si="57"/>
        <v>0</v>
      </c>
      <c r="U102" s="16">
        <f t="shared" si="57"/>
        <v>1</v>
      </c>
      <c r="V102" s="16">
        <f t="shared" si="58"/>
        <v>1</v>
      </c>
    </row>
    <row r="103" spans="1:35" x14ac:dyDescent="0.45">
      <c r="A103" s="25" t="s">
        <v>202</v>
      </c>
      <c r="B103" t="s">
        <v>322</v>
      </c>
      <c r="C103" t="s">
        <v>312</v>
      </c>
      <c r="R103" s="188" t="s">
        <v>51</v>
      </c>
      <c r="S103" s="16">
        <f t="shared" si="59"/>
        <v>2</v>
      </c>
      <c r="T103" s="16">
        <f t="shared" si="57"/>
        <v>0</v>
      </c>
      <c r="U103" s="16">
        <f t="shared" si="57"/>
        <v>0</v>
      </c>
      <c r="V103" s="16">
        <f t="shared" si="58"/>
        <v>2</v>
      </c>
    </row>
    <row r="104" spans="1:35" x14ac:dyDescent="0.45">
      <c r="A104" s="25" t="s">
        <v>50</v>
      </c>
      <c r="B104" t="s">
        <v>309</v>
      </c>
      <c r="C104" t="s">
        <v>315</v>
      </c>
      <c r="R104" s="188" t="s">
        <v>54</v>
      </c>
      <c r="S104" s="16">
        <f t="shared" si="59"/>
        <v>0</v>
      </c>
      <c r="T104" s="16">
        <f t="shared" si="57"/>
        <v>0</v>
      </c>
      <c r="U104" s="16">
        <f t="shared" si="57"/>
        <v>0</v>
      </c>
      <c r="V104" s="16">
        <f t="shared" si="58"/>
        <v>0</v>
      </c>
    </row>
    <row r="105" spans="1:35" x14ac:dyDescent="0.45">
      <c r="A105" s="25" t="s">
        <v>202</v>
      </c>
      <c r="B105" t="s">
        <v>312</v>
      </c>
      <c r="C105" t="s">
        <v>311</v>
      </c>
      <c r="R105" s="188" t="s">
        <v>57</v>
      </c>
      <c r="S105" s="16">
        <f t="shared" si="59"/>
        <v>0</v>
      </c>
      <c r="T105" s="16">
        <f t="shared" si="57"/>
        <v>2</v>
      </c>
      <c r="U105" s="16">
        <f t="shared" si="57"/>
        <v>0</v>
      </c>
      <c r="V105" s="16">
        <f t="shared" si="58"/>
        <v>2</v>
      </c>
    </row>
    <row r="106" spans="1:35" x14ac:dyDescent="0.45">
      <c r="A106" s="25" t="s">
        <v>44</v>
      </c>
      <c r="B106" t="s">
        <v>315</v>
      </c>
      <c r="C106" t="s">
        <v>313</v>
      </c>
      <c r="R106" s="188" t="s">
        <v>60</v>
      </c>
      <c r="S106" s="16">
        <f t="shared" si="59"/>
        <v>0</v>
      </c>
      <c r="T106" s="16">
        <f t="shared" si="57"/>
        <v>1</v>
      </c>
      <c r="U106" s="16">
        <f t="shared" si="57"/>
        <v>0</v>
      </c>
      <c r="V106" s="16">
        <f t="shared" si="58"/>
        <v>1</v>
      </c>
    </row>
    <row r="107" spans="1:35" x14ac:dyDescent="0.45">
      <c r="A107" s="25" t="s">
        <v>202</v>
      </c>
      <c r="B107" t="s">
        <v>312</v>
      </c>
      <c r="C107" t="s">
        <v>314</v>
      </c>
      <c r="R107" s="188" t="s">
        <v>93</v>
      </c>
      <c r="S107" s="16">
        <f t="shared" si="59"/>
        <v>0</v>
      </c>
      <c r="T107" s="16">
        <f t="shared" si="57"/>
        <v>0</v>
      </c>
      <c r="U107" s="16">
        <f t="shared" si="57"/>
        <v>0</v>
      </c>
      <c r="V107" s="16">
        <f t="shared" si="58"/>
        <v>0</v>
      </c>
    </row>
    <row r="108" spans="1:35" x14ac:dyDescent="0.45">
      <c r="A108" s="25" t="s">
        <v>30</v>
      </c>
      <c r="B108" t="s">
        <v>320</v>
      </c>
      <c r="C108" t="s">
        <v>321</v>
      </c>
      <c r="R108" s="188" t="s">
        <v>63</v>
      </c>
      <c r="S108" s="16">
        <f t="shared" si="59"/>
        <v>2</v>
      </c>
      <c r="T108" s="16">
        <f t="shared" si="57"/>
        <v>0</v>
      </c>
      <c r="U108" s="16">
        <f t="shared" si="57"/>
        <v>0</v>
      </c>
      <c r="V108" s="16">
        <f t="shared" si="58"/>
        <v>2</v>
      </c>
    </row>
    <row r="109" spans="1:35" x14ac:dyDescent="0.45">
      <c r="A109" s="25" t="s">
        <v>202</v>
      </c>
      <c r="B109" t="s">
        <v>308</v>
      </c>
      <c r="C109" t="s">
        <v>312</v>
      </c>
      <c r="R109" s="188" t="s">
        <v>66</v>
      </c>
      <c r="S109" s="16">
        <f t="shared" si="59"/>
        <v>0</v>
      </c>
      <c r="T109" s="16">
        <f t="shared" si="57"/>
        <v>0</v>
      </c>
      <c r="U109" s="16">
        <f t="shared" si="57"/>
        <v>0</v>
      </c>
      <c r="V109" s="16">
        <f t="shared" si="58"/>
        <v>0</v>
      </c>
    </row>
    <row r="110" spans="1:35" x14ac:dyDescent="0.45">
      <c r="A110" s="25" t="s">
        <v>44</v>
      </c>
      <c r="B110" t="s">
        <v>315</v>
      </c>
      <c r="C110" t="s">
        <v>308</v>
      </c>
      <c r="R110" s="188" t="s">
        <v>68</v>
      </c>
      <c r="S110" s="16">
        <f t="shared" si="59"/>
        <v>0</v>
      </c>
      <c r="T110" s="16">
        <f t="shared" si="57"/>
        <v>0</v>
      </c>
      <c r="U110" s="16">
        <f t="shared" si="57"/>
        <v>0</v>
      </c>
      <c r="V110" s="16">
        <f t="shared" si="58"/>
        <v>0</v>
      </c>
    </row>
    <row r="111" spans="1:35" x14ac:dyDescent="0.45">
      <c r="A111" s="25" t="s">
        <v>30</v>
      </c>
      <c r="B111" t="s">
        <v>322</v>
      </c>
      <c r="C111" t="s">
        <v>319</v>
      </c>
      <c r="R111" s="188" t="s">
        <v>69</v>
      </c>
      <c r="S111" s="16">
        <f t="shared" si="59"/>
        <v>0</v>
      </c>
      <c r="T111" s="16">
        <f t="shared" si="57"/>
        <v>0</v>
      </c>
      <c r="U111" s="16">
        <f t="shared" si="57"/>
        <v>0</v>
      </c>
      <c r="V111" s="16">
        <f t="shared" si="58"/>
        <v>0</v>
      </c>
    </row>
    <row r="112" spans="1:35" x14ac:dyDescent="0.45">
      <c r="A112" s="25" t="s">
        <v>30</v>
      </c>
      <c r="B112" t="s">
        <v>317</v>
      </c>
      <c r="C112" t="s">
        <v>322</v>
      </c>
      <c r="R112" s="188" t="s">
        <v>200</v>
      </c>
      <c r="S112" s="16">
        <f t="shared" si="59"/>
        <v>0</v>
      </c>
      <c r="T112" s="16">
        <f t="shared" si="57"/>
        <v>0</v>
      </c>
      <c r="U112" s="16">
        <f t="shared" si="57"/>
        <v>0</v>
      </c>
      <c r="V112" s="16">
        <f t="shared" si="58"/>
        <v>0</v>
      </c>
    </row>
    <row r="113" spans="1:22" x14ac:dyDescent="0.45">
      <c r="A113" s="25" t="s">
        <v>61</v>
      </c>
      <c r="B113" t="s">
        <v>316</v>
      </c>
      <c r="C113" t="s">
        <v>321</v>
      </c>
      <c r="R113" s="188" t="s">
        <v>128</v>
      </c>
      <c r="S113" s="16">
        <f t="shared" si="59"/>
        <v>0</v>
      </c>
      <c r="T113" s="16">
        <f t="shared" si="57"/>
        <v>1</v>
      </c>
      <c r="U113" s="16">
        <f t="shared" si="57"/>
        <v>1</v>
      </c>
      <c r="V113" s="16">
        <f t="shared" si="58"/>
        <v>2</v>
      </c>
    </row>
    <row r="114" spans="1:22" x14ac:dyDescent="0.45">
      <c r="A114" s="25" t="s">
        <v>202</v>
      </c>
      <c r="B114" t="s">
        <v>314</v>
      </c>
      <c r="C114" t="s">
        <v>311</v>
      </c>
      <c r="R114" s="188" t="s">
        <v>127</v>
      </c>
      <c r="S114" s="16">
        <f t="shared" si="59"/>
        <v>0</v>
      </c>
      <c r="T114" s="16">
        <f t="shared" si="57"/>
        <v>0</v>
      </c>
      <c r="U114" s="16">
        <f t="shared" si="57"/>
        <v>0</v>
      </c>
      <c r="V114" s="16">
        <f t="shared" si="58"/>
        <v>0</v>
      </c>
    </row>
    <row r="115" spans="1:22" x14ac:dyDescent="0.45">
      <c r="A115" s="25" t="s">
        <v>28</v>
      </c>
      <c r="B115" t="s">
        <v>312</v>
      </c>
      <c r="C115" t="s">
        <v>320</v>
      </c>
      <c r="R115" s="188" t="s">
        <v>73</v>
      </c>
      <c r="S115" s="16">
        <f t="shared" si="59"/>
        <v>0</v>
      </c>
      <c r="T115" s="16">
        <f t="shared" si="57"/>
        <v>0</v>
      </c>
      <c r="U115" s="16">
        <f t="shared" si="57"/>
        <v>0</v>
      </c>
      <c r="V115" s="16">
        <f t="shared" si="58"/>
        <v>0</v>
      </c>
    </row>
    <row r="116" spans="1:22" x14ac:dyDescent="0.45">
      <c r="R116" s="188" t="s">
        <v>324</v>
      </c>
      <c r="S116" s="16">
        <f t="shared" si="59"/>
        <v>5</v>
      </c>
      <c r="T116" s="16">
        <f t="shared" si="57"/>
        <v>2</v>
      </c>
      <c r="U116" s="16">
        <f t="shared" si="57"/>
        <v>2</v>
      </c>
      <c r="V116" s="16">
        <f t="shared" si="58"/>
        <v>9</v>
      </c>
    </row>
    <row r="117" spans="1:22" x14ac:dyDescent="0.45">
      <c r="R117" s="188" t="s">
        <v>75</v>
      </c>
      <c r="S117" s="16">
        <f t="shared" si="59"/>
        <v>0</v>
      </c>
      <c r="T117" s="16">
        <f t="shared" ref="T117" si="60">(T$100*COUNTIF(B$101:B$110, ("*"&amp;$R117&amp;"*")))</f>
        <v>0</v>
      </c>
      <c r="U117" s="16">
        <f t="shared" ref="U117" si="61">(U$100*COUNTIF(C$101:C$110, ("*"&amp;$R117&amp;"*")))</f>
        <v>1</v>
      </c>
      <c r="V117" s="16">
        <f t="shared" si="58"/>
        <v>1</v>
      </c>
    </row>
    <row r="120" spans="1:22" x14ac:dyDescent="0.45">
      <c r="A120" s="25" t="s">
        <v>302</v>
      </c>
      <c r="B120" s="25"/>
    </row>
    <row r="121" spans="1:22" x14ac:dyDescent="0.45">
      <c r="A121" s="25" t="s">
        <v>303</v>
      </c>
      <c r="B121" s="25"/>
    </row>
    <row r="122" spans="1:22" x14ac:dyDescent="0.45">
      <c r="A122" s="25" t="s">
        <v>303</v>
      </c>
      <c r="B122" s="25"/>
    </row>
    <row r="123" spans="1:22" x14ac:dyDescent="0.45">
      <c r="A123" s="25" t="s">
        <v>303</v>
      </c>
      <c r="B123" s="25"/>
    </row>
    <row r="124" spans="1:22" x14ac:dyDescent="0.45">
      <c r="A124" s="25" t="s">
        <v>303</v>
      </c>
      <c r="B124" s="25"/>
    </row>
    <row r="125" spans="1:22" x14ac:dyDescent="0.45">
      <c r="A125" s="25" t="s">
        <v>304</v>
      </c>
      <c r="B125" s="25"/>
    </row>
    <row r="126" spans="1:22" x14ac:dyDescent="0.45">
      <c r="A126" s="25" t="s">
        <v>305</v>
      </c>
      <c r="B126" s="25"/>
    </row>
    <row r="127" spans="1:22" x14ac:dyDescent="0.45">
      <c r="A127" s="25" t="s">
        <v>304</v>
      </c>
      <c r="B127" s="25"/>
    </row>
    <row r="128" spans="1:22" x14ac:dyDescent="0.45">
      <c r="A128" s="25" t="s">
        <v>303</v>
      </c>
      <c r="B128" s="25"/>
    </row>
    <row r="129" spans="1:2" x14ac:dyDescent="0.45">
      <c r="A129" s="25" t="s">
        <v>303</v>
      </c>
      <c r="B129" s="25"/>
    </row>
    <row r="130" spans="1:2" x14ac:dyDescent="0.45">
      <c r="A130" s="25" t="s">
        <v>306</v>
      </c>
      <c r="B130" s="25"/>
    </row>
    <row r="131" spans="1:2" x14ac:dyDescent="0.45">
      <c r="A131" s="25" t="s">
        <v>303</v>
      </c>
    </row>
    <row r="132" spans="1:2" x14ac:dyDescent="0.45">
      <c r="A132" s="25" t="s">
        <v>306</v>
      </c>
    </row>
    <row r="133" spans="1:2" x14ac:dyDescent="0.45">
      <c r="A133" s="25" t="s">
        <v>303</v>
      </c>
    </row>
    <row r="134" spans="1:2" x14ac:dyDescent="0.45">
      <c r="A134" s="25" t="s">
        <v>304</v>
      </c>
    </row>
    <row r="135" spans="1:2" x14ac:dyDescent="0.45">
      <c r="A135" s="25" t="s">
        <v>306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BCA3-B608-4051-A835-65B2F89ED917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334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14</v>
      </c>
      <c r="N3" s="11">
        <f>COUNTIF(D$3:D40, "Loose Gooses")</f>
        <v>4</v>
      </c>
      <c r="O3" s="10">
        <f>M3/(M3+N3)</f>
        <v>0.77777777777777779</v>
      </c>
      <c r="P3" s="11">
        <v>5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90">
        <v>1</v>
      </c>
      <c r="C4" s="190" t="s">
        <v>31</v>
      </c>
      <c r="D4" s="190" t="s">
        <v>47</v>
      </c>
      <c r="E4" s="190" t="s">
        <v>287</v>
      </c>
      <c r="F4" s="190" t="s">
        <v>37</v>
      </c>
      <c r="G4" s="190" t="s">
        <v>99</v>
      </c>
      <c r="H4" s="190" t="s">
        <v>288</v>
      </c>
      <c r="I4" s="190" t="s">
        <v>288</v>
      </c>
      <c r="J4" s="190">
        <v>1</v>
      </c>
      <c r="L4" s="11" t="s">
        <v>110</v>
      </c>
      <c r="M4" s="11">
        <f>COUNTIF(C$3:C41, "5 Musketeers")</f>
        <v>2</v>
      </c>
      <c r="N4" s="11">
        <f>COUNTIF(D$3:D41, "5 Musketeers")</f>
        <v>6</v>
      </c>
      <c r="O4" s="10">
        <f t="shared" ref="O4:O5" si="0">M4/(M4+N4)</f>
        <v>0.25</v>
      </c>
      <c r="P4" s="11">
        <v>0</v>
      </c>
      <c r="R4" s="2" t="s">
        <v>28</v>
      </c>
      <c r="S4" s="8">
        <f t="shared" ref="S4:S19" si="1">COUNTIF($F$3:$F$40, R4)+V4</f>
        <v>1</v>
      </c>
      <c r="T4" s="9">
        <f t="shared" ref="T4:T19" si="2">COUNTIFS($F$3:$F$40, $R4,$G$3:$G$40,"Finish")</f>
        <v>1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90">
        <v>1</v>
      </c>
      <c r="C5" s="190" t="s">
        <v>47</v>
      </c>
      <c r="D5" s="190" t="s">
        <v>31</v>
      </c>
      <c r="E5" s="190" t="s">
        <v>289</v>
      </c>
      <c r="F5" s="190" t="s">
        <v>46</v>
      </c>
      <c r="G5" s="190" t="s">
        <v>204</v>
      </c>
      <c r="H5" s="190" t="s">
        <v>288</v>
      </c>
      <c r="I5" s="190" t="s">
        <v>288</v>
      </c>
      <c r="J5" s="190">
        <v>1</v>
      </c>
      <c r="L5" s="11" t="s">
        <v>109</v>
      </c>
      <c r="M5" s="11">
        <f>COUNTIF(C$3:C42, "Wet Willies")</f>
        <v>2</v>
      </c>
      <c r="N5" s="11">
        <f>COUNTIF(D$3:D42, "Wet Willies")</f>
        <v>8</v>
      </c>
      <c r="O5" s="10">
        <f t="shared" si="0"/>
        <v>0.2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90">
        <v>1</v>
      </c>
      <c r="C6" s="190" t="s">
        <v>47</v>
      </c>
      <c r="D6" s="190" t="s">
        <v>31</v>
      </c>
      <c r="E6" s="190" t="s">
        <v>290</v>
      </c>
      <c r="F6" s="190" t="s">
        <v>46</v>
      </c>
      <c r="G6" s="190" t="s">
        <v>204</v>
      </c>
      <c r="H6" s="190" t="s">
        <v>288</v>
      </c>
      <c r="I6" s="190" t="s">
        <v>288</v>
      </c>
      <c r="J6" s="190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LG/WW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5">
      <c r="B7" s="190">
        <v>1</v>
      </c>
      <c r="C7" s="190" t="s">
        <v>47</v>
      </c>
      <c r="D7" s="190" t="s">
        <v>31</v>
      </c>
      <c r="E7" s="190" t="s">
        <v>331</v>
      </c>
      <c r="F7" s="190" t="s">
        <v>46</v>
      </c>
      <c r="G7" s="190" t="s">
        <v>99</v>
      </c>
      <c r="H7" s="190">
        <v>1</v>
      </c>
      <c r="I7" s="190">
        <v>1</v>
      </c>
      <c r="J7" s="190">
        <v>3</v>
      </c>
      <c r="R7" s="2" t="s">
        <v>37</v>
      </c>
      <c r="S7" s="8">
        <f t="shared" si="1"/>
        <v>1</v>
      </c>
      <c r="T7" s="9">
        <f t="shared" si="2"/>
        <v>0</v>
      </c>
      <c r="U7" s="9">
        <f t="shared" si="3"/>
        <v>1</v>
      </c>
      <c r="V7" s="9">
        <f t="shared" si="4"/>
        <v>0</v>
      </c>
      <c r="W7" s="26" t="b">
        <v>0</v>
      </c>
      <c r="Y7" s="52" t="str">
        <f t="shared" si="5"/>
        <v>LG/WW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5">
      <c r="B8" s="190">
        <v>2</v>
      </c>
      <c r="C8" s="190" t="s">
        <v>47</v>
      </c>
      <c r="D8" s="190" t="s">
        <v>26</v>
      </c>
      <c r="E8" s="190" t="s">
        <v>287</v>
      </c>
      <c r="F8" s="190" t="s">
        <v>61</v>
      </c>
      <c r="G8" s="190" t="s">
        <v>204</v>
      </c>
      <c r="H8" s="190" t="s">
        <v>288</v>
      </c>
      <c r="I8" s="190" t="s">
        <v>288</v>
      </c>
      <c r="J8" s="190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5">
      <c r="B9" s="190">
        <v>2</v>
      </c>
      <c r="C9" s="190" t="s">
        <v>47</v>
      </c>
      <c r="D9" s="190" t="s">
        <v>26</v>
      </c>
      <c r="E9" s="190" t="s">
        <v>291</v>
      </c>
      <c r="F9" s="190" t="s">
        <v>58</v>
      </c>
      <c r="G9" s="190" t="s">
        <v>204</v>
      </c>
      <c r="H9" s="190" t="s">
        <v>288</v>
      </c>
      <c r="I9" s="190" t="s">
        <v>288</v>
      </c>
      <c r="J9" s="190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90">
        <v>2</v>
      </c>
      <c r="C10" s="190" t="s">
        <v>47</v>
      </c>
      <c r="D10" s="190" t="s">
        <v>26</v>
      </c>
      <c r="E10" s="190" t="s">
        <v>330</v>
      </c>
      <c r="F10" s="190" t="s">
        <v>61</v>
      </c>
      <c r="G10" s="190" t="s">
        <v>204</v>
      </c>
      <c r="H10" s="190">
        <v>2</v>
      </c>
      <c r="I10" s="190">
        <v>1</v>
      </c>
      <c r="J10" s="190">
        <v>1</v>
      </c>
      <c r="R10" s="2" t="s">
        <v>44</v>
      </c>
      <c r="S10" s="8">
        <f t="shared" si="1"/>
        <v>1</v>
      </c>
      <c r="T10" s="9">
        <f t="shared" si="2"/>
        <v>1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LG/5M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5">
      <c r="B11" s="190">
        <v>3</v>
      </c>
      <c r="C11" s="190" t="s">
        <v>47</v>
      </c>
      <c r="D11" s="190" t="s">
        <v>31</v>
      </c>
      <c r="E11" s="190" t="s">
        <v>287</v>
      </c>
      <c r="F11" s="190" t="s">
        <v>46</v>
      </c>
      <c r="G11" s="190" t="s">
        <v>204</v>
      </c>
      <c r="H11" s="190" t="s">
        <v>288</v>
      </c>
      <c r="I11" s="190" t="s">
        <v>288</v>
      </c>
      <c r="J11" s="190">
        <v>1</v>
      </c>
      <c r="R11" s="2" t="s">
        <v>46</v>
      </c>
      <c r="S11" s="8">
        <f t="shared" si="1"/>
        <v>7</v>
      </c>
      <c r="T11" s="9">
        <f t="shared" si="2"/>
        <v>4</v>
      </c>
      <c r="U11" s="9">
        <f t="shared" si="3"/>
        <v>1</v>
      </c>
      <c r="V11" s="9">
        <f t="shared" si="4"/>
        <v>1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5">
      <c r="B12" s="190">
        <v>3</v>
      </c>
      <c r="C12" s="190" t="s">
        <v>47</v>
      </c>
      <c r="D12" s="190" t="s">
        <v>31</v>
      </c>
      <c r="E12" s="190" t="s">
        <v>291</v>
      </c>
      <c r="F12" s="190" t="s">
        <v>61</v>
      </c>
      <c r="G12" s="190" t="s">
        <v>204</v>
      </c>
      <c r="H12" s="190" t="s">
        <v>288</v>
      </c>
      <c r="I12" s="190" t="s">
        <v>288</v>
      </c>
      <c r="J12" s="190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5">
      <c r="B13" s="190">
        <v>3</v>
      </c>
      <c r="C13" s="190" t="s">
        <v>47</v>
      </c>
      <c r="D13" s="190" t="s">
        <v>31</v>
      </c>
      <c r="E13" s="190" t="s">
        <v>330</v>
      </c>
      <c r="F13" s="190" t="s">
        <v>58</v>
      </c>
      <c r="G13" s="190" t="s">
        <v>99</v>
      </c>
      <c r="H13" s="190">
        <v>3</v>
      </c>
      <c r="I13" s="190">
        <v>2</v>
      </c>
      <c r="J13" s="190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5">
      <c r="B14" s="190">
        <v>4</v>
      </c>
      <c r="C14" s="190" t="s">
        <v>47</v>
      </c>
      <c r="D14" s="190" t="s">
        <v>26</v>
      </c>
      <c r="E14" s="190" t="s">
        <v>287</v>
      </c>
      <c r="F14" s="190" t="s">
        <v>46</v>
      </c>
      <c r="G14" s="190" t="s">
        <v>204</v>
      </c>
      <c r="H14" s="190" t="s">
        <v>288</v>
      </c>
      <c r="I14" s="190" t="s">
        <v>288</v>
      </c>
      <c r="J14" s="190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5">
      <c r="B15" s="190">
        <v>4</v>
      </c>
      <c r="C15" s="190" t="s">
        <v>26</v>
      </c>
      <c r="D15" s="190" t="s">
        <v>47</v>
      </c>
      <c r="E15" s="190" t="s">
        <v>289</v>
      </c>
      <c r="F15" s="190" t="s">
        <v>50</v>
      </c>
      <c r="G15" s="190" t="s">
        <v>99</v>
      </c>
      <c r="H15" s="190" t="s">
        <v>288</v>
      </c>
      <c r="I15" s="190" t="s">
        <v>288</v>
      </c>
      <c r="J15" s="190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90">
        <v>4</v>
      </c>
      <c r="C16" s="190" t="s">
        <v>26</v>
      </c>
      <c r="D16" s="190" t="s">
        <v>47</v>
      </c>
      <c r="E16" s="190" t="s">
        <v>290</v>
      </c>
      <c r="F16" s="190" t="s">
        <v>42</v>
      </c>
      <c r="G16" s="190" t="s">
        <v>204</v>
      </c>
      <c r="H16" s="190" t="s">
        <v>288</v>
      </c>
      <c r="I16" s="190" t="s">
        <v>288</v>
      </c>
      <c r="J16" s="190">
        <v>1</v>
      </c>
      <c r="R16" s="2" t="s">
        <v>58</v>
      </c>
      <c r="S16" s="8">
        <f t="shared" si="1"/>
        <v>3</v>
      </c>
      <c r="T16" s="9">
        <f t="shared" si="2"/>
        <v>2</v>
      </c>
      <c r="U16" s="9">
        <f t="shared" si="3"/>
        <v>1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5M/LG</v>
      </c>
      <c r="AC16" s="2"/>
    </row>
    <row r="17" spans="2:33" ht="14.25" customHeight="1" x14ac:dyDescent="0.5">
      <c r="B17" s="190">
        <v>4</v>
      </c>
      <c r="C17" s="190" t="s">
        <v>47</v>
      </c>
      <c r="D17" s="190" t="s">
        <v>26</v>
      </c>
      <c r="E17" s="190" t="s">
        <v>332</v>
      </c>
      <c r="F17" s="190" t="s">
        <v>61</v>
      </c>
      <c r="G17" s="190" t="s">
        <v>204</v>
      </c>
      <c r="H17" s="190" t="s">
        <v>288</v>
      </c>
      <c r="I17" s="190" t="s">
        <v>288</v>
      </c>
      <c r="J17" s="190">
        <v>1</v>
      </c>
      <c r="R17" s="2" t="s">
        <v>61</v>
      </c>
      <c r="S17" s="8">
        <f t="shared" si="1"/>
        <v>4</v>
      </c>
      <c r="T17" s="9">
        <f t="shared" si="2"/>
        <v>4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>LG/5M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5">
      <c r="B18" s="190">
        <v>4</v>
      </c>
      <c r="C18" s="190" t="s">
        <v>47</v>
      </c>
      <c r="D18" s="190" t="s">
        <v>26</v>
      </c>
      <c r="E18" s="190" t="s">
        <v>333</v>
      </c>
      <c r="F18" s="190" t="s">
        <v>28</v>
      </c>
      <c r="G18" s="190" t="s">
        <v>204</v>
      </c>
      <c r="H18" s="190">
        <v>4</v>
      </c>
      <c r="I18" s="190">
        <v>2</v>
      </c>
      <c r="J18" s="190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5">
      <c r="B19" s="190">
        <v>5</v>
      </c>
      <c r="C19" s="190" t="s">
        <v>31</v>
      </c>
      <c r="D19" s="190" t="s">
        <v>47</v>
      </c>
      <c r="E19" s="190" t="s">
        <v>287</v>
      </c>
      <c r="F19" s="190" t="s">
        <v>44</v>
      </c>
      <c r="G19" s="190" t="s">
        <v>204</v>
      </c>
      <c r="H19" s="190" t="s">
        <v>288</v>
      </c>
      <c r="I19" s="190" t="s">
        <v>288</v>
      </c>
      <c r="J19" s="190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/>
      </c>
      <c r="Z19" s="52" t="str">
        <f t="shared" si="6"/>
        <v>WW/LG</v>
      </c>
      <c r="AA19" s="52" t="str">
        <f t="shared" si="7"/>
        <v/>
      </c>
    </row>
    <row r="20" spans="2:33" ht="14.25" customHeight="1" x14ac:dyDescent="0.5">
      <c r="B20" s="190">
        <v>5</v>
      </c>
      <c r="C20" s="190" t="s">
        <v>47</v>
      </c>
      <c r="D20" s="190" t="s">
        <v>31</v>
      </c>
      <c r="E20" s="190" t="s">
        <v>289</v>
      </c>
      <c r="F20" s="190" t="s">
        <v>58</v>
      </c>
      <c r="G20" s="190" t="s">
        <v>204</v>
      </c>
      <c r="H20" s="190" t="s">
        <v>288</v>
      </c>
      <c r="I20" s="190" t="s">
        <v>288</v>
      </c>
      <c r="J20" s="190">
        <v>1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90">
        <v>5</v>
      </c>
      <c r="C21" s="190" t="s">
        <v>47</v>
      </c>
      <c r="D21" s="190" t="s">
        <v>31</v>
      </c>
      <c r="E21" s="190" t="s">
        <v>331</v>
      </c>
      <c r="F21" s="190" t="s">
        <v>46</v>
      </c>
      <c r="G21" s="190" t="s">
        <v>205</v>
      </c>
      <c r="H21" s="190">
        <v>5</v>
      </c>
      <c r="I21" s="190">
        <v>3</v>
      </c>
      <c r="J21" s="190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1,</v>
      </c>
      <c r="T24" s="16" t="str">
        <f t="shared" si="8"/>
        <v>1,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Table63134353736[[#This Row],[Finishes]]+Table63134353736[[#This Row],[Midranges]]+Table63134353736[[#This Row],[Threes]]+Table63134353736[[#This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"Did not Play",</v>
      </c>
      <c r="T25" s="16" t="str">
        <f t="shared" si="8"/>
        <v>"Did not Play",</v>
      </c>
      <c r="U25" s="16" t="str">
        <f t="shared" si="8"/>
        <v>"Did not Play",</v>
      </c>
      <c r="V25" s="16" t="str">
        <f t="shared" si="8"/>
        <v>"Did not Play",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Table63134353736[[#This Row],[Finishes]]+Table63134353736[[#This Row],[Midranges]]+Table63134353736[[#This Row],[Threes]]+Table63134353736[[#This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0,</v>
      </c>
      <c r="T26" s="16" t="str">
        <f t="shared" si="8"/>
        <v>0,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Table63134353736[[#This Row],[Finishes]]+Table63134353736[[#This Row],[Midranges]]+Table63134353736[[#This Row],[Threes]]+Table63134353736[[#This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0,</v>
      </c>
      <c r="U27" s="16" t="str">
        <f t="shared" si="8"/>
        <v>1,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Table63134353736[[#This Row],[Finishes]]+Table63134353736[[#This Row],[Midranges]]+Table63134353736[[#This Row],[Threes]]+Table63134353736[[#This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Table63134353736[[#This Row],[Finishes]]+Table63134353736[[#This Row],[Midranges]]+Table63134353736[[#This Row],[Threes]]+Table63134353736[[#This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Table63134353736[[#This Row],[Finishes]]+Table63134353736[[#This Row],[Midranges]]+Table63134353736[[#This Row],[Threes]]+Table63134353736[[#This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1,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Table63134353736[[#This Row],[Finishes]]+Table63134353736[[#This Row],[Midranges]]+Table63134353736[[#This Row],[Threes]]+Table63134353736[[#This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7,</v>
      </c>
      <c r="T31" s="16" t="str">
        <f t="shared" si="8"/>
        <v>4,</v>
      </c>
      <c r="U31" s="16" t="str">
        <f t="shared" si="8"/>
        <v>1,</v>
      </c>
      <c r="V31" s="16" t="str">
        <f t="shared" si="8"/>
        <v>1,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Table63134353736[[#This Row],[Finishes]]+Table63134353736[[#This Row],[Midranges]]+Table63134353736[[#This Row],[Threes]]+Table63134353736[[#This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Table63134353736[[#This Row],[Finishes]]+Table63134353736[[#This Row],[Midranges]]+Table63134353736[[#This Row],[Threes]]+Table63134353736[[#This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Table63134353736[[#This Row],[Finishes]]+Table63134353736[[#This Row],[Midranges]]+Table63134353736[[#This Row],[Threes]]+Table63134353736[[#This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Table63134353736[[#This Row],[Finishes]]+Table63134353736[[#This Row],[Midranges]]+Table63134353736[[#This Row],[Threes]]+Table63134353736[[#This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Table63134353736[[#This Row],[Finishes]]+Table63134353736[[#This Row],[Midranges]]+Table63134353736[[#This Row],[Threes]]+Table63134353736[[#This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3,</v>
      </c>
      <c r="T36" s="16" t="str">
        <f t="shared" si="8"/>
        <v>2,</v>
      </c>
      <c r="U36" s="16" t="str">
        <f t="shared" si="8"/>
        <v>1,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4,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"Date":["9-October"],</v>
      </c>
    </row>
    <row r="45" spans="2:33" ht="14.25" customHeight="1" x14ac:dyDescent="0.45">
      <c r="B45" s="74" t="str">
        <f>C2</f>
        <v>9-October</v>
      </c>
      <c r="C45" s="16">
        <f>MAX(M3:M5)</f>
        <v>14</v>
      </c>
      <c r="D45" s="16">
        <f>COUNT(B4:B42)-C45-E45</f>
        <v>2</v>
      </c>
      <c r="E45" s="16">
        <f>MIN(M3:M5)</f>
        <v>2</v>
      </c>
      <c r="F45" s="16">
        <f>M3</f>
        <v>14</v>
      </c>
      <c r="G45" s="16">
        <f>COUNTIF(Z4:Z39, "WW/LG")</f>
        <v>2</v>
      </c>
      <c r="H45" s="16">
        <f>COUNTIF(AA4:AA39, "5M/LG")</f>
        <v>2</v>
      </c>
      <c r="I45" s="16">
        <f>M5</f>
        <v>2</v>
      </c>
      <c r="J45" s="16">
        <f>COUNTIF(Y4:Y39, "LG/WW")</f>
        <v>8</v>
      </c>
      <c r="K45" s="16">
        <f>COUNTIF(AA4:AA39, "5M/WW")</f>
        <v>0</v>
      </c>
      <c r="L45" s="16">
        <f>M4</f>
        <v>2</v>
      </c>
      <c r="M45" s="16">
        <f>COUNTIF(Y4:Y39, "LG/5M")</f>
        <v>6</v>
      </c>
      <c r="N45" s="16">
        <f>COUNTIF(Z4:Z39, "WW/5M")</f>
        <v>0</v>
      </c>
      <c r="O45" s="16">
        <f>P3</f>
        <v>5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"Points":[0,1,"Did not Play",0,1,1,0,1,7,1,"Did not Play","Did not Play","Did not Play",3,4,0,0],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"Finishes":[0,1,"Did not Play",0,0,1,0,1,4,0,"Did not Play","Did not Play","Did not Play",2,4,0,0],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"Midrange":[0,0,"Did not Play",0,1,0,0,0,1,1,"Did not Play","Did not Play","Did not Play",1,0,0,0],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"ThreePointers":[0,0,"Did not Play",0,0,0,0,0,1,0,"Did not Play","Did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236-9F4E-4951-8CEE-8A46989A0F1C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295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11</v>
      </c>
      <c r="N3" s="11">
        <f>COUNTIF(D$3:D40, "Loose Gooses")</f>
        <v>5</v>
      </c>
      <c r="O3" s="10">
        <f>M3/(M3+N3)</f>
        <v>0.6875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47</v>
      </c>
      <c r="E4" s="25" t="s">
        <v>287</v>
      </c>
      <c r="F4" s="25" t="s">
        <v>50</v>
      </c>
      <c r="G4" s="25" t="s">
        <v>99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5</v>
      </c>
      <c r="N4" s="11">
        <f>COUNTIF(D$3:D41, "5 Musketeers")</f>
        <v>6</v>
      </c>
      <c r="O4" s="10">
        <f t="shared" ref="O4:O5" si="0">M4/(M4+N4)</f>
        <v>0.45454545454545453</v>
      </c>
      <c r="P4" s="11">
        <v>4</v>
      </c>
      <c r="R4" s="2" t="s">
        <v>28</v>
      </c>
      <c r="S4" s="8">
        <f t="shared" ref="S4:S19" si="1">COUNTIF($F$3:$F$40, R4)+V4</f>
        <v>2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5M/LG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47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2</v>
      </c>
      <c r="N5" s="11">
        <f>COUNTIF(D$3:D42, "Wet Willies")</f>
        <v>7</v>
      </c>
      <c r="O5" s="10">
        <f t="shared" si="0"/>
        <v>0.22222222222222221</v>
      </c>
      <c r="P5" s="11">
        <v>2</v>
      </c>
      <c r="R5" s="2" t="s">
        <v>30</v>
      </c>
      <c r="S5" s="8">
        <f t="shared" si="1"/>
        <v>3</v>
      </c>
      <c r="T5" s="9">
        <f t="shared" si="2"/>
        <v>3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5M/LG</v>
      </c>
      <c r="AC5" s="2"/>
    </row>
    <row r="6" spans="2:32" ht="14.25" customHeight="1" x14ac:dyDescent="0.45">
      <c r="B6" s="25">
        <v>2</v>
      </c>
      <c r="C6" s="25" t="s">
        <v>26</v>
      </c>
      <c r="D6" s="25" t="s">
        <v>31</v>
      </c>
      <c r="E6" s="25" t="s">
        <v>287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>5M/WW</v>
      </c>
      <c r="AC6" s="2"/>
    </row>
    <row r="7" spans="2:32" ht="14.25" customHeight="1" x14ac:dyDescent="0.45">
      <c r="B7" s="25">
        <v>2</v>
      </c>
      <c r="C7" s="25" t="s">
        <v>26</v>
      </c>
      <c r="D7" s="25" t="s">
        <v>31</v>
      </c>
      <c r="E7" s="25" t="s">
        <v>291</v>
      </c>
      <c r="F7" s="25" t="s">
        <v>30</v>
      </c>
      <c r="G7" s="25" t="s">
        <v>204</v>
      </c>
      <c r="H7" s="25">
        <v>2</v>
      </c>
      <c r="I7" s="25">
        <v>1</v>
      </c>
      <c r="J7" s="25">
        <v>3</v>
      </c>
      <c r="R7" s="2" t="s">
        <v>37</v>
      </c>
      <c r="S7" s="8">
        <f t="shared" si="1"/>
        <v>1</v>
      </c>
      <c r="T7" s="9">
        <f t="shared" si="2"/>
        <v>1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3</v>
      </c>
      <c r="C8" s="25" t="s">
        <v>47</v>
      </c>
      <c r="D8" s="25" t="s">
        <v>26</v>
      </c>
      <c r="E8" s="25" t="s">
        <v>287</v>
      </c>
      <c r="F8" s="25" t="s">
        <v>61</v>
      </c>
      <c r="G8" s="25" t="s">
        <v>99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>
        <v>3</v>
      </c>
      <c r="C9" s="25" t="s">
        <v>47</v>
      </c>
      <c r="D9" s="25" t="s">
        <v>26</v>
      </c>
      <c r="E9" s="25" t="s">
        <v>291</v>
      </c>
      <c r="F9" s="25" t="s">
        <v>28</v>
      </c>
      <c r="G9" s="25" t="s">
        <v>204</v>
      </c>
      <c r="H9" s="25">
        <v>1</v>
      </c>
      <c r="I9" s="25">
        <v>1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47</v>
      </c>
      <c r="D10" s="25" t="s">
        <v>31</v>
      </c>
      <c r="E10" s="25" t="s">
        <v>287</v>
      </c>
      <c r="F10" s="25" t="s">
        <v>28</v>
      </c>
      <c r="G10" s="25" t="s">
        <v>204</v>
      </c>
      <c r="H10" s="25" t="s">
        <v>288</v>
      </c>
      <c r="I10" s="25" t="s">
        <v>288</v>
      </c>
      <c r="J10" s="25">
        <v>2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LG/WW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>
        <v>4</v>
      </c>
      <c r="C11" s="25" t="s">
        <v>47</v>
      </c>
      <c r="D11" s="25" t="s">
        <v>31</v>
      </c>
      <c r="E11" s="25" t="s">
        <v>291</v>
      </c>
      <c r="F11" s="25" t="s">
        <v>61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26</v>
      </c>
      <c r="D12" s="25" t="s">
        <v>47</v>
      </c>
      <c r="E12" s="25" t="s">
        <v>287</v>
      </c>
      <c r="F12" s="25" t="s">
        <v>50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2</v>
      </c>
      <c r="T12" s="9">
        <f t="shared" si="2"/>
        <v>1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5M/LG</v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26</v>
      </c>
      <c r="E13" s="25" t="s">
        <v>289</v>
      </c>
      <c r="F13" s="25" t="s">
        <v>46</v>
      </c>
      <c r="G13" s="25" t="s">
        <v>204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LG/5M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5</v>
      </c>
      <c r="C14" s="25" t="s">
        <v>47</v>
      </c>
      <c r="D14" s="25" t="s">
        <v>26</v>
      </c>
      <c r="E14" s="25" t="s">
        <v>290</v>
      </c>
      <c r="F14" s="25" t="s">
        <v>58</v>
      </c>
      <c r="G14" s="25" t="s">
        <v>204</v>
      </c>
      <c r="H14" s="25">
        <v>3</v>
      </c>
      <c r="I14" s="25">
        <v>2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47</v>
      </c>
      <c r="D15" s="25" t="s">
        <v>31</v>
      </c>
      <c r="E15" s="25" t="s">
        <v>287</v>
      </c>
      <c r="F15" s="25" t="s">
        <v>61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2</v>
      </c>
      <c r="T15" s="9">
        <f t="shared" si="2"/>
        <v>0</v>
      </c>
      <c r="U15" s="9">
        <f t="shared" si="3"/>
        <v>0</v>
      </c>
      <c r="V15" s="9">
        <f t="shared" si="4"/>
        <v>1</v>
      </c>
      <c r="W15" s="26" t="b">
        <v>0</v>
      </c>
      <c r="Y15" s="52" t="str">
        <f t="shared" si="5"/>
        <v>LG/WW</v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>
        <v>6</v>
      </c>
      <c r="C16" s="25" t="s">
        <v>31</v>
      </c>
      <c r="D16" s="25" t="s">
        <v>47</v>
      </c>
      <c r="E16" s="25" t="s">
        <v>289</v>
      </c>
      <c r="F16" s="25" t="s">
        <v>37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1</v>
      </c>
      <c r="T16" s="9">
        <f t="shared" si="2"/>
        <v>1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>WW/LG</v>
      </c>
      <c r="AA16" s="52" t="str">
        <f t="shared" si="7"/>
        <v/>
      </c>
      <c r="AC16" s="2"/>
    </row>
    <row r="17" spans="2:33" ht="14.25" customHeight="1" x14ac:dyDescent="0.45">
      <c r="B17" s="25">
        <v>6</v>
      </c>
      <c r="C17" s="25" t="s">
        <v>47</v>
      </c>
      <c r="D17" s="25" t="s">
        <v>31</v>
      </c>
      <c r="E17" s="25" t="s">
        <v>290</v>
      </c>
      <c r="F17" s="25" t="s">
        <v>46</v>
      </c>
      <c r="G17" s="25" t="s">
        <v>99</v>
      </c>
      <c r="H17" s="25">
        <v>4</v>
      </c>
      <c r="I17" s="25">
        <v>3</v>
      </c>
      <c r="J17" s="25">
        <v>1</v>
      </c>
      <c r="R17" s="2" t="s">
        <v>61</v>
      </c>
      <c r="S17" s="8">
        <f t="shared" si="1"/>
        <v>4</v>
      </c>
      <c r="T17" s="9">
        <f t="shared" si="2"/>
        <v>3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26</v>
      </c>
      <c r="E18" s="25" t="s">
        <v>287</v>
      </c>
      <c r="F18" s="25" t="s">
        <v>61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7</v>
      </c>
      <c r="C19" s="25" t="s">
        <v>47</v>
      </c>
      <c r="D19" s="25" t="s">
        <v>26</v>
      </c>
      <c r="E19" s="25" t="s">
        <v>291</v>
      </c>
      <c r="F19" s="25" t="s">
        <v>46</v>
      </c>
      <c r="G19" s="25" t="s">
        <v>204</v>
      </c>
      <c r="H19" s="25">
        <v>5</v>
      </c>
      <c r="I19" s="25">
        <v>3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31</v>
      </c>
      <c r="E20" s="25" t="s">
        <v>287</v>
      </c>
      <c r="F20" s="25" t="s">
        <v>46</v>
      </c>
      <c r="G20" s="25" t="s">
        <v>99</v>
      </c>
      <c r="H20" s="25" t="s">
        <v>288</v>
      </c>
      <c r="I20" s="25" t="s">
        <v>288</v>
      </c>
      <c r="J20" s="25">
        <v>2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8</v>
      </c>
      <c r="C21" s="25" t="s">
        <v>31</v>
      </c>
      <c r="D21" s="25" t="s">
        <v>47</v>
      </c>
      <c r="E21" s="25" t="s">
        <v>290</v>
      </c>
      <c r="F21" s="25" t="s">
        <v>55</v>
      </c>
      <c r="G21" s="25" t="s">
        <v>205</v>
      </c>
      <c r="H21" s="25">
        <v>1</v>
      </c>
      <c r="I21" s="25">
        <v>1</v>
      </c>
      <c r="J21" s="25">
        <v>1</v>
      </c>
      <c r="Y21" s="52" t="str">
        <f t="shared" si="5"/>
        <v/>
      </c>
      <c r="Z21" s="52" t="str">
        <f t="shared" si="6"/>
        <v>WW/LG</v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2,</v>
      </c>
      <c r="T24" s="16" t="str">
        <f t="shared" si="8"/>
        <v>2,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Table631343537[[#This Row],[Finishes]]+Table631343537[[#This Row],[Midranges]]+Table631343537[[#This Row],[Threes]]+Table631343537[[#This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3,</v>
      </c>
      <c r="T25" s="16" t="str">
        <f t="shared" si="8"/>
        <v>3,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Table631343537[[#This Row],[Finishes]]+Table631343537[[#This Row],[Midranges]]+Table631343537[[#This Row],[Threes]]+Table631343537[[#This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Table631343537[[#This Row],[Finishes]]+Table631343537[[#This Row],[Midranges]]+Table631343537[[#This Row],[Threes]]+Table631343537[[#This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1,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Table631343537[[#This Row],[Finishes]]+Table631343537[[#This Row],[Midranges]]+Table631343537[[#This Row],[Threes]]+Table631343537[[#This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Table631343537[[#This Row],[Finishes]]+Table631343537[[#This Row],[Midranges]]+Table631343537[[#This Row],[Threes]]+Table631343537[[#This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Table631343537[[#This Row],[Finishes]]+Table631343537[[#This Row],[Midranges]]+Table631343537[[#This Row],[Threes]]+Table631343537[[#This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Table631343537[[#This Row],[Finishes]]+Table631343537[[#This Row],[Midranges]]+Table631343537[[#This Row],[Threes]]+Table631343537[[#This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Table631343537[[#This Row],[Finishes]]+Table631343537[[#This Row],[Midranges]]+Table631343537[[#This Row],[Threes]]+Table631343537[[#This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2,</v>
      </c>
      <c r="T32" s="16" t="str">
        <f t="shared" si="8"/>
        <v>1,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Table631343537[[#This Row],[Finishes]]+Table631343537[[#This Row],[Midranges]]+Table631343537[[#This Row],[Threes]]+Table631343537[[#This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Table631343537[[#This Row],[Finishes]]+Table631343537[[#This Row],[Midranges]]+Table631343537[[#This Row],[Threes]]+Table631343537[[#This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Table631343537[[#This Row],[Finishes]]+Table631343537[[#This Row],[Midranges]]+Table631343537[[#This Row],[Threes]]+Table631343537[[#This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2,</v>
      </c>
      <c r="T35" s="16" t="str">
        <f t="shared" si="8"/>
        <v>0,</v>
      </c>
      <c r="U35" s="16" t="str">
        <f t="shared" si="8"/>
        <v>0,</v>
      </c>
      <c r="V35" s="16" t="str">
        <f t="shared" si="8"/>
        <v>1,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Table631343537[[#This Row],[Finishes]]+Table631343537[[#This Row],[Midranges]]+Table631343537[[#This Row],[Threes]]+Table631343537[[#This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1,</v>
      </c>
      <c r="T36" s="16" t="str">
        <f t="shared" si="8"/>
        <v>1,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3,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"Date":["23-August"],</v>
      </c>
    </row>
    <row r="45" spans="2:33" ht="14.25" customHeight="1" x14ac:dyDescent="0.45">
      <c r="B45" s="74" t="str">
        <f>C2</f>
        <v>23-August</v>
      </c>
      <c r="C45" s="16">
        <f>MAX(M3:M5)</f>
        <v>11</v>
      </c>
      <c r="D45" s="16">
        <f>COUNT(B4:B42)-C45-E45</f>
        <v>5</v>
      </c>
      <c r="E45" s="16">
        <f>MIN(M3:M5)</f>
        <v>2</v>
      </c>
      <c r="F45" s="16">
        <f>M3</f>
        <v>11</v>
      </c>
      <c r="G45" s="16">
        <f>COUNTIF(Z4:Z39, "WW/LG")</f>
        <v>2</v>
      </c>
      <c r="H45" s="16">
        <f>COUNTIF(AA4:AA39, "5M/LG")</f>
        <v>3</v>
      </c>
      <c r="I45" s="16">
        <f>M5</f>
        <v>2</v>
      </c>
      <c r="J45" s="16">
        <f>COUNTIF(Y4:Y39, "LG/WW")</f>
        <v>5</v>
      </c>
      <c r="K45" s="16">
        <f>COUNTIF(AA4:AA39, "5M/WW")</f>
        <v>2</v>
      </c>
      <c r="L45" s="16">
        <f>M4</f>
        <v>5</v>
      </c>
      <c r="M45" s="16">
        <f>COUNTIF(Y4:Y39, "LG/5M")</f>
        <v>6</v>
      </c>
      <c r="N45" s="16">
        <f>COUNTIF(Z4:Z39, "WW/5M")</f>
        <v>0</v>
      </c>
      <c r="O45" s="16">
        <f>P3</f>
        <v>6</v>
      </c>
      <c r="P45" s="16">
        <f>P5</f>
        <v>2</v>
      </c>
      <c r="Q45" s="16">
        <f>P4</f>
        <v>4</v>
      </c>
      <c r="T45" s="16" t="str">
        <f>CHAR(34)&amp;"Points"&amp;CHAR(34)&amp;":["&amp;S23&amp;S24&amp;S25&amp;S26&amp;S27&amp;S28&amp;S29&amp;S30&amp;S31&amp;S32&amp;S33&amp;S34&amp;S35&amp;S36&amp;S37&amp;S38&amp;S39&amp;"],"</f>
        <v>"Points":[0,2,3,"Did not Play",1,0,0,0,4,2,0,"Did not Play",2,1,4,0,0],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"Finishes":[0,2,3,"Did not Play",1,0,0,0,2,1,0,"Did not Play",0,1,3,0,0],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Play",0,0,0,0,2,1,0,"Did not Play",0,0,1,0,0],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Play",0,0,0,0,0,0,0,"Did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0.14285714285714285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0.14285714285714285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1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0.94736842105263153</v>
      </c>
      <c r="E4" s="11">
        <f>'Stats Global'!AA9</f>
        <v>18</v>
      </c>
      <c r="F4" s="7">
        <f>'Stats Global'!AD9</f>
        <v>0.89473684210526316</v>
      </c>
      <c r="G4" s="11">
        <f>'Stats Global'!AC9</f>
        <v>17</v>
      </c>
      <c r="H4" s="7">
        <f>'Stats Global'!AF9</f>
        <v>5.2631578947368418E-2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3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3.5384615384615383</v>
      </c>
      <c r="E5" s="11">
        <f>'Stats Global'!AA10</f>
        <v>46</v>
      </c>
      <c r="F5" s="7">
        <f>'Stats Global'!AD10</f>
        <v>3.3076923076923075</v>
      </c>
      <c r="G5" s="11">
        <f>'Stats Global'!AC10</f>
        <v>43</v>
      </c>
      <c r="H5" s="7">
        <f>'Stats Global'!AF10</f>
        <v>7.6923076923076927E-2</v>
      </c>
      <c r="I5" s="11">
        <f>'Stats Global'!AE10</f>
        <v>1</v>
      </c>
      <c r="J5" s="7">
        <f>'Stats Global'!AH10</f>
        <v>7.6923076923076927E-2</v>
      </c>
      <c r="K5" s="11">
        <f>'Stats Global'!AG10</f>
        <v>1</v>
      </c>
      <c r="L5" s="18">
        <f>'Stats Global'!AJ10</f>
        <v>9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1.4375</v>
      </c>
      <c r="E6" s="11">
        <f>'Stats Global'!AA11</f>
        <v>23</v>
      </c>
      <c r="F6" s="7">
        <f>'Stats Global'!AD11</f>
        <v>1.375</v>
      </c>
      <c r="G6" s="11">
        <f>'Stats Global'!AC11</f>
        <v>22</v>
      </c>
      <c r="H6" s="7">
        <f>'Stats Global'!AF11</f>
        <v>6.25E-2</v>
      </c>
      <c r="I6" s="11">
        <f>'Stats Global'!AE11</f>
        <v>1</v>
      </c>
      <c r="J6" s="7">
        <f>'Stats Global'!AH11</f>
        <v>0</v>
      </c>
      <c r="K6" s="11">
        <f>'Stats Global'!AG11</f>
        <v>0</v>
      </c>
      <c r="L6" s="18">
        <f>'Stats Global'!AJ11</f>
        <v>6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1.2</v>
      </c>
      <c r="E7" s="11">
        <f>'Stats Global'!AA12</f>
        <v>24</v>
      </c>
      <c r="F7" s="7">
        <f>'Stats Global'!AD12</f>
        <v>0.5</v>
      </c>
      <c r="G7" s="11">
        <f>'Stats Global'!AC12</f>
        <v>10</v>
      </c>
      <c r="H7" s="7">
        <f>'Stats Global'!AF12</f>
        <v>0.5</v>
      </c>
      <c r="I7" s="11">
        <f>'Stats Global'!AE12</f>
        <v>10</v>
      </c>
      <c r="J7" s="7">
        <f>'Stats Global'!AH12</f>
        <v>0.1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1.1052631578947369</v>
      </c>
      <c r="E8" s="11">
        <f>'Stats Global'!AA13</f>
        <v>21</v>
      </c>
      <c r="F8" s="7">
        <f>'Stats Global'!AD13</f>
        <v>0.84210526315789469</v>
      </c>
      <c r="G8" s="11">
        <f>'Stats Global'!AC13</f>
        <v>16</v>
      </c>
      <c r="H8" s="7">
        <f>'Stats Global'!AF13</f>
        <v>0.26315789473684209</v>
      </c>
      <c r="I8" s="11">
        <f>'Stats Global'!AE13</f>
        <v>5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0.5714285714285714</v>
      </c>
      <c r="E9" s="11">
        <f>'Stats Global'!AA14</f>
        <v>12</v>
      </c>
      <c r="F9" s="7">
        <f>'Stats Global'!AD14</f>
        <v>0.2857142857142857</v>
      </c>
      <c r="G9" s="11">
        <f>'Stats Global'!AC14</f>
        <v>6</v>
      </c>
      <c r="H9" s="7">
        <f>'Stats Global'!AF14</f>
        <v>0.19047619047619047</v>
      </c>
      <c r="I9" s="11">
        <f>'Stats Global'!AE14</f>
        <v>4</v>
      </c>
      <c r="J9" s="7">
        <f>'Stats Global'!AH14</f>
        <v>4.7619047619047616E-2</v>
      </c>
      <c r="K9" s="11">
        <f>'Stats Global'!AG14</f>
        <v>1</v>
      </c>
      <c r="L9" s="18">
        <f>'Stats Global'!AJ14</f>
        <v>1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1.3125</v>
      </c>
      <c r="E10" s="11">
        <f>'Stats Global'!AA15</f>
        <v>21</v>
      </c>
      <c r="F10" s="7">
        <f>'Stats Global'!AD15</f>
        <v>0.125</v>
      </c>
      <c r="G10" s="11">
        <f>'Stats Global'!AC15</f>
        <v>2</v>
      </c>
      <c r="H10" s="7">
        <f>'Stats Global'!AF15</f>
        <v>0.1875</v>
      </c>
      <c r="I10" s="11">
        <f>'Stats Global'!AE15</f>
        <v>3</v>
      </c>
      <c r="J10" s="7">
        <f>'Stats Global'!AH15</f>
        <v>0.5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2.4210526315789473</v>
      </c>
      <c r="E11" s="11">
        <f>'Stats Global'!AA16</f>
        <v>46</v>
      </c>
      <c r="F11" s="7">
        <f>'Stats Global'!AD16</f>
        <v>1.1052631578947369</v>
      </c>
      <c r="G11" s="11">
        <f>'Stats Global'!AC16</f>
        <v>21</v>
      </c>
      <c r="H11" s="7">
        <f>'Stats Global'!AF16</f>
        <v>0.89473684210526316</v>
      </c>
      <c r="I11" s="11">
        <f>'Stats Global'!AE16</f>
        <v>17</v>
      </c>
      <c r="J11" s="7">
        <f>'Stats Global'!AH16</f>
        <v>0.21052631578947367</v>
      </c>
      <c r="K11" s="11">
        <f>'Stats Global'!AG16</f>
        <v>4</v>
      </c>
      <c r="L11" s="18">
        <f>'Stats Global'!AJ16</f>
        <v>3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3.3333333333333335</v>
      </c>
      <c r="E12" s="11">
        <f>'Stats Global'!AA17</f>
        <v>70</v>
      </c>
      <c r="F12" s="7">
        <f>'Stats Global'!AD17</f>
        <v>0.76190476190476186</v>
      </c>
      <c r="G12" s="11">
        <f>'Stats Global'!AC17</f>
        <v>16</v>
      </c>
      <c r="H12" s="7">
        <f>'Stats Global'!AF17</f>
        <v>2</v>
      </c>
      <c r="I12" s="11">
        <f>'Stats Global'!AE17</f>
        <v>42</v>
      </c>
      <c r="J12" s="7">
        <f>'Stats Global'!AH17</f>
        <v>0.2857142857142857</v>
      </c>
      <c r="K12" s="11">
        <f>'Stats Global'!AG17</f>
        <v>6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0.52380952380952384</v>
      </c>
      <c r="E13" s="11">
        <f>'Stats Global'!AA18</f>
        <v>11</v>
      </c>
      <c r="F13" s="7">
        <f>'Stats Global'!AD18</f>
        <v>0.14285714285714285</v>
      </c>
      <c r="G13" s="11">
        <f>'Stats Global'!AC18</f>
        <v>3</v>
      </c>
      <c r="H13" s="7">
        <f>'Stats Global'!AF18</f>
        <v>0.38095238095238093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1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15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0.83333333333333337</v>
      </c>
      <c r="E15" s="11">
        <f>'Stats Global'!AA20</f>
        <v>15</v>
      </c>
      <c r="F15" s="7">
        <f>'Stats Global'!AD20</f>
        <v>0.55555555555555558</v>
      </c>
      <c r="G15" s="11">
        <f>'Stats Global'!AC20</f>
        <v>10</v>
      </c>
      <c r="H15" s="7">
        <f>'Stats Global'!AF20</f>
        <v>5.5555555555555552E-2</v>
      </c>
      <c r="I15" s="11">
        <f>'Stats Global'!AE20</f>
        <v>1</v>
      </c>
      <c r="J15" s="7">
        <f>'Stats Global'!AH20</f>
        <v>0.1111111111111111</v>
      </c>
      <c r="K15" s="11">
        <f>'Stats Global'!AG20</f>
        <v>2</v>
      </c>
      <c r="L15" s="18">
        <f>'Stats Global'!AJ20</f>
        <v>4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1.2380952380952381</v>
      </c>
      <c r="E16" s="11">
        <f>'Stats Global'!AA21</f>
        <v>26</v>
      </c>
      <c r="F16" s="7">
        <f>'Stats Global'!AD21</f>
        <v>0.8571428571428571</v>
      </c>
      <c r="G16" s="11">
        <f>'Stats Global'!AC21</f>
        <v>18</v>
      </c>
      <c r="H16" s="7">
        <f>'Stats Global'!AF21</f>
        <v>0.2857142857142857</v>
      </c>
      <c r="I16" s="11">
        <f>'Stats Global'!AE21</f>
        <v>6</v>
      </c>
      <c r="J16" s="7">
        <f>'Stats Global'!AH21</f>
        <v>4.7619047619047616E-2</v>
      </c>
      <c r="K16" s="11">
        <f>'Stats Global'!AG21</f>
        <v>1</v>
      </c>
      <c r="L16" s="18">
        <f>'Stats Global'!AJ21</f>
        <v>1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2.9</v>
      </c>
      <c r="E17" s="11">
        <f>'Stats Global'!AA22</f>
        <v>58</v>
      </c>
      <c r="F17" s="7">
        <f>'Stats Global'!AD22</f>
        <v>1.7</v>
      </c>
      <c r="G17" s="11">
        <f>'Stats Global'!AC22</f>
        <v>34</v>
      </c>
      <c r="H17" s="7">
        <f>'Stats Global'!AF22</f>
        <v>0.5</v>
      </c>
      <c r="I17" s="11">
        <f>'Stats Global'!AE22</f>
        <v>10</v>
      </c>
      <c r="J17" s="7">
        <f>'Stats Global'!AH22</f>
        <v>0.35</v>
      </c>
      <c r="K17" s="11">
        <f>'Stats Global'!AG22</f>
        <v>7</v>
      </c>
      <c r="L17" s="18">
        <f>'Stats Global'!AJ22</f>
        <v>2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4.5454545454545456E-2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4.5454545454545456E-2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0.42857142857142855</v>
      </c>
      <c r="E19" s="11">
        <f>'Stats Global'!AA24</f>
        <v>6</v>
      </c>
      <c r="F19" s="7">
        <f>'Stats Global'!AD24</f>
        <v>0.2857142857142857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7.1428571428571425E-2</v>
      </c>
      <c r="K19" s="11">
        <f>'Stats Global'!AG24</f>
        <v>1</v>
      </c>
      <c r="L19" s="18">
        <f>'Stats Global'!AJ24</f>
        <v>8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92" t="s">
        <v>119</v>
      </c>
      <c r="C22" s="192"/>
      <c r="D22" s="94"/>
      <c r="Y22" s="2" t="s">
        <v>70</v>
      </c>
    </row>
    <row r="23" spans="2:25" ht="14.25" customHeight="1" x14ac:dyDescent="0.9">
      <c r="B23" s="192"/>
      <c r="C23" s="192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"PPG":[0.14,0.95,3.54,1.44,1.2,1.11,0.57,1.31,2.42,3.33,0.52,0.14,0.83,1.24,2.9,0.05,0.43],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"TP":[3,18,46,23,24,21,12,21,46,70,11,1,15,26,58,1,6],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"FPG":[0,0.89,3.31,1.38,0.5,0.84,0.29,0.13,1.11,0.76,0.14,0,0.56,0.86,1.7,0,0.29],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"TF":[0,17,43,22,10,16,6,2,21,16,3,0,10,18,34,0,4],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"MPG":[0.14,0.05,0.08,0.06,0.5,0.26,0.19,0.19,0.89,2,0.38,0.14,0.06,0.29,0.5,0.05,0],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"TM":[3,1,1,1,10,5,4,3,17,42,8,1,1,6,10,1,0],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"TPG":[0,0,0.08,0,0.1,0,0.05,0.5,0.21,0.29,0,0,0.11,0.05,0.35,0,0.07],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"TT":[0,0,1,0,2,0,1,8,4,6,0,0,2,1,7,0,1],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"Missed":[1,3,9,6,2,3,1,6,3,1,1,15,4,1,2,0,8],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0.14,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0.14,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1,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0.95,</v>
      </c>
      <c r="E51" s="17" t="str">
        <f t="shared" si="5"/>
        <v>18,</v>
      </c>
      <c r="F51" s="17" t="str">
        <f t="shared" si="6"/>
        <v>0.89,</v>
      </c>
      <c r="G51" s="17" t="str">
        <f t="shared" si="7"/>
        <v>17,</v>
      </c>
      <c r="H51" s="17" t="str">
        <f t="shared" si="8"/>
        <v>0.05,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3,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3.54,</v>
      </c>
      <c r="E52" s="17" t="str">
        <f t="shared" si="5"/>
        <v>46,</v>
      </c>
      <c r="F52" s="17" t="str">
        <f t="shared" si="6"/>
        <v>3.31,</v>
      </c>
      <c r="G52" s="17" t="str">
        <f t="shared" si="7"/>
        <v>43,</v>
      </c>
      <c r="H52" s="17" t="str">
        <f t="shared" si="8"/>
        <v>0.08,</v>
      </c>
      <c r="I52" s="17" t="str">
        <f t="shared" si="9"/>
        <v>1,</v>
      </c>
      <c r="J52" s="17" t="str">
        <f t="shared" si="10"/>
        <v>0.08,</v>
      </c>
      <c r="K52" s="17" t="str">
        <f t="shared" si="11"/>
        <v>1,</v>
      </c>
      <c r="L52" s="17" t="str">
        <f t="shared" si="11"/>
        <v>9,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1.44,</v>
      </c>
      <c r="E53" s="17" t="str">
        <f t="shared" si="5"/>
        <v>23,</v>
      </c>
      <c r="F53" s="17" t="str">
        <f t="shared" si="6"/>
        <v>1.38,</v>
      </c>
      <c r="G53" s="17" t="str">
        <f t="shared" si="7"/>
        <v>22,</v>
      </c>
      <c r="H53" s="17" t="str">
        <f t="shared" si="8"/>
        <v>0.06,</v>
      </c>
      <c r="I53" s="17" t="str">
        <f t="shared" si="9"/>
        <v>1,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6,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1.2,</v>
      </c>
      <c r="E54" s="17" t="str">
        <f t="shared" si="5"/>
        <v>24,</v>
      </c>
      <c r="F54" s="17" t="str">
        <f t="shared" si="6"/>
        <v>0.5,</v>
      </c>
      <c r="G54" s="17" t="str">
        <f t="shared" si="7"/>
        <v>10,</v>
      </c>
      <c r="H54" s="17" t="str">
        <f t="shared" si="8"/>
        <v>0.5,</v>
      </c>
      <c r="I54" s="17" t="str">
        <f t="shared" si="9"/>
        <v>10,</v>
      </c>
      <c r="J54" s="17" t="str">
        <f t="shared" si="10"/>
        <v>0.1,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1.11,</v>
      </c>
      <c r="E55" s="17" t="str">
        <f t="shared" si="5"/>
        <v>21,</v>
      </c>
      <c r="F55" s="17" t="str">
        <f t="shared" si="6"/>
        <v>0.84,</v>
      </c>
      <c r="G55" s="17" t="str">
        <f t="shared" si="7"/>
        <v>16,</v>
      </c>
      <c r="H55" s="17" t="str">
        <f t="shared" si="8"/>
        <v>0.26,</v>
      </c>
      <c r="I55" s="17" t="str">
        <f t="shared" si="9"/>
        <v>5,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0.57,</v>
      </c>
      <c r="E56" s="17" t="str">
        <f t="shared" si="5"/>
        <v>12,</v>
      </c>
      <c r="F56" s="17" t="str">
        <f t="shared" si="6"/>
        <v>0.29,</v>
      </c>
      <c r="G56" s="17" t="str">
        <f t="shared" si="7"/>
        <v>6,</v>
      </c>
      <c r="H56" s="17" t="str">
        <f t="shared" si="8"/>
        <v>0.19,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1,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1.31,</v>
      </c>
      <c r="E57" s="17" t="str">
        <f t="shared" si="5"/>
        <v>21,</v>
      </c>
      <c r="F57" s="17" t="str">
        <f t="shared" si="6"/>
        <v>0.13,</v>
      </c>
      <c r="G57" s="17" t="str">
        <f t="shared" si="7"/>
        <v>2,</v>
      </c>
      <c r="H57" s="17" t="str">
        <f t="shared" si="8"/>
        <v>0.19,</v>
      </c>
      <c r="I57" s="17" t="str">
        <f t="shared" si="9"/>
        <v>3,</v>
      </c>
      <c r="J57" s="17" t="str">
        <f t="shared" si="10"/>
        <v>0.5,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2.42,</v>
      </c>
      <c r="E58" s="17" t="str">
        <f t="shared" si="5"/>
        <v>46,</v>
      </c>
      <c r="F58" s="17" t="str">
        <f t="shared" si="6"/>
        <v>1.11,</v>
      </c>
      <c r="G58" s="17" t="str">
        <f t="shared" si="7"/>
        <v>21,</v>
      </c>
      <c r="H58" s="17" t="str">
        <f t="shared" si="8"/>
        <v>0.89,</v>
      </c>
      <c r="I58" s="17" t="str">
        <f t="shared" si="9"/>
        <v>17,</v>
      </c>
      <c r="J58" s="17" t="str">
        <f t="shared" si="10"/>
        <v>0.21,</v>
      </c>
      <c r="K58" s="17" t="str">
        <f t="shared" si="11"/>
        <v>4,</v>
      </c>
      <c r="L58" s="17" t="str">
        <f t="shared" si="11"/>
        <v>3,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3.33,</v>
      </c>
      <c r="E59" s="17" t="str">
        <f t="shared" si="5"/>
        <v>70,</v>
      </c>
      <c r="F59" s="17" t="str">
        <f t="shared" si="6"/>
        <v>0.76,</v>
      </c>
      <c r="G59" s="17" t="str">
        <f t="shared" si="7"/>
        <v>16,</v>
      </c>
      <c r="H59" s="17" t="str">
        <f t="shared" si="8"/>
        <v>2,</v>
      </c>
      <c r="I59" s="17" t="str">
        <f t="shared" si="9"/>
        <v>42,</v>
      </c>
      <c r="J59" s="17" t="str">
        <f t="shared" si="10"/>
        <v>0.29,</v>
      </c>
      <c r="K59" s="17" t="str">
        <f t="shared" si="11"/>
        <v>6,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0.52,</v>
      </c>
      <c r="E60" s="17" t="str">
        <f t="shared" si="5"/>
        <v>11,</v>
      </c>
      <c r="F60" s="17" t="str">
        <f t="shared" si="6"/>
        <v>0.14,</v>
      </c>
      <c r="G60" s="17" t="str">
        <f t="shared" si="7"/>
        <v>3,</v>
      </c>
      <c r="H60" s="17" t="str">
        <f t="shared" si="8"/>
        <v>0.38,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1,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0.14,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0.14,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15,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0.83,</v>
      </c>
      <c r="E62" s="17" t="str">
        <f t="shared" si="5"/>
        <v>15,</v>
      </c>
      <c r="F62" s="17" t="str">
        <f t="shared" si="6"/>
        <v>0.56,</v>
      </c>
      <c r="G62" s="17" t="str">
        <f t="shared" si="7"/>
        <v>10,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0.11,</v>
      </c>
      <c r="K62" s="17" t="str">
        <f t="shared" si="11"/>
        <v>2,</v>
      </c>
      <c r="L62" s="17" t="str">
        <f t="shared" si="11"/>
        <v>4,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1.24,</v>
      </c>
      <c r="E63" s="17" t="str">
        <f t="shared" si="5"/>
        <v>26,</v>
      </c>
      <c r="F63" s="17" t="str">
        <f t="shared" si="6"/>
        <v>0.86,</v>
      </c>
      <c r="G63" s="17" t="str">
        <f t="shared" si="7"/>
        <v>18,</v>
      </c>
      <c r="H63" s="17" t="str">
        <f t="shared" si="8"/>
        <v>0.29,</v>
      </c>
      <c r="I63" s="17" t="str">
        <f t="shared" si="9"/>
        <v>6,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1,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2.9,</v>
      </c>
      <c r="E64" s="17" t="str">
        <f t="shared" si="5"/>
        <v>58,</v>
      </c>
      <c r="F64" s="17" t="str">
        <f t="shared" si="6"/>
        <v>1.7,</v>
      </c>
      <c r="G64" s="17" t="str">
        <f t="shared" si="7"/>
        <v>34,</v>
      </c>
      <c r="H64" s="17" t="str">
        <f t="shared" si="8"/>
        <v>0.5,</v>
      </c>
      <c r="I64" s="17" t="str">
        <f t="shared" si="9"/>
        <v>10,</v>
      </c>
      <c r="J64" s="17" t="str">
        <f t="shared" si="10"/>
        <v>0.35,</v>
      </c>
      <c r="K64" s="17" t="str">
        <f t="shared" si="11"/>
        <v>7,</v>
      </c>
      <c r="L64" s="17" t="str">
        <f t="shared" si="11"/>
        <v>2,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0.43</v>
      </c>
      <c r="E66" s="17">
        <f>E19</f>
        <v>6</v>
      </c>
      <c r="F66" s="17">
        <f>ROUND(F19,2)</f>
        <v>0.28999999999999998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7.0000000000000007E-2</v>
      </c>
      <c r="K66" s="17">
        <f>K19</f>
        <v>1</v>
      </c>
      <c r="L66" s="17">
        <f>L19</f>
        <v>8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4" type="noConversion"/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P1" zoomScale="70" zoomScaleNormal="70" workbookViewId="0">
      <selection activeCell="AA88" sqref="AA8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1.2941176470588236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16.61904761904762</v>
      </c>
      <c r="T6" s="115">
        <f>AVERAGE(C8:C40)</f>
        <v>10.428571428571429</v>
      </c>
      <c r="U6" s="115">
        <f t="shared" ref="U6:V6" si="0">AVERAGE(D8:D40)</f>
        <v>4.0476190476190474</v>
      </c>
      <c r="V6" s="115">
        <f t="shared" si="0"/>
        <v>2.1428571428571428</v>
      </c>
      <c r="Z6" s="69" t="s">
        <v>166</v>
      </c>
      <c r="AA6" s="8">
        <f>AA47+AA67+AL27+AL47+AL67+AA87+AL87</f>
        <v>22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19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0.6275071633237822</v>
      </c>
      <c r="U7" s="5">
        <f>U6/$S$6</f>
        <v>0.2435530085959885</v>
      </c>
      <c r="V7" s="5">
        <f>V6/$S$6</f>
        <v>0.12893982808022922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0.14285714285714285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0.14285714285714285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1</v>
      </c>
      <c r="AK8" s="62"/>
      <c r="AL8" s="122" t="s">
        <v>0</v>
      </c>
      <c r="AM8" s="121">
        <f>AVERAGE(Table1[Average])</f>
        <v>1.3012874122781242</v>
      </c>
      <c r="AN8" s="121">
        <f>MEDIAN(Table1[Average])</f>
        <v>1.1052631578947369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0.1875</v>
      </c>
      <c r="AT8" s="144">
        <f>Table1[[#This Row],[Average]]-'[1]Stats Global'!R8</f>
        <v>-0.26890756302521007</v>
      </c>
      <c r="AU8" s="27">
        <f>(Table1[[#This Row],[Average]]-'[1]Stats Global'!R8)/'[1]Stats Global'!R8</f>
        <v>-0.65306122448979587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0.16666666666666666</v>
      </c>
      <c r="BB8" s="16">
        <f>Table4[[#This Row],[Total A]]/$AX$6</f>
        <v>5.2631578947368418E-2</v>
      </c>
      <c r="BC8" s="16">
        <f>Table4[[#This Row],[Total S]]/$AX$6</f>
        <v>0.15789473684210525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18</v>
      </c>
      <c r="AB9" s="176">
        <f>IF($AA$6-Table1[[#This Row],[Missed Games]]=0, 0,Table1[[#This Row],[Points]]/($AA$6-Table1[[#This Row],[Missed Games]]))</f>
        <v>0.94736842105263153</v>
      </c>
      <c r="AC9" s="177">
        <f t="shared" si="2"/>
        <v>17</v>
      </c>
      <c r="AD9" s="178">
        <f>IF($AA$6-Table1[[#This Row],[Missed Games]]=0, 0,Table1[[#This Row],[Finishes]]/($AA$6-Table1[[#This Row],[Missed Games]]))</f>
        <v>0.89473684210526316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5.2631578947368418E-2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3</v>
      </c>
      <c r="AK9" s="62"/>
      <c r="AL9" s="122" t="s">
        <v>1</v>
      </c>
      <c r="AM9" s="121">
        <f>AVERAGE(Table1[Finishes])</f>
        <v>13.058823529411764</v>
      </c>
      <c r="AN9" s="121">
        <f>MEDIAN(Table1[Finishes])</f>
        <v>10</v>
      </c>
      <c r="AO9" s="129"/>
      <c r="AP9" s="18">
        <f>_xlfn.CEILING.MATH('[1]Stats Global'!R9*(20-$AA$5-$AJ9))</f>
        <v>9</v>
      </c>
      <c r="AQ9" s="27">
        <f>Table1[[#This Row],[Points]]/AP9</f>
        <v>2</v>
      </c>
      <c r="AR9" s="128">
        <f>AP9-Table1[[#This Row],[Points]]</f>
        <v>-9</v>
      </c>
      <c r="AS9" s="134">
        <f>Table1[[#This Row],[Points]]/(20-AA$5-Table1[[#This Row],[Missed Games]])</f>
        <v>1.2857142857142858</v>
      </c>
      <c r="AT9" s="144">
        <f>Table1[[#This Row],[Average]]-'[1]Stats Global'!R9</f>
        <v>0.34736842105263155</v>
      </c>
      <c r="AU9" s="27">
        <f>(Table1[[#This Row],[Average]]-'[1]Stats Global'!R9)/'[1]Stats Global'!R9</f>
        <v>0.57894736842105265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0.68421052631578949</v>
      </c>
      <c r="BB9" s="16">
        <f>Table4[[#This Row],[Total A]]/$AX$6</f>
        <v>0</v>
      </c>
      <c r="BC9" s="16">
        <f>Table4[[#This Row],[Total S]]/$AX$6</f>
        <v>0.15789473684210525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46</v>
      </c>
      <c r="AB10" s="65">
        <f>IF($AA$6-Table1[[#This Row],[Missed Games]]=0, 0,Table1[[#This Row],[Points]]/($AA$6-Table1[[#This Row],[Missed Games]]))</f>
        <v>3.5384615384615383</v>
      </c>
      <c r="AC10" s="66">
        <f t="shared" si="2"/>
        <v>43</v>
      </c>
      <c r="AD10" s="67">
        <f>IF($AA$6-Table1[[#This Row],[Missed Games]]=0, 0,Table1[[#This Row],[Finishes]]/($AA$6-Table1[[#This Row],[Missed Games]]))</f>
        <v>3.3076923076923075</v>
      </c>
      <c r="AE10" s="66">
        <f t="shared" si="3"/>
        <v>1</v>
      </c>
      <c r="AF10" s="67">
        <f>IF($AA$6-Table1[[#This Row],[Missed Games]]=0, 0,Table1[[#This Row],[Midranges]]/($AA$6-Table1[[#This Row],[Missed Games]]))</f>
        <v>7.6923076923076927E-2</v>
      </c>
      <c r="AG10" s="66">
        <f t="shared" si="4"/>
        <v>1</v>
      </c>
      <c r="AH10" s="67">
        <f>IF($AA$6-Table1[[#This Row],[Missed Games]]=0, 0,Table1[[#This Row],[Threes]]/($AA$6-Table1[[#This Row],[Missed Games]]))</f>
        <v>7.6923076923076927E-2</v>
      </c>
      <c r="AI10" s="63" t="str">
        <f>SfW!C5</f>
        <v>5 Musketeers</v>
      </c>
      <c r="AJ10" s="68">
        <f t="shared" si="5"/>
        <v>9</v>
      </c>
      <c r="AK10" s="62"/>
      <c r="AL10" s="122" t="s">
        <v>219</v>
      </c>
      <c r="AM10" s="121">
        <f>AVERAGE(Table1[Midranges])</f>
        <v>6.7058823529411766</v>
      </c>
      <c r="AN10" s="121">
        <f>MEDIAN(Table1[Midranges])</f>
        <v>3</v>
      </c>
      <c r="AO10" s="36"/>
      <c r="AP10" s="18">
        <f>_xlfn.CEILING.MATH('[1]Stats Global'!R10*(20-$AA$5-$AJ10))</f>
        <v>26</v>
      </c>
      <c r="AQ10" s="27">
        <f>Table1[[#This Row],[Points]]/AP10</f>
        <v>1.7692307692307692</v>
      </c>
      <c r="AR10" s="128">
        <f>AP10-Table1[[#This Row],[Points]]</f>
        <v>-20</v>
      </c>
      <c r="AS10" s="134">
        <f>Table1[[#This Row],[Points]]/(20-AA$5-Table1[[#This Row],[Missed Games]])</f>
        <v>5.75</v>
      </c>
      <c r="AT10" s="144">
        <f>Table1[[#This Row],[Average]]-'[1]Stats Global'!R10</f>
        <v>0.39560439560439553</v>
      </c>
      <c r="AU10" s="27">
        <f>(Table1[[#This Row],[Average]]-'[1]Stats Global'!R10)/'[1]Stats Global'!R10</f>
        <v>0.12587412587412586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0.26315789473684209</v>
      </c>
      <c r="BB10" s="16">
        <f>Table4[[#This Row],[Total A]]/$AX$6</f>
        <v>0.15789473684210525</v>
      </c>
      <c r="BC10" s="16">
        <f>Table4[[#This Row],[Total S]]/$AX$6</f>
        <v>0.10526315789473684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23</v>
      </c>
      <c r="AB11" s="65">
        <f>IF($AA$6-Table1[[#This Row],[Missed Games]]=0, 0,Table1[[#This Row],[Points]]/($AA$6-Table1[[#This Row],[Missed Games]]))</f>
        <v>1.4375</v>
      </c>
      <c r="AC11" s="66">
        <f t="shared" si="2"/>
        <v>22</v>
      </c>
      <c r="AD11" s="67">
        <f>IF($AA$6-Table1[[#This Row],[Missed Games]]=0, 0,Table1[[#This Row],[Finishes]]/($AA$6-Table1[[#This Row],[Missed Games]]))</f>
        <v>1.375</v>
      </c>
      <c r="AE11" s="66">
        <f t="shared" si="3"/>
        <v>1</v>
      </c>
      <c r="AF11" s="67">
        <f>IF($AA$6-Table1[[#This Row],[Missed Games]]=0, 0,Table1[[#This Row],[Midranges]]/($AA$6-Table1[[#This Row],[Missed Games]]))</f>
        <v>6.25E-2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6</v>
      </c>
      <c r="AK11" s="62"/>
      <c r="AL11" s="122" t="s">
        <v>3</v>
      </c>
      <c r="AM11" s="121">
        <f>AVERAGE(Table1[Threes])</f>
        <v>1.9411764705882353</v>
      </c>
      <c r="AN11" s="121">
        <f>MEDIAN(Table1[Threes])</f>
        <v>1</v>
      </c>
      <c r="AO11" s="36"/>
      <c r="AP11" s="18">
        <f>_xlfn.CEILING.MATH('[1]Stats Global'!R11*(20-$AA$5-$AJ11))</f>
        <v>31</v>
      </c>
      <c r="AQ11" s="27">
        <f>Table1[[#This Row],[Points]]/AP11</f>
        <v>0.74193548387096775</v>
      </c>
      <c r="AR11" s="128">
        <f>AP11-Table1[[#This Row],[Points]]</f>
        <v>8</v>
      </c>
      <c r="AS11" s="134">
        <f>Table1[[#This Row],[Points]]/(20-AA$5-Table1[[#This Row],[Missed Games]])</f>
        <v>2.0909090909090908</v>
      </c>
      <c r="AT11" s="144">
        <f>Table1[[#This Row],[Average]]-'[1]Stats Global'!R11</f>
        <v>-1.375</v>
      </c>
      <c r="AU11" s="27">
        <f>(Table1[[#This Row],[Average]]-'[1]Stats Global'!R11)/'[1]Stats Global'!R11</f>
        <v>-0.48888888888888887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0.52631578947368418</v>
      </c>
      <c r="BB11" s="16">
        <f>Table4[[#This Row],[Total A]]/$AX$6</f>
        <v>5.2631578947368418E-2</v>
      </c>
      <c r="BC11" s="16">
        <f>Table4[[#This Row],[Total S]]/$AX$6</f>
        <v>0.10526315789473684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24</v>
      </c>
      <c r="AB12" s="65">
        <f>IF($AA$6-Table1[[#This Row],[Missed Games]]=0, 0,Table1[[#This Row],[Points]]/($AA$6-Table1[[#This Row],[Missed Games]]))</f>
        <v>1.2</v>
      </c>
      <c r="AC12" s="66">
        <f t="shared" si="2"/>
        <v>10</v>
      </c>
      <c r="AD12" s="67">
        <f>IF($AA$6-Table1[[#This Row],[Missed Games]]=0, 0,Table1[[#This Row],[Finishes]]/($AA$6-Table1[[#This Row],[Missed Games]]))</f>
        <v>0.5</v>
      </c>
      <c r="AE12" s="66">
        <f t="shared" si="3"/>
        <v>10</v>
      </c>
      <c r="AF12" s="67">
        <f>IF($AA$6-Table1[[#This Row],[Missed Games]]=0, 0,Table1[[#This Row],[Midranges]]/($AA$6-Table1[[#This Row],[Missed Games]]))</f>
        <v>0.5</v>
      </c>
      <c r="AG12" s="66">
        <f t="shared" si="4"/>
        <v>2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0.77419354838709675</v>
      </c>
      <c r="AR12" s="128">
        <f>AP12-Table1[[#This Row],[Points]]</f>
        <v>7</v>
      </c>
      <c r="AS12" s="134">
        <f>Table1[[#This Row],[Points]]/(20-AA$5-Table1[[#This Row],[Missed Games]])</f>
        <v>1.6</v>
      </c>
      <c r="AT12" s="144">
        <f>Table1[[#This Row],[Average]]-'[1]Stats Global'!R12</f>
        <v>-0.85882352941176454</v>
      </c>
      <c r="AU12" s="27">
        <f>(Table1[[#This Row],[Average]]-'[1]Stats Global'!R12)/'[1]Stats Global'!R12</f>
        <v>-0.41714285714285709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0.31578947368421051</v>
      </c>
      <c r="BB12" s="16">
        <f>Table4[[#This Row],[Total A]]/$AX$6</f>
        <v>5.2631578947368418E-2</v>
      </c>
      <c r="BC12" s="16">
        <f>Table4[[#This Row],[Total S]]/$AX$6</f>
        <v>5.2631578947368418E-2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21</v>
      </c>
      <c r="AB13" s="176">
        <f>IF($AA$6-Table1[[#This Row],[Missed Games]]=0, 0,Table1[[#This Row],[Points]]/($AA$6-Table1[[#This Row],[Missed Games]]))</f>
        <v>1.1052631578947369</v>
      </c>
      <c r="AC13" s="177">
        <f t="shared" si="2"/>
        <v>16</v>
      </c>
      <c r="AD13" s="178">
        <f>IF($AA$6-Table1[[#This Row],[Missed Games]]=0, 0,Table1[[#This Row],[Finishes]]/($AA$6-Table1[[#This Row],[Missed Games]]))</f>
        <v>0.84210526315789469</v>
      </c>
      <c r="AE13" s="177">
        <f t="shared" si="3"/>
        <v>5</v>
      </c>
      <c r="AF13" s="178">
        <f>IF($AA$6-Table1[[#This Row],[Missed Games]]=0, 0,Table1[[#This Row],[Midranges]]/($AA$6-Table1[[#This Row],[Missed Games]]))</f>
        <v>0.26315789473684209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1.3125</v>
      </c>
      <c r="AR13" s="128">
        <f>AP13-Table1[[#This Row],[Points]]</f>
        <v>-5</v>
      </c>
      <c r="AS13" s="134">
        <f>Table1[[#This Row],[Points]]/(20-AA$5-Table1[[#This Row],[Missed Games]])</f>
        <v>1.5</v>
      </c>
      <c r="AT13" s="144">
        <f>Table1[[#This Row],[Average]]-'[1]Stats Global'!R13</f>
        <v>-3.7593984962405846E-2</v>
      </c>
      <c r="AU13" s="27">
        <f>(Table1[[#This Row],[Average]]-'[1]Stats Global'!R13)/'[1]Stats Global'!R13</f>
        <v>-3.2894736842105116E-2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0.31578947368421051</v>
      </c>
      <c r="BB13" s="16">
        <f>Table4[[#This Row],[Total A]]/$AX$6</f>
        <v>0.10526315789473684</v>
      </c>
      <c r="BC13" s="16">
        <f>Table4[[#This Row],[Total S]]/$AX$6</f>
        <v>5.2631578947368418E-2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0.5714285714285714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0.2857142857142857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0.19047619047619047</v>
      </c>
      <c r="AG14" s="177">
        <f t="shared" si="4"/>
        <v>1</v>
      </c>
      <c r="AH14" s="178">
        <f>IF($AA$6-Table1[[#This Row],[Missed Games]]=0, 0,Table1[[#This Row],[Threes]]/($AA$6-Table1[[#This Row],[Missed Games]]))</f>
        <v>4.7619047619047616E-2</v>
      </c>
      <c r="AI14" s="174" t="str">
        <f>SfW!C9</f>
        <v>5 Musketeers</v>
      </c>
      <c r="AJ14" s="179">
        <f t="shared" si="5"/>
        <v>1</v>
      </c>
      <c r="AK14" s="62"/>
      <c r="AL14" s="62"/>
      <c r="AM14" s="62"/>
      <c r="AO14" s="36"/>
      <c r="AP14" s="18">
        <f>_xlfn.CEILING.MATH('[1]Stats Global'!R23*(20-$AA$5-$AJ14))</f>
        <v>5</v>
      </c>
      <c r="AQ14" s="27">
        <f>Table1[[#This Row],[Points]]/AP14</f>
        <v>2.4</v>
      </c>
      <c r="AR14" s="128">
        <f>AP14-Table1[[#This Row],[Points]]</f>
        <v>-7</v>
      </c>
      <c r="AS14" s="134">
        <f>Table1[[#This Row],[Points]]/(20-AA$5-Table1[[#This Row],[Missed Games]])</f>
        <v>0.75</v>
      </c>
      <c r="AT14" s="144">
        <f>Table1[[#This Row],[Average]]-'[1]Stats Global'!R23</f>
        <v>0.2589285714285714</v>
      </c>
      <c r="AU14" s="27">
        <f>(Table1[[#This Row],[Average]]-'[1]Stats Global'!R23)/'[1]Stats Global'!R23</f>
        <v>0.82857142857142851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0.47368421052631576</v>
      </c>
      <c r="BB14" s="16">
        <f>Table4[[#This Row],[Total A]]/$AX$6</f>
        <v>0</v>
      </c>
      <c r="BC14" s="16">
        <f>Table4[[#This Row],[Total S]]/$AX$6</f>
        <v>0.10526315789473684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21</v>
      </c>
      <c r="AB15" s="176">
        <f>IF($AA$6-Table1[[#This Row],[Missed Games]]=0, 0,Table1[[#This Row],[Points]]/($AA$6-Table1[[#This Row],[Missed Games]]))</f>
        <v>1.3125</v>
      </c>
      <c r="AC15" s="177">
        <f t="shared" si="2"/>
        <v>2</v>
      </c>
      <c r="AD15" s="178">
        <f>IF($AA$6-Table1[[#This Row],[Missed Games]]=0, 0,Table1[[#This Row],[Finishes]]/($AA$6-Table1[[#This Row],[Missed Games]]))</f>
        <v>0.125</v>
      </c>
      <c r="AE15" s="177">
        <f t="shared" si="3"/>
        <v>3</v>
      </c>
      <c r="AF15" s="178">
        <f>IF($AA$6-Table1[[#This Row],[Missed Games]]=0, 0,Table1[[#This Row],[Midranges]]/($AA$6-Table1[[#This Row],[Missed Games]]))</f>
        <v>0.1875</v>
      </c>
      <c r="AG15" s="177">
        <f t="shared" si="4"/>
        <v>8</v>
      </c>
      <c r="AH15" s="178">
        <f>IF($AA$6-Table1[[#This Row],[Missed Games]]=0, 0,Table1[[#This Row],[Threes]]/($AA$6-Table1[[#This Row],[Missed Games]]))</f>
        <v>0.5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1.1666666666666667</v>
      </c>
      <c r="AR15" s="128">
        <f>AP15-Table1[[#This Row],[Points]]</f>
        <v>-3</v>
      </c>
      <c r="AS15" s="134">
        <f>Table1[[#This Row],[Points]]/(20-AA$5-Table1[[#This Row],[Missed Games]])</f>
        <v>1.9090909090909092</v>
      </c>
      <c r="AT15" s="144">
        <f>Table1[[#This Row],[Average]]-'[1]Stats Global'!R14</f>
        <v>-0.27573529411764697</v>
      </c>
      <c r="AU15" s="27">
        <f>(Table1[[#This Row],[Average]]-'[1]Stats Global'!R14)/'[1]Stats Global'!R14</f>
        <v>-0.17361111111111108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46</v>
      </c>
      <c r="AB16" s="65">
        <f>IF($AA$6-Table1[[#This Row],[Missed Games]]=0, 0,Table1[[#This Row],[Points]]/($AA$6-Table1[[#This Row],[Missed Games]]))</f>
        <v>2.4210526315789473</v>
      </c>
      <c r="AC16" s="66">
        <f t="shared" si="2"/>
        <v>21</v>
      </c>
      <c r="AD16" s="67">
        <f>IF($AA$6-Table1[[#This Row],[Missed Games]]=0, 0,Table1[[#This Row],[Finishes]]/($AA$6-Table1[[#This Row],[Missed Games]]))</f>
        <v>1.1052631578947369</v>
      </c>
      <c r="AE16" s="66">
        <f t="shared" si="3"/>
        <v>17</v>
      </c>
      <c r="AF16" s="67">
        <f>IF($AA$6-Table1[[#This Row],[Missed Games]]=0, 0,Table1[[#This Row],[Midranges]]/($AA$6-Table1[[#This Row],[Missed Games]]))</f>
        <v>0.89473684210526316</v>
      </c>
      <c r="AG16" s="66">
        <f t="shared" si="4"/>
        <v>4</v>
      </c>
      <c r="AH16" s="67">
        <f>IF($AA$6-Table1[[#This Row],[Missed Games]]=0, 0,Table1[[#This Row],[Threes]]/($AA$6-Table1[[#This Row],[Missed Games]]))</f>
        <v>0.21052631578947367</v>
      </c>
      <c r="AI16" s="63" t="str">
        <f>SfW!C11</f>
        <v>Loose Gooses</v>
      </c>
      <c r="AJ16" s="68">
        <f t="shared" si="5"/>
        <v>3</v>
      </c>
      <c r="AK16" s="62"/>
      <c r="AL16" s="62"/>
      <c r="AM16" s="62"/>
      <c r="AO16" s="36"/>
      <c r="AP16" s="18">
        <f>_xlfn.CEILING.MATH('[1]Stats Global'!R15*(20-$AA$5-$AJ16))</f>
        <v>20</v>
      </c>
      <c r="AQ16" s="27">
        <f>Table1[[#This Row],[Points]]/AP16</f>
        <v>2.2999999999999998</v>
      </c>
      <c r="AR16" s="128">
        <f>AP16-Table1[[#This Row],[Points]]</f>
        <v>-26</v>
      </c>
      <c r="AS16" s="134">
        <f>Table1[[#This Row],[Points]]/(20-AA$5-Table1[[#This Row],[Missed Games]])</f>
        <v>3.2857142857142856</v>
      </c>
      <c r="AT16" s="144">
        <f>Table1[[#This Row],[Average]]-'[1]Stats Global'!R15</f>
        <v>1.0092879256965943</v>
      </c>
      <c r="AU16" s="27">
        <f>(Table1[[#This Row],[Average]]-'[1]Stats Global'!R15)/'[1]Stats Global'!R15</f>
        <v>0.71491228070175428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0.73684210526315785</v>
      </c>
      <c r="BB16" s="16">
        <f>Table4[[#This Row],[Total A]]/$AX$6</f>
        <v>0.15789473684210525</v>
      </c>
      <c r="BC16" s="16">
        <f>Table4[[#This Row],[Total S]]/$AX$6</f>
        <v>0.10526315789473684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70</v>
      </c>
      <c r="AB17" s="65">
        <f>IF($AA$6-Table1[[#This Row],[Missed Games]]=0, 0,Table1[[#This Row],[Points]]/($AA$6-Table1[[#This Row],[Missed Games]]))</f>
        <v>3.3333333333333335</v>
      </c>
      <c r="AC17" s="66">
        <f t="shared" si="2"/>
        <v>16</v>
      </c>
      <c r="AD17" s="67">
        <f>IF($AA$6-Table1[[#This Row],[Missed Games]]=0, 0,Table1[[#This Row],[Finishes]]/($AA$6-Table1[[#This Row],[Missed Games]]))</f>
        <v>0.76190476190476186</v>
      </c>
      <c r="AE17" s="66">
        <f t="shared" si="3"/>
        <v>42</v>
      </c>
      <c r="AF17" s="67">
        <f>IF($AA$6-Table1[[#This Row],[Missed Games]]=0, 0,Table1[[#This Row],[Midranges]]/($AA$6-Table1[[#This Row],[Missed Games]]))</f>
        <v>2</v>
      </c>
      <c r="AG17" s="66">
        <f t="shared" si="4"/>
        <v>6</v>
      </c>
      <c r="AH17" s="67">
        <f>IF($AA$6-Table1[[#This Row],[Missed Games]]=0, 0,Table1[[#This Row],[Threes]]/($AA$6-Table1[[#This Row],[Missed Games]]))</f>
        <v>0.2857142857142857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1.7073170731707317</v>
      </c>
      <c r="AR17" s="128">
        <f>AP17-Table1[[#This Row],[Points]]</f>
        <v>-29</v>
      </c>
      <c r="AS17" s="134">
        <f>Table1[[#This Row],[Points]]/(20-AA$5-Table1[[#This Row],[Missed Games]])</f>
        <v>4.375</v>
      </c>
      <c r="AT17" s="144">
        <f>Table1[[#This Row],[Average]]-'[1]Stats Global'!R16</f>
        <v>0.80000000000000027</v>
      </c>
      <c r="AU17" s="27">
        <f>(Table1[[#This Row],[Average]]-'[1]Stats Global'!R16)/'[1]Stats Global'!R16</f>
        <v>0.31578947368421062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0.73684210526315785</v>
      </c>
      <c r="BB17" s="16">
        <f>Table4[[#This Row],[Total A]]/$AX$6</f>
        <v>0.10526315789473684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0.52380952380952384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0.14285714285714285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0.38095238095238093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1</v>
      </c>
      <c r="AK18" s="62"/>
      <c r="AL18" s="62"/>
      <c r="AM18" s="62"/>
      <c r="AO18" s="36"/>
      <c r="AP18" s="18">
        <f>_xlfn.CEILING.MATH('[1]Stats Global'!R17*(20-$AA$5-$AJ18))</f>
        <v>14</v>
      </c>
      <c r="AQ18" s="27">
        <f>Table1[[#This Row],[Points]]/AP18</f>
        <v>0.7857142857142857</v>
      </c>
      <c r="AR18" s="128">
        <f>AP18-Table1[[#This Row],[Points]]</f>
        <v>3</v>
      </c>
      <c r="AS18" s="134">
        <f>Table1[[#This Row],[Points]]/(20-AA$5-Table1[[#This Row],[Missed Games]])</f>
        <v>0.6875</v>
      </c>
      <c r="AT18" s="144">
        <f>Table1[[#This Row],[Average]]-'[1]Stats Global'!R17</f>
        <v>-0.35119047619047616</v>
      </c>
      <c r="AU18" s="27">
        <f>(Table1[[#This Row],[Average]]-'[1]Stats Global'!R17)/'[1]Stats Global'!R17</f>
        <v>-0.40136054421768702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5.2631578947368418E-2</v>
      </c>
      <c r="BB18" s="16">
        <f>Table4[[#This Row],[Total A]]/$AX$6</f>
        <v>0</v>
      </c>
      <c r="BC18" s="16">
        <f>Table4[[#This Row],[Total S]]/$AX$6</f>
        <v>0.26315789473684209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0.14285714285714285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0.14285714285714285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15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0.15789473684210525</v>
      </c>
      <c r="BB19" s="16">
        <f>Table4[[#This Row],[Total A]]/$AX$6</f>
        <v>5.2631578947368418E-2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15</v>
      </c>
      <c r="AB20" s="176">
        <f>IF($AA$6-Table1[[#This Row],[Missed Games]]=0, 0,Table1[[#This Row],[Points]]/($AA$6-Table1[[#This Row],[Missed Games]]))</f>
        <v>0.83333333333333337</v>
      </c>
      <c r="AC20" s="177">
        <f t="shared" si="2"/>
        <v>10</v>
      </c>
      <c r="AD20" s="180">
        <f>IF($AA$6-Table1[[#This Row],[Missed Games]]=0, 0,Table1[[#This Row],[Finishes]]/($AA$6-Table1[[#This Row],[Missed Games]]))</f>
        <v>0.55555555555555558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5.5555555555555552E-2</v>
      </c>
      <c r="AG20" s="177">
        <f t="shared" si="4"/>
        <v>2</v>
      </c>
      <c r="AH20" s="180">
        <f>IF($AA$6-Table1[[#This Row],[Missed Games]]=0, 0,Table1[[#This Row],[Threes]]/($AA$6-Table1[[#This Row],[Missed Games]]))</f>
        <v>0.1111111111111111</v>
      </c>
      <c r="AI20" s="174" t="str">
        <f>SfW!C15</f>
        <v>Wet Willies</v>
      </c>
      <c r="AJ20" s="179">
        <f t="shared" si="5"/>
        <v>4</v>
      </c>
      <c r="AK20" s="62"/>
      <c r="AL20" s="62"/>
      <c r="AM20" s="62"/>
      <c r="AO20" s="36"/>
      <c r="AP20" s="18">
        <f>_xlfn.CEILING.MATH('[1]Stats Global'!R18*(20-$AA$5-$AJ20))</f>
        <v>14</v>
      </c>
      <c r="AQ20" s="27">
        <f>Table1[[#This Row],[Points]]/AP20</f>
        <v>1.0714285714285714</v>
      </c>
      <c r="AR20" s="128">
        <f>AP20-Table1[[#This Row],[Points]]</f>
        <v>-1</v>
      </c>
      <c r="AS20" s="134">
        <f>Table1[[#This Row],[Points]]/(20-AA$5-Table1[[#This Row],[Missed Games]])</f>
        <v>1.1538461538461537</v>
      </c>
      <c r="AT20" s="144">
        <f>Table1[[#This Row],[Average]]-'[1]Stats Global'!R18</f>
        <v>-0.23333333333333328</v>
      </c>
      <c r="AU20" s="27">
        <f>(Table1[[#This Row],[Average]]-'[1]Stats Global'!R18)/'[1]Stats Global'!R18</f>
        <v>-0.21874999999999994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0.42105263157894735</v>
      </c>
      <c r="BB20" s="16">
        <f>Table4[[#This Row],[Total A]]/$AX$6</f>
        <v>5.2631578947368418E-2</v>
      </c>
      <c r="BC20" s="16">
        <f>Table4[[#This Row],[Total S]]/$AX$6</f>
        <v>0.15789473684210525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26</v>
      </c>
      <c r="AB21" s="176">
        <f>IF($AA$6-Table1[[#This Row],[Missed Games]]=0, 0,Table1[[#This Row],[Points]]/($AA$6-Table1[[#This Row],[Missed Games]]))</f>
        <v>1.2380952380952381</v>
      </c>
      <c r="AC21" s="177">
        <f t="shared" si="2"/>
        <v>18</v>
      </c>
      <c r="AD21" s="180">
        <f>IF($AA$6-Table1[[#This Row],[Missed Games]]=0, 0,Table1[[#This Row],[Finishes]]/($AA$6-Table1[[#This Row],[Missed Games]]))</f>
        <v>0.8571428571428571</v>
      </c>
      <c r="AE21" s="177">
        <f t="shared" si="3"/>
        <v>6</v>
      </c>
      <c r="AF21" s="180">
        <f>IF($AA$6-Table1[[#This Row],[Missed Games]]=0, 0,Table1[[#This Row],[Midranges]]/($AA$6-Table1[[#This Row],[Missed Games]]))</f>
        <v>0.2857142857142857</v>
      </c>
      <c r="AG21" s="177">
        <f t="shared" si="4"/>
        <v>1</v>
      </c>
      <c r="AH21" s="180">
        <f>IF($AA$6-Table1[[#This Row],[Missed Games]]=0, 0,Table1[[#This Row],[Threes]]/($AA$6-Table1[[#This Row],[Missed Games]]))</f>
        <v>4.7619047619047616E-2</v>
      </c>
      <c r="AI21" s="174" t="str">
        <f>SfW!C16</f>
        <v>Loose Gooses</v>
      </c>
      <c r="AJ21" s="179">
        <f t="shared" si="5"/>
        <v>1</v>
      </c>
      <c r="AK21" s="62"/>
      <c r="AL21" s="62"/>
      <c r="AM21" s="62"/>
      <c r="AO21" s="36"/>
      <c r="AP21" s="18">
        <f>_xlfn.CEILING.MATH('[1]Stats Global'!R19*(20-$AA$5-$AJ21))</f>
        <v>17</v>
      </c>
      <c r="AQ21" s="27">
        <f>Table1[[#This Row],[Points]]/AP21</f>
        <v>1.5294117647058822</v>
      </c>
      <c r="AR21" s="128">
        <f>AP21-Table1[[#This Row],[Points]]</f>
        <v>-9</v>
      </c>
      <c r="AS21" s="134">
        <f>Table1[[#This Row],[Points]]/(20-AA$5-Table1[[#This Row],[Missed Games]])</f>
        <v>1.625</v>
      </c>
      <c r="AT21" s="144">
        <f>Table1[[#This Row],[Average]]-'[1]Stats Global'!R19</f>
        <v>0.17927170868347342</v>
      </c>
      <c r="AU21" s="27">
        <f>(Table1[[#This Row],[Average]]-'[1]Stats Global'!R19)/'[1]Stats Global'!R19</f>
        <v>0.16931216931216933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0.63157894736842102</v>
      </c>
      <c r="BB21" s="16">
        <f>Table4[[#This Row],[Total A]]/$AX$6</f>
        <v>0.10526315789473684</v>
      </c>
      <c r="BC21" s="16">
        <f>Table4[[#This Row],[Total S]]/$AX$6</f>
        <v>0.10526315789473684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58</v>
      </c>
      <c r="AB22" s="65">
        <f>IF($AA$6-Table1[[#This Row],[Missed Games]]=0, 0,Table1[[#This Row],[Points]]/($AA$6-Table1[[#This Row],[Missed Games]]))</f>
        <v>2.9</v>
      </c>
      <c r="AC22" s="66">
        <f t="shared" si="2"/>
        <v>34</v>
      </c>
      <c r="AD22" s="109">
        <f>IF($AA$6-Table1[[#This Row],[Missed Games]]=0, 0,Table1[[#This Row],[Finishes]]/($AA$6-Table1[[#This Row],[Missed Games]]))</f>
        <v>1.7</v>
      </c>
      <c r="AE22" s="66">
        <f t="shared" si="3"/>
        <v>10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0.35</v>
      </c>
      <c r="AI22" s="108" t="str">
        <f>SfW!C17</f>
        <v>Loose Gooses</v>
      </c>
      <c r="AJ22" s="68">
        <f t="shared" si="5"/>
        <v>2</v>
      </c>
      <c r="AK22" s="62"/>
      <c r="AL22" s="62"/>
      <c r="AM22" s="62"/>
      <c r="AO22" s="36"/>
      <c r="AP22" s="18">
        <f>_xlfn.CEILING.MATH('[1]Stats Global'!R20*(20-$AA$5-$AJ22))</f>
        <v>37</v>
      </c>
      <c r="AQ22" s="27">
        <f>Table1[[#This Row],[Points]]/AP22</f>
        <v>1.5675675675675675</v>
      </c>
      <c r="AR22" s="128">
        <f>AP22-Table1[[#This Row],[Points]]</f>
        <v>-21</v>
      </c>
      <c r="AS22" s="134">
        <f>Table1[[#This Row],[Points]]/(20-AA$5-Table1[[#This Row],[Missed Games]])</f>
        <v>3.8666666666666667</v>
      </c>
      <c r="AT22" s="144">
        <f>Table1[[#This Row],[Average]]-'[1]Stats Global'!R20</f>
        <v>0.47142857142857153</v>
      </c>
      <c r="AU22" s="27">
        <f>(Table1[[#This Row],[Average]]-'[1]Stats Global'!R20)/'[1]Stats Global'!R20</f>
        <v>0.19411764705882359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0.57894736842105265</v>
      </c>
      <c r="BB22" s="16">
        <f>Table4[[#This Row],[Total A]]/$AX$6</f>
        <v>0.36842105263157893</v>
      </c>
      <c r="BC22" s="16">
        <f>Table4[[#This Row],[Total S]]/$AX$6</f>
        <v>0.15789473684210525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4.5454545454545456E-2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4.5454545454545456E-2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-7.2192513368983954E-2</v>
      </c>
      <c r="AU23" s="27">
        <f>(Table1[[#This Row],[Average]]-'[1]Stats Global'!R21)/'[1]Stats Global'!R21</f>
        <v>-0.61363636363636365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0.21052631578947367</v>
      </c>
      <c r="BB23" s="16">
        <f>Table4[[#This Row],[Total A]]/$AX$6</f>
        <v>5.2631578947368418E-2</v>
      </c>
      <c r="BC23" s="16">
        <f>Table4[[#This Row],[Total S]]/$AX$6</f>
        <v>0.10526315789473684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0.42857142857142855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0.2857142857142857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7.1428571428571425E-2</v>
      </c>
      <c r="AI24" s="174" t="str">
        <f>SfW!C19</f>
        <v>Wet Willies</v>
      </c>
      <c r="AJ24" s="179">
        <f t="shared" si="5"/>
        <v>8</v>
      </c>
      <c r="AL24" s="43"/>
      <c r="AM24" s="44"/>
      <c r="AN24" s="4"/>
      <c r="AP24" s="18">
        <f>_xlfn.CEILING.MATH('[1]Stats Global'!R22*(20-$AA$5-$AJ24))</f>
        <v>6</v>
      </c>
      <c r="AQ24" s="27">
        <f>Table1[[#This Row],[Points]]/AP24</f>
        <v>1</v>
      </c>
      <c r="AR24" s="128">
        <f>AP24-Table1[[#This Row],[Points]]</f>
        <v>0</v>
      </c>
      <c r="AS24" s="134">
        <f>Table1[[#This Row],[Points]]/(20-AA$5-Table1[[#This Row],[Missed Games]])</f>
        <v>0.66666666666666663</v>
      </c>
      <c r="AT24" s="144">
        <f>Table1[[#This Row],[Average]]-'[1]Stats Global'!R22</f>
        <v>-0.21848739495798325</v>
      </c>
      <c r="AU24" s="27">
        <f>(Table1[[#This Row],[Average]]-'[1]Stats Global'!R22)/'[1]Stats Global'!R22</f>
        <v>-0.33766233766233772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5.2631578947368418E-2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11" t="str">
        <f>'Finals 3'!B45</f>
        <v>23-August</v>
      </c>
      <c r="C27" s="111">
        <f>'Finals 3'!C45</f>
        <v>11</v>
      </c>
      <c r="D27" s="111">
        <f>'Finals 3'!D45</f>
        <v>5</v>
      </c>
      <c r="E27" s="111">
        <f>'Finals 3'!E45</f>
        <v>2</v>
      </c>
      <c r="F27" s="111">
        <f>'Finals 3'!F45</f>
        <v>11</v>
      </c>
      <c r="G27" s="111">
        <f>'Finals 3'!G45</f>
        <v>2</v>
      </c>
      <c r="H27" s="111">
        <f>'Finals 3'!H45</f>
        <v>3</v>
      </c>
      <c r="I27" s="111">
        <f>'Finals 3'!I45</f>
        <v>2</v>
      </c>
      <c r="J27" s="111">
        <f>'Finals 3'!J45</f>
        <v>5</v>
      </c>
      <c r="K27" s="111">
        <f>'Finals 3'!K45</f>
        <v>2</v>
      </c>
      <c r="L27" s="111">
        <f>'Finals 3'!L45</f>
        <v>5</v>
      </c>
      <c r="M27" s="111">
        <f>'Finals 3'!M45</f>
        <v>6</v>
      </c>
      <c r="N27" s="111">
        <f>'Finals 3'!N45</f>
        <v>0</v>
      </c>
      <c r="O27" s="111">
        <f>'Finals 3'!O45</f>
        <v>6</v>
      </c>
      <c r="P27" s="111">
        <f>'Finals 3'!P45</f>
        <v>2</v>
      </c>
      <c r="Q27" s="111">
        <f>'Finals 3'!Q45</f>
        <v>4</v>
      </c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11" t="str">
        <f>'Final Ladder'!B45</f>
        <v>9-October</v>
      </c>
      <c r="C28" s="111">
        <f>'Final Ladder'!C45</f>
        <v>14</v>
      </c>
      <c r="D28" s="111">
        <f>'Final Ladder'!D45</f>
        <v>2</v>
      </c>
      <c r="E28" s="111">
        <f>'Final Ladder'!E45</f>
        <v>2</v>
      </c>
      <c r="F28" s="111">
        <f>'Final Ladder'!F45</f>
        <v>14</v>
      </c>
      <c r="G28" s="111">
        <f>'Final Ladder'!G45</f>
        <v>2</v>
      </c>
      <c r="H28" s="111">
        <f>'Final Ladder'!H45</f>
        <v>2</v>
      </c>
      <c r="I28" s="111">
        <f>'Final Ladder'!I45</f>
        <v>2</v>
      </c>
      <c r="J28" s="111">
        <f>'Final Ladder'!J45</f>
        <v>8</v>
      </c>
      <c r="K28" s="111">
        <f>'Final Ladder'!K45</f>
        <v>0</v>
      </c>
      <c r="L28" s="111">
        <f>'Final Ladder'!L45</f>
        <v>2</v>
      </c>
      <c r="M28" s="111">
        <f>'Final Ladder'!M45</f>
        <v>6</v>
      </c>
      <c r="N28" s="111">
        <f>'Final Ladder'!N45</f>
        <v>0</v>
      </c>
      <c r="O28" s="111">
        <f>'Final Ladder'!O45</f>
        <v>5</v>
      </c>
      <c r="P28" s="111">
        <f>'Final Ladder'!P45</f>
        <v>0</v>
      </c>
      <c r="Q28" s="111">
        <f>'Final Ladder'!Q45</f>
        <v>0</v>
      </c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54</v>
      </c>
      <c r="T41" s="126">
        <f>S41/SUM(S41:S43)</f>
        <v>0.3776223776223776</v>
      </c>
      <c r="U41" s="130">
        <v>0.32188841201716739</v>
      </c>
      <c r="V41" s="43">
        <v>0.36899999999999999</v>
      </c>
      <c r="W41">
        <f>T41*(6*(20-AA$5))</f>
        <v>38.517482517482513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39</v>
      </c>
      <c r="T42" s="130">
        <f>S42/SUM(S41:S43)</f>
        <v>0.27272727272727271</v>
      </c>
      <c r="U42" s="130">
        <v>0.35193133047210301</v>
      </c>
      <c r="V42" s="43">
        <v>0.26200000000000001</v>
      </c>
      <c r="W42" s="16">
        <f t="shared" ref="W42:W43" si="6">T42*(6*(20-AA$5))</f>
        <v>27.818181818181817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50</v>
      </c>
      <c r="T43" s="130">
        <f>S43/SUM(S41:S43)</f>
        <v>0.34965034965034963</v>
      </c>
      <c r="U43" s="130">
        <v>0.3261802575107296</v>
      </c>
      <c r="V43" s="43">
        <v>0.36899999999999999</v>
      </c>
      <c r="W43" s="16">
        <f t="shared" si="6"/>
        <v>35.66433566433566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-10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-12.5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222</v>
      </c>
      <c r="V49" s="17">
        <f>U49/AA6</f>
        <v>10.090909090909092</v>
      </c>
      <c r="W49" s="27">
        <f>U49/SUM($U$49:$U$51)</f>
        <v>0.60162601626016265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114</v>
      </c>
      <c r="V50" s="17">
        <f>U50/AA6</f>
        <v>5.1818181818181817</v>
      </c>
      <c r="W50" s="27">
        <f>U50/SUM($U$49:$U$51)</f>
        <v>0.30894308943089432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33</v>
      </c>
      <c r="V51" s="17">
        <f>U51/AA6</f>
        <v>1.5</v>
      </c>
      <c r="W51" s="27">
        <f>U51/SUM($U$49:$U$51)</f>
        <v>8.943089430894309E-2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0.61818181818181817</v>
      </c>
      <c r="V55" s="38">
        <f>'Statistics LG'!O42</f>
        <v>0.5149253731343284</v>
      </c>
      <c r="W55" s="38">
        <f>AVERAGE(U55:V55)</f>
        <v>0.56655359565807328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0.38181818181818183</v>
      </c>
      <c r="U56" s="40" t="s">
        <v>131</v>
      </c>
      <c r="V56" s="38">
        <f>'Statistics WW'!L42</f>
        <v>0.35922330097087379</v>
      </c>
      <c r="W56" s="38">
        <f>AVERAGE(T56:V56)</f>
        <v>0.37052074139452784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0.4850746268656716</v>
      </c>
      <c r="U57" s="38">
        <f>1-V56</f>
        <v>0.64077669902912615</v>
      </c>
      <c r="V57" s="40" t="s">
        <v>131</v>
      </c>
      <c r="W57" s="38">
        <f>AVERAGE(T57:V57)</f>
        <v>0.56292566294739887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5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2'!S3+'Finals 3'!S3+'Final Ladder'!S3+'Play-In'!S3</f>
        <v>0</v>
      </c>
      <c r="AB89" s="31">
        <f>'Finals 1'!T3+'Finals 2'!T3+'Finals 3'!T3+'Final Ladder'!T3+'Play-In'!T3</f>
        <v>0</v>
      </c>
      <c r="AC89" s="31">
        <f>'Finals 1'!U3+'Finals 2'!U3+'Finals 3'!U3+'Final Ladder'!U3+'Play-In'!U3</f>
        <v>0</v>
      </c>
      <c r="AD89" s="31">
        <f>'Finals 1'!V3+'Finals 2'!V3+'Finals 3'!V3+'Final Ladder'!V3+'Play-In'!V3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TRUE)+COUNTIF('Finals 3'!W3, TRUE)+COUNTIF('Final Ladder'!W3, TRUE)+COUNTIF('Play-In'!W3, TRUE)</f>
        <v>1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2'!S4+'Finals 3'!S4+'Final Ladder'!S4+'Play-In'!S4</f>
        <v>6</v>
      </c>
      <c r="AB90" s="31">
        <f>'Finals 1'!T4+'Finals 2'!T4+'Finals 3'!T4+'Final Ladder'!T4+'Play-In'!T4</f>
        <v>5</v>
      </c>
      <c r="AC90" s="31">
        <f>'Finals 1'!U4+'Finals 2'!U4+'Finals 3'!U4+'Final Ladder'!U4+'Play-In'!U4</f>
        <v>1</v>
      </c>
      <c r="AD90" s="31">
        <f>'Finals 1'!V4+'Finals 2'!V4+'Finals 3'!V4+'Final Ladder'!V4+'Play-In'!V4</f>
        <v>0</v>
      </c>
      <c r="AE90" s="31">
        <f>Table21127[[#This Row],[Points]]/($AA$87-Table21127[[#This Row],[Missed Games]])</f>
        <v>1.5</v>
      </c>
      <c r="AF90" s="31">
        <f>Table21127[[#This Row],[Finishes]]/($AA$87-Table21127[[#This Row],[Missed Games]])</f>
        <v>1.25</v>
      </c>
      <c r="AG90" s="31">
        <f>Table21127[[#This Row],[Midranges]]/($AA$87-Table21127[[#This Row],[Missed Games]])</f>
        <v>0.25</v>
      </c>
      <c r="AH90" s="31">
        <f>Table21127[[#This Row],[Threes]]/($AA$87-Table21127[[#This Row],[Missed Games]])</f>
        <v>0</v>
      </c>
      <c r="AI90" s="31">
        <f>COUNTIF('Finals 1'!W4, TRUE)+COUNTIF('Finals 2'!W4, TRUE)+COUNTIF('Finals 3'!W4, TRUE)+COUNTIF('Final Ladder'!W4, TRUE)+COUNTIF('Play-In'!W4, TRUE)</f>
        <v>1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2'!S5+'Finals 3'!S5+'Final Ladder'!S5+'Play-In'!S5</f>
        <v>16</v>
      </c>
      <c r="AB91" s="31">
        <f>'Finals 1'!T5+'Finals 2'!T5+'Finals 3'!T5+'Final Ladder'!T5+'Play-In'!T5</f>
        <v>15</v>
      </c>
      <c r="AC91" s="31">
        <f>'Finals 1'!U5+'Finals 2'!U5+'Finals 3'!U5+'Final Ladder'!U5+'Play-In'!U5</f>
        <v>1</v>
      </c>
      <c r="AD91" s="31">
        <f>'Finals 1'!V5+'Finals 2'!V5+'Finals 3'!V5+'Final Ladder'!V5+'Play-In'!V5</f>
        <v>0</v>
      </c>
      <c r="AE91" s="31">
        <f>Table21127[[#This Row],[Points]]/($AA$87-Table21127[[#This Row],[Missed Games]])</f>
        <v>4</v>
      </c>
      <c r="AF91" s="31">
        <f>Table21127[[#This Row],[Finishes]]/($AA$87-Table21127[[#This Row],[Missed Games]])</f>
        <v>3.75</v>
      </c>
      <c r="AG91" s="31">
        <f>Table21127[[#This Row],[Midranges]]/($AA$87-Table21127[[#This Row],[Missed Games]])</f>
        <v>0.25</v>
      </c>
      <c r="AH91" s="31">
        <f>Table21127[[#This Row],[Threes]]/($AA$87-Table21127[[#This Row],[Missed Games]])</f>
        <v>0</v>
      </c>
      <c r="AI91" s="31">
        <f>COUNTIF('Finals 1'!W5, TRUE)+COUNTIF('Finals 2'!W5, TRUE)+COUNTIF('Finals 3'!W5, TRUE)+COUNTIF('Final Ladder'!W5, TRUE)+COUNTIF('Play-In'!W5, TRUE)</f>
        <v>1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 t="str">
        <f>'Statistics LG'!A21</f>
        <v>14-August</v>
      </c>
      <c r="T92" s="16">
        <f>T91+'Statistics LG'!D21</f>
        <v>31</v>
      </c>
      <c r="U92" s="16">
        <f>U91+'Statistics WW'!D21</f>
        <v>26</v>
      </c>
      <c r="V92" s="16">
        <f>V91+'Statistics 5M'!D21</f>
        <v>33</v>
      </c>
      <c r="W92" s="16"/>
      <c r="Z92" s="47" t="s">
        <v>54</v>
      </c>
      <c r="AA92" s="31">
        <f>'Finals 1'!S6+'Finals 2'!S6+'Finals 3'!S6+'Final Ladder'!S6+'Play-In'!S6</f>
        <v>7</v>
      </c>
      <c r="AB92" s="31">
        <f>'Finals 1'!T6+'Finals 2'!T6+'Finals 3'!T6+'Final Ladder'!T6+'Play-In'!T6</f>
        <v>6</v>
      </c>
      <c r="AC92" s="31">
        <f>'Finals 1'!U6+'Finals 2'!U6+'Finals 3'!U6+'Final Ladder'!U6+'Play-In'!U6</f>
        <v>1</v>
      </c>
      <c r="AD92" s="31">
        <f>'Finals 1'!V6+'Finals 2'!V6+'Finals 3'!V6+'Final Ladder'!V6+'Play-In'!V6</f>
        <v>0</v>
      </c>
      <c r="AE92" s="31">
        <f>Table21127[[#This Row],[Points]]/($AA$87-Table21127[[#This Row],[Missed Games]])</f>
        <v>1.75</v>
      </c>
      <c r="AF92" s="31">
        <f>Table21127[[#This Row],[Finishes]]/($AA$87-Table21127[[#This Row],[Missed Games]])</f>
        <v>1.5</v>
      </c>
      <c r="AG92" s="31">
        <f>Table21127[[#This Row],[Midranges]]/($AA$87-Table21127[[#This Row],[Missed Games]])</f>
        <v>0.25</v>
      </c>
      <c r="AH92" s="31">
        <f>Table21127[[#This Row],[Threes]]/($AA$87-Table21127[[#This Row],[Missed Games]])</f>
        <v>0</v>
      </c>
      <c r="AI92" s="31">
        <f>COUNTIF('Finals 1'!W6, TRUE)+COUNTIF('Finals 2'!W6, TRUE)+COUNTIF('Finals 3'!W6, TRUE)+COUNTIF('Final Ladder'!W6, TRUE)+COUNTIF('Play-In'!W6, TRUE)</f>
        <v>1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 t="str">
        <f>'Statistics LG'!A22</f>
        <v>15-August</v>
      </c>
      <c r="T93" s="16">
        <f>T92+'Statistics LG'!D22</f>
        <v>32</v>
      </c>
      <c r="U93" s="16">
        <f>U92+'Statistics WW'!D22</f>
        <v>28</v>
      </c>
      <c r="V93" s="16">
        <f>V92+'Statistics 5M'!D22</f>
        <v>36</v>
      </c>
      <c r="W93" s="16"/>
      <c r="Z93" s="47" t="s">
        <v>57</v>
      </c>
      <c r="AA93" s="31">
        <f>'Finals 1'!S7+'Finals 2'!S7+'Finals 3'!S7+'Final Ladder'!S7+'Play-In'!S7</f>
        <v>5</v>
      </c>
      <c r="AB93" s="31">
        <f>'Finals 1'!T7+'Finals 2'!T7+'Finals 3'!T7+'Final Ladder'!T7+'Play-In'!T7</f>
        <v>2</v>
      </c>
      <c r="AC93" s="31">
        <f>'Finals 1'!U7+'Finals 2'!U7+'Finals 3'!U7+'Final Ladder'!U7+'Play-In'!U7</f>
        <v>3</v>
      </c>
      <c r="AD93" s="31">
        <f>'Finals 1'!V7+'Finals 2'!V7+'Finals 3'!V7+'Final Ladder'!V7+'Play-In'!V7</f>
        <v>0</v>
      </c>
      <c r="AE93" s="31">
        <f>Table21127[[#This Row],[Points]]/($AA$87-Table21127[[#This Row],[Missed Games]])</f>
        <v>1</v>
      </c>
      <c r="AF93" s="31">
        <f>Table21127[[#This Row],[Finishes]]/($AA$87-Table21127[[#This Row],[Missed Games]])</f>
        <v>0.4</v>
      </c>
      <c r="AG93" s="31">
        <f>Table21127[[#This Row],[Midranges]]/($AA$87-Table21127[[#This Row],[Missed Games]])</f>
        <v>0.6</v>
      </c>
      <c r="AH93" s="31">
        <f>Table21127[[#This Row],[Threes]]/($AA$87-Table21127[[#This Row],[Missed Games]])</f>
        <v>0</v>
      </c>
      <c r="AI93" s="31">
        <f>COUNTIF('Finals 1'!W7, TRUE)+COUNTIF('Finals 2'!W7, TRUE)+COUNTIF('Finals 3'!W7, TRUE)+COUNTIF('Final Ladder'!W7, TRUE)+COUNTIF('Play-In'!W7,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 t="str">
        <f>'Statistics LG'!A23</f>
        <v>17-August</v>
      </c>
      <c r="T94" s="16">
        <f>T93+'Statistics LG'!D23</f>
        <v>33</v>
      </c>
      <c r="U94" s="16">
        <f>U93+'Statistics WW'!D23</f>
        <v>31</v>
      </c>
      <c r="V94" s="16">
        <f>V93+'Statistics 5M'!D23</f>
        <v>38</v>
      </c>
      <c r="W94" s="16"/>
      <c r="Z94" s="47" t="s">
        <v>60</v>
      </c>
      <c r="AA94" s="31">
        <f>'Finals 1'!S8+'Finals 2'!S8+'Finals 3'!S8+'Final Ladder'!S8+'Play-In'!S8</f>
        <v>8</v>
      </c>
      <c r="AB94" s="31">
        <f>'Finals 1'!T8+'Finals 2'!T8+'Finals 3'!T8+'Final Ladder'!T8+'Play-In'!T8</f>
        <v>6</v>
      </c>
      <c r="AC94" s="31">
        <f>'Finals 1'!U8+'Finals 2'!U8+'Finals 3'!U8+'Final Ladder'!U8+'Play-In'!U8</f>
        <v>2</v>
      </c>
      <c r="AD94" s="31">
        <f>'Finals 1'!V8+'Finals 2'!V8+'Finals 3'!V8+'Final Ladder'!V8+'Play-In'!V8</f>
        <v>0</v>
      </c>
      <c r="AE94" s="31">
        <f>Table21127[[#This Row],[Points]]/($AA$87-Table21127[[#This Row],[Missed Games]])</f>
        <v>1.6</v>
      </c>
      <c r="AF94" s="31">
        <f>Table21127[[#This Row],[Finishes]]/($AA$87-Table21127[[#This Row],[Missed Games]])</f>
        <v>1.2</v>
      </c>
      <c r="AG94" s="31">
        <f>Table21127[[#This Row],[Midranges]]/($AA$87-Table21127[[#This Row],[Missed Games]])</f>
        <v>0.4</v>
      </c>
      <c r="AH94" s="31">
        <f>Table21127[[#This Row],[Threes]]/($AA$87-Table21127[[#This Row],[Missed Games]])</f>
        <v>0</v>
      </c>
      <c r="AI94" s="31">
        <f>COUNTIF('Finals 1'!W8, TRUE)+COUNTIF('Finals 2'!W8, TRUE)+COUNTIF('Finals 3'!W8, TRUE)+COUNTIF('Final Ladder'!W8, TRUE)+COUNTIF('Play-In'!W8,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 t="str">
        <f>'Statistics LG'!A24</f>
        <v>21-August</v>
      </c>
      <c r="T95" s="16">
        <f>T94+'Statistics LG'!D24</f>
        <v>37</v>
      </c>
      <c r="U95" s="16">
        <f>U94+'Statistics WW'!D24</f>
        <v>33</v>
      </c>
      <c r="V95" s="16">
        <f>V94+'Statistics 5M'!D24</f>
        <v>44</v>
      </c>
      <c r="W95" s="16"/>
      <c r="Z95" s="35" t="s">
        <v>93</v>
      </c>
      <c r="AA95" s="31">
        <f>'Finals 1'!S9+'Finals 2'!S9+'Finals 3'!S9+'Final Ladder'!S9+'Play-In'!S9</f>
        <v>1</v>
      </c>
      <c r="AB95" s="31">
        <f>'Finals 1'!T9+'Finals 2'!T9+'Finals 3'!T9+'Final Ladder'!T9+'Play-In'!T9</f>
        <v>0</v>
      </c>
      <c r="AC95" s="31">
        <f>'Finals 1'!U9+'Finals 2'!U9+'Finals 3'!U9+'Final Ladder'!U9+'Play-In'!U9</f>
        <v>1</v>
      </c>
      <c r="AD95" s="31">
        <f>'Finals 1'!V9+'Finals 2'!V9+'Finals 3'!V9+'Final Ladder'!V9+'Play-In'!V9</f>
        <v>0</v>
      </c>
      <c r="AE95" s="31">
        <f>Table21127[[#This Row],[Points]]/($AA$87-Table21127[[#This Row],[Missed Games]])</f>
        <v>0.25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0.25</v>
      </c>
      <c r="AH95" s="31">
        <f>Table21127[[#This Row],[Threes]]/($AA$87-Table21127[[#This Row],[Missed Games]])</f>
        <v>0</v>
      </c>
      <c r="AI95" s="31">
        <f>COUNTIF('Finals 1'!W9, TRUE)+COUNTIF('Finals 2'!W9, TRUE)+COUNTIF('Finals 3'!W9, TRUE)+COUNTIF('Final Ladder'!W9, TRUE)+COUNTIF('Play-In'!W9, TRUE)</f>
        <v>1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 t="str">
        <f>'Statistics LG'!A25</f>
        <v>22-August</v>
      </c>
      <c r="T96" s="16">
        <f>T95+'Statistics LG'!D25</f>
        <v>43</v>
      </c>
      <c r="U96" s="16">
        <f>U95+'Statistics WW'!D25</f>
        <v>37</v>
      </c>
      <c r="V96" s="16">
        <f>V95+'Statistics 5M'!D25</f>
        <v>46</v>
      </c>
      <c r="W96" s="16"/>
      <c r="Z96" s="47" t="s">
        <v>63</v>
      </c>
      <c r="AA96" s="31">
        <f>'Finals 1'!S10+'Finals 2'!S10+'Finals 3'!S10+'Final Ladder'!S10+'Play-In'!S10</f>
        <v>4</v>
      </c>
      <c r="AB96" s="31">
        <f>'Finals 1'!T10+'Finals 2'!T10+'Finals 3'!T10+'Final Ladder'!T10+'Play-In'!T10</f>
        <v>1</v>
      </c>
      <c r="AC96" s="31">
        <f>'Finals 1'!U10+'Finals 2'!U10+'Finals 3'!U10+'Final Ladder'!U10+'Play-In'!U10</f>
        <v>1</v>
      </c>
      <c r="AD96" s="31">
        <f>'Finals 1'!V10+'Finals 2'!V10+'Finals 3'!V10+'Final Ladder'!V10+'Play-In'!V10</f>
        <v>1</v>
      </c>
      <c r="AE96" s="31">
        <f>Table21127[[#This Row],[Points]]/($AA$87-Table21127[[#This Row],[Missed Games]])</f>
        <v>0.8</v>
      </c>
      <c r="AF96" s="31">
        <f>Table21127[[#This Row],[Finishes]]/($AA$87-Table21127[[#This Row],[Missed Games]])</f>
        <v>0.2</v>
      </c>
      <c r="AG96" s="31">
        <f>Table21127[[#This Row],[Midranges]]/($AA$87-Table21127[[#This Row],[Missed Games]])</f>
        <v>0.2</v>
      </c>
      <c r="AH96" s="31">
        <f>Table21127[[#This Row],[Threes]]/($AA$87-Table21127[[#This Row],[Missed Games]])</f>
        <v>0.2</v>
      </c>
      <c r="AI96" s="31">
        <f>COUNTIF('Finals 1'!W10, TRUE)+COUNTIF('Finals 2'!W10, TRUE)+COUNTIF('Finals 3'!W10, TRUE)+COUNTIF('Final Ladder'!W10, TRUE)+COUNTIF('Play-In'!W10,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66</v>
      </c>
      <c r="AA97" s="31">
        <f>'Finals 1'!S11+'Finals 2'!S11+'Finals 3'!S11+'Final Ladder'!S11+'Play-In'!S11</f>
        <v>18</v>
      </c>
      <c r="AB97" s="31">
        <f>'Finals 1'!T11+'Finals 2'!T11+'Finals 3'!T11+'Final Ladder'!T11+'Play-In'!T11</f>
        <v>10</v>
      </c>
      <c r="AC97" s="31">
        <f>'Finals 1'!U11+'Finals 2'!U11+'Finals 3'!U11+'Final Ladder'!U11+'Play-In'!U11</f>
        <v>6</v>
      </c>
      <c r="AD97" s="31">
        <f>'Finals 1'!V11+'Finals 2'!V11+'Finals 3'!V11+'Final Ladder'!V11+'Play-In'!V11</f>
        <v>1</v>
      </c>
      <c r="AE97" s="31">
        <f>Table21127[[#This Row],[Points]]/($AA$87-Table21127[[#This Row],[Missed Games]])</f>
        <v>4.5</v>
      </c>
      <c r="AF97" s="31">
        <f>Table21127[[#This Row],[Finishes]]/($AA$87-Table21127[[#This Row],[Missed Games]])</f>
        <v>2.5</v>
      </c>
      <c r="AG97" s="31">
        <f>Table21127[[#This Row],[Midranges]]/($AA$87-Table21127[[#This Row],[Missed Games]])</f>
        <v>1.5</v>
      </c>
      <c r="AH97" s="31">
        <f>Table21127[[#This Row],[Threes]]/($AA$87-Table21127[[#This Row],[Missed Games]])</f>
        <v>0.25</v>
      </c>
      <c r="AI97" s="31">
        <f>COUNTIF('Finals 1'!W11, TRUE)+COUNTIF('Finals 2'!W11, TRUE)+COUNTIF('Finals 3'!W11, TRUE)+COUNTIF('Final Ladder'!W11, TRUE)+COUNTIF('Play-In'!W11, TRUE)</f>
        <v>1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68</v>
      </c>
      <c r="AA98" s="31">
        <f>'Finals 1'!S12+'Finals 2'!S12+'Finals 3'!S12+'Final Ladder'!S12+'Play-In'!S12</f>
        <v>11</v>
      </c>
      <c r="AB98" s="31">
        <f>'Finals 1'!T12+'Finals 2'!T12+'Finals 3'!T12+'Final Ladder'!T12+'Play-In'!T12</f>
        <v>1</v>
      </c>
      <c r="AC98" s="31">
        <f>'Finals 1'!U12+'Finals 2'!U12+'Finals 3'!U12+'Final Ladder'!U12+'Play-In'!U12</f>
        <v>8</v>
      </c>
      <c r="AD98" s="31">
        <f>'Finals 1'!V12+'Finals 2'!V12+'Finals 3'!V12+'Final Ladder'!V12+'Play-In'!V12</f>
        <v>1</v>
      </c>
      <c r="AE98" s="31">
        <f>Table21127[[#This Row],[Points]]/($AA$87-Table21127[[#This Row],[Missed Games]])</f>
        <v>2.2000000000000002</v>
      </c>
      <c r="AF98" s="31">
        <f>Table21127[[#This Row],[Finishes]]/($AA$87-Table21127[[#This Row],[Missed Games]])</f>
        <v>0.2</v>
      </c>
      <c r="AG98" s="31">
        <f>Table21127[[#This Row],[Midranges]]/($AA$87-Table21127[[#This Row],[Missed Games]])</f>
        <v>1.6</v>
      </c>
      <c r="AH98" s="31">
        <f>Table21127[[#This Row],[Threes]]/($AA$87-Table21127[[#This Row],[Missed Games]])</f>
        <v>0.2</v>
      </c>
      <c r="AI98" s="31">
        <f>COUNTIF('Finals 1'!W12, TRUE)+COUNTIF('Finals 2'!W12, TRUE)+COUNTIF('Finals 3'!W12, TRUE)+COUNTIF('Final Ladder'!W12, TRUE)+COUNTIF('Play-In'!W12,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2'!S13+'Finals 3'!S13+'Final Ladder'!S13+'Play-In'!S13</f>
        <v>1</v>
      </c>
      <c r="AB99" s="31">
        <f>'Finals 1'!T13+'Finals 2'!T13+'Finals 3'!T13+'Final Ladder'!T13+'Play-In'!T13</f>
        <v>1</v>
      </c>
      <c r="AC99" s="31">
        <f>'Finals 1'!U13+'Finals 2'!U13+'Finals 3'!U13+'Final Ladder'!U13+'Play-In'!U13</f>
        <v>0</v>
      </c>
      <c r="AD99" s="31">
        <f>'Finals 1'!V13+'Finals 2'!V13+'Finals 3'!V13+'Final Ladder'!V13+'Play-In'!V13</f>
        <v>0</v>
      </c>
      <c r="AE99" s="31">
        <f>Table21127[[#This Row],[Points]]/($AA$87-Table21127[[#This Row],[Missed Games]])</f>
        <v>0.25</v>
      </c>
      <c r="AF99" s="31">
        <f>Table21127[[#This Row],[Finishes]]/($AA$87-Table21127[[#This Row],[Missed Games]])</f>
        <v>0.25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TRUE)+COUNTIF('Finals 3'!W13, TRUE)+COUNTIF('Final Ladder'!W13, TRUE)+COUNTIF('Play-In'!W13, TRUE)</f>
        <v>1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2'!S14+'Finals 3'!S14+'Final Ladder'!S14+'Play-In'!S14</f>
        <v>0</v>
      </c>
      <c r="AB100" s="31">
        <f>'Finals 1'!T14+'Finals 2'!T14+'Finals 3'!T14+'Final Ladder'!T14+'Play-In'!T14</f>
        <v>0</v>
      </c>
      <c r="AC100" s="31">
        <f>'Finals 1'!U14+'Finals 2'!U14+'Finals 3'!U14+'Final Ladder'!U14+'Play-In'!U14</f>
        <v>0</v>
      </c>
      <c r="AD100" s="31">
        <f>'Finals 1'!V14+'Finals 2'!V14+'Finals 3'!V14+'Final Ladder'!V14+'Play-In'!V14</f>
        <v>0</v>
      </c>
      <c r="AE100" s="31">
        <f>Table21127[[#This Row],[Points]]/($AA$87-Table21127[[#This Row],[Missed Games]])</f>
        <v>0</v>
      </c>
      <c r="AF100" s="31">
        <f>Table21127[[#This Row],[Finishes]]/($AA$87-Table21127[[#This Row],[Missed Games]])</f>
        <v>0</v>
      </c>
      <c r="AG100" s="31">
        <f>Table21127[[#This Row],[Midranges]]/($AA$87-Table21127[[#This Row],[Missed Games]])</f>
        <v>0</v>
      </c>
      <c r="AH100" s="31">
        <f>Table21127[[#This Row],[Threes]]/($AA$87-Table21127[[#This Row],[Missed Games]])</f>
        <v>0</v>
      </c>
      <c r="AI100" s="31">
        <f>COUNTIF('Finals 1'!W14, TRUE)+COUNTIF('Finals 2'!W14, TRUE)+COUNTIF('Finals 3'!W14, TRUE)+COUNTIF('Final Ladder'!W14, TRUE)+COUNTIF('Play-In'!W14, TRUE)</f>
        <v>4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2'!S15+'Finals 3'!S15+'Final Ladder'!S15+'Play-In'!S15</f>
        <v>3</v>
      </c>
      <c r="AB101" s="31">
        <f>'Finals 1'!T15+'Finals 2'!T15+'Finals 3'!T15+'Final Ladder'!T15+'Play-In'!T15</f>
        <v>1</v>
      </c>
      <c r="AC101" s="31">
        <f>'Finals 1'!U15+'Finals 2'!U15+'Finals 3'!U15+'Final Ladder'!U15+'Play-In'!U15</f>
        <v>0</v>
      </c>
      <c r="AD101" s="31">
        <f>'Finals 1'!V15+'Finals 2'!V15+'Finals 3'!V15+'Final Ladder'!V15+'Play-In'!V15</f>
        <v>1</v>
      </c>
      <c r="AE101" s="31">
        <f>Table21127[[#This Row],[Points]]/($AA$87-Table21127[[#This Row],[Missed Games]])</f>
        <v>0.75</v>
      </c>
      <c r="AF101" s="31">
        <f>Table21127[[#This Row],[Finishes]]/($AA$87-Table21127[[#This Row],[Missed Games]])</f>
        <v>0.25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0.25</v>
      </c>
      <c r="AI101" s="31">
        <f>COUNTIF('Finals 1'!W15, TRUE)+COUNTIF('Finals 2'!W15, TRUE)+COUNTIF('Finals 3'!W15, TRUE)+COUNTIF('Final Ladder'!W15, TRUE)+COUNTIF('Play-In'!W15, TRUE)</f>
        <v>1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2'!S16+'Finals 3'!S16+'Final Ladder'!S16+'Play-In'!S16</f>
        <v>6</v>
      </c>
      <c r="AB102" s="31">
        <f>'Finals 1'!T16+'Finals 2'!T16+'Finals 3'!T16+'Final Ladder'!T16+'Play-In'!T16</f>
        <v>5</v>
      </c>
      <c r="AC102" s="31">
        <f>'Finals 1'!U16+'Finals 2'!U16+'Finals 3'!U16+'Final Ladder'!U16+'Play-In'!U16</f>
        <v>1</v>
      </c>
      <c r="AD102" s="31">
        <f>'Finals 1'!V16+'Finals 2'!V16+'Finals 3'!V16+'Final Ladder'!V16+'Play-In'!V16</f>
        <v>0</v>
      </c>
      <c r="AE102" s="31">
        <f>Table21127[[#This Row],[Points]]/($AA$87-Table21127[[#This Row],[Missed Games]])</f>
        <v>1.5</v>
      </c>
      <c r="AF102" s="31">
        <f>Table21127[[#This Row],[Finishes]]/($AA$87-Table21127[[#This Row],[Missed Games]])</f>
        <v>1.25</v>
      </c>
      <c r="AG102" s="31">
        <f>Table21127[[#This Row],[Midranges]]/($AA$87-Table21127[[#This Row],[Missed Games]])</f>
        <v>0.25</v>
      </c>
      <c r="AH102" s="31">
        <f>Table21127[[#This Row],[Threes]]/($AA$87-Table21127[[#This Row],[Missed Games]])</f>
        <v>0</v>
      </c>
      <c r="AI102" s="31">
        <f>COUNTIF('Finals 1'!W16, TRUE)+COUNTIF('Finals 2'!W16, TRUE)+COUNTIF('Finals 3'!W16, TRUE)+COUNTIF('Final Ladder'!W16, TRUE)+COUNTIF('Play-In'!W16, TRUE)</f>
        <v>1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2'!S17+'Finals 3'!S17+'Final Ladder'!S17+'Play-In'!S17</f>
        <v>14</v>
      </c>
      <c r="AB103" s="31">
        <f>'Finals 1'!T17+'Finals 2'!T17+'Finals 3'!T17+'Final Ladder'!T17+'Play-In'!T17</f>
        <v>12</v>
      </c>
      <c r="AC103" s="31">
        <f>'Finals 1'!U17+'Finals 2'!U17+'Finals 3'!U17+'Final Ladder'!U17+'Play-In'!U17</f>
        <v>2</v>
      </c>
      <c r="AD103" s="31">
        <f>'Finals 1'!V17+'Finals 2'!V17+'Finals 3'!V17+'Final Ladder'!V17+'Play-In'!V17</f>
        <v>0</v>
      </c>
      <c r="AE103" s="31">
        <f>Table21127[[#This Row],[Points]]/($AA$87-Table21127[[#This Row],[Missed Games]])</f>
        <v>3.5</v>
      </c>
      <c r="AF103" s="31">
        <f>Table21127[[#This Row],[Finishes]]/($AA$87-Table21127[[#This Row],[Missed Games]])</f>
        <v>3</v>
      </c>
      <c r="AG103" s="31">
        <f>Table21127[[#This Row],[Midranges]]/($AA$87-Table21127[[#This Row],[Missed Games]])</f>
        <v>0.5</v>
      </c>
      <c r="AH103" s="31">
        <f>Table21127[[#This Row],[Threes]]/($AA$87-Table21127[[#This Row],[Missed Games]])</f>
        <v>0</v>
      </c>
      <c r="AI103" s="31">
        <f>COUNTIF('Finals 1'!W17, TRUE)+COUNTIF('Finals 2'!W17, TRUE)+COUNTIF('Finals 3'!W17, TRUE)+COUNTIF('Final Ladder'!W17, TRUE)+COUNTIF('Play-In'!W17, TRUE)</f>
        <v>1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2'!S18+'Finals 3'!S18+'Final Ladder'!S18+'Play-In'!S18</f>
        <v>0</v>
      </c>
      <c r="AB104" s="31">
        <f>'Finals 1'!T18+'Finals 2'!T18+'Finals 3'!T18+'Final Ladder'!T18+'Play-In'!T18</f>
        <v>0</v>
      </c>
      <c r="AC104" s="31">
        <f>'Finals 1'!U18+'Finals 2'!U18+'Finals 3'!U18+'Final Ladder'!U18+'Play-In'!U18</f>
        <v>0</v>
      </c>
      <c r="AD104" s="31">
        <f>'Finals 1'!V18+'Finals 2'!V18+'Finals 3'!V18+'Final Ladder'!V18+'Play-In'!V18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TRUE)+COUNTIF('Finals 3'!W18, TRUE)+COUNTIF('Final Ladder'!W18, TRUE)+COUNTIF('Play-In'!W18,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2'!S19+'Finals 3'!S19+'Final Ladder'!S19+'Play-In'!S19</f>
        <v>0</v>
      </c>
      <c r="AB105" s="31">
        <f>'Finals 1'!T19+'Finals 2'!T19+'Finals 3'!T19+'Final Ladder'!T19+'Play-In'!T19</f>
        <v>0</v>
      </c>
      <c r="AC105" s="31">
        <f>'Finals 1'!U19+'Finals 2'!U19+'Finals 3'!U19+'Final Ladder'!U19+'Play-In'!U19</f>
        <v>0</v>
      </c>
      <c r="AD105" s="31">
        <f>'Finals 1'!V19+'Finals 2'!V19+'Finals 3'!V19+'Final Ladder'!V19+'Play-In'!V19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TRUE)+COUNTIF('Finals 3'!W19, TRUE)+COUNTIF('Final Ladder'!W19, TRUE)+COUNTIF('Play-In'!W19, TRUE)</f>
        <v>2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4" type="noConversion"/>
  <conditionalFormatting sqref="U109:U118 W103:W108">
    <cfRule type="cellIs" dxfId="421" priority="11" operator="greaterThan">
      <formula>0</formula>
    </cfRule>
  </conditionalFormatting>
  <conditionalFormatting sqref="U109:U118 W103:W108">
    <cfRule type="cellIs" dxfId="420" priority="10" operator="lessThan">
      <formula>0</formula>
    </cfRule>
  </conditionalFormatting>
  <conditionalFormatting sqref="AQ8:AQ24">
    <cfRule type="cellIs" dxfId="419" priority="5" operator="equal">
      <formula>$AA$4</formula>
    </cfRule>
    <cfRule type="cellIs" dxfId="418" priority="6" operator="lessThan">
      <formula>$AA$4</formula>
    </cfRule>
    <cfRule type="cellIs" dxfId="417" priority="7" operator="greaterThan">
      <formula>$AA$4</formula>
    </cfRule>
  </conditionalFormatting>
  <conditionalFormatting sqref="AT8:AT24">
    <cfRule type="cellIs" dxfId="416" priority="3" operator="lessThan">
      <formula>0</formula>
    </cfRule>
    <cfRule type="cellIs" dxfId="415" priority="4" operator="greaterThan">
      <formula>0</formula>
    </cfRule>
  </conditionalFormatting>
  <conditionalFormatting sqref="AU8:AU24">
    <cfRule type="cellIs" dxfId="414" priority="1" operator="lessThan">
      <formula>0</formula>
    </cfRule>
    <cfRule type="cellIs" dxfId="41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93" t="s">
        <v>218</v>
      </c>
      <c r="Y2" s="193"/>
      <c r="Z2" s="193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92" t="s">
        <v>119</v>
      </c>
      <c r="U41" s="192"/>
      <c r="V41" s="192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abSelected="1" zoomScale="85" zoomScaleNormal="85" workbookViewId="0">
      <selection activeCell="O27" sqref="O27:P27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139</v>
      </c>
      <c r="I3" s="81">
        <f>SUM(C7:C40)</f>
        <v>107</v>
      </c>
      <c r="J3" s="78">
        <f>SUM(D7:D40)</f>
        <v>54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0.84615384615384615</v>
      </c>
      <c r="AI3" s="168">
        <f>Table3[[#This Row],[Finishes]]/('Stats Global'!$AA$6-'Stats Global'!$AJ$10)</f>
        <v>0.84615384615384615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2.6923076923076921</v>
      </c>
      <c r="AM3" s="168">
        <f>'Stats Global'!AD10-Table3[[#This Row],[AVG F]]</f>
        <v>2.4615384615384612</v>
      </c>
      <c r="AN3" s="168">
        <f>'Stats Global'!AF10-Table3[[#This Row],[AVG M]]</f>
        <v>7.6923076923076927E-2</v>
      </c>
      <c r="AO3" s="168">
        <f>'Stats Global'!AH10-Table3[[#This Row],[AVG T]]</f>
        <v>7.6923076923076927E-2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58</v>
      </c>
      <c r="T4" s="93">
        <f>'Stats Global'!AB22</f>
        <v>2.9</v>
      </c>
      <c r="U4" s="93">
        <f>'Stats Global'!AC22</f>
        <v>34</v>
      </c>
      <c r="V4" s="93">
        <f>'Stats Global'!AD22</f>
        <v>1.7</v>
      </c>
      <c r="W4" s="93">
        <f>'Stats Global'!AE22</f>
        <v>10</v>
      </c>
      <c r="X4" s="93">
        <f>'Stats Global'!AF22</f>
        <v>0.5</v>
      </c>
      <c r="Y4" s="93">
        <f>'Stats Global'!AG22</f>
        <v>7</v>
      </c>
      <c r="Z4" s="93">
        <f>'Stats Global'!AH22</f>
        <v>0.35</v>
      </c>
      <c r="AA4" s="93">
        <f>'Stats Global'!AJ22</f>
        <v>2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0.4375</v>
      </c>
      <c r="AI4" s="169">
        <f>Table3[[#This Row],[Finishes]]/('Stats Global'!$AA$6-'Stats Global'!$AJ$11)</f>
        <v>0.4375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1</v>
      </c>
      <c r="AM4" s="169">
        <f>'Stats Global'!AD11-Table3[[#This Row],[AVG F]]</f>
        <v>0.9375</v>
      </c>
      <c r="AN4" s="169">
        <f>'Stats Global'!AF11-Table3[[#This Row],[AVG M]]</f>
        <v>6.25E-2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46</v>
      </c>
      <c r="T5" s="93">
        <f>'Stats Global'!AB16</f>
        <v>2.4210526315789473</v>
      </c>
      <c r="U5" s="93">
        <f>'Stats Global'!AC16</f>
        <v>21</v>
      </c>
      <c r="V5" s="93">
        <f>'Stats Global'!AD16</f>
        <v>1.1052631578947369</v>
      </c>
      <c r="W5" s="93">
        <f>'Stats Global'!AE16</f>
        <v>17</v>
      </c>
      <c r="X5" s="93">
        <f>'Stats Global'!AF16</f>
        <v>0.89473684210526316</v>
      </c>
      <c r="Y5" s="93">
        <f>'Stats Global'!AG16</f>
        <v>4</v>
      </c>
      <c r="Z5" s="93">
        <f>'Stats Global'!AH16</f>
        <v>0.21052631578947367</v>
      </c>
      <c r="AA5" s="93">
        <f>'Stats Global'!AJ16</f>
        <v>3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</v>
      </c>
      <c r="AI5" s="169">
        <f>Table3[[#This Row],[Finishes]]/('Stats Global'!$AA$6-'Stats Global'!$AJ$12)</f>
        <v>0.15</v>
      </c>
      <c r="AJ5" s="169">
        <f>Table3[[#This Row],[Midranges]]/('Stats Global'!$AA$6-'Stats Global'!$AJ$12)</f>
        <v>0.15</v>
      </c>
      <c r="AK5" s="169">
        <f>Table3[[#This Row],[Threes]]/('Stats Global'!$AA$6-'Stats Global'!$AJ$12)</f>
        <v>0.05</v>
      </c>
      <c r="AL5" s="169">
        <f>'Stats Global'!AB12-Table3[[#This Row],[AVG P]]</f>
        <v>0.79999999999999993</v>
      </c>
      <c r="AM5" s="169">
        <f>'Stats Global'!AD12-Table3[[#This Row],[AVG F]]</f>
        <v>0.35</v>
      </c>
      <c r="AN5" s="169">
        <f>'Stats Global'!AF12-Table3[[#This Row],[AVG M]]</f>
        <v>0.35</v>
      </c>
      <c r="AO5" s="169">
        <f>'Stats Global'!AH12-Table3[[#This Row],[AVG T]]</f>
        <v>0.05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26</v>
      </c>
      <c r="T6" s="93">
        <f>'Stats Global'!AB21</f>
        <v>1.2380952380952381</v>
      </c>
      <c r="U6" s="93">
        <f>'Stats Global'!AC21</f>
        <v>18</v>
      </c>
      <c r="V6" s="93">
        <f>'Stats Global'!AD21</f>
        <v>0.8571428571428571</v>
      </c>
      <c r="W6" s="93">
        <f>'Stats Global'!AE21</f>
        <v>6</v>
      </c>
      <c r="X6" s="93">
        <f>'Stats Global'!AF21</f>
        <v>0.2857142857142857</v>
      </c>
      <c r="Y6" s="93">
        <f>'Stats Global'!AG21</f>
        <v>1</v>
      </c>
      <c r="Z6" s="93">
        <f>'Stats Global'!AH21</f>
        <v>4.7619047619047616E-2</v>
      </c>
      <c r="AA6" s="93">
        <f>'Stats Global'!AJ21</f>
        <v>1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0.21052631578947367</v>
      </c>
      <c r="AI6" s="169">
        <f>Table3[[#This Row],[Finishes]]/('Stats Global'!$AA$6-'Stats Global'!$AJ$13)</f>
        <v>0.21052631578947367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0.89473684210526327</v>
      </c>
      <c r="AM6" s="169">
        <f>'Stats Global'!AD13-Table3[[#This Row],[AVG F]]</f>
        <v>0.63157894736842102</v>
      </c>
      <c r="AN6" s="169">
        <f>'Stats Global'!AF13-Table3[[#This Row],[AVG M]]</f>
        <v>0.26315789473684209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0.14285714285714285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0.14285714285714285</v>
      </c>
      <c r="Y7" s="93">
        <f>'Stats Global'!AG8</f>
        <v>0</v>
      </c>
      <c r="Z7" s="93">
        <f>'Stats Global'!AH8</f>
        <v>0</v>
      </c>
      <c r="AA7" s="93">
        <f>'Stats Global'!AJ8</f>
        <v>1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0.14285714285714285</v>
      </c>
      <c r="AI7" s="169">
        <f>Table3[[#This Row],[Finishes]]/('Stats Global'!$AA$6-'Stats Global'!$AJ$14)</f>
        <v>9.5238095238095233E-2</v>
      </c>
      <c r="AJ7" s="169">
        <f>Table3[[#This Row],[Midranges]]/('Stats Global'!$AA$6-'Stats Global'!$AJ$14)</f>
        <v>4.7619047619047616E-2</v>
      </c>
      <c r="AK7" s="169">
        <f>Table3[[#This Row],[Threes]]/('Stats Global'!$AA$6-'Stats Global'!$AJ$14)</f>
        <v>0</v>
      </c>
      <c r="AL7" s="169">
        <f>'Stats Global'!AB14-Table3[[#This Row],[AVG P]]</f>
        <v>0.42857142857142855</v>
      </c>
      <c r="AM7" s="169">
        <f>'Stats Global'!AD14-Table3[[#This Row],[AVG F]]</f>
        <v>0.19047619047619047</v>
      </c>
      <c r="AN7" s="169">
        <f>'Stats Global'!AF14-Table3[[#This Row],[AVG M]]</f>
        <v>0.14285714285714285</v>
      </c>
      <c r="AO7" s="169">
        <f>'Stats Global'!AH14-Table3[[#This Row],[AVG T]]</f>
        <v>4.7619047619047616E-2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18</v>
      </c>
      <c r="T8" s="93">
        <f>'Stats Global'!AB9</f>
        <v>0.94736842105263153</v>
      </c>
      <c r="U8" s="93">
        <f>'Stats Global'!AC9</f>
        <v>17</v>
      </c>
      <c r="V8" s="93">
        <f>'Stats Global'!AD9</f>
        <v>0.89473684210526316</v>
      </c>
      <c r="W8" s="93">
        <f>'Stats Global'!AE9</f>
        <v>1</v>
      </c>
      <c r="X8" s="93">
        <f>'Stats Global'!AF9</f>
        <v>5.2631578947368418E-2</v>
      </c>
      <c r="Y8" s="93">
        <f>'Stats Global'!AG9</f>
        <v>0</v>
      </c>
      <c r="Z8" s="93">
        <f>'Stats Global'!AH9</f>
        <v>0</v>
      </c>
      <c r="AA8" s="93">
        <f>'Stats Global'!AJ9</f>
        <v>3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0.3125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6.25E-2</v>
      </c>
      <c r="AK8" s="169">
        <f>Table3[[#This Row],[Threes]]/('Stats Global'!$AA$6-'Stats Global'!$AJ$15)</f>
        <v>0.125</v>
      </c>
      <c r="AL8" s="169">
        <f>'Stats Global'!AB15-Table3[[#This Row],[AVG P]]</f>
        <v>1</v>
      </c>
      <c r="AM8" s="169">
        <f>'Stats Global'!AD15-Table3[[#This Row],[AVG F]]</f>
        <v>0.125</v>
      </c>
      <c r="AN8" s="169">
        <f>'Stats Global'!AF15-Table3[[#This Row],[AVG M]]</f>
        <v>0.125</v>
      </c>
      <c r="AO8" s="169">
        <f>'Stats Global'!AH15-Table3[[#This Row],[AVG T]]</f>
        <v>0.375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1.0952380952380953</v>
      </c>
      <c r="AI9" s="169">
        <f>Table3[[#This Row],[Finishes]]/('Stats Global'!$AA$6-'Stats Global'!$AJ$17)</f>
        <v>0.19047619047619047</v>
      </c>
      <c r="AJ9" s="169">
        <f>Table3[[#This Row],[Midranges]]/('Stats Global'!$AA$6-'Stats Global'!$AJ$17)</f>
        <v>0.61904761904761907</v>
      </c>
      <c r="AK9" s="169">
        <f>Table3[[#This Row],[Threes]]/('Stats Global'!$AA$6-'Stats Global'!$AJ$17)</f>
        <v>0.14285714285714285</v>
      </c>
      <c r="AL9" s="169">
        <f>'Stats Global'!AB17-Table3[[#This Row],[AVG P]]</f>
        <v>2.2380952380952381</v>
      </c>
      <c r="AM9" s="169">
        <f>'Stats Global'!AD17-Table3[[#This Row],[AVG F]]</f>
        <v>0.5714285714285714</v>
      </c>
      <c r="AN9" s="169">
        <f>'Stats Global'!AF17-Table3[[#This Row],[AVG M]]</f>
        <v>1.3809523809523809</v>
      </c>
      <c r="AO9" s="169">
        <f>'Stats Global'!AH17-Table3[[#This Row],[AVG T]]</f>
        <v>0.14285714285714285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9.5238095238095233E-2</v>
      </c>
      <c r="AI10" s="169">
        <f>Table3[[#This Row],[Finishes]]/('Stats Global'!$AA$6-'Stats Global'!$AJ$18)</f>
        <v>4.7619047619047616E-2</v>
      </c>
      <c r="AJ10" s="169">
        <f>Table3[[#This Row],[Midranges]]/('Stats Global'!$AA$6-'Stats Global'!$AJ$18)</f>
        <v>4.7619047619047616E-2</v>
      </c>
      <c r="AK10" s="169">
        <f>Table3[[#This Row],[Threes]]/('Stats Global'!$AA$6-'Stats Global'!$AJ$18)</f>
        <v>0</v>
      </c>
      <c r="AL10" s="169">
        <f>'Stats Global'!AB18-Table3[[#This Row],[AVG P]]</f>
        <v>0.4285714285714286</v>
      </c>
      <c r="AM10" s="169">
        <f>'Stats Global'!AD18-Table3[[#This Row],[AVG F]]</f>
        <v>9.5238095238095233E-2</v>
      </c>
      <c r="AN10" s="169">
        <f>'Stats Global'!AF18-Table3[[#This Row],[AVG M]]</f>
        <v>0.33333333333333331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0.14285714285714285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0.14285714285714285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0.22222222222222221</v>
      </c>
      <c r="AI12" s="169">
        <f>Table3[[#This Row],[Finishes]]/('Stats Global'!$AA$6-'Stats Global'!$AJ$20)</f>
        <v>0.16666666666666666</v>
      </c>
      <c r="AJ12" s="169">
        <f>Table3[[#This Row],[Midranges]]/('Stats Global'!$AA$6-'Stats Global'!$AJ$20)</f>
        <v>5.5555555555555552E-2</v>
      </c>
      <c r="AK12" s="169">
        <f>Table3[[#This Row],[Threes]]/('Stats Global'!$AA$6-'Stats Global'!$AJ$20)</f>
        <v>0</v>
      </c>
      <c r="AL12" s="169">
        <f>'Stats Global'!AB20-Table3[[#This Row],[AVG P]]</f>
        <v>0.61111111111111116</v>
      </c>
      <c r="AM12" s="169">
        <f>'Stats Global'!AD20-Table3[[#This Row],[AVG F]]</f>
        <v>0.38888888888888895</v>
      </c>
      <c r="AN12" s="169">
        <f>'Stats Global'!AF20-Table3[[#This Row],[AVG M]]</f>
        <v>0</v>
      </c>
      <c r="AO12" s="169">
        <f>'Stats Global'!AH20-Table3[[#This Row],[AVG T]]</f>
        <v>0.1111111111111111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4.5454545454545456E-2</v>
      </c>
      <c r="AM13" s="169">
        <f>'Stats Global'!AD23-Table3[[#This Row],[AVG F]]</f>
        <v>0</v>
      </c>
      <c r="AN13" s="169">
        <f>'Stats Global'!AF23-Table3[[#This Row],[AVG M]]</f>
        <v>4.5454545454545456E-2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0.21428571428571427</v>
      </c>
      <c r="AI14" s="170">
        <f>Table3[[#This Row],[Finishes]]/('Stats Global'!$AA$6-'Stats Global'!$AJ$24)</f>
        <v>0.21428571428571427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0.21428571428571427</v>
      </c>
      <c r="AM14" s="170">
        <f>'Stats Global'!AD24-Table3[[#This Row],[AVG F]]</f>
        <v>7.1428571428571425E-2</v>
      </c>
      <c r="AN14" s="170">
        <f>'Stats Global'!AF24-Table3[[#This Row],[AVG M]]</f>
        <v>0</v>
      </c>
      <c r="AO14" s="170">
        <f>'Stats Global'!AH24-Table3[[#This Row],[AVG T]]</f>
        <v>7.1428571428571425E-2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 t="str">
        <f>'Stats Global'!B27</f>
        <v>23-August</v>
      </c>
      <c r="B26" s="82">
        <f>'Stats Global'!F27</f>
        <v>11</v>
      </c>
      <c r="C26" s="82">
        <f>'Stats Global'!G27+'Stats Global'!H27</f>
        <v>5</v>
      </c>
      <c r="D26" s="82">
        <f>'Stats Global'!O27</f>
        <v>6</v>
      </c>
      <c r="E26" s="80"/>
      <c r="F26" s="80"/>
      <c r="J26" s="83"/>
      <c r="L26" s="84">
        <f>'Stats Global'!J27</f>
        <v>5</v>
      </c>
      <c r="M26" s="84">
        <f>'Stats Global'!G27</f>
        <v>2</v>
      </c>
      <c r="N26" s="85"/>
      <c r="O26" s="84">
        <f>'Stats Global'!M27</f>
        <v>6</v>
      </c>
      <c r="P26" s="84">
        <f>'Stats Global'!H27</f>
        <v>3</v>
      </c>
    </row>
    <row r="27" spans="1:23" ht="14.35" customHeight="1" x14ac:dyDescent="0.45">
      <c r="A27" s="75" t="str">
        <f>'Stats Global'!B28</f>
        <v>9-October</v>
      </c>
      <c r="B27" s="82">
        <f>'Stats Global'!F28</f>
        <v>14</v>
      </c>
      <c r="C27" s="82">
        <f>'Stats Global'!G28+'Stats Global'!H28</f>
        <v>4</v>
      </c>
      <c r="D27" s="82">
        <f>'Stats Global'!O28</f>
        <v>5</v>
      </c>
      <c r="E27" s="80"/>
      <c r="F27" s="80"/>
      <c r="J27" s="83"/>
      <c r="L27" s="84">
        <f>'Stats Global'!J28</f>
        <v>8</v>
      </c>
      <c r="M27" s="84">
        <f>'Stats Global'!G28</f>
        <v>2</v>
      </c>
      <c r="N27" s="85"/>
      <c r="O27" s="84">
        <f>'Stats Global'!M28</f>
        <v>6</v>
      </c>
      <c r="P27" s="84">
        <f>'Stats Global'!H28</f>
        <v>2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0.56504065040650409</v>
      </c>
      <c r="J41" s="83"/>
      <c r="K41" s="81" t="s">
        <v>94</v>
      </c>
      <c r="L41" s="97">
        <f>SUM(L7:L40)</f>
        <v>68</v>
      </c>
      <c r="M41" s="97">
        <f>SUM(M7:M40)</f>
        <v>42</v>
      </c>
      <c r="N41" s="83"/>
      <c r="O41" s="97">
        <f>SUM(O7:O40)</f>
        <v>69</v>
      </c>
      <c r="P41" s="97">
        <f>SUM(P7:P40)</f>
        <v>65</v>
      </c>
    </row>
    <row r="42" spans="1:16" ht="14.25" customHeight="1" x14ac:dyDescent="0.45">
      <c r="L42" s="88">
        <f>L41/(M41+L41)</f>
        <v>0.61818181818181817</v>
      </c>
      <c r="O42" s="88">
        <f>O41/(P41+O41)</f>
        <v>0.5149253731343284</v>
      </c>
    </row>
    <row r="43" spans="1:16" ht="14.25" customHeight="1" x14ac:dyDescent="0.45">
      <c r="I43" s="89" t="str">
        <f>K43&amp;H3&amp;","&amp;I3&amp;","&amp;J3&amp;"],"</f>
        <v>"PartA":[139,107,54],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6.9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"PartB":[58,"Angus Walker",34,"Angus Walker",17,"William Kim",7,"Angus Walker"],</v>
      </c>
      <c r="K44" s="76" t="s">
        <v>136</v>
      </c>
      <c r="M44" s="91">
        <f>MAX(Table1114[Points])</f>
        <v>58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6" t="str">
        <f>K45&amp;O43&amp;","&amp;O44&amp;","&amp;O45&amp;","&amp;O46&amp;","&amp;O47&amp;","&amp;O48&amp;"],"</f>
        <v>"PartC":[6.9,4.1,1.7,0.5,6.3,4.9],</v>
      </c>
      <c r="K45" s="76" t="s">
        <v>137</v>
      </c>
      <c r="M45" s="91">
        <f>MAX(Table1114[Finishes])</f>
        <v>34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"PartD":[68,42,61.8,69,65,51.5],</v>
      </c>
      <c r="K46" s="76" t="s">
        <v>138</v>
      </c>
      <c r="M46" s="91">
        <f>MAX(Table1114[Midranges])</f>
        <v>17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6.3</v>
      </c>
    </row>
    <row r="48" spans="1:16" ht="14.25" customHeight="1" x14ac:dyDescent="0.45">
      <c r="O48" s="76">
        <f>ROUND(I3/'Stats Global'!AA6,1)</f>
        <v>4.9000000000000004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94" priority="1" operator="equal">
      <formula>AH3</formula>
    </cfRule>
    <cfRule type="cellIs" dxfId="293" priority="2" operator="lessThan">
      <formula>AH3</formula>
    </cfRule>
    <cfRule type="cellIs" dxfId="29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79</v>
      </c>
      <c r="I3" s="81">
        <f>SUM(C7:C40)</f>
        <v>134</v>
      </c>
      <c r="J3" s="78">
        <f>SUM(D7:D40)</f>
        <v>39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23</v>
      </c>
      <c r="Q4" s="93">
        <f>'Stats Global'!AB11</f>
        <v>1.4375</v>
      </c>
      <c r="R4" s="93">
        <f>'Stats Global'!AC11</f>
        <v>22</v>
      </c>
      <c r="S4" s="93">
        <f>'Stats Global'!AD11</f>
        <v>1.375</v>
      </c>
      <c r="T4" s="93">
        <f>'Stats Global'!AE11</f>
        <v>1</v>
      </c>
      <c r="U4" s="93">
        <f>'Stats Global'!AF11</f>
        <v>6.25E-2</v>
      </c>
      <c r="V4" s="93">
        <f>'Stats Global'!AG11</f>
        <v>0</v>
      </c>
      <c r="W4" s="93">
        <f>'Stats Global'!AH11</f>
        <v>0</v>
      </c>
      <c r="X4" s="93">
        <f>'Stats Global'!AJ11</f>
        <v>6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24</v>
      </c>
      <c r="Q5" s="93">
        <f>'Stats Global'!AB12</f>
        <v>1.2</v>
      </c>
      <c r="R5" s="93">
        <f>'Stats Global'!AC12</f>
        <v>10</v>
      </c>
      <c r="S5" s="93">
        <f>'Stats Global'!AD12</f>
        <v>0.5</v>
      </c>
      <c r="T5" s="93">
        <f>'Stats Global'!AE12</f>
        <v>10</v>
      </c>
      <c r="U5" s="93">
        <f>'Stats Global'!AF12</f>
        <v>0.5</v>
      </c>
      <c r="V5" s="93">
        <f>'Stats Global'!AG12</f>
        <v>2</v>
      </c>
      <c r="W5" s="93">
        <f>'Stats Global'!AH12</f>
        <v>0.1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15</v>
      </c>
      <c r="Q6" s="93">
        <f>'Stats Global'!AB20</f>
        <v>0.83333333333333337</v>
      </c>
      <c r="R6" s="93">
        <f>'Stats Global'!AC20</f>
        <v>10</v>
      </c>
      <c r="S6" s="93">
        <f>'Stats Global'!AD20</f>
        <v>0.55555555555555558</v>
      </c>
      <c r="T6" s="93">
        <f>'Stats Global'!AE20</f>
        <v>1</v>
      </c>
      <c r="U6" s="93">
        <f>'Stats Global'!AF20</f>
        <v>5.5555555555555552E-2</v>
      </c>
      <c r="V6" s="93">
        <f>'Stats Global'!AG20</f>
        <v>2</v>
      </c>
      <c r="W6" s="93">
        <f>'Stats Global'!AH20</f>
        <v>0.1111111111111111</v>
      </c>
      <c r="X6" s="93">
        <f>'Stats Global'!AJ20</f>
        <v>4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0.52380952380952384</v>
      </c>
      <c r="R7" s="93">
        <f>'Stats Global'!AC18</f>
        <v>3</v>
      </c>
      <c r="S7" s="93">
        <f>'Stats Global'!AD18</f>
        <v>0.14285714285714285</v>
      </c>
      <c r="T7" s="93">
        <f>'Stats Global'!AE18</f>
        <v>8</v>
      </c>
      <c r="U7" s="93">
        <f>'Stats Global'!AF18</f>
        <v>0.38095238095238093</v>
      </c>
      <c r="V7" s="93">
        <f>'Stats Global'!AG18</f>
        <v>0</v>
      </c>
      <c r="W7" s="93">
        <f>'Stats Global'!AH18</f>
        <v>0</v>
      </c>
      <c r="X7" s="93">
        <f>'Stats Global'!AJ18</f>
        <v>1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21</v>
      </c>
      <c r="Q9" s="110">
        <f>'Stats Global'!AB15</f>
        <v>1.3125</v>
      </c>
      <c r="R9" s="110">
        <f>'Stats Global'!AC15</f>
        <v>2</v>
      </c>
      <c r="S9" s="110">
        <f>'Stats Global'!AD15</f>
        <v>0.125</v>
      </c>
      <c r="T9" s="110">
        <f>'Stats Global'!AE15</f>
        <v>3</v>
      </c>
      <c r="U9" s="110">
        <f>'Stats Global'!AF15</f>
        <v>0.1875</v>
      </c>
      <c r="V9" s="110">
        <f>'Stats Global'!AG15</f>
        <v>8</v>
      </c>
      <c r="W9" s="110">
        <f>'Stats Global'!AH15</f>
        <v>0.5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0.42857142857142855</v>
      </c>
      <c r="R10" s="110">
        <f>'Stats Global'!AC24</f>
        <v>4</v>
      </c>
      <c r="S10" s="110">
        <f>'Stats Global'!AD24</f>
        <v>0.2857142857142857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7.1428571428571425E-2</v>
      </c>
      <c r="X10" s="110">
        <f>'Stats Global'!AJ24</f>
        <v>8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Global'!I27</f>
        <v>2</v>
      </c>
      <c r="C26" s="82">
        <f>'Stats Global'!J27+'Stats Global'!K27</f>
        <v>7</v>
      </c>
      <c r="D26" s="82">
        <f>'Stats Global'!P27</f>
        <v>2</v>
      </c>
      <c r="E26" s="80"/>
      <c r="F26" s="80"/>
      <c r="J26" s="83"/>
      <c r="L26" s="84">
        <f>'Stats Global'!N27</f>
        <v>0</v>
      </c>
      <c r="M26" s="84">
        <f>'Stats Global'!K27</f>
        <v>2</v>
      </c>
      <c r="N26" s="83"/>
      <c r="O26" s="83"/>
      <c r="P26" s="56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Global'!I28</f>
        <v>2</v>
      </c>
      <c r="C27" s="82">
        <f>'Stats Global'!J28+'Stats Global'!K28</f>
        <v>8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0.37089201877934275</v>
      </c>
      <c r="J41" s="83"/>
      <c r="K41" s="76" t="s">
        <v>94</v>
      </c>
      <c r="L41" s="97">
        <f>SUM(L7:L40)</f>
        <v>37</v>
      </c>
      <c r="M41" s="97">
        <f>SUM(M7:M40)</f>
        <v>66</v>
      </c>
      <c r="N41" s="83"/>
      <c r="O41" s="83"/>
      <c r="P41" s="56"/>
    </row>
    <row r="42" spans="1:16" ht="14.25" customHeight="1" x14ac:dyDescent="0.45">
      <c r="L42" s="88">
        <f>L41/(M41+L41)</f>
        <v>0.35922330097087379</v>
      </c>
      <c r="P42" s="56"/>
    </row>
    <row r="43" spans="1:16" ht="14.25" customHeight="1" x14ac:dyDescent="0.45">
      <c r="J43" s="89" t="str">
        <f>L43&amp;H3&amp;","&amp;I3&amp;","&amp;J3&amp;"],"</f>
        <v>"PartA":[79,134,39],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"PartB":[24,"Michael Iffland",22,"Rudy Hoschke",10,"Michael Iffland",8,"Clarrie Jones"],</v>
      </c>
      <c r="L44" s="76" t="s">
        <v>136</v>
      </c>
      <c r="N44" s="91">
        <f>MAX(Table1113[Points])</f>
        <v>24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"PartC":[4.3,2.1,1.1,0.5,3.6,6.1],</v>
      </c>
      <c r="L45" s="76" t="s">
        <v>137</v>
      </c>
      <c r="N45" s="91">
        <f>MAX(Table1113[Finishes])</f>
        <v>22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"PartD":[42,68,38.2,37,66,35.9],</v>
      </c>
      <c r="L46" s="76" t="s">
        <v>138</v>
      </c>
      <c r="N46" s="91">
        <f>MAX(Table1113[Midranges])</f>
        <v>10</v>
      </c>
      <c r="O46" s="76" t="str">
        <f>IF(N46&lt;&gt;0,IF(N46=T4,O4,IF(N46=T5,O5,IF(T6=N46,O6,IF(T7=N46,O7,IF(T8=N46,O8,IF(T9=N46,O9,O10)))))),"N/A")</f>
        <v>Michael Iffland</v>
      </c>
      <c r="P46" s="90">
        <f>ROUND(SUM('Stats Global'!AG11,'Stats Global'!AG12,'Stats Global'!AG20,'Stats Global'!AG15,'Stats Global'!AG19,'Stats Global'!AG18)/'Stats Global'!AA6,1)</f>
        <v>0.5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3.6</v>
      </c>
    </row>
    <row r="48" spans="1:16" ht="14.25" customHeight="1" x14ac:dyDescent="0.45">
      <c r="P48" s="76">
        <f>ROUND(I3/'Stats Global'!AA6,1)</f>
        <v>6.1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3" sqref="I3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131</v>
      </c>
      <c r="I3" s="81">
        <f>SUM(C7:C40)</f>
        <v>106</v>
      </c>
      <c r="J3" s="78">
        <f>SUM(D7:D40)</f>
        <v>50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70</v>
      </c>
      <c r="N5" s="93">
        <f>'Stats Global'!AB17</f>
        <v>3.3333333333333335</v>
      </c>
      <c r="O5" s="93">
        <f>'Stats Global'!AC17</f>
        <v>16</v>
      </c>
      <c r="P5" s="93">
        <f>'Stats Global'!AD17</f>
        <v>0.76190476190476186</v>
      </c>
      <c r="Q5" s="93">
        <f>'Stats Global'!AE17</f>
        <v>42</v>
      </c>
      <c r="R5" s="93">
        <f>'Stats Global'!AF17</f>
        <v>2</v>
      </c>
      <c r="S5" s="93">
        <f>'Stats Global'!AG17</f>
        <v>6</v>
      </c>
      <c r="T5" s="93">
        <f>'Stats Global'!AH17</f>
        <v>0.2857142857142857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46</v>
      </c>
      <c r="N6" s="93">
        <f>'Stats Global'!AB10</f>
        <v>3.5384615384615383</v>
      </c>
      <c r="O6" s="93">
        <f>'Stats Global'!AC10</f>
        <v>43</v>
      </c>
      <c r="P6" s="93">
        <f>'Stats Global'!AD10</f>
        <v>3.3076923076923075</v>
      </c>
      <c r="Q6" s="93">
        <f>'Stats Global'!AE10</f>
        <v>1</v>
      </c>
      <c r="R6" s="93">
        <f>'Stats Global'!AF10</f>
        <v>7.6923076923076927E-2</v>
      </c>
      <c r="S6" s="93">
        <f>'Stats Global'!AG10</f>
        <v>1</v>
      </c>
      <c r="T6" s="93">
        <f>'Stats Global'!AH10</f>
        <v>7.6923076923076927E-2</v>
      </c>
      <c r="U6" s="93">
        <f>'Stats Global'!AJ10</f>
        <v>9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21</v>
      </c>
      <c r="N7" s="93">
        <f>'Stats Global'!AB13</f>
        <v>1.1052631578947369</v>
      </c>
      <c r="O7" s="93">
        <f>'Stats Global'!AC13</f>
        <v>16</v>
      </c>
      <c r="P7" s="93">
        <f>'Stats Global'!AD13</f>
        <v>0.84210526315789469</v>
      </c>
      <c r="Q7" s="93">
        <f>'Stats Global'!AE13</f>
        <v>5</v>
      </c>
      <c r="R7" s="93">
        <f>'Stats Global'!AF13</f>
        <v>0.26315789473684209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0.5714285714285714</v>
      </c>
      <c r="O8" s="93">
        <f>'Stats Global'!AC14</f>
        <v>6</v>
      </c>
      <c r="P8" s="93">
        <f>'Stats Global'!AD14</f>
        <v>0.2857142857142857</v>
      </c>
      <c r="Q8" s="93">
        <f>'Stats Global'!AE14</f>
        <v>4</v>
      </c>
      <c r="R8" s="93">
        <f>'Stats Global'!AF14</f>
        <v>0.19047619047619047</v>
      </c>
      <c r="S8" s="93">
        <f>'Stats Global'!AG14</f>
        <v>1</v>
      </c>
      <c r="T8" s="93">
        <f>'Stats Global'!AH14</f>
        <v>4.7619047619047616E-2</v>
      </c>
      <c r="U8" s="93">
        <f>'Stats Global'!AJ14</f>
        <v>1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0.14285714285714285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0.14285714285714285</v>
      </c>
      <c r="S9" s="93">
        <f>'Stats Global'!AG19</f>
        <v>0</v>
      </c>
      <c r="T9" s="93">
        <f>'Stats Global'!AH19</f>
        <v>0</v>
      </c>
      <c r="U9" s="93">
        <f>'Stats Global'!AJ19</f>
        <v>15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4.5454545454545456E-2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4.5454545454545456E-2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Global'!L27</f>
        <v>5</v>
      </c>
      <c r="C26" s="82">
        <f>'Stats Global'!M27+'Stats Global'!N27</f>
        <v>6</v>
      </c>
      <c r="D26" s="82">
        <f>'Stats Global'!Q27</f>
        <v>4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Global'!L28</f>
        <v>2</v>
      </c>
      <c r="C27" s="82">
        <f>'Stats Global'!M28+'Stats Global'!N28</f>
        <v>6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"PartA":[131,106,50],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"PartB":[70,"Samuel McConaghy",43,"Alexander Galt",42,"Samuel McConaghy",6,"Samuel McConaghy"],</v>
      </c>
      <c r="M33" s="76" t="s">
        <v>136</v>
      </c>
      <c r="O33" s="91">
        <f>MAX(Table11[Points])</f>
        <v>70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3.9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"PartC":[7.1,3.9,2.4,0.4,6,4.8],</v>
      </c>
      <c r="M34" s="76" t="s">
        <v>137</v>
      </c>
      <c r="O34" s="91">
        <f>MAX(Table11[Finishes])</f>
        <v>43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2.4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"PartD":[65,69,48.5,66,37,64.1],</v>
      </c>
      <c r="M35" s="76" t="s">
        <v>138</v>
      </c>
      <c r="O35" s="91">
        <f>MAX(Table11[Midranges])</f>
        <v>42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6</v>
      </c>
      <c r="P36" s="76" t="str">
        <f>IF(O36&lt;&gt;0,IF(O36=S5,L5,IF(O36=S6,L6,IF(S7=O36,L7,IF(S8=O36,L8,L9)))),"N/A")</f>
        <v>Samuel McConaghy</v>
      </c>
      <c r="Q36" s="76">
        <f>ROUND(H3/'Stats Global'!AA6,1)</f>
        <v>6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0.5527426160337553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794B-E810-448D-B14B-CC1A2B98A19C}">
  <dimension ref="B1:AG1000"/>
  <sheetViews>
    <sheetView zoomScale="79" workbookViewId="0">
      <selection activeCell="W19" sqref="W1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357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/>
      <c r="C4" s="25"/>
      <c r="D4" s="25"/>
      <c r="E4" s="25"/>
      <c r="F4" s="25"/>
      <c r="G4" s="25"/>
      <c r="H4" s="25"/>
      <c r="I4" s="25"/>
      <c r="J4" s="25"/>
      <c r="L4" s="11" t="s">
        <v>110</v>
      </c>
      <c r="M4" s="11">
        <f>COUNTIF(C$3:C41, "5 Musketeers")</f>
        <v>0</v>
      </c>
      <c r="N4" s="11">
        <f>COUNTIF(D$3:D41, "5 Musketeers")</f>
        <v>0</v>
      </c>
      <c r="O4" s="10" t="e">
        <f t="shared" ref="O4:O5" si="0">M4/(M4+N4)</f>
        <v>#DIV/0!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/>
      <c r="C5" s="25"/>
      <c r="D5" s="25"/>
      <c r="E5" s="25"/>
      <c r="F5" s="25"/>
      <c r="G5" s="25"/>
      <c r="H5" s="25"/>
      <c r="I5" s="25"/>
      <c r="J5" s="25"/>
      <c r="L5" s="11" t="s">
        <v>109</v>
      </c>
      <c r="M5" s="11">
        <f>COUNTIF(C$3:C42, "Wet Willies")</f>
        <v>0</v>
      </c>
      <c r="N5" s="11">
        <f>COUNTIF(D$3:D42, "Wet Willies")</f>
        <v>0</v>
      </c>
      <c r="O5" s="10" t="e">
        <f t="shared" si="0"/>
        <v>#DIV/0!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ref="Y5:Y26" si="5">IF(AND(C4="Loose Gooses",D4="Wet Willies"),"LG/WW", IF(AND(C4="Loose Gooses",D4="5 Musketeers"),"LG/5M", ""))</f>
        <v/>
      </c>
      <c r="Z5" s="52" t="str">
        <f t="shared" ref="Z5:Z26" si="6">IF(AND(C4="Wet Willies",D4="Loose Gooses"),"WW/LG", IF(AND(C4="Wet Willies",D4="5 Musketeers"),"WW/5M", ""))</f>
        <v/>
      </c>
      <c r="AA5" s="52" t="str">
        <f t="shared" ref="AA5:AA26" si="7">IF(AND(C4="5 Musketeers",D4="Loose Gooses"),"5M/LG", IF(AND($C4="5 Musketeers",$D4="Wet Willies"),"5M/WW", ""))</f>
        <v/>
      </c>
      <c r="AC5" s="2"/>
    </row>
    <row r="6" spans="2:32" ht="14.25" customHeight="1" x14ac:dyDescent="0.45">
      <c r="B6" s="25"/>
      <c r="C6" s="25"/>
      <c r="D6" s="25"/>
      <c r="E6" s="25"/>
      <c r="F6" s="25"/>
      <c r="G6" s="25"/>
      <c r="H6" s="25"/>
      <c r="I6" s="25"/>
      <c r="J6" s="25"/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/>
      <c r="C7" s="25"/>
      <c r="D7" s="25"/>
      <c r="E7" s="25"/>
      <c r="F7" s="25"/>
      <c r="G7" s="25"/>
      <c r="H7" s="25"/>
      <c r="I7" s="25"/>
      <c r="J7" s="25"/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1</v>
      </c>
      <c r="Y7" s="52" t="str">
        <f t="shared" si="5"/>
        <v/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/>
      <c r="C8" s="25"/>
      <c r="D8" s="25"/>
      <c r="E8" s="25"/>
      <c r="F8" s="25"/>
      <c r="G8" s="25"/>
      <c r="H8" s="25"/>
      <c r="I8" s="25"/>
      <c r="J8" s="25"/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/>
      <c r="C9" s="25"/>
      <c r="D9" s="25"/>
      <c r="E9" s="25"/>
      <c r="F9" s="25"/>
      <c r="G9" s="25"/>
      <c r="H9" s="25"/>
      <c r="I9" s="25"/>
      <c r="J9" s="25"/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/>
      <c r="C10" s="25"/>
      <c r="D10" s="25"/>
      <c r="E10" s="25"/>
      <c r="F10" s="25"/>
      <c r="G10" s="25"/>
      <c r="H10" s="25"/>
      <c r="I10" s="25"/>
      <c r="J10" s="25"/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1</v>
      </c>
      <c r="Y10" s="52" t="str">
        <f t="shared" si="5"/>
        <v/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/>
      <c r="C11" s="25"/>
      <c r="D11" s="25"/>
      <c r="E11" s="25"/>
      <c r="F11" s="25"/>
      <c r="G11" s="25"/>
      <c r="H11" s="25"/>
      <c r="I11" s="25"/>
      <c r="J11" s="25"/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/>
      <c r="C12" s="25"/>
      <c r="D12" s="25"/>
      <c r="E12" s="25"/>
      <c r="F12" s="25"/>
      <c r="G12" s="25"/>
      <c r="H12" s="25"/>
      <c r="I12" s="25"/>
      <c r="J12" s="25"/>
      <c r="R12" s="2" t="s">
        <v>50</v>
      </c>
      <c r="S12" s="8">
        <f t="shared" si="1"/>
        <v>0</v>
      </c>
      <c r="T12" s="9">
        <f t="shared" si="2"/>
        <v>0</v>
      </c>
      <c r="U12" s="9">
        <f t="shared" si="3"/>
        <v>0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/>
      <c r="C13" s="25"/>
      <c r="D13" s="25"/>
      <c r="E13" s="25"/>
      <c r="F13" s="25"/>
      <c r="G13" s="25"/>
      <c r="H13" s="25"/>
      <c r="I13" s="25"/>
      <c r="J13" s="25"/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/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/>
      <c r="C14" s="25"/>
      <c r="D14" s="25"/>
      <c r="E14" s="25"/>
      <c r="F14" s="25"/>
      <c r="G14" s="25"/>
      <c r="H14" s="25"/>
      <c r="I14" s="25"/>
      <c r="J14" s="25"/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 t="shared" si="5"/>
        <v/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/>
      <c r="C15" s="25"/>
      <c r="D15" s="25"/>
      <c r="E15" s="25"/>
      <c r="F15" s="25"/>
      <c r="G15" s="25"/>
      <c r="H15" s="25"/>
      <c r="I15" s="25"/>
      <c r="J15" s="25"/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/>
      <c r="C16" s="25"/>
      <c r="D16" s="25"/>
      <c r="E16" s="25"/>
      <c r="F16" s="25"/>
      <c r="G16" s="25"/>
      <c r="H16" s="25"/>
      <c r="I16" s="25"/>
      <c r="J16" s="25"/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/>
      <c r="C17" s="25"/>
      <c r="D17" s="25"/>
      <c r="E17" s="25"/>
      <c r="F17" s="25"/>
      <c r="G17" s="25"/>
      <c r="H17" s="25"/>
      <c r="I17" s="25"/>
      <c r="J17" s="25"/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/>
      <c r="C18" s="25"/>
      <c r="D18" s="25"/>
      <c r="E18" s="25"/>
      <c r="F18" s="25"/>
      <c r="G18" s="25"/>
      <c r="H18" s="25"/>
      <c r="I18" s="25"/>
      <c r="J18" s="25"/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/>
      <c r="C19" s="25"/>
      <c r="D19" s="25"/>
      <c r="E19" s="25"/>
      <c r="F19" s="25"/>
      <c r="G19" s="25"/>
      <c r="H19" s="25"/>
      <c r="I19" s="25"/>
      <c r="J19" s="25"/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/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/>
      <c r="C20" s="25"/>
      <c r="D20" s="25"/>
      <c r="E20" s="25"/>
      <c r="F20" s="25"/>
      <c r="G20" s="25"/>
      <c r="H20" s="25"/>
      <c r="I20" s="25"/>
      <c r="J20" s="25"/>
      <c r="Y20" s="52" t="str">
        <f t="shared" si="5"/>
        <v/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/>
      <c r="C21" s="25"/>
      <c r="D21" s="25"/>
      <c r="E21" s="191"/>
      <c r="F21" s="25"/>
      <c r="G21" s="25"/>
      <c r="H21" s="25"/>
      <c r="I21" s="25"/>
      <c r="J21" s="25"/>
      <c r="Y21" s="52" t="str">
        <f t="shared" si="5"/>
        <v/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191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191"/>
      <c r="F23" s="25"/>
      <c r="G23" s="25"/>
      <c r="H23" s="25"/>
      <c r="I23" s="25"/>
      <c r="J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191"/>
      <c r="F24" s="25"/>
      <c r="G24" s="25"/>
      <c r="H24" s="25"/>
      <c r="I24" s="25"/>
      <c r="J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Table631343537363839[[#This Row],[Finishes]]+Table631343537363839[[#This Row],[Midranges]]+Table631343537363839[[#This Row],[Threes]]+Table631343537363839[[#This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191"/>
      <c r="F25" s="25"/>
      <c r="G25" s="25"/>
      <c r="H25" s="25"/>
      <c r="I25" s="25"/>
      <c r="J25" s="25"/>
      <c r="R25" s="6"/>
      <c r="S25" s="16" t="str">
        <f t="shared" si="8"/>
        <v>0,</v>
      </c>
      <c r="T25" s="16" t="str">
        <f t="shared" si="8"/>
        <v>0,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Table631343537363839[[#This Row],[Finishes]]+Table631343537363839[[#This Row],[Midranges]]+Table631343537363839[[#This Row],[Threes]]+Table631343537363839[[#This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Table631343537363839[[#This Row],[Finishes]]+Table631343537363839[[#This Row],[Midranges]]+Table631343537363839[[#This Row],[Threes]]+Table631343537363839[[#This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"Did not Play",</v>
      </c>
      <c r="T27" s="16" t="str">
        <f t="shared" si="8"/>
        <v>"Did not Play",</v>
      </c>
      <c r="U27" s="16" t="str">
        <f t="shared" si="8"/>
        <v>"Did not Play",</v>
      </c>
      <c r="V27" s="16" t="str">
        <f t="shared" si="8"/>
        <v>"Did not Play",</v>
      </c>
      <c r="Y27" s="52" t="str">
        <f t="shared" ref="Y27:Y39" si="9">IF(AND(C27="Loose Gooses",D27="Wet Willies"),"LG/WW", IF(AND(C27="Loose Gooses",D27="5 Musketeers"),"LG/5M", ""))</f>
        <v/>
      </c>
      <c r="Z27" s="52" t="str">
        <f t="shared" ref="Z27:Z39" si="10">IF(AND(C27="Wet Willies",D27="Loose Gooses"),"WW/LG", IF(AND(C27="Wet Willies",D27="5 Musketeers"),"WW/5M", ""))</f>
        <v/>
      </c>
      <c r="AA27" s="52" t="str">
        <f t="shared" ref="AA27:AA39" si="11">IF(AND(C27="5 Musketeers",D27="Loose Gooses"),"5M/LG", IF(AND($C27="5 Musketeers",$D27="Wet Willies"),"5M/WW", ""))</f>
        <v/>
      </c>
      <c r="AC27" s="159" t="s">
        <v>42</v>
      </c>
      <c r="AD27" s="166">
        <f>Table631343537363839[[#This Row],[Finishes]]+Table631343537363839[[#This Row],[Midranges]]+Table631343537363839[[#This Row],[Threes]]+Table631343537363839[[#This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9"/>
        <v/>
      </c>
      <c r="Z28" s="52" t="str">
        <f t="shared" si="10"/>
        <v/>
      </c>
      <c r="AA28" s="52" t="str">
        <f t="shared" si="11"/>
        <v/>
      </c>
      <c r="AC28" s="158" t="s">
        <v>115</v>
      </c>
      <c r="AD28" s="165">
        <f>Table631343537363839[[#This Row],[Finishes]]+Table631343537363839[[#This Row],[Midranges]]+Table631343537363839[[#This Row],[Threes]]+Table631343537363839[[#This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9"/>
        <v/>
      </c>
      <c r="Z29" s="52" t="str">
        <f t="shared" si="10"/>
        <v/>
      </c>
      <c r="AA29" s="52" t="str">
        <f t="shared" si="11"/>
        <v/>
      </c>
      <c r="AC29" s="159" t="s">
        <v>44</v>
      </c>
      <c r="AD29" s="166">
        <f>Table631343537363839[[#This Row],[Finishes]]+Table631343537363839[[#This Row],[Midranges]]+Table631343537363839[[#This Row],[Threes]]+Table631343537363839[[#This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"Did not Play",</v>
      </c>
      <c r="T30" s="16" t="str">
        <f t="shared" si="8"/>
        <v>"Did not Play",</v>
      </c>
      <c r="U30" s="16" t="str">
        <f t="shared" si="8"/>
        <v>"Did not Play",</v>
      </c>
      <c r="V30" s="16" t="str">
        <f t="shared" si="8"/>
        <v>"Did not Play",</v>
      </c>
      <c r="Y30" s="52" t="str">
        <f t="shared" si="9"/>
        <v/>
      </c>
      <c r="Z30" s="52" t="str">
        <f t="shared" si="10"/>
        <v/>
      </c>
      <c r="AA30" s="52" t="str">
        <f t="shared" si="11"/>
        <v/>
      </c>
      <c r="AC30" s="158" t="s">
        <v>50</v>
      </c>
      <c r="AD30" s="165">
        <f>Table631343537363839[[#This Row],[Finishes]]+Table631343537363839[[#This Row],[Midranges]]+Table631343537363839[[#This Row],[Threes]]+Table631343537363839[[#This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0,</v>
      </c>
      <c r="T31" s="16" t="str">
        <f t="shared" si="8"/>
        <v>0,</v>
      </c>
      <c r="U31" s="16" t="str">
        <f t="shared" si="8"/>
        <v>0,</v>
      </c>
      <c r="V31" s="16" t="str">
        <f t="shared" si="8"/>
        <v>0,</v>
      </c>
      <c r="Y31" s="52" t="str">
        <f t="shared" si="9"/>
        <v/>
      </c>
      <c r="Z31" s="52" t="str">
        <f t="shared" si="10"/>
        <v/>
      </c>
      <c r="AA31" s="52" t="str">
        <f t="shared" si="11"/>
        <v/>
      </c>
      <c r="AC31" s="159" t="s">
        <v>52</v>
      </c>
      <c r="AD31" s="166">
        <f>Table631343537363839[[#This Row],[Finishes]]+Table631343537363839[[#This Row],[Midranges]]+Table631343537363839[[#This Row],[Threes]]+Table631343537363839[[#This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0,</v>
      </c>
      <c r="T32" s="16" t="str">
        <f t="shared" si="8"/>
        <v>0,</v>
      </c>
      <c r="U32" s="16" t="str">
        <f t="shared" si="8"/>
        <v>0,</v>
      </c>
      <c r="V32" s="16" t="str">
        <f t="shared" si="8"/>
        <v>0,</v>
      </c>
      <c r="Y32" s="52" t="str">
        <f t="shared" si="9"/>
        <v/>
      </c>
      <c r="Z32" s="52" t="str">
        <f t="shared" si="10"/>
        <v/>
      </c>
      <c r="AA32" s="52" t="str">
        <f t="shared" si="11"/>
        <v/>
      </c>
      <c r="AC32" s="158" t="s">
        <v>200</v>
      </c>
      <c r="AD32" s="165">
        <f>Table631343537363839[[#This Row],[Finishes]]+Table631343537363839[[#This Row],[Midranges]]+Table631343537363839[[#This Row],[Threes]]+Table631343537363839[[#This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9"/>
        <v/>
      </c>
      <c r="Z33" s="52" t="str">
        <f t="shared" si="10"/>
        <v/>
      </c>
      <c r="AA33" s="52" t="str">
        <f t="shared" si="11"/>
        <v/>
      </c>
      <c r="AC33" s="159" t="s">
        <v>55</v>
      </c>
      <c r="AD33" s="166">
        <f>Table631343537363839[[#This Row],[Finishes]]+Table631343537363839[[#This Row],[Midranges]]+Table631343537363839[[#This Row],[Threes]]+Table631343537363839[[#This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0,</v>
      </c>
      <c r="T34" s="16" t="str">
        <f t="shared" si="8"/>
        <v>0,</v>
      </c>
      <c r="U34" s="16" t="str">
        <f t="shared" si="8"/>
        <v>0,</v>
      </c>
      <c r="V34" s="16" t="str">
        <f t="shared" si="8"/>
        <v>0,</v>
      </c>
      <c r="Y34" s="52" t="str">
        <f t="shared" si="9"/>
        <v/>
      </c>
      <c r="Z34" s="52" t="str">
        <f t="shared" si="10"/>
        <v/>
      </c>
      <c r="AA34" s="52" t="str">
        <f t="shared" si="11"/>
        <v/>
      </c>
      <c r="AC34" s="158" t="s">
        <v>64</v>
      </c>
      <c r="AD34" s="165">
        <f>Table631343537363839[[#This Row],[Finishes]]+Table631343537363839[[#This Row],[Midranges]]+Table631343537363839[[#This Row],[Threes]]+Table631343537363839[[#This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9"/>
        <v/>
      </c>
      <c r="Z35" s="52" t="str">
        <f t="shared" si="10"/>
        <v/>
      </c>
      <c r="AA35" s="52" t="str">
        <f t="shared" si="11"/>
        <v/>
      </c>
      <c r="AC35" s="160" t="s">
        <v>67</v>
      </c>
      <c r="AD35" s="167">
        <f>Table631343537363839[[#This Row],[Finishes]]+Table631343537363839[[#This Row],[Midranges]]+Table631343537363839[[#This Row],[Threes]]+Table631343537363839[[#This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9"/>
        <v/>
      </c>
      <c r="Z36" s="52" t="str">
        <f t="shared" si="10"/>
        <v/>
      </c>
      <c r="AA36" s="52" t="str">
        <f t="shared" si="11"/>
        <v/>
      </c>
    </row>
    <row r="37" spans="2:33" ht="14.25" customHeight="1" x14ac:dyDescent="0.45">
      <c r="S37" s="16" t="str">
        <f t="shared" si="8"/>
        <v>0,</v>
      </c>
      <c r="T37" s="16" t="str">
        <f t="shared" si="8"/>
        <v>0,</v>
      </c>
      <c r="U37" s="16" t="str">
        <f t="shared" si="8"/>
        <v>0,</v>
      </c>
      <c r="V37" s="16" t="str">
        <f t="shared" si="8"/>
        <v>0,</v>
      </c>
      <c r="Y37" s="52" t="str">
        <f t="shared" si="9"/>
        <v/>
      </c>
      <c r="Z37" s="52" t="str">
        <f t="shared" si="10"/>
        <v/>
      </c>
      <c r="AA37" s="52" t="str">
        <f t="shared" si="11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9"/>
        <v/>
      </c>
      <c r="Z38" s="52" t="str">
        <f t="shared" si="10"/>
        <v/>
      </c>
      <c r="AA38" s="52" t="str">
        <f t="shared" si="11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9"/>
        <v/>
      </c>
      <c r="Z39" s="52" t="str">
        <f t="shared" si="10"/>
        <v/>
      </c>
      <c r="AA39" s="52" t="str">
        <f t="shared" si="11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"Date":["11-October"],</v>
      </c>
    </row>
    <row r="45" spans="2:33" ht="14.25" customHeight="1" x14ac:dyDescent="0.45">
      <c r="B45" s="74" t="str">
        <f>C2</f>
        <v>11-October</v>
      </c>
      <c r="C45" s="16">
        <f>MAX(M3:M5)</f>
        <v>0</v>
      </c>
      <c r="D45" s="16">
        <f>COUNT(B4:B42)-C45-E45</f>
        <v>0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0</v>
      </c>
      <c r="J45" s="16">
        <f>COUNTIF(Y4:Y39, "LG/WW")</f>
        <v>0</v>
      </c>
      <c r="K45" s="16">
        <f>COUNTIF(AA4:AA39, "5M/WW")</f>
        <v>0</v>
      </c>
      <c r="L45" s="16">
        <f>M4</f>
        <v>0</v>
      </c>
      <c r="M45" s="16">
        <f>COUNTIF(Y4:Y39, "LG/5M")</f>
        <v>0</v>
      </c>
      <c r="N45" s="16">
        <f>COUNTIF(Z4:Z39, "WW/5M")</f>
        <v>0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"Points":[0,0,0,"Did not Play","Did not Play",0,0,"Did not Play",0,0,"Did not Play",0,"Did not Play",0,0,0,"Did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"Finishes":[0,0,0,"Did not Play","Did not Play",0,0,"Did not Play",0,0,"Did not Play",0,"Did not Play",0,0,0,"Did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Play","Did not Play",0,0,"Did not Play",0,0,"Did not Play",0,"Did not Play",0,0,0,"Did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Play","Did not Play",0,0,"Did not Play",0,0,"Did not Play",0,"Did not Play",0,0,0,"Did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626A-07E4-4A11-B861-1967090E8AAA}">
  <dimension ref="B1:AG1000"/>
  <sheetViews>
    <sheetView topLeftCell="A13" zoomScale="79" workbookViewId="0">
      <selection activeCell="T43" sqref="T43:T4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356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1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330</v>
      </c>
      <c r="F4" s="25" t="s">
        <v>30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13</v>
      </c>
      <c r="N4" s="11">
        <f>COUNTIF(D$3:D41, "5 Musketeers")</f>
        <v>9</v>
      </c>
      <c r="O4" s="10">
        <f t="shared" ref="O4:O5" si="0">M4/(M4+N4)</f>
        <v>0.59090909090909094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1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>
        <v>1</v>
      </c>
      <c r="C5" s="25" t="s">
        <v>31</v>
      </c>
      <c r="D5" s="25" t="s">
        <v>26</v>
      </c>
      <c r="E5" s="25" t="s">
        <v>335</v>
      </c>
      <c r="F5" s="25" t="s">
        <v>35</v>
      </c>
      <c r="G5" s="25" t="s">
        <v>204</v>
      </c>
      <c r="H5" s="25" t="s">
        <v>288</v>
      </c>
      <c r="I5" s="25" t="s">
        <v>288</v>
      </c>
      <c r="J5" s="25">
        <v>1</v>
      </c>
      <c r="L5" s="11" t="s">
        <v>109</v>
      </c>
      <c r="M5" s="11">
        <f>COUNTIF(C$3:C42, "Wet Willies")</f>
        <v>9</v>
      </c>
      <c r="N5" s="11">
        <f>COUNTIF(D$3:D42, "Wet Willies")</f>
        <v>13</v>
      </c>
      <c r="O5" s="10">
        <f t="shared" si="0"/>
        <v>0.40909090909090912</v>
      </c>
      <c r="P5" s="11">
        <v>0</v>
      </c>
      <c r="R5" s="2" t="s">
        <v>30</v>
      </c>
      <c r="S5" s="8">
        <f t="shared" si="1"/>
        <v>7</v>
      </c>
      <c r="T5" s="9">
        <f t="shared" si="2"/>
        <v>7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ref="Y5:Y26" si="5">IF(AND(C4="Loose Gooses",D4="Wet Willies"),"LG/WW", IF(AND(C4="Loose Gooses",D4="5 Musketeers"),"LG/5M", ""))</f>
        <v/>
      </c>
      <c r="Z5" s="52" t="str">
        <f t="shared" ref="Z5:Z26" si="6">IF(AND(C4="Wet Willies",D4="Loose Gooses"),"WW/LG", IF(AND(C4="Wet Willies",D4="5 Musketeers"),"WW/5M", ""))</f>
        <v/>
      </c>
      <c r="AA5" s="52" t="str">
        <f t="shared" ref="AA5:AA26" si="7">IF(AND(C4="5 Musketeers",D4="Loose Gooses"),"5M/LG", IF(AND($C4="5 Musketeers",$D4="Wet Willies"),"5M/WW", ""))</f>
        <v>5M/WW</v>
      </c>
      <c r="AC5" s="2"/>
    </row>
    <row r="6" spans="2:32" ht="14.25" customHeight="1" x14ac:dyDescent="0.45">
      <c r="B6" s="25">
        <v>1</v>
      </c>
      <c r="C6" s="25" t="s">
        <v>26</v>
      </c>
      <c r="D6" s="25" t="s">
        <v>31</v>
      </c>
      <c r="E6" s="25" t="s">
        <v>336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4</v>
      </c>
      <c r="T6" s="9">
        <f t="shared" si="2"/>
        <v>3</v>
      </c>
      <c r="U6" s="9">
        <f t="shared" si="3"/>
        <v>1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WW/5M</v>
      </c>
      <c r="AA6" s="52" t="str">
        <f t="shared" si="7"/>
        <v/>
      </c>
      <c r="AC6" s="2"/>
    </row>
    <row r="7" spans="2:32" ht="14.25" customHeight="1" x14ac:dyDescent="0.45">
      <c r="B7" s="25">
        <v>1</v>
      </c>
      <c r="C7" s="25" t="s">
        <v>26</v>
      </c>
      <c r="D7" s="25" t="s">
        <v>31</v>
      </c>
      <c r="E7" s="25" t="s">
        <v>337</v>
      </c>
      <c r="F7" s="25" t="s">
        <v>42</v>
      </c>
      <c r="G7" s="25" t="s">
        <v>204</v>
      </c>
      <c r="H7" s="25" t="s">
        <v>288</v>
      </c>
      <c r="I7" s="25" t="s">
        <v>288</v>
      </c>
      <c r="J7" s="25">
        <v>1</v>
      </c>
      <c r="R7" s="2" t="s">
        <v>37</v>
      </c>
      <c r="S7" s="8">
        <f t="shared" si="1"/>
        <v>3</v>
      </c>
      <c r="T7" s="9">
        <f t="shared" si="2"/>
        <v>1</v>
      </c>
      <c r="U7" s="9">
        <f t="shared" si="3"/>
        <v>2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1</v>
      </c>
      <c r="C8" s="25" t="s">
        <v>31</v>
      </c>
      <c r="D8" s="25" t="s">
        <v>26</v>
      </c>
      <c r="E8" s="25" t="s">
        <v>338</v>
      </c>
      <c r="F8" s="25" t="s">
        <v>35</v>
      </c>
      <c r="G8" s="25" t="s">
        <v>204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4</v>
      </c>
      <c r="T8" s="9">
        <f t="shared" si="2"/>
        <v>2</v>
      </c>
      <c r="U8" s="9">
        <f t="shared" si="3"/>
        <v>2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45">
      <c r="B9" s="25">
        <v>1</v>
      </c>
      <c r="C9" s="25" t="s">
        <v>31</v>
      </c>
      <c r="D9" s="25" t="s">
        <v>26</v>
      </c>
      <c r="E9" s="25" t="s">
        <v>339</v>
      </c>
      <c r="F9" s="25" t="s">
        <v>35</v>
      </c>
      <c r="G9" s="25" t="s">
        <v>204</v>
      </c>
      <c r="H9" s="25" t="s">
        <v>288</v>
      </c>
      <c r="I9" s="25" t="s">
        <v>288</v>
      </c>
      <c r="J9" s="25">
        <v>2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1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1</v>
      </c>
      <c r="C10" s="25" t="s">
        <v>31</v>
      </c>
      <c r="D10" s="25" t="s">
        <v>26</v>
      </c>
      <c r="E10" s="25" t="s">
        <v>340</v>
      </c>
      <c r="F10" s="25" t="s">
        <v>55</v>
      </c>
      <c r="G10" s="25" t="s">
        <v>204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1</v>
      </c>
      <c r="T10" s="9">
        <f t="shared" si="2"/>
        <v>0</v>
      </c>
      <c r="U10" s="9">
        <f t="shared" si="3"/>
        <v>1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>WW/5M</v>
      </c>
      <c r="AA10" s="52" t="str">
        <f t="shared" si="7"/>
        <v/>
      </c>
      <c r="AC10" s="2"/>
    </row>
    <row r="11" spans="2:32" ht="14.25" customHeight="1" x14ac:dyDescent="0.45">
      <c r="B11" s="25">
        <v>1</v>
      </c>
      <c r="C11" s="25" t="s">
        <v>31</v>
      </c>
      <c r="D11" s="25" t="s">
        <v>26</v>
      </c>
      <c r="E11" s="25" t="s">
        <v>341</v>
      </c>
      <c r="F11" s="25" t="s">
        <v>35</v>
      </c>
      <c r="G11" s="25" t="s">
        <v>99</v>
      </c>
      <c r="H11" s="25" t="s">
        <v>288</v>
      </c>
      <c r="I11" s="25" t="s">
        <v>288</v>
      </c>
      <c r="J11" s="25">
        <v>1</v>
      </c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1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1</v>
      </c>
      <c r="C12" s="25" t="s">
        <v>31</v>
      </c>
      <c r="D12" s="25" t="s">
        <v>26</v>
      </c>
      <c r="E12" s="25" t="s">
        <v>342</v>
      </c>
      <c r="F12" s="25" t="s">
        <v>37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3</v>
      </c>
      <c r="T12" s="9">
        <f t="shared" si="2"/>
        <v>0</v>
      </c>
      <c r="U12" s="9">
        <f t="shared" si="3"/>
        <v>1</v>
      </c>
      <c r="V12" s="9">
        <f t="shared" si="4"/>
        <v>1</v>
      </c>
      <c r="W12" s="26" t="b">
        <v>0</v>
      </c>
      <c r="Y12" s="52" t="str">
        <f t="shared" si="5"/>
        <v/>
      </c>
      <c r="Z12" s="52" t="str">
        <f t="shared" si="6"/>
        <v>WW/5M</v>
      </c>
      <c r="AA12" s="52" t="str">
        <f t="shared" si="7"/>
        <v/>
      </c>
      <c r="AC12" s="2"/>
    </row>
    <row r="13" spans="2:32" ht="14.25" customHeight="1" x14ac:dyDescent="0.45">
      <c r="B13" s="25">
        <v>1</v>
      </c>
      <c r="C13" s="25" t="s">
        <v>31</v>
      </c>
      <c r="D13" s="25" t="s">
        <v>26</v>
      </c>
      <c r="E13" s="25" t="s">
        <v>343</v>
      </c>
      <c r="F13" s="25" t="s">
        <v>44</v>
      </c>
      <c r="G13" s="25" t="s">
        <v>99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>WW/5M</v>
      </c>
      <c r="AA13" s="52" t="str">
        <f t="shared" si="7"/>
        <v/>
      </c>
      <c r="AC13" s="2"/>
    </row>
    <row r="14" spans="2:32" ht="14.25" customHeight="1" x14ac:dyDescent="0.45">
      <c r="B14" s="25">
        <v>1</v>
      </c>
      <c r="C14" s="25" t="s">
        <v>26</v>
      </c>
      <c r="D14" s="25" t="s">
        <v>31</v>
      </c>
      <c r="E14" s="25" t="s">
        <v>344</v>
      </c>
      <c r="F14" s="25" t="s">
        <v>30</v>
      </c>
      <c r="G14" s="25" t="s">
        <v>204</v>
      </c>
      <c r="H14" s="25" t="s">
        <v>288</v>
      </c>
      <c r="I14" s="25" t="s">
        <v>288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 t="shared" si="5"/>
        <v/>
      </c>
      <c r="Z14" s="52" t="str">
        <f t="shared" si="6"/>
        <v>WW/5M</v>
      </c>
      <c r="AA14" s="52" t="str">
        <f t="shared" si="7"/>
        <v/>
      </c>
      <c r="AC14" s="2"/>
    </row>
    <row r="15" spans="2:32" ht="14.25" customHeight="1" x14ac:dyDescent="0.45">
      <c r="B15" s="25">
        <v>1</v>
      </c>
      <c r="C15" s="25" t="s">
        <v>31</v>
      </c>
      <c r="D15" s="25" t="s">
        <v>26</v>
      </c>
      <c r="E15" s="25" t="s">
        <v>345</v>
      </c>
      <c r="F15" s="25" t="s">
        <v>37</v>
      </c>
      <c r="G15" s="25" t="s">
        <v>99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1</v>
      </c>
      <c r="T15" s="9">
        <f t="shared" si="2"/>
        <v>1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5M/WW</v>
      </c>
      <c r="AC15" s="2"/>
    </row>
    <row r="16" spans="2:32" ht="14.25" customHeight="1" x14ac:dyDescent="0.45">
      <c r="B16" s="25">
        <v>1</v>
      </c>
      <c r="C16" s="25" t="s">
        <v>26</v>
      </c>
      <c r="D16" s="25" t="s">
        <v>31</v>
      </c>
      <c r="E16" s="25" t="s">
        <v>346</v>
      </c>
      <c r="F16" s="25" t="s">
        <v>30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1</v>
      </c>
      <c r="Y16" s="52" t="str">
        <f t="shared" si="5"/>
        <v/>
      </c>
      <c r="Z16" s="52" t="str">
        <f t="shared" si="6"/>
        <v>WW/5M</v>
      </c>
      <c r="AA16" s="52" t="str">
        <f t="shared" si="7"/>
        <v/>
      </c>
      <c r="AC16" s="2"/>
    </row>
    <row r="17" spans="2:33" ht="14.25" customHeight="1" x14ac:dyDescent="0.45">
      <c r="B17" s="25">
        <v>1</v>
      </c>
      <c r="C17" s="25" t="s">
        <v>31</v>
      </c>
      <c r="D17" s="25" t="s">
        <v>26</v>
      </c>
      <c r="E17" s="25" t="s">
        <v>347</v>
      </c>
      <c r="F17" s="25" t="s">
        <v>37</v>
      </c>
      <c r="G17" s="25" t="s">
        <v>99</v>
      </c>
      <c r="H17" s="25" t="s">
        <v>288</v>
      </c>
      <c r="I17" s="25" t="s">
        <v>288</v>
      </c>
      <c r="J17" s="25">
        <v>1</v>
      </c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1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45">
      <c r="B18" s="25">
        <v>1</v>
      </c>
      <c r="C18" s="25" t="s">
        <v>26</v>
      </c>
      <c r="D18" s="25" t="s">
        <v>31</v>
      </c>
      <c r="E18" s="25" t="s">
        <v>348</v>
      </c>
      <c r="F18" s="25" t="s">
        <v>30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>WW/5M</v>
      </c>
      <c r="AA18" s="52" t="str">
        <f t="shared" si="7"/>
        <v/>
      </c>
      <c r="AC18" s="2"/>
    </row>
    <row r="19" spans="2:33" ht="14.25" customHeight="1" x14ac:dyDescent="0.45">
      <c r="B19" s="25">
        <v>1</v>
      </c>
      <c r="C19" s="25" t="s">
        <v>26</v>
      </c>
      <c r="D19" s="25" t="s">
        <v>31</v>
      </c>
      <c r="E19" s="25" t="s">
        <v>349</v>
      </c>
      <c r="F19" s="25" t="s">
        <v>30</v>
      </c>
      <c r="G19" s="25" t="s">
        <v>204</v>
      </c>
      <c r="H19" s="25" t="s">
        <v>288</v>
      </c>
      <c r="I19" s="25" t="s">
        <v>288</v>
      </c>
      <c r="J19" s="25">
        <v>2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/>
      </c>
      <c r="Z19" s="52" t="str">
        <f t="shared" si="6"/>
        <v/>
      </c>
      <c r="AA19" s="52" t="str">
        <f t="shared" si="7"/>
        <v>5M/WW</v>
      </c>
    </row>
    <row r="20" spans="2:33" ht="14.25" customHeight="1" x14ac:dyDescent="0.45">
      <c r="B20" s="25">
        <v>1</v>
      </c>
      <c r="C20" s="25" t="s">
        <v>26</v>
      </c>
      <c r="D20" s="25" t="s">
        <v>31</v>
      </c>
      <c r="E20" s="25" t="s">
        <v>350</v>
      </c>
      <c r="F20" s="25" t="s">
        <v>50</v>
      </c>
      <c r="G20" s="25" t="s">
        <v>205</v>
      </c>
      <c r="H20" s="25" t="s">
        <v>288</v>
      </c>
      <c r="I20" s="25" t="s">
        <v>288</v>
      </c>
      <c r="J20" s="25">
        <v>1</v>
      </c>
      <c r="Y20" s="52" t="str">
        <f t="shared" si="5"/>
        <v/>
      </c>
      <c r="Z20" s="52" t="str">
        <f t="shared" si="6"/>
        <v/>
      </c>
      <c r="AA20" s="52" t="str">
        <f t="shared" si="7"/>
        <v>5M/WW</v>
      </c>
    </row>
    <row r="21" spans="2:33" ht="14.25" customHeight="1" x14ac:dyDescent="0.45">
      <c r="B21" s="25">
        <v>1</v>
      </c>
      <c r="C21" s="25" t="s">
        <v>26</v>
      </c>
      <c r="D21" s="25" t="s">
        <v>31</v>
      </c>
      <c r="E21" s="191" t="s">
        <v>351</v>
      </c>
      <c r="F21" s="25" t="s">
        <v>30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/>
      </c>
      <c r="Z21" s="52" t="str">
        <f t="shared" si="6"/>
        <v/>
      </c>
      <c r="AA21" s="52" t="str">
        <f t="shared" si="7"/>
        <v>5M/WW</v>
      </c>
    </row>
    <row r="22" spans="2:33" ht="14.25" customHeight="1" x14ac:dyDescent="0.45">
      <c r="B22" s="25">
        <v>1</v>
      </c>
      <c r="C22" s="25" t="s">
        <v>26</v>
      </c>
      <c r="D22" s="25" t="s">
        <v>31</v>
      </c>
      <c r="E22" s="191" t="s">
        <v>352</v>
      </c>
      <c r="F22" s="25" t="s">
        <v>50</v>
      </c>
      <c r="G22" s="25" t="s">
        <v>99</v>
      </c>
      <c r="H22" s="25" t="s">
        <v>288</v>
      </c>
      <c r="I22" s="25" t="s">
        <v>288</v>
      </c>
      <c r="J22" s="25">
        <v>1</v>
      </c>
      <c r="Y22" s="52" t="str">
        <f t="shared" si="5"/>
        <v/>
      </c>
      <c r="Z22" s="52" t="str">
        <f t="shared" si="6"/>
        <v/>
      </c>
      <c r="AA22" s="52" t="str">
        <f t="shared" si="7"/>
        <v>5M/WW</v>
      </c>
      <c r="AC22" s="16" t="s">
        <v>282</v>
      </c>
    </row>
    <row r="23" spans="2:33" ht="14.25" customHeight="1" x14ac:dyDescent="0.45">
      <c r="B23" s="25">
        <v>1</v>
      </c>
      <c r="C23" s="25" t="s">
        <v>26</v>
      </c>
      <c r="D23" s="25" t="s">
        <v>31</v>
      </c>
      <c r="E23" s="191" t="s">
        <v>353</v>
      </c>
      <c r="F23" s="25" t="s">
        <v>42</v>
      </c>
      <c r="G23" s="25" t="s">
        <v>99</v>
      </c>
      <c r="H23" s="25" t="s">
        <v>288</v>
      </c>
      <c r="I23" s="25" t="s">
        <v>288</v>
      </c>
      <c r="J23" s="25">
        <v>1</v>
      </c>
      <c r="R23" s="2"/>
      <c r="S23" s="16" t="str">
        <f t="shared" ref="S23:V38" si="8">IF($W3, CHAR(34)&amp;"Did not Play"&amp;CHAR(34), S3)&amp;","</f>
        <v>"Did not Play",</v>
      </c>
      <c r="T23" s="16" t="str">
        <f t="shared" si="8"/>
        <v>"Did not Play",</v>
      </c>
      <c r="U23" s="16" t="str">
        <f t="shared" si="8"/>
        <v>"Did not Play",</v>
      </c>
      <c r="V23" s="16" t="str">
        <f t="shared" si="8"/>
        <v>"Did not Play",</v>
      </c>
      <c r="Y23" s="52" t="str">
        <f t="shared" si="5"/>
        <v/>
      </c>
      <c r="Z23" s="52" t="str">
        <f t="shared" si="6"/>
        <v/>
      </c>
      <c r="AA23" s="52" t="str">
        <f t="shared" si="7"/>
        <v>5M/WW</v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>
        <v>1</v>
      </c>
      <c r="C24" s="25" t="s">
        <v>26</v>
      </c>
      <c r="D24" s="25" t="s">
        <v>31</v>
      </c>
      <c r="E24" s="191" t="s">
        <v>354</v>
      </c>
      <c r="F24" s="25" t="s">
        <v>42</v>
      </c>
      <c r="G24" s="25" t="s">
        <v>204</v>
      </c>
      <c r="H24" s="25" t="s">
        <v>288</v>
      </c>
      <c r="I24" s="25" t="s">
        <v>288</v>
      </c>
      <c r="J24" s="25">
        <v>2</v>
      </c>
      <c r="S24" s="16" t="str">
        <f t="shared" si="8"/>
        <v>"Did not Play",</v>
      </c>
      <c r="T24" s="16" t="str">
        <f t="shared" si="8"/>
        <v>"Did not Play",</v>
      </c>
      <c r="U24" s="16" t="str">
        <f t="shared" si="8"/>
        <v>"Did not Play",</v>
      </c>
      <c r="V24" s="16" t="str">
        <f t="shared" si="8"/>
        <v>"Did not Play",</v>
      </c>
      <c r="Y24" s="52" t="str">
        <f t="shared" si="5"/>
        <v/>
      </c>
      <c r="Z24" s="52" t="str">
        <f t="shared" si="6"/>
        <v/>
      </c>
      <c r="AA24" s="52" t="str">
        <f t="shared" si="7"/>
        <v>5M/WW</v>
      </c>
      <c r="AC24" s="158" t="s">
        <v>30</v>
      </c>
      <c r="AD24" s="165">
        <f>Table6313435373638[[#This Row],[Finishes]]+Table6313435373638[[#This Row],[Midranges]]+Table6313435373638[[#This Row],[Threes]]+Table6313435373638[[#This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>
        <v>1</v>
      </c>
      <c r="C25" s="25" t="s">
        <v>26</v>
      </c>
      <c r="D25" s="25" t="s">
        <v>31</v>
      </c>
      <c r="E25" s="191" t="s">
        <v>355</v>
      </c>
      <c r="F25" s="25" t="s">
        <v>42</v>
      </c>
      <c r="G25" s="25" t="s">
        <v>99</v>
      </c>
      <c r="H25" s="25">
        <v>1</v>
      </c>
      <c r="I25" s="25">
        <v>1</v>
      </c>
      <c r="J25" s="25">
        <v>3</v>
      </c>
      <c r="R25" s="6"/>
      <c r="S25" s="16" t="str">
        <f t="shared" si="8"/>
        <v>7,</v>
      </c>
      <c r="T25" s="16" t="str">
        <f t="shared" si="8"/>
        <v>7,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>5M/WW</v>
      </c>
      <c r="AC25" s="159" t="s">
        <v>35</v>
      </c>
      <c r="AD25" s="166">
        <f>Table6313435373638[[#This Row],[Finishes]]+Table6313435373638[[#This Row],[Midranges]]+Table6313435373638[[#This Row],[Threes]]+Table6313435373638[[#This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8"/>
        <v>4,</v>
      </c>
      <c r="T26" s="16" t="str">
        <f t="shared" si="8"/>
        <v>3,</v>
      </c>
      <c r="U26" s="16" t="str">
        <f t="shared" si="8"/>
        <v>1,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>5M/WW</v>
      </c>
      <c r="AC26" s="158" t="s">
        <v>37</v>
      </c>
      <c r="AD26" s="165">
        <f>Table6313435373638[[#This Row],[Finishes]]+Table6313435373638[[#This Row],[Midranges]]+Table6313435373638[[#This Row],[Threes]]+Table6313435373638[[#This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3,</v>
      </c>
      <c r="T27" s="16" t="str">
        <f t="shared" si="8"/>
        <v>1,</v>
      </c>
      <c r="U27" s="16" t="str">
        <f t="shared" si="8"/>
        <v>2,</v>
      </c>
      <c r="V27" s="16" t="str">
        <f t="shared" si="8"/>
        <v>0,</v>
      </c>
      <c r="Y27" s="52" t="str">
        <f t="shared" ref="Y27:Y39" si="9">IF(AND(C27="Loose Gooses",D27="Wet Willies"),"LG/WW", IF(AND(C27="Loose Gooses",D27="5 Musketeers"),"LG/5M", ""))</f>
        <v/>
      </c>
      <c r="Z27" s="52" t="str">
        <f t="shared" ref="Z27:Z39" si="10">IF(AND(C27="Wet Willies",D27="Loose Gooses"),"WW/LG", IF(AND(C27="Wet Willies",D27="5 Musketeers"),"WW/5M", ""))</f>
        <v/>
      </c>
      <c r="AA27" s="52" t="str">
        <f t="shared" ref="AA27:AA39" si="11">IF(AND(C27="5 Musketeers",D27="Loose Gooses"),"5M/LG", IF(AND($C27="5 Musketeers",$D27="Wet Willies"),"5M/WW", ""))</f>
        <v/>
      </c>
      <c r="AC27" s="159" t="s">
        <v>42</v>
      </c>
      <c r="AD27" s="166">
        <f>Table6313435373638[[#This Row],[Finishes]]+Table6313435373638[[#This Row],[Midranges]]+Table6313435373638[[#This Row],[Threes]]+Table6313435373638[[#This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4,</v>
      </c>
      <c r="T28" s="16" t="str">
        <f t="shared" si="8"/>
        <v>2,</v>
      </c>
      <c r="U28" s="16" t="str">
        <f t="shared" si="8"/>
        <v>2,</v>
      </c>
      <c r="V28" s="16" t="str">
        <f t="shared" si="8"/>
        <v>0,</v>
      </c>
      <c r="Y28" s="52" t="str">
        <f t="shared" si="9"/>
        <v/>
      </c>
      <c r="Z28" s="52" t="str">
        <f t="shared" si="10"/>
        <v/>
      </c>
      <c r="AA28" s="52" t="str">
        <f t="shared" si="11"/>
        <v/>
      </c>
      <c r="AC28" s="158" t="s">
        <v>115</v>
      </c>
      <c r="AD28" s="165">
        <f>Table6313435373638[[#This Row],[Finishes]]+Table6313435373638[[#This Row],[Midranges]]+Table6313435373638[[#This Row],[Threes]]+Table6313435373638[[#This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"Did not Play",</v>
      </c>
      <c r="T29" s="16" t="str">
        <f t="shared" si="8"/>
        <v>"Did not Play",</v>
      </c>
      <c r="U29" s="16" t="str">
        <f t="shared" si="8"/>
        <v>"Did not Play",</v>
      </c>
      <c r="V29" s="16" t="str">
        <f t="shared" si="8"/>
        <v>"Did not Play",</v>
      </c>
      <c r="Y29" s="52" t="str">
        <f t="shared" si="9"/>
        <v/>
      </c>
      <c r="Z29" s="52" t="str">
        <f t="shared" si="10"/>
        <v/>
      </c>
      <c r="AA29" s="52" t="str">
        <f t="shared" si="11"/>
        <v/>
      </c>
      <c r="AC29" s="159" t="s">
        <v>44</v>
      </c>
      <c r="AD29" s="166">
        <f>Table6313435373638[[#This Row],[Finishes]]+Table6313435373638[[#This Row],[Midranges]]+Table6313435373638[[#This Row],[Threes]]+Table6313435373638[[#This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0,</v>
      </c>
      <c r="U30" s="16" t="str">
        <f t="shared" si="8"/>
        <v>1,</v>
      </c>
      <c r="V30" s="16" t="str">
        <f t="shared" si="8"/>
        <v>0,</v>
      </c>
      <c r="Y30" s="52" t="str">
        <f t="shared" si="9"/>
        <v/>
      </c>
      <c r="Z30" s="52" t="str">
        <f t="shared" si="10"/>
        <v/>
      </c>
      <c r="AA30" s="52" t="str">
        <f t="shared" si="11"/>
        <v/>
      </c>
      <c r="AC30" s="158" t="s">
        <v>50</v>
      </c>
      <c r="AD30" s="165">
        <f>Table6313435373638[[#This Row],[Finishes]]+Table6313435373638[[#This Row],[Midranges]]+Table6313435373638[[#This Row],[Threes]]+Table6313435373638[[#This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"Did not Play",</v>
      </c>
      <c r="T31" s="16" t="str">
        <f t="shared" si="8"/>
        <v>"Did not Play",</v>
      </c>
      <c r="U31" s="16" t="str">
        <f t="shared" si="8"/>
        <v>"Did not Play",</v>
      </c>
      <c r="V31" s="16" t="str">
        <f t="shared" si="8"/>
        <v>"Did not Play",</v>
      </c>
      <c r="Y31" s="52" t="str">
        <f t="shared" si="9"/>
        <v/>
      </c>
      <c r="Z31" s="52" t="str">
        <f t="shared" si="10"/>
        <v/>
      </c>
      <c r="AA31" s="52" t="str">
        <f t="shared" si="11"/>
        <v/>
      </c>
      <c r="AC31" s="159" t="s">
        <v>52</v>
      </c>
      <c r="AD31" s="166">
        <f>Table6313435373638[[#This Row],[Finishes]]+Table6313435373638[[#This Row],[Midranges]]+Table6313435373638[[#This Row],[Threes]]+Table6313435373638[[#This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3,</v>
      </c>
      <c r="T32" s="16" t="str">
        <f t="shared" si="8"/>
        <v>0,</v>
      </c>
      <c r="U32" s="16" t="str">
        <f t="shared" si="8"/>
        <v>1,</v>
      </c>
      <c r="V32" s="16" t="str">
        <f t="shared" si="8"/>
        <v>1,</v>
      </c>
      <c r="Y32" s="52" t="str">
        <f t="shared" si="9"/>
        <v/>
      </c>
      <c r="Z32" s="52" t="str">
        <f t="shared" si="10"/>
        <v/>
      </c>
      <c r="AA32" s="52" t="str">
        <f t="shared" si="11"/>
        <v/>
      </c>
      <c r="AC32" s="158" t="s">
        <v>200</v>
      </c>
      <c r="AD32" s="165">
        <f>Table6313435373638[[#This Row],[Finishes]]+Table6313435373638[[#This Row],[Midranges]]+Table6313435373638[[#This Row],[Threes]]+Table6313435373638[[#This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9"/>
        <v/>
      </c>
      <c r="Z33" s="52" t="str">
        <f t="shared" si="10"/>
        <v/>
      </c>
      <c r="AA33" s="52" t="str">
        <f t="shared" si="11"/>
        <v/>
      </c>
      <c r="AC33" s="159" t="s">
        <v>55</v>
      </c>
      <c r="AD33" s="166">
        <f>Table6313435373638[[#This Row],[Finishes]]+Table6313435373638[[#This Row],[Midranges]]+Table6313435373638[[#This Row],[Threes]]+Table6313435373638[[#This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0,</v>
      </c>
      <c r="T34" s="16" t="str">
        <f t="shared" si="8"/>
        <v>0,</v>
      </c>
      <c r="U34" s="16" t="str">
        <f t="shared" si="8"/>
        <v>0,</v>
      </c>
      <c r="V34" s="16" t="str">
        <f t="shared" si="8"/>
        <v>0,</v>
      </c>
      <c r="Y34" s="52" t="str">
        <f t="shared" si="9"/>
        <v/>
      </c>
      <c r="Z34" s="52" t="str">
        <f t="shared" si="10"/>
        <v/>
      </c>
      <c r="AA34" s="52" t="str">
        <f t="shared" si="11"/>
        <v/>
      </c>
      <c r="AC34" s="158" t="s">
        <v>64</v>
      </c>
      <c r="AD34" s="165">
        <f>Table6313435373638[[#This Row],[Finishes]]+Table6313435373638[[#This Row],[Midranges]]+Table6313435373638[[#This Row],[Threes]]+Table6313435373638[[#This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1,</v>
      </c>
      <c r="T35" s="16" t="str">
        <f t="shared" si="8"/>
        <v>1,</v>
      </c>
      <c r="U35" s="16" t="str">
        <f t="shared" si="8"/>
        <v>0,</v>
      </c>
      <c r="V35" s="16" t="str">
        <f t="shared" si="8"/>
        <v>0,</v>
      </c>
      <c r="Y35" s="52" t="str">
        <f t="shared" si="9"/>
        <v/>
      </c>
      <c r="Z35" s="52" t="str">
        <f t="shared" si="10"/>
        <v/>
      </c>
      <c r="AA35" s="52" t="str">
        <f t="shared" si="11"/>
        <v/>
      </c>
      <c r="AC35" s="160" t="s">
        <v>67</v>
      </c>
      <c r="AD35" s="167">
        <f>Table6313435373638[[#This Row],[Finishes]]+Table6313435373638[[#This Row],[Midranges]]+Table6313435373638[[#This Row],[Threes]]+Table6313435373638[[#This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"Did not Play",</v>
      </c>
      <c r="T36" s="16" t="str">
        <f t="shared" si="8"/>
        <v>"Did not Play",</v>
      </c>
      <c r="U36" s="16" t="str">
        <f t="shared" si="8"/>
        <v>"Did not Play",</v>
      </c>
      <c r="V36" s="16" t="str">
        <f t="shared" si="8"/>
        <v>"Did not Play",</v>
      </c>
      <c r="Y36" s="52" t="str">
        <f t="shared" si="9"/>
        <v/>
      </c>
      <c r="Z36" s="52" t="str">
        <f t="shared" si="10"/>
        <v/>
      </c>
      <c r="AA36" s="52" t="str">
        <f t="shared" si="11"/>
        <v/>
      </c>
    </row>
    <row r="37" spans="2:33" ht="14.25" customHeight="1" x14ac:dyDescent="0.45">
      <c r="S37" s="16" t="str">
        <f t="shared" si="8"/>
        <v>"Did not Play",</v>
      </c>
      <c r="T37" s="16" t="str">
        <f t="shared" si="8"/>
        <v>"Did not Play",</v>
      </c>
      <c r="U37" s="16" t="str">
        <f t="shared" si="8"/>
        <v>"Did not Play",</v>
      </c>
      <c r="V37" s="16" t="str">
        <f t="shared" si="8"/>
        <v>"Did not Play",</v>
      </c>
      <c r="Y37" s="52" t="str">
        <f t="shared" si="9"/>
        <v/>
      </c>
      <c r="Z37" s="52" t="str">
        <f t="shared" si="10"/>
        <v/>
      </c>
      <c r="AA37" s="52" t="str">
        <f t="shared" si="11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9"/>
        <v/>
      </c>
      <c r="Z38" s="52" t="str">
        <f t="shared" si="10"/>
        <v/>
      </c>
      <c r="AA38" s="52" t="str">
        <f t="shared" si="11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9"/>
        <v/>
      </c>
      <c r="Z39" s="52" t="str">
        <f t="shared" si="10"/>
        <v/>
      </c>
      <c r="AA39" s="52" t="str">
        <f t="shared" si="11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"Date":["10-October"],</v>
      </c>
    </row>
    <row r="45" spans="2:33" ht="14.25" customHeight="1" x14ac:dyDescent="0.45">
      <c r="B45" s="74" t="str">
        <f>C2</f>
        <v>10-October</v>
      </c>
      <c r="C45" s="16">
        <f>MAX(M3:M5)</f>
        <v>13</v>
      </c>
      <c r="D45" s="16">
        <f>COUNT(B4:B42)-C45-E45</f>
        <v>9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9</v>
      </c>
      <c r="J45" s="16">
        <f>COUNTIF(Y4:Y39, "LG/WW")</f>
        <v>0</v>
      </c>
      <c r="K45" s="16">
        <f>COUNTIF(AA4:AA39, "5M/WW")</f>
        <v>13</v>
      </c>
      <c r="L45" s="16">
        <f>M4</f>
        <v>13</v>
      </c>
      <c r="M45" s="16">
        <f>COUNTIF(Y4:Y39, "LG/5M")</f>
        <v>0</v>
      </c>
      <c r="N45" s="16">
        <f>COUNTIF(Z4:Z39, "WW/5M")</f>
        <v>9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"Points":["Did not Play","Did not Play",7,4,3,4,"Did not Play",1,"Did not Play",3,0,0,1,"Did not Play","Did not Play",0,"Did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"Finishes":["Did not Play","Did not Play",7,3,1,2,"Did not Play",0,"Did not Play",0,0,0,1,"Did not Play","Did not Play",0,"Did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"Midrange":["Did not Play","Did not Play",0,1,2,2,"Did not Play",1,"Did not Play",1,0,0,0,"Did not Play","Did not Play",0,"Did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"ThreePointers":["Did not Play","Did not Play",0,0,0,0,"Did not Play",0,"Did not Play",1,0,0,0,"Did not Play","Did not Play",0,"Did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Awards</vt:lpstr>
      <vt:lpstr>SfW</vt:lpstr>
      <vt:lpstr>Stats Global</vt:lpstr>
      <vt:lpstr>Statistics LG</vt:lpstr>
      <vt:lpstr>Statistics WW</vt:lpstr>
      <vt:lpstr>Statistics 5M</vt:lpstr>
      <vt:lpstr>Template</vt:lpstr>
      <vt:lpstr>Championship Game</vt:lpstr>
      <vt:lpstr>Play-In</vt:lpstr>
      <vt:lpstr>Final Ladder</vt:lpstr>
      <vt:lpstr>Finals 3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2023-10-10T04:45:42Z</dcterms:modified>
</cp:coreProperties>
</file>