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A5ADDAE6-163F-4F46-880C-853388EC1A3C}" xr6:coauthVersionLast="47" xr6:coauthVersionMax="47" xr10:uidLastSave="{00000000-0000-0000-0000-000000000000}"/>
  <bookViews>
    <workbookView xWindow="-98" yWindow="-98" windowWidth="22695" windowHeight="14595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Preseason 2" sheetId="9" r:id="rId7"/>
    <sheet name="Preseason 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6" l="1"/>
  <c r="Q34" i="6"/>
  <c r="Q33" i="6"/>
  <c r="Q32" i="6"/>
  <c r="P46" i="5"/>
  <c r="P45" i="5"/>
  <c r="P44" i="5"/>
  <c r="P43" i="5"/>
  <c r="O46" i="4"/>
  <c r="O45" i="4"/>
  <c r="O44" i="4"/>
  <c r="O43" i="4"/>
  <c r="B44" i="2"/>
  <c r="B43" i="2"/>
  <c r="B42" i="2"/>
  <c r="B41" i="2"/>
  <c r="B40" i="2"/>
  <c r="B39" i="2"/>
  <c r="B38" i="2"/>
  <c r="B37" i="2"/>
  <c r="B34" i="2"/>
  <c r="B33" i="2"/>
  <c r="B32" i="2"/>
  <c r="B31" i="2"/>
  <c r="B30" i="2"/>
  <c r="B29" i="2"/>
  <c r="B28" i="2"/>
  <c r="B25" i="2"/>
  <c r="B26" i="2"/>
  <c r="B27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U14" i="2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6" i="3" s="1"/>
  <c r="Q45" i="7"/>
  <c r="P45" i="7"/>
  <c r="O45" i="7"/>
  <c r="L45" i="7"/>
  <c r="I45" i="7"/>
  <c r="F45" i="7"/>
  <c r="E45" i="7"/>
  <c r="C45" i="7"/>
  <c r="D45" i="7" s="1"/>
  <c r="B45" i="7"/>
  <c r="U7" i="6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1" i="9"/>
  <c r="Y21" i="9"/>
  <c r="X21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AA36" i="3" s="1"/>
  <c r="T10" i="9"/>
  <c r="AC36" i="3" s="1"/>
  <c r="S10" i="9"/>
  <c r="AB36" i="3" s="1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O3" i="7"/>
  <c r="O4" i="7"/>
  <c r="F5" i="3"/>
  <c r="G5" i="3"/>
  <c r="H5" i="3"/>
  <c r="L45" i="8"/>
  <c r="I45" i="8"/>
  <c r="F45" i="8"/>
  <c r="D45" i="8"/>
  <c r="C5" i="3"/>
  <c r="D5" i="3"/>
  <c r="E5" i="3"/>
  <c r="I5" i="3"/>
  <c r="J5" i="3"/>
  <c r="K5" i="3"/>
  <c r="L5" i="3"/>
  <c r="M5" i="3"/>
  <c r="N5" i="3"/>
  <c r="P5" i="3"/>
  <c r="Q5" i="3"/>
  <c r="O45" i="8"/>
  <c r="O5" i="3" s="1"/>
  <c r="B45" i="8"/>
  <c r="T44" i="8"/>
  <c r="Z39" i="8"/>
  <c r="Y39" i="8"/>
  <c r="X39" i="8"/>
  <c r="Z38" i="8"/>
  <c r="Y38" i="8"/>
  <c r="X38" i="8"/>
  <c r="Z37" i="8"/>
  <c r="Y37" i="8"/>
  <c r="X37" i="8"/>
  <c r="Z36" i="8"/>
  <c r="Y36" i="8"/>
  <c r="X36" i="8"/>
  <c r="Z35" i="8"/>
  <c r="Y35" i="8"/>
  <c r="X35" i="8"/>
  <c r="Z34" i="8"/>
  <c r="Y34" i="8"/>
  <c r="X34" i="8"/>
  <c r="Z33" i="8"/>
  <c r="Y33" i="8"/>
  <c r="X33" i="8"/>
  <c r="Z32" i="8"/>
  <c r="Y32" i="8"/>
  <c r="X32" i="8"/>
  <c r="Z31" i="8"/>
  <c r="Y31" i="8"/>
  <c r="X31" i="8"/>
  <c r="Z30" i="8"/>
  <c r="Y30" i="8"/>
  <c r="X30" i="8"/>
  <c r="U30" i="8"/>
  <c r="T30" i="8"/>
  <c r="S30" i="8"/>
  <c r="R30" i="8"/>
  <c r="Z29" i="8"/>
  <c r="Y29" i="8"/>
  <c r="X29" i="8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U9" i="6"/>
  <c r="U8" i="6"/>
  <c r="U6" i="6"/>
  <c r="U5" i="6"/>
  <c r="X8" i="5"/>
  <c r="X7" i="5"/>
  <c r="X6" i="5"/>
  <c r="X5" i="5"/>
  <c r="AA8" i="4"/>
  <c r="AA7" i="4"/>
  <c r="AA6" i="4"/>
  <c r="AA5" i="4"/>
  <c r="AA4" i="4"/>
  <c r="E6" i="3" l="1"/>
  <c r="V6" i="3" s="1"/>
  <c r="X22" i="9"/>
  <c r="Y22" i="9"/>
  <c r="Z22" i="9"/>
  <c r="AB45" i="3"/>
  <c r="AB43" i="3"/>
  <c r="AB41" i="3"/>
  <c r="AB39" i="3"/>
  <c r="AB37" i="3"/>
  <c r="AB35" i="3"/>
  <c r="AB33" i="3"/>
  <c r="AB31" i="3"/>
  <c r="R8" i="9"/>
  <c r="AA43" i="3"/>
  <c r="AA35" i="3"/>
  <c r="O4" i="9"/>
  <c r="Q6" i="3" s="1"/>
  <c r="D5" i="6" s="1"/>
  <c r="R7" i="9"/>
  <c r="AA29" i="3"/>
  <c r="AD44" i="3"/>
  <c r="AD42" i="3"/>
  <c r="AD40" i="3"/>
  <c r="AG19" i="3" s="1"/>
  <c r="V10" i="5" s="1"/>
  <c r="AD38" i="3"/>
  <c r="AD36" i="3"/>
  <c r="AD34" i="3"/>
  <c r="AD32" i="3"/>
  <c r="AD30" i="3"/>
  <c r="AD29" i="3"/>
  <c r="AC44" i="3"/>
  <c r="AC42" i="3"/>
  <c r="AC40" i="3"/>
  <c r="AE19" i="3" s="1"/>
  <c r="AC38" i="3"/>
  <c r="AC34" i="3"/>
  <c r="AC32" i="3"/>
  <c r="AC30" i="3"/>
  <c r="N3" i="9"/>
  <c r="O3" i="9" s="1"/>
  <c r="O6" i="3" s="1"/>
  <c r="D5" i="4" s="1"/>
  <c r="AC29" i="3"/>
  <c r="AB44" i="3"/>
  <c r="AB42" i="3"/>
  <c r="AB40" i="3"/>
  <c r="AC19" i="3" s="1"/>
  <c r="R10" i="5" s="1"/>
  <c r="AB38" i="3"/>
  <c r="AB34" i="3"/>
  <c r="AC13" i="3" s="1"/>
  <c r="AD13" i="3" s="1"/>
  <c r="AB32" i="3"/>
  <c r="AB30" i="3"/>
  <c r="AB29" i="3"/>
  <c r="AA44" i="3"/>
  <c r="AA42" i="3"/>
  <c r="AA40" i="3"/>
  <c r="AA19" i="3" s="1"/>
  <c r="AA32" i="3"/>
  <c r="AA30" i="3"/>
  <c r="AD45" i="3"/>
  <c r="AD43" i="3"/>
  <c r="AD41" i="3"/>
  <c r="AD39" i="3"/>
  <c r="AD37" i="3"/>
  <c r="AD35" i="3"/>
  <c r="AD33" i="3"/>
  <c r="AD31" i="3"/>
  <c r="R15" i="9"/>
  <c r="AC45" i="3"/>
  <c r="AC43" i="3"/>
  <c r="AC41" i="3"/>
  <c r="AC39" i="3"/>
  <c r="AC37" i="3"/>
  <c r="AC35" i="3"/>
  <c r="AC33" i="3"/>
  <c r="AC31" i="3"/>
  <c r="O5" i="9"/>
  <c r="P6" i="3" s="1"/>
  <c r="T46" i="9"/>
  <c r="T47" i="9"/>
  <c r="U38" i="9"/>
  <c r="T48" i="9" s="1"/>
  <c r="R5" i="9"/>
  <c r="R13" i="9"/>
  <c r="R12" i="9"/>
  <c r="R11" i="9"/>
  <c r="R19" i="9"/>
  <c r="T10" i="5"/>
  <c r="P10" i="5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T46" i="8"/>
  <c r="R7" i="8"/>
  <c r="R27" i="8" s="1"/>
  <c r="R15" i="8"/>
  <c r="R35" i="8" s="1"/>
  <c r="U38" i="8"/>
  <c r="T48" i="8" s="1"/>
  <c r="N45" i="8"/>
  <c r="R6" i="8"/>
  <c r="R26" i="8" s="1"/>
  <c r="R14" i="8"/>
  <c r="R34" i="8" s="1"/>
  <c r="G45" i="8"/>
  <c r="R13" i="8"/>
  <c r="R33" i="8" s="1"/>
  <c r="H45" i="8"/>
  <c r="R19" i="8"/>
  <c r="R39" i="8" s="1"/>
  <c r="J45" i="8"/>
  <c r="C45" i="8"/>
  <c r="K45" i="8"/>
  <c r="N3" i="8"/>
  <c r="O4" i="8" s="1"/>
  <c r="Q45" i="8" s="1"/>
  <c r="AJ9" i="3"/>
  <c r="AJ10" i="3"/>
  <c r="AJ11" i="3"/>
  <c r="AJ12" i="3"/>
  <c r="AJ13" i="3"/>
  <c r="AJ14" i="3"/>
  <c r="AJ15" i="3"/>
  <c r="X9" i="5" s="1"/>
  <c r="AJ16" i="3"/>
  <c r="AJ17" i="3"/>
  <c r="AJ18" i="3"/>
  <c r="AJ19" i="3"/>
  <c r="X10" i="5" s="1"/>
  <c r="AJ20" i="3"/>
  <c r="AJ21" i="3"/>
  <c r="AJ22" i="3"/>
  <c r="AJ23" i="3"/>
  <c r="AJ24" i="3"/>
  <c r="AJ8" i="3"/>
  <c r="AE13" i="3"/>
  <c r="AE14" i="3"/>
  <c r="AF40" i="3"/>
  <c r="AG40" i="3"/>
  <c r="AF41" i="3"/>
  <c r="AG41" i="3"/>
  <c r="AI41" i="3"/>
  <c r="AH42" i="3"/>
  <c r="AI42" i="3"/>
  <c r="AI43" i="3"/>
  <c r="AE44" i="3"/>
  <c r="AI44" i="3"/>
  <c r="AE24" i="3"/>
  <c r="AI45" i="3"/>
  <c r="S14" i="7"/>
  <c r="S34" i="7" s="1"/>
  <c r="T14" i="7"/>
  <c r="T34" i="7" s="1"/>
  <c r="U14" i="7"/>
  <c r="R14" i="7" s="1"/>
  <c r="R34" i="7" s="1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M4" i="5"/>
  <c r="L4" i="5"/>
  <c r="L6" i="4"/>
  <c r="M6" i="4"/>
  <c r="O6" i="4"/>
  <c r="P6" i="4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O4" i="4"/>
  <c r="M4" i="4"/>
  <c r="L4" i="4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C4" i="6"/>
  <c r="B4" i="6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C4" i="5"/>
  <c r="B4" i="5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S88" i="3" s="1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S3" i="7"/>
  <c r="S23" i="7" s="1"/>
  <c r="T3" i="7"/>
  <c r="T23" i="7" s="1"/>
  <c r="U3" i="7"/>
  <c r="AH29" i="3" s="1"/>
  <c r="S4" i="7"/>
  <c r="AF30" i="3" s="1"/>
  <c r="T4" i="7"/>
  <c r="AG30" i="3" s="1"/>
  <c r="U4" i="7"/>
  <c r="R4" i="7" s="1"/>
  <c r="AE30" i="3" s="1"/>
  <c r="S5" i="7"/>
  <c r="AF31" i="3" s="1"/>
  <c r="T5" i="7"/>
  <c r="AE10" i="3" s="1"/>
  <c r="U5" i="7"/>
  <c r="R5" i="7" s="1"/>
  <c r="S6" i="7"/>
  <c r="AF32" i="3" s="1"/>
  <c r="T6" i="7"/>
  <c r="T26" i="7" s="1"/>
  <c r="U6" i="7"/>
  <c r="R6" i="7" s="1"/>
  <c r="S7" i="7"/>
  <c r="S27" i="7" s="1"/>
  <c r="T7" i="7"/>
  <c r="AE12" i="3" s="1"/>
  <c r="U7" i="7"/>
  <c r="R7" i="7" s="1"/>
  <c r="S8" i="7"/>
  <c r="AF34" i="3" s="1"/>
  <c r="T8" i="7"/>
  <c r="AG34" i="3" s="1"/>
  <c r="U8" i="7"/>
  <c r="R8" i="7" s="1"/>
  <c r="S9" i="7"/>
  <c r="AF35" i="3" s="1"/>
  <c r="T9" i="7"/>
  <c r="AG35" i="3" s="1"/>
  <c r="U9" i="7"/>
  <c r="R9" i="7" s="1"/>
  <c r="S10" i="7"/>
  <c r="S30" i="7" s="1"/>
  <c r="T10" i="7"/>
  <c r="AG36" i="3" s="1"/>
  <c r="U10" i="7"/>
  <c r="R10" i="7" s="1"/>
  <c r="S11" i="7"/>
  <c r="AF37" i="3" s="1"/>
  <c r="T11" i="7"/>
  <c r="AG37" i="3" s="1"/>
  <c r="U11" i="7"/>
  <c r="R11" i="7" s="1"/>
  <c r="S12" i="7"/>
  <c r="AF38" i="3" s="1"/>
  <c r="T12" i="7"/>
  <c r="AE17" i="3" s="1"/>
  <c r="U12" i="7"/>
  <c r="R12" i="7" s="1"/>
  <c r="R32" i="7" s="1"/>
  <c r="S13" i="7"/>
  <c r="S33" i="7" s="1"/>
  <c r="T13" i="7"/>
  <c r="T33" i="7" s="1"/>
  <c r="U13" i="7"/>
  <c r="R13" i="7" s="1"/>
  <c r="R33" i="7" s="1"/>
  <c r="S15" i="7"/>
  <c r="T15" i="7"/>
  <c r="U15" i="7"/>
  <c r="R15" i="7" s="1"/>
  <c r="S16" i="7"/>
  <c r="T16" i="7"/>
  <c r="U16" i="7"/>
  <c r="R16" i="7" s="1"/>
  <c r="R36" i="7" s="1"/>
  <c r="S17" i="7"/>
  <c r="T17" i="7"/>
  <c r="U17" i="7"/>
  <c r="R17" i="7" s="1"/>
  <c r="S18" i="7"/>
  <c r="T18" i="7"/>
  <c r="T38" i="7" s="1"/>
  <c r="U18" i="7"/>
  <c r="R18" i="7" s="1"/>
  <c r="S19" i="7"/>
  <c r="S39" i="7" s="1"/>
  <c r="T19" i="7"/>
  <c r="U19" i="7"/>
  <c r="R19" i="7" s="1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6" i="3"/>
  <c r="AI30" i="3"/>
  <c r="AI31" i="3"/>
  <c r="AI33" i="3"/>
  <c r="AI34" i="3"/>
  <c r="AI35" i="3"/>
  <c r="AI37" i="3"/>
  <c r="AI38" i="3"/>
  <c r="AI39" i="3"/>
  <c r="AI29" i="3"/>
  <c r="AH31" i="3"/>
  <c r="AC8" i="3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T44" i="7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Z14" i="7"/>
  <c r="Y14" i="7"/>
  <c r="X14" i="7"/>
  <c r="Z13" i="7"/>
  <c r="Y13" i="7"/>
  <c r="X13" i="7"/>
  <c r="Z12" i="7"/>
  <c r="Y12" i="7"/>
  <c r="X12" i="7"/>
  <c r="Z11" i="7"/>
  <c r="Y11" i="7"/>
  <c r="X11" i="7"/>
  <c r="Z10" i="7"/>
  <c r="Y10" i="7"/>
  <c r="X10" i="7"/>
  <c r="S31" i="7"/>
  <c r="Z9" i="7"/>
  <c r="Y9" i="7"/>
  <c r="X9" i="7"/>
  <c r="U30" i="7"/>
  <c r="T30" i="7"/>
  <c r="Z8" i="7"/>
  <c r="Y8" i="7"/>
  <c r="X8" i="7"/>
  <c r="Z7" i="7"/>
  <c r="Y7" i="7"/>
  <c r="X7" i="7"/>
  <c r="Z6" i="7"/>
  <c r="Y6" i="7"/>
  <c r="X6" i="7"/>
  <c r="Z5" i="7"/>
  <c r="Y5" i="7"/>
  <c r="X5" i="7"/>
  <c r="U25" i="7"/>
  <c r="M5" i="7"/>
  <c r="Z4" i="7"/>
  <c r="Y4" i="7"/>
  <c r="X4" i="7"/>
  <c r="M4" i="7"/>
  <c r="M3" i="7"/>
  <c r="S90" i="3"/>
  <c r="S86" i="3"/>
  <c r="S84" i="3"/>
  <c r="H45" i="9" l="1"/>
  <c r="K45" i="9"/>
  <c r="K6" i="3" s="1"/>
  <c r="M5" i="5" s="1"/>
  <c r="M41" i="5" s="1"/>
  <c r="G45" i="9"/>
  <c r="N45" i="9"/>
  <c r="J45" i="9"/>
  <c r="M45" i="9"/>
  <c r="L6" i="3"/>
  <c r="B5" i="6" s="1"/>
  <c r="H6" i="3"/>
  <c r="P5" i="4" s="1"/>
  <c r="P41" i="4" s="1"/>
  <c r="N6" i="3"/>
  <c r="L5" i="5" s="1"/>
  <c r="L41" i="5" s="1"/>
  <c r="G6" i="3"/>
  <c r="M5" i="4" s="1"/>
  <c r="M41" i="4" s="1"/>
  <c r="I6" i="3"/>
  <c r="B5" i="5" s="1"/>
  <c r="H4" i="5" s="1"/>
  <c r="P47" i="5" s="1"/>
  <c r="F6" i="3"/>
  <c r="B5" i="4" s="1"/>
  <c r="J6" i="3"/>
  <c r="M6" i="3"/>
  <c r="M45" i="7"/>
  <c r="J45" i="7"/>
  <c r="N45" i="7"/>
  <c r="G45" i="7"/>
  <c r="H45" i="7"/>
  <c r="K45" i="7"/>
  <c r="R39" i="9"/>
  <c r="AA45" i="3"/>
  <c r="R31" i="9"/>
  <c r="AA37" i="3"/>
  <c r="AA16" i="3" s="1"/>
  <c r="R32" i="9"/>
  <c r="AA38" i="3"/>
  <c r="R27" i="9"/>
  <c r="AA33" i="3"/>
  <c r="AA12" i="3"/>
  <c r="AB12" i="3" s="1"/>
  <c r="R33" i="9"/>
  <c r="AA39" i="3"/>
  <c r="AE31" i="3"/>
  <c r="R25" i="9"/>
  <c r="AA31" i="3"/>
  <c r="AA10" i="3" s="1"/>
  <c r="D6" i="3"/>
  <c r="U6" i="3" s="1"/>
  <c r="C6" i="3"/>
  <c r="R28" i="9"/>
  <c r="AA34" i="3"/>
  <c r="AE34" i="3" s="1"/>
  <c r="R35" i="9"/>
  <c r="AA41" i="3"/>
  <c r="AH19" i="3"/>
  <c r="W10" i="5" s="1"/>
  <c r="AD19" i="3"/>
  <c r="S10" i="5" s="1"/>
  <c r="AF19" i="3"/>
  <c r="U10" i="5" s="1"/>
  <c r="AB19" i="3"/>
  <c r="Q10" i="5" s="1"/>
  <c r="AF13" i="3"/>
  <c r="X4" i="5"/>
  <c r="AF11" i="3"/>
  <c r="AB11" i="3"/>
  <c r="AH11" i="3"/>
  <c r="AD11" i="3"/>
  <c r="Q6" i="6"/>
  <c r="AF10" i="3"/>
  <c r="Q8" i="6"/>
  <c r="AF14" i="3"/>
  <c r="T5" i="5"/>
  <c r="AF12" i="3"/>
  <c r="Q9" i="6"/>
  <c r="AF24" i="3"/>
  <c r="Q5" i="6"/>
  <c r="AF17" i="3"/>
  <c r="U7" i="4"/>
  <c r="AD8" i="3"/>
  <c r="M6" i="6"/>
  <c r="AB10" i="3"/>
  <c r="P5" i="5"/>
  <c r="T6" i="5"/>
  <c r="R6" i="5"/>
  <c r="O5" i="8"/>
  <c r="P45" i="8" s="1"/>
  <c r="T45" i="8"/>
  <c r="AA20" i="3"/>
  <c r="AE41" i="3"/>
  <c r="AE45" i="3"/>
  <c r="AA24" i="3"/>
  <c r="AF43" i="3"/>
  <c r="AC22" i="3"/>
  <c r="AE43" i="3"/>
  <c r="AA22" i="3"/>
  <c r="AF44" i="3"/>
  <c r="AC23" i="3"/>
  <c r="AG43" i="3"/>
  <c r="AE22" i="3"/>
  <c r="AG42" i="3"/>
  <c r="AE21" i="3"/>
  <c r="AF42" i="3"/>
  <c r="AC21" i="3"/>
  <c r="AA9" i="3"/>
  <c r="AC11" i="3"/>
  <c r="AE20" i="3"/>
  <c r="AG21" i="3"/>
  <c r="AC10" i="3"/>
  <c r="AC20" i="3"/>
  <c r="AA23" i="3"/>
  <c r="AC17" i="3"/>
  <c r="AC9" i="3"/>
  <c r="AC16" i="3"/>
  <c r="AE9" i="3"/>
  <c r="AG10" i="3"/>
  <c r="AG45" i="3"/>
  <c r="AE16" i="3"/>
  <c r="AG8" i="3"/>
  <c r="AC14" i="3"/>
  <c r="AE15" i="3"/>
  <c r="J3" i="4"/>
  <c r="T41" i="3" s="1"/>
  <c r="J4" i="6"/>
  <c r="U37" i="7"/>
  <c r="U35" i="7"/>
  <c r="U34" i="7"/>
  <c r="U33" i="7"/>
  <c r="T37" i="7"/>
  <c r="T35" i="7"/>
  <c r="S37" i="7"/>
  <c r="S35" i="7"/>
  <c r="R37" i="7"/>
  <c r="R35" i="7"/>
  <c r="U38" i="7"/>
  <c r="U36" i="7"/>
  <c r="U32" i="7"/>
  <c r="T36" i="7"/>
  <c r="T32" i="7"/>
  <c r="S38" i="7"/>
  <c r="S36" i="7"/>
  <c r="S32" i="7"/>
  <c r="R38" i="7"/>
  <c r="T25" i="7"/>
  <c r="U27" i="7"/>
  <c r="S25" i="7"/>
  <c r="AG12" i="3"/>
  <c r="H3" i="4"/>
  <c r="O47" i="4" s="1"/>
  <c r="J4" i="5"/>
  <c r="T42" i="3" s="1"/>
  <c r="H4" i="6"/>
  <c r="Q36" i="6" s="1"/>
  <c r="S28" i="7"/>
  <c r="AG16" i="3"/>
  <c r="T29" i="7"/>
  <c r="U29" i="7"/>
  <c r="S29" i="7"/>
  <c r="S24" i="7"/>
  <c r="T46" i="7" s="1"/>
  <c r="T27" i="7"/>
  <c r="U31" i="7"/>
  <c r="U24" i="7"/>
  <c r="T39" i="7"/>
  <c r="R3" i="7"/>
  <c r="AA8" i="3" s="1"/>
  <c r="T31" i="7"/>
  <c r="AG13" i="3"/>
  <c r="AH13" i="3" s="1"/>
  <c r="S26" i="7"/>
  <c r="U28" i="7"/>
  <c r="U39" i="7"/>
  <c r="AG18" i="3"/>
  <c r="AF29" i="3"/>
  <c r="U23" i="7"/>
  <c r="T48" i="7" s="1"/>
  <c r="R39" i="7"/>
  <c r="R30" i="7"/>
  <c r="AA15" i="3"/>
  <c r="AG33" i="3"/>
  <c r="AG38" i="3"/>
  <c r="R29" i="7"/>
  <c r="R26" i="7"/>
  <c r="AA11" i="3"/>
  <c r="T24" i="7"/>
  <c r="T47" i="7" s="1"/>
  <c r="AE18" i="3"/>
  <c r="T28" i="7"/>
  <c r="AG31" i="3"/>
  <c r="AE37" i="3"/>
  <c r="AE33" i="3"/>
  <c r="R25" i="7"/>
  <c r="R28" i="7"/>
  <c r="U26" i="7"/>
  <c r="R24" i="7"/>
  <c r="R31" i="7"/>
  <c r="R27" i="7"/>
  <c r="L5" i="4" l="1"/>
  <c r="L41" i="4" s="1"/>
  <c r="C5" i="5"/>
  <c r="I4" i="5" s="1"/>
  <c r="P48" i="5" s="1"/>
  <c r="O5" i="4"/>
  <c r="O41" i="4" s="1"/>
  <c r="C5" i="6"/>
  <c r="I4" i="6" s="1"/>
  <c r="Q37" i="6" s="1"/>
  <c r="C5" i="4"/>
  <c r="I3" i="4" s="1"/>
  <c r="O48" i="4" s="1"/>
  <c r="S5" i="4"/>
  <c r="AB16" i="3"/>
  <c r="AD20" i="3"/>
  <c r="P7" i="6" s="1"/>
  <c r="O7" i="6"/>
  <c r="T6" i="3"/>
  <c r="S6" i="3"/>
  <c r="AA13" i="3"/>
  <c r="AF20" i="3"/>
  <c r="R7" i="6" s="1"/>
  <c r="Q7" i="6"/>
  <c r="AB20" i="3"/>
  <c r="N7" i="6" s="1"/>
  <c r="M7" i="6"/>
  <c r="T45" i="9"/>
  <c r="T9" i="5"/>
  <c r="AF15" i="3"/>
  <c r="V7" i="5"/>
  <c r="AH18" i="3"/>
  <c r="U8" i="4"/>
  <c r="AD9" i="3"/>
  <c r="O5" i="6"/>
  <c r="AD17" i="3"/>
  <c r="U6" i="4"/>
  <c r="AD21" i="3"/>
  <c r="S6" i="6"/>
  <c r="AH10" i="3"/>
  <c r="W6" i="4"/>
  <c r="AF21" i="3"/>
  <c r="O8" i="6"/>
  <c r="AD14" i="3"/>
  <c r="W8" i="4"/>
  <c r="AF9" i="3"/>
  <c r="O6" i="6"/>
  <c r="AD10" i="3"/>
  <c r="V5" i="5"/>
  <c r="AH12" i="3"/>
  <c r="U5" i="4"/>
  <c r="AD16" i="3"/>
  <c r="Y6" i="4"/>
  <c r="AH21" i="3"/>
  <c r="W4" i="4"/>
  <c r="AF22" i="3"/>
  <c r="U4" i="4"/>
  <c r="AD22" i="3"/>
  <c r="T7" i="5"/>
  <c r="AF18" i="3"/>
  <c r="Y5" i="4"/>
  <c r="AH16" i="3"/>
  <c r="W5" i="4"/>
  <c r="AF16" i="3"/>
  <c r="R4" i="5"/>
  <c r="R8" i="5"/>
  <c r="AD23" i="3"/>
  <c r="O35" i="6"/>
  <c r="P35" i="6" s="1"/>
  <c r="Y7" i="4"/>
  <c r="AH8" i="3"/>
  <c r="P9" i="5"/>
  <c r="AB15" i="3"/>
  <c r="S7" i="4"/>
  <c r="AB8" i="3"/>
  <c r="S4" i="4"/>
  <c r="AB22" i="3"/>
  <c r="M9" i="6"/>
  <c r="AB24" i="3"/>
  <c r="P4" i="5"/>
  <c r="S8" i="4"/>
  <c r="AB9" i="3"/>
  <c r="P8" i="5"/>
  <c r="AB23" i="3"/>
  <c r="V6" i="5"/>
  <c r="AG44" i="3"/>
  <c r="AE23" i="3"/>
  <c r="AE35" i="3"/>
  <c r="AA14" i="3"/>
  <c r="AG32" i="3"/>
  <c r="AE11" i="3"/>
  <c r="AF33" i="3"/>
  <c r="AC12" i="3"/>
  <c r="AH40" i="3"/>
  <c r="AG29" i="3"/>
  <c r="AE8" i="3"/>
  <c r="AH41" i="3"/>
  <c r="AG20" i="3"/>
  <c r="AH32" i="3"/>
  <c r="AG11" i="3"/>
  <c r="AG24" i="3"/>
  <c r="AH45" i="3"/>
  <c r="AE38" i="3"/>
  <c r="AA17" i="3"/>
  <c r="AH38" i="3"/>
  <c r="AG17" i="3"/>
  <c r="AF36" i="3"/>
  <c r="AC15" i="3"/>
  <c r="AE40" i="3"/>
  <c r="AH36" i="3"/>
  <c r="AG15" i="3"/>
  <c r="AH35" i="3"/>
  <c r="AG14" i="3"/>
  <c r="AH44" i="3"/>
  <c r="AG23" i="3"/>
  <c r="AH43" i="3"/>
  <c r="AG22" i="3"/>
  <c r="AE42" i="3"/>
  <c r="AA21" i="3"/>
  <c r="AF45" i="3"/>
  <c r="AC24" i="3"/>
  <c r="AE39" i="3"/>
  <c r="AA18" i="3"/>
  <c r="AH30" i="3"/>
  <c r="AG9" i="3"/>
  <c r="AF39" i="3"/>
  <c r="AC18" i="3"/>
  <c r="AH33" i="3"/>
  <c r="AH34" i="3"/>
  <c r="AE29" i="3"/>
  <c r="AH37" i="3"/>
  <c r="R23" i="7"/>
  <c r="T45" i="7" s="1"/>
  <c r="AH39" i="3"/>
  <c r="AE32" i="3"/>
  <c r="AG39" i="3"/>
  <c r="AE36" i="3"/>
  <c r="AB13" i="3" l="1"/>
  <c r="P6" i="5"/>
  <c r="AH20" i="3"/>
  <c r="T7" i="6" s="1"/>
  <c r="S7" i="6"/>
  <c r="V4" i="5"/>
  <c r="V8" i="5"/>
  <c r="AH23" i="3"/>
  <c r="M45" i="4"/>
  <c r="N45" i="4" s="1"/>
  <c r="Y8" i="4"/>
  <c r="AH9" i="3"/>
  <c r="Y4" i="4"/>
  <c r="AH22" i="3"/>
  <c r="S9" i="6"/>
  <c r="AH24" i="3"/>
  <c r="R5" i="5"/>
  <c r="AD12" i="3"/>
  <c r="O9" i="6"/>
  <c r="O34" i="6" s="1"/>
  <c r="P34" i="6" s="1"/>
  <c r="AD24" i="3"/>
  <c r="S8" i="6"/>
  <c r="AH14" i="3"/>
  <c r="R9" i="5"/>
  <c r="AD15" i="3"/>
  <c r="T4" i="5"/>
  <c r="S5" i="6"/>
  <c r="AH17" i="3"/>
  <c r="R7" i="5"/>
  <c r="AD18" i="3"/>
  <c r="V9" i="5"/>
  <c r="N47" i="5" s="1"/>
  <c r="O47" i="5" s="1"/>
  <c r="AH15" i="3"/>
  <c r="T8" i="5"/>
  <c r="AF23" i="3"/>
  <c r="W7" i="4"/>
  <c r="M46" i="4" s="1"/>
  <c r="N46" i="4" s="1"/>
  <c r="AF8" i="3"/>
  <c r="M8" i="6"/>
  <c r="AB14" i="3"/>
  <c r="M5" i="6"/>
  <c r="O33" i="6" s="1"/>
  <c r="P33" i="6" s="1"/>
  <c r="AB17" i="3"/>
  <c r="S6" i="4"/>
  <c r="M44" i="4" s="1"/>
  <c r="N44" i="4" s="1"/>
  <c r="AB21" i="3"/>
  <c r="P7" i="5"/>
  <c r="N44" i="5" s="1"/>
  <c r="O44" i="5" s="1"/>
  <c r="AB18" i="3"/>
  <c r="N46" i="5"/>
  <c r="O46" i="5" s="1"/>
  <c r="S82" i="3"/>
  <c r="S81" i="3"/>
  <c r="S80" i="3"/>
  <c r="S79" i="3"/>
  <c r="O36" i="6" l="1"/>
  <c r="P36" i="6" s="1"/>
  <c r="M47" i="4"/>
  <c r="N47" i="4" s="1"/>
  <c r="N45" i="5"/>
  <c r="O45" i="5" s="1"/>
  <c r="G3" i="2"/>
  <c r="I3" i="2"/>
  <c r="K3" i="2"/>
  <c r="J44" i="5" l="1"/>
  <c r="S78" i="3"/>
  <c r="K49" i="2"/>
  <c r="J49" i="2"/>
  <c r="I49" i="2"/>
  <c r="H49" i="2"/>
  <c r="G49" i="2"/>
  <c r="F49" i="2"/>
  <c r="E49" i="2"/>
  <c r="D49" i="2"/>
  <c r="S77" i="3"/>
  <c r="S76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U76" i="3"/>
  <c r="V76" i="3"/>
  <c r="V77" i="3" l="1"/>
  <c r="O42" i="4"/>
  <c r="V53" i="3" s="1"/>
  <c r="T55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U77" i="3"/>
  <c r="T76" i="3"/>
  <c r="P9" i="6"/>
  <c r="V7" i="3"/>
  <c r="T43" i="3"/>
  <c r="T7" i="3"/>
  <c r="L42" i="5"/>
  <c r="V54" i="3" s="1"/>
  <c r="U55" i="3" s="1"/>
  <c r="X6" i="4" l="1"/>
  <c r="Z4" i="4"/>
  <c r="H11" i="2"/>
  <c r="X5" i="4"/>
  <c r="H66" i="2"/>
  <c r="R9" i="6"/>
  <c r="H7" i="2"/>
  <c r="U5" i="5"/>
  <c r="S6" i="5"/>
  <c r="H10" i="2"/>
  <c r="H57" i="2" s="1"/>
  <c r="U9" i="5"/>
  <c r="H5" i="2"/>
  <c r="H52" i="2" s="1"/>
  <c r="R6" i="6"/>
  <c r="H13" i="2"/>
  <c r="H60" i="2" s="1"/>
  <c r="U7" i="5"/>
  <c r="J5" i="2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Z5" i="4"/>
  <c r="J9" i="2"/>
  <c r="T8" i="6"/>
  <c r="H65" i="2"/>
  <c r="U8" i="5"/>
  <c r="H4" i="2"/>
  <c r="X8" i="4"/>
  <c r="H12" i="2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I43" i="4"/>
  <c r="K35" i="6"/>
  <c r="L42" i="4"/>
  <c r="T54" i="3" s="1"/>
  <c r="W54" i="3" s="1"/>
  <c r="W55" i="3"/>
  <c r="E50" i="2"/>
  <c r="K62" i="2"/>
  <c r="T9" i="6"/>
  <c r="T5" i="6"/>
  <c r="U46" i="3"/>
  <c r="U47" i="3"/>
  <c r="V47" i="3" s="1"/>
  <c r="U48" i="3"/>
  <c r="U7" i="3"/>
  <c r="K50" i="2"/>
  <c r="K53" i="2"/>
  <c r="K59" i="2"/>
  <c r="J64" i="2"/>
  <c r="K55" i="2"/>
  <c r="H58" i="2"/>
  <c r="I66" i="2"/>
  <c r="G66" i="2"/>
  <c r="K57" i="2"/>
  <c r="K64" i="2"/>
  <c r="J62" i="2"/>
  <c r="I58" i="2"/>
  <c r="I57" i="2"/>
  <c r="I51" i="2"/>
  <c r="H51" i="2"/>
  <c r="G51" i="2"/>
  <c r="I65" i="2"/>
  <c r="G53" i="2"/>
  <c r="I56" i="2"/>
  <c r="I59" i="2"/>
  <c r="H59" i="2"/>
  <c r="I54" i="2"/>
  <c r="H54" i="2"/>
  <c r="G50" i="2"/>
  <c r="G64" i="2"/>
  <c r="G54" i="2"/>
  <c r="J58" i="2"/>
  <c r="K58" i="2"/>
  <c r="I63" i="2"/>
  <c r="H63" i="2"/>
  <c r="I64" i="2"/>
  <c r="J52" i="2"/>
  <c r="K52" i="2"/>
  <c r="G57" i="2"/>
  <c r="G56" i="2"/>
  <c r="I53" i="2"/>
  <c r="G52" i="2"/>
  <c r="J65" i="2"/>
  <c r="K65" i="2"/>
  <c r="J56" i="2"/>
  <c r="K56" i="2"/>
  <c r="K60" i="2"/>
  <c r="I50" i="2"/>
  <c r="I52" i="2"/>
  <c r="G55" i="2"/>
  <c r="I60" i="2"/>
  <c r="G62" i="2"/>
  <c r="J4" i="2" l="1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3" i="3"/>
  <c r="W53" i="3" s="1"/>
  <c r="J46" i="5"/>
  <c r="E54" i="2"/>
  <c r="E60" i="2"/>
  <c r="E62" i="2"/>
  <c r="V48" i="3"/>
  <c r="W48" i="3"/>
  <c r="E64" i="2"/>
  <c r="V46" i="3"/>
  <c r="W46" i="3"/>
  <c r="W47" i="3"/>
  <c r="E55" i="2"/>
  <c r="H56" i="2"/>
  <c r="E65" i="2"/>
  <c r="E52" i="2"/>
  <c r="E63" i="2"/>
  <c r="E56" i="2"/>
  <c r="E59" i="2"/>
  <c r="E51" i="2"/>
  <c r="K34" i="6" l="1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L5" i="7" l="1"/>
  <c r="N5" i="7" s="1"/>
  <c r="L4" i="7"/>
  <c r="N4" i="7" s="1"/>
  <c r="L3" i="7"/>
  <c r="N3" i="7" l="1"/>
  <c r="O5" i="7"/>
</calcChain>
</file>

<file path=xl/sharedStrings.xml><?xml version="1.0" encoding="utf-8"?>
<sst xmlns="http://schemas.openxmlformats.org/spreadsheetml/2006/main" count="960" uniqueCount="215">
  <si>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</si>
  <si>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</si>
  <si>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</si>
  <si>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</si>
  <si>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</si>
  <si>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</si>
  <si>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</si>
  <si>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</si>
  <si>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</si>
  <si>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</si>
  <si>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</si>
  <si>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</si>
  <si>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</si>
  <si>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</si>
  <si>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</si>
  <si>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</si>
  <si>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</si>
  <si>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</si>
  <si>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</si>
  <si>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</si>
  <si>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</si>
  <si>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</si>
  <si>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</si>
  <si>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</si>
  <si>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</si>
  <si>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</si>
  <si>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</si>
  <si>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</si>
  <si>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</si>
  <si>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</si>
  <si>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</si>
  <si>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</si>
  <si>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</si>
  <si>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</si>
  <si>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</si>
  <si>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</si>
  <si>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</si>
  <si>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</si>
  <si>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</si>
  <si>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</si>
  <si>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</si>
  <si>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</si>
  <si>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</si>
  <si>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</si>
  <si>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</si>
  <si>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</si>
  <si>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</si>
  <si>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</si>
  <si>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</si>
  <si>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</si>
  <si>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</si>
  <si>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</si>
  <si>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</si>
  <si>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</si>
  <si>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</si>
  <si>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</si>
  <si>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</si>
  <si>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</si>
  <si>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</si>
  <si>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</si>
  <si>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</si>
  <si>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</si>
  <si>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</si>
  <si>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</si>
  <si>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</si>
  <si>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</si>
  <si>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</si>
  <si>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</si>
  <si>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</si>
  <si>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</si>
  <si>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</si>
  <si>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</si>
  <si>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</si>
  <si>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</si>
  <si>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</si>
  <si>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</si>
  <si>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</si>
  <si>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</si>
  <si>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</si>
  <si>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</si>
  <si>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</si>
  <si>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</si>
  <si>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</si>
  <si>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</si>
  <si>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</si>
  <si>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</si>
  <si>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</si>
  <si>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</si>
  <si>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</si>
  <si>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</si>
  <si>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</si>
  <si>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</si>
  <si>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</si>
  <si>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</si>
  <si>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</si>
  <si>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</si>
  <si>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</si>
  <si>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</si>
  <si>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</si>
  <si>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</si>
  <si>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</si>
  <si>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</si>
  <si>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</si>
  <si>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</si>
  <si>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</si>
  <si>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</si>
  <si>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</si>
  <si>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</si>
  <si>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</si>
  <si>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</si>
  <si>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</si>
  <si>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</si>
  <si>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</si>
  <si>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</si>
  <si>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</si>
  <si>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</si>
  <si>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</si>
  <si>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</si>
  <si>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</si>
  <si>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</si>
  <si>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</si>
  <si>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</si>
  <si>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</si>
  <si>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</si>
  <si>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</si>
  <si>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</si>
  <si>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</si>
  <si>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</si>
  <si>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</si>
  <si>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</si>
  <si>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</si>
  <si>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</si>
  <si>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</si>
  <si>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</si>
  <si>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</si>
  <si>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</si>
  <si>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</si>
  <si>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</si>
  <si>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</si>
  <si>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</si>
  <si>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</si>
  <si>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</si>
  <si>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</si>
  <si>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</si>
  <si>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</si>
  <si>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</si>
  <si>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</si>
  <si>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</si>
  <si>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</si>
  <si>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</si>
  <si>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</si>
  <si>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</si>
  <si>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</si>
  <si>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</si>
  <si>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</si>
  <si>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</si>
  <si>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</si>
  <si>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</si>
  <si>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</si>
  <si>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</si>
  <si>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</si>
  <si>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24-May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</si>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</sst>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3" fillId="0" borderId="1"/>
    <xf numFmtId="9" fontId="14" fillId="0" borderId="0" applyFont="0" applyFill="0" applyBorder="0" applyAlignment="0" applyProtection="0"/>
  </cellStyleXfs>
  <cellXfs count="133">
    <xf numFmtId="0" fontId="0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16" fillId="0" borderId="0" xfId="0" applyFont="1"/>
    <xf numFmtId="0" fontId="15" fillId="0" borderId="1" xfId="0" applyFont="1" applyBorder="1"/>
    <xf numFmtId="2" fontId="15" fillId="0" borderId="0" xfId="0" applyNumberFormat="1" applyFont="1"/>
    <xf numFmtId="164" fontId="17" fillId="0" borderId="0" xfId="0" applyNumberFormat="1" applyFont="1"/>
    <xf numFmtId="0" fontId="16" fillId="0" borderId="0" xfId="0" applyFont="1" applyAlignment="1"/>
    <xf numFmtId="2" fontId="14" fillId="0" borderId="0" xfId="0" applyNumberFormat="1" applyFont="1"/>
    <xf numFmtId="1" fontId="14" fillId="0" borderId="0" xfId="0" applyNumberFormat="1" applyFont="1"/>
    <xf numFmtId="1" fontId="15" fillId="0" borderId="0" xfId="0" applyNumberFormat="1" applyFont="1"/>
    <xf numFmtId="10" fontId="15" fillId="0" borderId="0" xfId="0" applyNumberFormat="1" applyFont="1"/>
    <xf numFmtId="0" fontId="14" fillId="0" borderId="0" xfId="0" applyFont="1"/>
    <xf numFmtId="16" fontId="14" fillId="0" borderId="0" xfId="0" applyNumberFormat="1" applyFont="1" applyAlignment="1"/>
    <xf numFmtId="0" fontId="19" fillId="0" borderId="0" xfId="0" applyFont="1" applyAlignment="1"/>
    <xf numFmtId="0" fontId="21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19" fillId="0" borderId="3" xfId="0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/>
    <xf numFmtId="0" fontId="20" fillId="0" borderId="4" xfId="0" applyFont="1" applyFill="1" applyBorder="1" applyAlignment="1"/>
    <xf numFmtId="0" fontId="16" fillId="0" borderId="5" xfId="0" applyFont="1" applyFill="1" applyBorder="1"/>
    <xf numFmtId="0" fontId="0" fillId="0" borderId="0" xfId="0"/>
    <xf numFmtId="0" fontId="25" fillId="0" borderId="0" xfId="0" applyFont="1"/>
    <xf numFmtId="9" fontId="0" fillId="0" borderId="0" xfId="2" applyFont="1" applyAlignment="1"/>
    <xf numFmtId="0" fontId="19" fillId="0" borderId="0" xfId="0" applyFont="1" applyFill="1"/>
    <xf numFmtId="0" fontId="19" fillId="0" borderId="0" xfId="0" applyFont="1" applyFill="1" applyAlignment="1"/>
    <xf numFmtId="0" fontId="20" fillId="0" borderId="0" xfId="0" applyFont="1" applyFill="1" applyAlignment="1"/>
    <xf numFmtId="1" fontId="0" fillId="0" borderId="0" xfId="0" quotePrefix="1" applyNumberFormat="1" applyFont="1" applyFill="1" applyAlignment="1"/>
    <xf numFmtId="2" fontId="15" fillId="0" borderId="0" xfId="0" applyNumberFormat="1" applyFont="1" applyFill="1"/>
    <xf numFmtId="1" fontId="14" fillId="0" borderId="0" xfId="0" applyNumberFormat="1" applyFont="1" applyFill="1" applyAlignment="1"/>
    <xf numFmtId="0" fontId="14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0" fillId="0" borderId="5" xfId="0" applyFont="1" applyFill="1" applyBorder="1" applyAlignment="1"/>
    <xf numFmtId="9" fontId="0" fillId="0" borderId="0" xfId="0" applyNumberFormat="1" applyFont="1" applyAlignment="1"/>
    <xf numFmtId="0" fontId="15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19" fillId="0" borderId="0" xfId="0" applyFont="1" applyAlignment="1">
      <alignment horizontal="center"/>
    </xf>
    <xf numFmtId="0" fontId="13" fillId="0" borderId="0" xfId="0" applyFont="1" applyAlignment="1"/>
    <xf numFmtId="165" fontId="25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1" fillId="0" borderId="0" xfId="0" applyFont="1" applyAlignment="1"/>
    <xf numFmtId="16" fontId="12" fillId="0" borderId="0" xfId="0" applyNumberFormat="1" applyFont="1" applyAlignment="1"/>
    <xf numFmtId="0" fontId="14" fillId="0" borderId="0" xfId="0" applyFont="1" applyFill="1" applyAlignment="1"/>
    <xf numFmtId="0" fontId="23" fillId="0" borderId="1" xfId="1" applyNumberFormat="1"/>
    <xf numFmtId="0" fontId="24" fillId="0" borderId="1" xfId="0" applyFont="1" applyBorder="1" applyAlignment="1">
      <alignment horizontal="center"/>
    </xf>
    <xf numFmtId="49" fontId="15" fillId="0" borderId="0" xfId="0" applyNumberFormat="1" applyFont="1"/>
    <xf numFmtId="0" fontId="16" fillId="3" borderId="0" xfId="0" applyFont="1" applyFill="1"/>
    <xf numFmtId="0" fontId="14" fillId="3" borderId="0" xfId="0" applyFont="1" applyFill="1"/>
    <xf numFmtId="0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6" fillId="0" borderId="1" xfId="0" applyFont="1" applyFill="1" applyBorder="1"/>
    <xf numFmtId="0" fontId="10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6" fillId="0" borderId="1" xfId="0" applyFont="1" applyFill="1" applyBorder="1" applyAlignment="1">
      <alignment vertical="center"/>
    </xf>
    <xf numFmtId="0" fontId="20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4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5" fillId="0" borderId="2" xfId="0" applyNumberFormat="1" applyFont="1" applyFill="1" applyBorder="1"/>
    <xf numFmtId="1" fontId="14" fillId="0" borderId="2" xfId="0" applyNumberFormat="1" applyFont="1" applyFill="1" applyBorder="1" applyAlignment="1"/>
    <xf numFmtId="0" fontId="14" fillId="0" borderId="2" xfId="0" applyFont="1" applyFill="1" applyBorder="1"/>
    <xf numFmtId="1" fontId="15" fillId="0" borderId="6" xfId="0" applyNumberFormat="1" applyFont="1" applyFill="1" applyBorder="1"/>
    <xf numFmtId="0" fontId="5" fillId="0" borderId="0" xfId="0" applyFont="1" applyAlignment="1"/>
    <xf numFmtId="0" fontId="16" fillId="0" borderId="0" xfId="0" applyFont="1" applyFill="1"/>
    <xf numFmtId="0" fontId="15" fillId="0" borderId="0" xfId="0" applyFont="1" applyFill="1" applyAlignment="1">
      <alignment horizontal="center"/>
    </xf>
    <xf numFmtId="0" fontId="5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5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5" fillId="3" borderId="0" xfId="0" applyFont="1" applyFill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9" fontId="15" fillId="0" borderId="1" xfId="2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9" fontId="15" fillId="0" borderId="0" xfId="0" applyNumberFormat="1" applyFont="1" applyAlignment="1">
      <alignment vertical="center"/>
    </xf>
    <xf numFmtId="0" fontId="14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5" fillId="0" borderId="0" xfId="0" applyNumberFormat="1" applyFont="1" applyAlignment="1">
      <alignment vertical="center"/>
    </xf>
    <xf numFmtId="1" fontId="15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/>
    <xf numFmtId="0" fontId="4" fillId="0" borderId="0" xfId="0" applyFont="1" applyAlignment="1"/>
    <xf numFmtId="0" fontId="4" fillId="0" borderId="0" xfId="0" applyFont="1"/>
    <xf numFmtId="0" fontId="15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1" xfId="0" applyFont="1" applyFill="1" applyBorder="1"/>
    <xf numFmtId="0" fontId="27" fillId="0" borderId="1" xfId="0" applyFont="1" applyFill="1" applyBorder="1" applyAlignment="1"/>
    <xf numFmtId="0" fontId="28" fillId="0" borderId="1" xfId="0" applyFont="1" applyFill="1" applyBorder="1" applyAlignment="1"/>
    <xf numFmtId="0" fontId="25" fillId="0" borderId="1" xfId="0" applyFont="1" applyFill="1" applyBorder="1" applyAlignment="1">
      <alignment vertical="center"/>
    </xf>
    <xf numFmtId="0" fontId="19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4" fillId="3" borderId="2" xfId="0" applyFont="1" applyFill="1" applyBorder="1" applyAlignment="1"/>
    <xf numFmtId="0" fontId="0" fillId="3" borderId="2" xfId="0" applyFont="1" applyFill="1" applyBorder="1" applyAlignment="1"/>
    <xf numFmtId="16" fontId="15" fillId="3" borderId="2" xfId="0" applyNumberFormat="1" applyFont="1" applyFill="1" applyBorder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5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5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49" fontId="14" fillId="0" borderId="0" xfId="0" applyNumberFormat="1" applyFont="1"/>
    <xf numFmtId="0" fontId="1" fillId="0" borderId="0" xfId="0" applyFont="1" applyAlignment="1"/>
    <xf numFmtId="0" fontId="1" fillId="0" borderId="0" xfId="0" applyFont="1"/>
    <xf numFmtId="0" fontId="24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0.62790697674418605</c:v>
                </c:pt>
                <c:pt idx="1">
                  <c:v>0.32558139534883723</c:v>
                </c:pt>
                <c:pt idx="2">
                  <c:v>4.6511627906976744E-2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SUM(AA29,AL29,AA49,AL49,AA69,AL69,AA89,AL89)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SUM(AB29,AM29,AB49,AM49,AB69,AM69,AB89,AM89)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SUM(AC29,AN29,AC49,AN49,AC69,AN69,AC89,AN89)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SUM(AD29,AO29,AD49,AO49,AD69,AO69,AD89,AO89)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SUM(AI29,AT29,AI49,AT49,AI69,AT69,AI89,AT89)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</calculatedColumnFormula>
    </tableColumn>
    <tableColumn id="3" xr3:uid="{C2C49EF0-4D8C-4F8C-8D19-CDD1481D9568}" name="Finishes" dataDxfId="127">
      <calculatedColumnFormula>'Preseason 1'!S3+'Preseason 2'!S3</calculatedColumnFormula>
    </tableColumn>
    <tableColumn id="4" xr3:uid="{7E789F8C-B8F3-4D6E-AB6C-C9454835B062}" name="Midranges" dataDxfId="126">
      <calculatedColumnFormula>'Preseason 1'!T3+'Preseason 2'!T3</calculatedColumnFormula>
    </tableColumn>
    <tableColumn id="5" xr3:uid="{18C990F2-A6D0-4F57-B96A-D00066DCC8D8}" name="Threes" dataDxfId="125">
      <calculatedColumnFormula>'Preseason 1'!U3+'Preseason 2'!U3</calculatedColumnFormula>
    </tableColumn>
    <tableColumn id="6" xr3:uid="{40526534-76CA-42BA-A8B6-AB092D9CE18F}" name="Avg P" dataDxfId="124">
      <calculatedColumnFormula>AA29/$AA$27</calculatedColumnFormula>
    </tableColumn>
    <tableColumn id="7" xr3:uid="{693AF117-21F6-4887-B78D-D59235BABA44}" name="Avg F" dataDxfId="123">
      <calculatedColumnFormula>AB29/$AA$27</calculatedColumnFormula>
    </tableColumn>
    <tableColumn id="8" xr3:uid="{02AC8FBF-EBB3-4AFC-BAC5-B773E33B7279}" name="Avg M" dataDxfId="122">
      <calculatedColumnFormula>AC29/$AA$27</calculatedColumnFormula>
    </tableColumn>
    <tableColumn id="9" xr3:uid="{CCF75EB4-34C4-4D47-9D51-E8D85C07E38B}" name="Avg T" dataDxfId="121">
      <calculatedColumnFormula>AD29/$AA$27</calculatedColumnFormula>
    </tableColumn>
    <tableColumn id="10" xr3:uid="{1A786A5C-D0C2-4ABC-904C-983180542D5F}" name="Missed Games" dataDxfId="120">
      <calculatedColumnFormula>COUNTIF(Template!V3,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Template!AC3</calculatedColumnFormula>
    </tableColumn>
    <tableColumn id="3" xr3:uid="{2D436F37-54B6-4820-9145-F48B4EF9B294}" name="Finishes" dataDxfId="115">
      <calculatedColumnFormula>Template!AD3</calculatedColumnFormula>
    </tableColumn>
    <tableColumn id="4" xr3:uid="{1D9B6A22-B682-47F3-B738-7C138F317A41}" name="Midranges" dataDxfId="114">
      <calculatedColumnFormula>Template!AE3</calculatedColumnFormula>
    </tableColumn>
    <tableColumn id="5" xr3:uid="{9966C9A0-3872-44E9-BB39-05DE197EAA68}" name="Threes" dataDxfId="113">
      <calculatedColumnFormula>Template!AF3</calculatedColumnFormula>
    </tableColumn>
    <tableColumn id="6" xr3:uid="{CC4AB646-735F-425F-8528-C5EFE7FE11DC}" name="Avg P" dataDxfId="112">
      <calculatedColumnFormula>AL29/$AA$27</calculatedColumnFormula>
    </tableColumn>
    <tableColumn id="7" xr3:uid="{F8D0247E-C6F7-467A-9F38-46084D44F8AB}" name="Avg F" dataDxfId="111">
      <calculatedColumnFormula>AM29/$AA$27</calculatedColumnFormula>
    </tableColumn>
    <tableColumn id="8" xr3:uid="{7CCF1C77-9DB0-4EB2-B7D0-FD0BDBEBFA0E}" name="Avg M" dataDxfId="110">
      <calculatedColumnFormula>AN29/$AA$27</calculatedColumnFormula>
    </tableColumn>
    <tableColumn id="9" xr3:uid="{582A1A4E-5383-4383-A480-735408867046}" name="Avg T" dataDxfId="109">
      <calculatedColumnFormula>AO29/$AA$27</calculatedColumnFormula>
    </tableColumn>
    <tableColumn id="10" xr3:uid="{E547AEB5-F9BA-4C5F-8DCE-34B6A8FF303A}" name="Missed Games" dataDxfId="108">
      <calculatedColumnFormula>COUNTIF(Template!AG3,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>
      <calculatedColumnFormula>Template!R23</calculatedColumnFormula>
    </tableColumn>
    <tableColumn id="3" xr3:uid="{8090861E-1FDF-44F4-9DB6-BB814E32C754}" name="Finishes" dataDxfId="103">
      <calculatedColumnFormula>Template!S23</calculatedColumnFormula>
    </tableColumn>
    <tableColumn id="4" xr3:uid="{972D0347-DAB3-4985-A738-E5D78740D498}" name="Midranges" dataDxfId="102">
      <calculatedColumnFormula>Template!T23</calculatedColumnFormula>
    </tableColumn>
    <tableColumn id="5" xr3:uid="{48F5F884-1753-4988-9056-632B5EB6BBCB}" name="Threes" dataDxfId="101">
      <calculatedColumnFormula>Template!U23</calculatedColumnFormula>
    </tableColumn>
    <tableColumn id="6" xr3:uid="{6953B627-EA05-418F-A758-FD59263EA60D}" name="Avg P" dataDxfId="100">
      <calculatedColumnFormula>AA49/$AA$27</calculatedColumnFormula>
    </tableColumn>
    <tableColumn id="7" xr3:uid="{BE057C9C-5ECD-4AC2-A9C0-18C89CFB52BC}" name="Avg F" dataDxfId="99">
      <calculatedColumnFormula>AB49/$AA$27</calculatedColumnFormula>
    </tableColumn>
    <tableColumn id="8" xr3:uid="{0FDEBEE7-CD5E-4A44-A0AE-74F044F1FF46}" name="Avg M" dataDxfId="98">
      <calculatedColumnFormula>AC49/$AA$27</calculatedColumnFormula>
    </tableColumn>
    <tableColumn id="9" xr3:uid="{76975BB6-3677-41A8-BC24-7536B1D876D3}" name="Avg T" dataDxfId="97">
      <calculatedColumnFormula>AD49/$AA$27</calculatedColumnFormula>
    </tableColumn>
    <tableColumn id="10" xr3:uid="{E5ADB69B-3BA2-4019-8C83-8B02221F187E}" name="Missed Games" dataDxfId="96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5" dataDxfId="94">
  <autoFilter ref="AK48:AT65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>
      <calculatedColumnFormula>Template!AC23</calculatedColumnFormula>
    </tableColumn>
    <tableColumn id="3" xr3:uid="{6CA15B41-F560-4B43-8836-163F5BB5689C}" name="Finishes" dataDxfId="91">
      <calculatedColumnFormula>Template!AD23</calculatedColumnFormula>
    </tableColumn>
    <tableColumn id="4" xr3:uid="{8FF05262-0051-44F7-966E-8D405318BA69}" name="Midranges" dataDxfId="90">
      <calculatedColumnFormula>Template!AE23</calculatedColumnFormula>
    </tableColumn>
    <tableColumn id="5" xr3:uid="{F0D843FC-7A93-4C9A-BCCF-E789F7811B3B}" name="Threes" dataDxfId="89">
      <calculatedColumnFormula>Template!AF23</calculatedColumnFormula>
    </tableColumn>
    <tableColumn id="6" xr3:uid="{F0498F8A-F646-4C1F-A3CF-E89E73750FC1}" name="Avg P" dataDxfId="88">
      <calculatedColumnFormula>AL49/$AA$27</calculatedColumnFormula>
    </tableColumn>
    <tableColumn id="7" xr3:uid="{A387BC88-F45C-4386-8503-EFEA33BDAC38}" name="Avg F" dataDxfId="87">
      <calculatedColumnFormula>AM49/$AA$27</calculatedColumnFormula>
    </tableColumn>
    <tableColumn id="8" xr3:uid="{BEA82919-0828-4351-A01A-D72E13E63FAB}" name="Avg M" dataDxfId="86">
      <calculatedColumnFormula>AN49/$AA$27</calculatedColumnFormula>
    </tableColumn>
    <tableColumn id="9" xr3:uid="{ABEBCE01-BCA4-4342-966C-27301889B607}" name="Avg T" dataDxfId="85">
      <calculatedColumnFormula>AO49/$AA$27</calculatedColumnFormula>
    </tableColumn>
    <tableColumn id="10" xr3:uid="{65E7A8E7-4C51-42E4-AB0F-B7FF6099D70A}" name="Missed Games" dataDxfId="84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3" dataDxfId="82">
  <autoFilter ref="AK68:AT85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>
      <calculatedColumnFormula>Template!AC43</calculatedColumnFormula>
    </tableColumn>
    <tableColumn id="3" xr3:uid="{E91D98A2-80BD-4E5C-9036-2FCC8185369F}" name="Finishes" dataDxfId="79">
      <calculatedColumnFormula>Template!AD43</calculatedColumnFormula>
    </tableColumn>
    <tableColumn id="4" xr3:uid="{D2E5029E-4811-4E9B-9A2D-5F5F8F322B0D}" name="Midranges" dataDxfId="78">
      <calculatedColumnFormula>Template!AE43</calculatedColumnFormula>
    </tableColumn>
    <tableColumn id="5" xr3:uid="{B3E76CEE-33DA-4B18-8DCE-8EBC7EE592D7}" name="Threes" dataDxfId="77">
      <calculatedColumnFormula>Template!AF43</calculatedColumnFormula>
    </tableColumn>
    <tableColumn id="6" xr3:uid="{6ABE1879-8018-4498-A9A1-22CF831F0364}" name="Avg P" dataDxfId="76">
      <calculatedColumnFormula>AL69/$AA$27</calculatedColumnFormula>
    </tableColumn>
    <tableColumn id="7" xr3:uid="{8DA4DD79-8A2A-49E4-996F-C1ACCED3C565}" name="Avg F" dataDxfId="75">
      <calculatedColumnFormula>AM69/$AA$27</calculatedColumnFormula>
    </tableColumn>
    <tableColumn id="8" xr3:uid="{256EA4BC-BA61-49E2-969F-0786AA9AA6EA}" name="Avg M" dataDxfId="74">
      <calculatedColumnFormula>AN69/$AA$27</calculatedColumnFormula>
    </tableColumn>
    <tableColumn id="9" xr3:uid="{0E5566B2-99EC-4B03-A074-8705C4EDA484}" name="Avg T" dataDxfId="73">
      <calculatedColumnFormula>AO69/$AA$27</calculatedColumnFormula>
    </tableColumn>
    <tableColumn id="10" xr3:uid="{3E2357F0-493E-401D-AC75-9AAB260F684E}" name="Missed Games" dataDxfId="72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1" dataDxfId="70">
  <autoFilter ref="Z68:AI85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>
      <calculatedColumnFormula>Template!R43</calculatedColumnFormula>
    </tableColumn>
    <tableColumn id="3" xr3:uid="{9537269D-8C1D-42B5-866F-D03CE61A8512}" name="Finishes" dataDxfId="67">
      <calculatedColumnFormula>Template!S43</calculatedColumnFormula>
    </tableColumn>
    <tableColumn id="4" xr3:uid="{AC590DDB-BE19-4A14-8B98-1E5E2430AA45}" name="Midranges" dataDxfId="66">
      <calculatedColumnFormula>Template!T43</calculatedColumnFormula>
    </tableColumn>
    <tableColumn id="5" xr3:uid="{C96D3ACD-F34D-477E-86DE-4650EE56BC94}" name="Threes" dataDxfId="65">
      <calculatedColumnFormula>Template!U43</calculatedColumnFormula>
    </tableColumn>
    <tableColumn id="6" xr3:uid="{A43DE5E9-BB01-49FA-A204-66EE7BAA2E9F}" name="Avg P" dataDxfId="64">
      <calculatedColumnFormula>AA69/$AA$27</calculatedColumnFormula>
    </tableColumn>
    <tableColumn id="7" xr3:uid="{C75A19FF-6041-45C2-BACB-E347F06B6329}" name="Avg F" dataDxfId="63">
      <calculatedColumnFormula>AB69/$AA$27</calculatedColumnFormula>
    </tableColumn>
    <tableColumn id="8" xr3:uid="{00D3FCFC-C9C5-4C96-BE0E-8E1FDC95D07C}" name="Avg M" dataDxfId="62">
      <calculatedColumnFormula>AC69/$AA$27</calculatedColumnFormula>
    </tableColumn>
    <tableColumn id="9" xr3:uid="{0448FF4E-9D2D-47F6-89B7-F17D36B05E8A}" name="Avg T" dataDxfId="61">
      <calculatedColumnFormula>AD69/$AA$27</calculatedColumnFormula>
    </tableColumn>
    <tableColumn id="10" xr3:uid="{D5BDFA2D-095B-44F8-8567-15B3B1520E5A}" name="Missed Games" dataDxfId="60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59" dataDxfId="58">
  <autoFilter ref="Z88:AI105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>
      <calculatedColumnFormula>Template!R63</calculatedColumnFormula>
    </tableColumn>
    <tableColumn id="3" xr3:uid="{09859CE1-290D-4977-B02C-46F4E5A6FDC2}" name="Finishes" dataDxfId="55">
      <calculatedColumnFormula>Template!S63</calculatedColumnFormula>
    </tableColumn>
    <tableColumn id="4" xr3:uid="{7D751A0E-2895-46DF-B5E2-5A8AA5531CD2}" name="Midranges" dataDxfId="54">
      <calculatedColumnFormula>Template!T63</calculatedColumnFormula>
    </tableColumn>
    <tableColumn id="5" xr3:uid="{591CDC71-B0EA-413B-B6C1-77884E7E50D4}" name="Threes" dataDxfId="53">
      <calculatedColumnFormula>Template!U63</calculatedColumnFormula>
    </tableColumn>
    <tableColumn id="6" xr3:uid="{52ED768C-5557-42DC-9824-7A4D9B547153}" name="Avg P" dataDxfId="52">
      <calculatedColumnFormula>AA89/$AA$27</calculatedColumnFormula>
    </tableColumn>
    <tableColumn id="7" xr3:uid="{FC79BE87-72E2-4F5E-83D6-CDCE645EB943}" name="Avg F" dataDxfId="51">
      <calculatedColumnFormula>AB89/$AA$27</calculatedColumnFormula>
    </tableColumn>
    <tableColumn id="8" xr3:uid="{BA012C22-0D65-4C11-98A7-4F958703D04B}" name="Avg M" dataDxfId="50">
      <calculatedColumnFormula>AC89/$AA$27</calculatedColumnFormula>
    </tableColumn>
    <tableColumn id="9" xr3:uid="{63344F2B-5D94-417D-85E2-C2BFBACE3E7E}" name="Avg T" dataDxfId="49">
      <calculatedColumnFormula>AD89/$AA$27</calculatedColumnFormula>
    </tableColumn>
    <tableColumn id="10" xr3:uid="{1AD5A604-8909-45B3-8E43-11D407451CEA}" name="Missed Games" dataDxfId="48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7" dataDxfId="46">
  <autoFilter ref="AK88:AT105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Template!AC63</calculatedColumnFormula>
    </tableColumn>
    <tableColumn id="3" xr3:uid="{460771D3-3BD8-4DA3-AF1B-1A0F98EF1499}" name="Finishes" dataDxfId="43">
      <calculatedColumnFormula>Template!AD63</calculatedColumnFormula>
    </tableColumn>
    <tableColumn id="4" xr3:uid="{3C08B2D7-823D-49C3-A627-A5848E664B2F}" name="Midranges" dataDxfId="42">
      <calculatedColumnFormula>Template!AE63</calculatedColumnFormula>
    </tableColumn>
    <tableColumn id="5" xr3:uid="{E88F45FB-4C46-4674-86D5-74808E7E5368}" name="Threes" dataDxfId="41">
      <calculatedColumnFormula>Template!AF63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tabSelected="1" zoomScale="40" zoomScaleNormal="40" workbookViewId="0">
      <selection activeCell="X17" sqref="X17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>
        <f>'Stats Global'!AB8</f>
        <v>0</v>
      </c>
      <c r="E3" s="1">
        <f>'Stats Global'!AA8</f>
        <v>0</v>
      </c>
      <c r="F3" s="8">
        <f>'Stats Global'!AD8</f>
        <v>0</v>
      </c>
      <c r="G3" s="12">
        <f>'Stats Global'!AC8</f>
        <v>0</v>
      </c>
      <c r="H3" s="8">
        <f>'Stats Global'!AF8</f>
        <v>0</v>
      </c>
      <c r="I3" s="12">
        <f>'Stats Global'!AE8</f>
        <v>0</v>
      </c>
      <c r="J3" s="8">
        <f>'Stats Global'!AH8</f>
        <v>0</v>
      </c>
      <c r="K3" s="12">
        <f>'Stats Global'!AG8</f>
        <v>0</v>
      </c>
      <c r="T3" s="1" t="s">
        <v>198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>
        <f>'Stats Global'!AB9</f>
        <v>1</v>
      </c>
      <c r="E4" s="12">
        <f>'Stats Global'!AA9</f>
        <v>2</v>
      </c>
      <c r="F4" s="8">
        <f>'Stats Global'!AD9</f>
        <v>0.5</v>
      </c>
      <c r="G4" s="12">
        <f>'Stats Global'!AC9</f>
        <v>1</v>
      </c>
      <c r="H4" s="8">
        <f>'Stats Global'!AF9</f>
        <v>0.5</v>
      </c>
      <c r="I4" s="12">
        <f>'Stats Global'!AE9</f>
        <v>1</v>
      </c>
      <c r="J4" s="8">
        <f>'Stats Global'!AH9</f>
        <v>0</v>
      </c>
      <c r="K4" s="12">
        <f>'Stats Global'!AG9</f>
        <v>0</v>
      </c>
      <c r="T4" s="12" t="s">
        <v>198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>
        <f>'Stats Global'!AB10</f>
        <v>6</v>
      </c>
      <c r="E5" s="12">
        <f>'Stats Global'!AA10</f>
        <v>12</v>
      </c>
      <c r="F5" s="8">
        <f>'Stats Global'!AD10</f>
        <v>5</v>
      </c>
      <c r="G5" s="12">
        <f>'Stats Global'!AC10</f>
        <v>10</v>
      </c>
      <c r="H5" s="8">
        <f>'Stats Global'!AF10</f>
        <v>0</v>
      </c>
      <c r="I5" s="12">
        <f>'Stats Global'!AE10</f>
        <v>0</v>
      </c>
      <c r="J5" s="8">
        <f>'Stats Global'!AH10</f>
        <v>0.5</v>
      </c>
      <c r="K5" s="12">
        <f>'Stats Global'!AG10</f>
        <v>1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195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191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164</v>
      </c>
    </row>
    <row r="7" spans="2:24" ht="14.25" customHeight="1" x14ac:dyDescent="0.45">
      <c r="B7" s="2" t="s">
        <v>37</v>
      </c>
      <c r="C7" s="119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196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>
        <f>'Stats Global'!AB13</f>
        <v>0.5</v>
      </c>
      <c r="E8" s="12">
        <f>'Stats Global'!AA13</f>
        <v>1</v>
      </c>
      <c r="F8" s="8">
        <f>'Stats Global'!AD13</f>
        <v>0.5</v>
      </c>
      <c r="G8" s="12">
        <f>'Stats Global'!AC13</f>
        <v>1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199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>
        <f>'Stats Global'!AB14</f>
        <v>1</v>
      </c>
      <c r="E9" s="12">
        <f>'Stats Global'!AA14</f>
        <v>2</v>
      </c>
      <c r="F9" s="8">
        <f>'Stats Global'!AD14</f>
        <v>0.5</v>
      </c>
      <c r="G9" s="12">
        <f>'Stats Global'!AC14</f>
        <v>1</v>
      </c>
      <c r="H9" s="8">
        <f>'Stats Global'!AF14</f>
        <v>0.5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214</v>
      </c>
      <c r="M9" s="17" t="s">
        <v>158</v>
      </c>
      <c r="T9" s="120" t="s">
        <v>201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162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200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>
        <f>'Stats Global'!AB16</f>
        <v>1.5</v>
      </c>
      <c r="E11" s="12">
        <f>'Stats Global'!AA16</f>
        <v>3</v>
      </c>
      <c r="F11" s="8">
        <f>'Stats Global'!AD16</f>
        <v>0.5</v>
      </c>
      <c r="G11" s="12">
        <f>'Stats Global'!AC16</f>
        <v>1</v>
      </c>
      <c r="H11" s="8">
        <f>'Stats Global'!AF16</f>
        <v>0</v>
      </c>
      <c r="I11" s="12">
        <f>'Stats Global'!AE16</f>
        <v>0</v>
      </c>
      <c r="J11" s="8">
        <f>'Stats Global'!AH16</f>
        <v>0.5</v>
      </c>
      <c r="K11" s="12">
        <f>'Stats Global'!AG16</f>
        <v>1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197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6</v>
      </c>
      <c r="E12" s="12">
        <f>'Stats Global'!AA17</f>
        <v>12</v>
      </c>
      <c r="F12" s="8">
        <f>'Stats Global'!AD17</f>
        <v>0.5</v>
      </c>
      <c r="G12" s="12">
        <f>'Stats Global'!AC17</f>
        <v>1</v>
      </c>
      <c r="H12" s="8">
        <f>'Stats Global'!AF17</f>
        <v>4.5</v>
      </c>
      <c r="I12" s="12">
        <f>'Stats Global'!AE17</f>
        <v>9</v>
      </c>
      <c r="J12" s="8">
        <f>'Stats Global'!AH17</f>
        <v>0.5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192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>
        <f>'Stats Global'!AB18</f>
        <v>1</v>
      </c>
      <c r="E13" s="12">
        <f>'Stats Global'!AA18</f>
        <v>2</v>
      </c>
      <c r="F13" s="8">
        <f>'Stats Global'!AD18</f>
        <v>0</v>
      </c>
      <c r="G13" s="12">
        <f>'Stats Global'!AC18</f>
        <v>0</v>
      </c>
      <c r="H13" s="8">
        <f>'Stats Global'!AF18</f>
        <v>0</v>
      </c>
      <c r="I13" s="12">
        <f>'Stats Global'!AE18</f>
        <v>0</v>
      </c>
      <c r="J13" s="8">
        <f>'Stats Global'!AH18</f>
        <v>0.5</v>
      </c>
      <c r="K13" s="12">
        <f>'Stats Global'!AG18</f>
        <v>1</v>
      </c>
      <c r="L13" s="2" t="s">
        <v>53</v>
      </c>
      <c r="M13" s="2" t="s">
        <v>33</v>
      </c>
      <c r="N13" s="17"/>
      <c r="T13" s="121" t="s">
        <v>199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202</v>
      </c>
      <c r="C14" s="130" t="s">
        <v>31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213</v>
      </c>
      <c r="M14" s="2"/>
      <c r="N14" s="17"/>
      <c r="O14" s="17"/>
      <c r="P14" s="17"/>
      <c r="Q14" s="17"/>
      <c r="R14" s="17"/>
      <c r="S14" s="17"/>
      <c r="T14" s="131" t="s">
        <v>199</v>
      </c>
      <c r="U14" s="12" t="str">
        <f t="shared" ref="U14:U19" si="2">IF(C14="5 Musketeers", $X$3, IF(C14="Loose Gooses", $X$4, IF(C14="Wet Willies", $X$5, $X$6)))</f>
        <v>../Images/WW_Final.png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20" t="s">
        <v>26</v>
      </c>
      <c r="D15" s="8">
        <f>'Stats Global'!AB20</f>
        <v>2</v>
      </c>
      <c r="E15" s="12">
        <f>'Stats Global'!AA20</f>
        <v>4</v>
      </c>
      <c r="F15" s="8">
        <f>'Stats Global'!AD20</f>
        <v>1</v>
      </c>
      <c r="G15" s="12">
        <f>'Stats Global'!AC20</f>
        <v>2</v>
      </c>
      <c r="H15" s="8">
        <f>'Stats Global'!AF20</f>
        <v>0</v>
      </c>
      <c r="I15" s="12">
        <f>'Stats Global'!AE20</f>
        <v>0</v>
      </c>
      <c r="J15" s="8">
        <f>'Stats Global'!AH20</f>
        <v>0.5</v>
      </c>
      <c r="K15" s="12">
        <f>'Stats Global'!AG20</f>
        <v>1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21" t="s">
        <v>201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20" t="s">
        <v>47</v>
      </c>
      <c r="D16" s="8">
        <f>'Stats Global'!AB21</f>
        <v>3</v>
      </c>
      <c r="E16" s="12">
        <f>'Stats Global'!AA21</f>
        <v>6</v>
      </c>
      <c r="F16" s="8">
        <f>'Stats Global'!AD21</f>
        <v>1</v>
      </c>
      <c r="G16" s="12">
        <f>'Stats Global'!AC21</f>
        <v>2</v>
      </c>
      <c r="H16" s="8">
        <f>'Stats Global'!AF21</f>
        <v>1</v>
      </c>
      <c r="I16" s="12">
        <f>'Stats Global'!AE21</f>
        <v>2</v>
      </c>
      <c r="J16" s="8">
        <f>'Stats Global'!AH21</f>
        <v>0.5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21" t="s">
        <v>198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3</v>
      </c>
      <c r="E17" s="12">
        <f>'Stats Global'!AA22</f>
        <v>6</v>
      </c>
      <c r="F17" s="8">
        <f>'Stats Global'!AD22</f>
        <v>1.5</v>
      </c>
      <c r="G17" s="12">
        <f>'Stats Global'!AC22</f>
        <v>3</v>
      </c>
      <c r="H17" s="8">
        <f>'Stats Global'!AF22</f>
        <v>0.5</v>
      </c>
      <c r="I17" s="12">
        <f>'Stats Global'!AE22</f>
        <v>1</v>
      </c>
      <c r="J17" s="8">
        <f>'Stats Global'!AH22</f>
        <v>0.5</v>
      </c>
      <c r="K17" s="12">
        <f>'Stats Global'!AG22</f>
        <v>1</v>
      </c>
      <c r="L17" s="2" t="s">
        <v>163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5" t="s">
        <v>193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20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20" t="s">
        <v>199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20" t="s">
        <v>26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20" t="s">
        <v>201</v>
      </c>
      <c r="U19" s="12" t="str">
        <f t="shared" si="2"/>
        <v>../Images/5M_Final.png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212</v>
      </c>
    </row>
    <row r="22" spans="2:24" ht="14.25" customHeight="1" x14ac:dyDescent="0.9">
      <c r="B22" s="132" t="s">
        <v>119</v>
      </c>
      <c r="C22" s="132"/>
      <c r="D22" s="104"/>
      <c r="X22" s="2" t="s">
        <v>70</v>
      </c>
    </row>
    <row r="23" spans="2:24" ht="14.25" customHeight="1" x14ac:dyDescent="0.9">
      <c r="B23" s="132"/>
      <c r="C23" s="132"/>
      <c r="D23" s="104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Willies","Wet Willies","5 Musketeers","Loose Gooses","Loose Gooses","Wet Willies","5 Musketeers"],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"PPG":[0,1,6,0,0,0.5,1,0,1.5,6,1,0,2,3,3,0,0],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"TP":[0,2,12,0,0,1,2,0,3,12,2,0,4,6,6,0,0],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"FPG":[0,0.5,5,0,0,0.5,0.5,0,0.5,0.5,0,0,1,1,1.5,0,0],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"TF":[0,1,10,0,0,1,1,0,1,1,0,0,2,2,3,0,0],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"MPG":[0,0.5,0,0,0,0,0.5,0,0,4.5,0,0,0,1,0.5,0,0],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"TM":[0,1,0,0,0,0,1,0,0,9,0,0,0,2,1,0,0],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"TPG":[0,0,0.5,0,0,0,0,0,0.5,0.5,0.5,0,0.5,0.5,0.5,0,0],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"TT":[0,0,1,0,0,0,0,0,1,1,1,0,1,1,1,0,0],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Willies","Drafted by 5 Musketeers","Drafted by Loose Gooses","GM of Loose Gooses","Drafted by Wet Willies","Drafted by 5 Musketeers"],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WW_Final.png","../Images/5M_Final.png","../Images/LG_Final.png","../Images/LG_Final.png","../Images/WW_Final.png","../Images/5M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0,</v>
      </c>
      <c r="E50" s="18" t="str">
        <f t="shared" ref="E50:E65" si="7">E3&amp;","</f>
        <v>0,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0,</v>
      </c>
      <c r="I50" s="18" t="str">
        <f t="shared" ref="I50:I65" si="11">I3&amp;","</f>
        <v>0,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1,</v>
      </c>
      <c r="E51" s="18" t="str">
        <f t="shared" si="7"/>
        <v>2,</v>
      </c>
      <c r="F51" s="18" t="str">
        <f t="shared" si="8"/>
        <v>0.5,</v>
      </c>
      <c r="G51" s="18" t="str">
        <f t="shared" si="9"/>
        <v>1,</v>
      </c>
      <c r="H51" s="18" t="str">
        <f t="shared" si="10"/>
        <v>0.5,</v>
      </c>
      <c r="I51" s="18" t="str">
        <f t="shared" si="11"/>
        <v>1,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6,</v>
      </c>
      <c r="E52" s="18" t="str">
        <f t="shared" si="7"/>
        <v>12,</v>
      </c>
      <c r="F52" s="18" t="str">
        <f t="shared" si="8"/>
        <v>5,</v>
      </c>
      <c r="G52" s="18" t="str">
        <f t="shared" si="9"/>
        <v>10,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0.5,</v>
      </c>
      <c r="K52" s="18" t="str">
        <f t="shared" si="13"/>
        <v>1,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0,</v>
      </c>
      <c r="E53" s="18" t="str">
        <f t="shared" si="7"/>
        <v>0,</v>
      </c>
      <c r="F53" s="18" t="str">
        <f t="shared" si="8"/>
        <v>0,</v>
      </c>
      <c r="G53" s="18" t="str">
        <f t="shared" si="9"/>
        <v>0,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0,</v>
      </c>
      <c r="E54" s="18" t="str">
        <f t="shared" si="7"/>
        <v>0,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0,</v>
      </c>
      <c r="I54" s="18" t="str">
        <f t="shared" si="11"/>
        <v>0,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0.5,</v>
      </c>
      <c r="E55" s="18" t="str">
        <f t="shared" si="7"/>
        <v>1,</v>
      </c>
      <c r="F55" s="18" t="str">
        <f t="shared" si="8"/>
        <v>0.5,</v>
      </c>
      <c r="G55" s="18" t="str">
        <f t="shared" si="9"/>
        <v>1,</v>
      </c>
      <c r="H55" s="18" t="str">
        <f t="shared" si="10"/>
        <v>0,</v>
      </c>
      <c r="I55" s="18" t="str">
        <f t="shared" si="11"/>
        <v>0,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1,</v>
      </c>
      <c r="E56" s="18" t="str">
        <f t="shared" si="7"/>
        <v>2,</v>
      </c>
      <c r="F56" s="18" t="str">
        <f t="shared" si="8"/>
        <v>0.5,</v>
      </c>
      <c r="G56" s="18" t="str">
        <f t="shared" si="9"/>
        <v>1,</v>
      </c>
      <c r="H56" s="18" t="str">
        <f t="shared" si="10"/>
        <v>0.5,</v>
      </c>
      <c r="I56" s="18" t="str">
        <f t="shared" si="11"/>
        <v>1,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1.5,</v>
      </c>
      <c r="E58" s="18" t="str">
        <f t="shared" si="7"/>
        <v>3,</v>
      </c>
      <c r="F58" s="18" t="str">
        <f t="shared" si="8"/>
        <v>0.5,</v>
      </c>
      <c r="G58" s="18" t="str">
        <f t="shared" si="9"/>
        <v>1,</v>
      </c>
      <c r="H58" s="18" t="str">
        <f t="shared" si="10"/>
        <v>0,</v>
      </c>
      <c r="I58" s="18" t="str">
        <f t="shared" si="11"/>
        <v>0,</v>
      </c>
      <c r="J58" s="18" t="str">
        <f t="shared" si="12"/>
        <v>0.5,</v>
      </c>
      <c r="K58" s="18" t="str">
        <f t="shared" si="13"/>
        <v>1,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6,</v>
      </c>
      <c r="E59" s="18" t="str">
        <f t="shared" si="7"/>
        <v>12,</v>
      </c>
      <c r="F59" s="18" t="str">
        <f t="shared" si="8"/>
        <v>0.5,</v>
      </c>
      <c r="G59" s="18" t="str">
        <f t="shared" si="9"/>
        <v>1,</v>
      </c>
      <c r="H59" s="18" t="str">
        <f t="shared" si="10"/>
        <v>4.5,</v>
      </c>
      <c r="I59" s="18" t="str">
        <f t="shared" si="11"/>
        <v>9,</v>
      </c>
      <c r="J59" s="18" t="str">
        <f t="shared" si="12"/>
        <v>0.5,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1,</v>
      </c>
      <c r="E60" s="18" t="str">
        <f t="shared" si="7"/>
        <v>2,</v>
      </c>
      <c r="F60" s="18" t="str">
        <f t="shared" si="8"/>
        <v>0,</v>
      </c>
      <c r="G60" s="18" t="str">
        <f t="shared" si="9"/>
        <v>0,</v>
      </c>
      <c r="H60" s="18" t="str">
        <f t="shared" si="10"/>
        <v>0,</v>
      </c>
      <c r="I60" s="18" t="str">
        <f t="shared" si="11"/>
        <v>0,</v>
      </c>
      <c r="J60" s="18" t="str">
        <f t="shared" si="12"/>
        <v>0.5,</v>
      </c>
      <c r="K60" s="18" t="str">
        <f t="shared" si="13"/>
        <v>1,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"Wet Willies",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Willies",</v>
      </c>
      <c r="U61" s="18" t="str">
        <f t="shared" si="25"/>
        <v>"../Images/WW_Final.png",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2,</v>
      </c>
      <c r="E62" s="18" t="str">
        <f t="shared" si="7"/>
        <v>4,</v>
      </c>
      <c r="F62" s="18" t="str">
        <f t="shared" si="8"/>
        <v>1,</v>
      </c>
      <c r="G62" s="18" t="str">
        <f t="shared" si="9"/>
        <v>2,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0.5,</v>
      </c>
      <c r="K62" s="18" t="str">
        <f t="shared" si="13"/>
        <v>1,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3,</v>
      </c>
      <c r="E63" s="18" t="str">
        <f t="shared" si="7"/>
        <v>6,</v>
      </c>
      <c r="F63" s="18" t="str">
        <f t="shared" si="8"/>
        <v>1,</v>
      </c>
      <c r="G63" s="18" t="str">
        <f t="shared" si="9"/>
        <v>2,</v>
      </c>
      <c r="H63" s="18" t="str">
        <f t="shared" si="10"/>
        <v>1,</v>
      </c>
      <c r="I63" s="18" t="str">
        <f t="shared" si="11"/>
        <v>2,</v>
      </c>
      <c r="J63" s="18" t="str">
        <f t="shared" si="12"/>
        <v>0.5,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3,</v>
      </c>
      <c r="E64" s="18" t="str">
        <f t="shared" si="7"/>
        <v>6,</v>
      </c>
      <c r="F64" s="18" t="str">
        <f t="shared" si="8"/>
        <v>1.5,</v>
      </c>
      <c r="G64" s="18" t="str">
        <f t="shared" si="9"/>
        <v>3,</v>
      </c>
      <c r="H64" s="18" t="str">
        <f t="shared" si="10"/>
        <v>0.5,</v>
      </c>
      <c r="I64" s="18" t="str">
        <f t="shared" si="11"/>
        <v>1,</v>
      </c>
      <c r="J64" s="18" t="str">
        <f t="shared" si="12"/>
        <v>0.5,</v>
      </c>
      <c r="K64" s="18" t="str">
        <f t="shared" si="13"/>
        <v>1,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"5 Musketeers"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Musketeers"</v>
      </c>
      <c r="U66" s="18" t="str">
        <f t="shared" si="30"/>
        <v>"../Images/5M_Final.png"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opLeftCell="S1" zoomScale="70" zoomScaleNormal="70" workbookViewId="0">
      <selection activeCell="AA8" sqref="AA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172</v>
      </c>
      <c r="G4" s="114" t="s">
        <v>178</v>
      </c>
      <c r="H4" s="114" t="s">
        <v>179</v>
      </c>
      <c r="I4" s="114" t="s">
        <v>173</v>
      </c>
      <c r="J4" s="114" t="s">
        <v>180</v>
      </c>
      <c r="K4" s="114" t="s">
        <v>181</v>
      </c>
      <c r="L4" s="114" t="s">
        <v>174</v>
      </c>
      <c r="M4" s="114" t="s">
        <v>182</v>
      </c>
      <c r="N4" s="114" t="s">
        <v>183</v>
      </c>
      <c r="O4" s="114" t="s">
        <v>175</v>
      </c>
      <c r="P4" s="114" t="s">
        <v>176</v>
      </c>
      <c r="Q4" s="114" t="s">
        <v>177</v>
      </c>
      <c r="S4" s="3" t="s">
        <v>80</v>
      </c>
    </row>
    <row r="5" spans="2:46" ht="14.25" customHeight="1" x14ac:dyDescent="0.45">
      <c r="B5" s="128" t="str">
        <f>'Preseason 1'!B45</f>
        <v>11-July</v>
      </c>
      <c r="C5" s="128">
        <f>'Preseason 1'!C45</f>
        <v>12</v>
      </c>
      <c r="D5" s="128">
        <f>'Preseason 1'!D45</f>
        <v>5</v>
      </c>
      <c r="E5" s="128">
        <f>'Preseason 1'!E45</f>
        <v>0</v>
      </c>
      <c r="F5" s="128">
        <f>'Preseason 1'!F45</f>
        <v>5</v>
      </c>
      <c r="G5" s="128">
        <f>'Preseason 1'!G45</f>
        <v>0</v>
      </c>
      <c r="H5" s="128">
        <f>'Preseason 1'!H45</f>
        <v>6</v>
      </c>
      <c r="I5" s="128">
        <f>'Preseason 1'!I45</f>
        <v>0</v>
      </c>
      <c r="J5" s="128">
        <f>'Preseason 1'!J45</f>
        <v>2</v>
      </c>
      <c r="K5" s="128">
        <f>'Preseason 1'!K45</f>
        <v>6</v>
      </c>
      <c r="L5" s="128">
        <f>'Preseason 1'!L45</f>
        <v>12</v>
      </c>
      <c r="M5" s="128">
        <f>'Preseason 1'!M45</f>
        <v>3</v>
      </c>
      <c r="N5" s="128">
        <f>'Preseason 1'!N45</f>
        <v>0</v>
      </c>
      <c r="O5" s="128">
        <f>'Preseason 1'!O45</f>
        <v>2</v>
      </c>
      <c r="P5" s="128">
        <f>'Preseason 1'!P45</f>
        <v>1</v>
      </c>
      <c r="Q5" s="128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28" t="str">
        <f>'Preseason 2'!B45</f>
        <v>12-July</v>
      </c>
      <c r="C6" s="128">
        <f>'Preseason 2'!C45</f>
        <v>15</v>
      </c>
      <c r="D6" s="128">
        <f>'Preseason 2'!D45</f>
        <v>9</v>
      </c>
      <c r="E6" s="128">
        <f>'Preseason 2'!E45</f>
        <v>2</v>
      </c>
      <c r="F6" s="128">
        <f>'Preseason 2'!F45</f>
        <v>9</v>
      </c>
      <c r="G6" s="128">
        <f>'Preseason 2'!G45</f>
        <v>1</v>
      </c>
      <c r="H6" s="128">
        <f>'Preseason 2'!H45</f>
        <v>7</v>
      </c>
      <c r="I6" s="128">
        <f>'Preseason 2'!I45</f>
        <v>2</v>
      </c>
      <c r="J6" s="128">
        <f>'Preseason 2'!J45</f>
        <v>4</v>
      </c>
      <c r="K6" s="128">
        <f>'Preseason 2'!K45</f>
        <v>8</v>
      </c>
      <c r="L6" s="128">
        <f>'Preseason 2'!L45</f>
        <v>15</v>
      </c>
      <c r="M6" s="128">
        <f>'Preseason 2'!M45</f>
        <v>5</v>
      </c>
      <c r="N6" s="128">
        <f>'Preseason 2'!N45</f>
        <v>0</v>
      </c>
      <c r="O6" s="128">
        <f>'Preseason 2'!O45</f>
        <v>2</v>
      </c>
      <c r="P6" s="128">
        <f>'Preseason 2'!P45</f>
        <v>1</v>
      </c>
      <c r="Q6" s="128">
        <f>'Preseason 2'!Q45</f>
        <v>3</v>
      </c>
      <c r="S6" s="5">
        <f>SUM(C5:E40)/COUNT(C5:C40)</f>
        <v>21.5</v>
      </c>
      <c r="T6" s="129">
        <f>AVERAGE(C5:C30)</f>
        <v>13.5</v>
      </c>
      <c r="U6" s="129">
        <f>AVERAGE(D5:D30)</f>
        <v>7</v>
      </c>
      <c r="V6" s="129">
        <f>AVERAGE(E5:E30)</f>
        <v>1</v>
      </c>
      <c r="Z6" s="74" t="s">
        <v>168</v>
      </c>
      <c r="AA6" s="1">
        <f>AA27+AA46+AA65+AL27+AL46+AL65+AA84+AL84</f>
        <v>2</v>
      </c>
      <c r="AK6" s="30"/>
      <c r="AL6" s="30"/>
      <c r="AM6" s="36"/>
      <c r="AO6" s="44"/>
      <c r="AP6" s="28"/>
      <c r="AR6" s="65"/>
      <c r="AS6" s="65"/>
      <c r="AT6" s="65"/>
    </row>
    <row r="7" spans="2:46" ht="14.25" customHeight="1" x14ac:dyDescent="0.45">
      <c r="B7" s="115"/>
      <c r="C7" s="116"/>
      <c r="D7" s="116"/>
      <c r="E7" s="116"/>
      <c r="F7" s="116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S7" s="3" t="s">
        <v>83</v>
      </c>
      <c r="T7" s="6">
        <f>T6/$S$6</f>
        <v>0.62790697674418605</v>
      </c>
      <c r="U7" s="6">
        <f>U6/$S$6</f>
        <v>0.32558139534883723</v>
      </c>
      <c r="V7" s="6">
        <f>V6/$S$6</f>
        <v>4.6511627906976744E-2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/>
      <c r="AO7" s="14"/>
      <c r="AR7" s="62"/>
      <c r="AS7" s="63"/>
      <c r="AT7" s="61"/>
    </row>
    <row r="8" spans="2:46" ht="14.25" customHeight="1" x14ac:dyDescent="0.45">
      <c r="B8" s="115"/>
      <c r="C8" s="116"/>
      <c r="D8" s="116"/>
      <c r="E8" s="116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Z8" s="68" t="s">
        <v>45</v>
      </c>
      <c r="AA8" s="69">
        <f>SUM(AA29,AL29,AA49,AL49,AA69,AL69,AA89,AL89)</f>
        <v>0</v>
      </c>
      <c r="AB8" s="70">
        <f>IF($AA$6-Table1[[#This Row],[Missed Games]]=0, 0,Table1[[#This Row],[Points]]/($AA$6-Table1[[#This Row],[Missed Games]]))</f>
        <v>0</v>
      </c>
      <c r="AC8" s="71">
        <f>SUM(AB29,AM29,AB49,AM49,AB69,AM69,AB89,AM89)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>SUM(AC29,AN29,AC49,AN49,AC69,AN69,AC89,AN89)</f>
        <v>0</v>
      </c>
      <c r="AF8" s="72">
        <f>IF($AA$6-Table1[[#This Row],[Missed Games]]=0, 0,Table1[[#This Row],[Midranges]]/($AA$6-Table1[[#This Row],[Missed Games]]))</f>
        <v>0</v>
      </c>
      <c r="AG8" s="71">
        <f>SUM(AD29,AO29,AD49,AO49,AD69,AO69,AD89,AO89)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>SUM(AI29,AT29,AI49,AT49,AI69,AT69,AI89,AT89)</f>
        <v>0</v>
      </c>
      <c r="AK8" s="67"/>
      <c r="AL8" s="67"/>
      <c r="AM8" s="67"/>
      <c r="AO8" s="37"/>
      <c r="AP8" s="18"/>
      <c r="AR8" s="62"/>
      <c r="AS8" s="63"/>
      <c r="AT8" s="40"/>
    </row>
    <row r="9" spans="2:46" ht="14.25" customHeight="1" x14ac:dyDescent="0.45">
      <c r="B9" s="115"/>
      <c r="C9" s="116"/>
      <c r="D9" s="116"/>
      <c r="E9" s="116"/>
      <c r="F9" s="116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Z9" s="68" t="s">
        <v>49</v>
      </c>
      <c r="AA9" s="69">
        <f t="shared" ref="AA9:AA24" si="0">SUM(AA30,AL30,AA50,AL50,AA70,AL70,AA90,AL90)</f>
        <v>2</v>
      </c>
      <c r="AB9" s="70">
        <f>IF($AA$6-Table1[[#This Row],[Missed Games]]=0, 0,Table1[[#This Row],[Points]]/($AA$6-Table1[[#This Row],[Missed Games]]))</f>
        <v>1</v>
      </c>
      <c r="AC9" s="71">
        <f t="shared" ref="AC9:AC24" si="1">SUM(AB30,AM30,AB50,AM50,AB70,AM70,AB90,AM90)</f>
        <v>1</v>
      </c>
      <c r="AD9" s="72">
        <f>IF($AA$6-Table1[[#This Row],[Missed Games]]=0, 0,Table1[[#This Row],[Finishes]]/($AA$6-Table1[[#This Row],[Missed Games]]))</f>
        <v>0.5</v>
      </c>
      <c r="AE9" s="71">
        <f t="shared" ref="AE9:AE24" si="2">SUM(AC30,AN30,AC50,AN50,AC70,AN70,AC90,AN90)</f>
        <v>1</v>
      </c>
      <c r="AF9" s="72">
        <f>IF($AA$6-Table1[[#This Row],[Missed Games]]=0, 0,Table1[[#This Row],[Midranges]]/($AA$6-Table1[[#This Row],[Missed Games]]))</f>
        <v>0.5</v>
      </c>
      <c r="AG9" s="71">
        <f t="shared" ref="AG9:AG24" si="3">SUM(AD30,AO30,AD50,AO50,AD70,AO70,AD90,AO90)</f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ref="AJ9:AJ24" si="4">SUM(AI30,AT30,AI50,AT50,AI70,AT70,AI90,AT90)</f>
        <v>0</v>
      </c>
      <c r="AK9" s="67"/>
      <c r="AL9" s="67"/>
      <c r="AM9" s="67"/>
      <c r="AO9" s="37"/>
      <c r="AP9" s="18"/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0"/>
        <v>12</v>
      </c>
      <c r="AB10" s="70">
        <f>IF($AA$6-Table1[[#This Row],[Missed Games]]=0, 0,Table1[[#This Row],[Points]]/($AA$6-Table1[[#This Row],[Missed Games]]))</f>
        <v>6</v>
      </c>
      <c r="AC10" s="71">
        <f t="shared" si="1"/>
        <v>10</v>
      </c>
      <c r="AD10" s="72">
        <f>IF($AA$6-Table1[[#This Row],[Missed Games]]=0, 0,Table1[[#This Row],[Finishes]]/($AA$6-Table1[[#This Row],[Missed Games]]))</f>
        <v>5</v>
      </c>
      <c r="AE10" s="71">
        <f t="shared" si="2"/>
        <v>0</v>
      </c>
      <c r="AF10" s="72">
        <f>IF($AA$6-Table1[[#This Row],[Missed Games]]=0, 0,Table1[[#This Row],[Midranges]]/($AA$6-Table1[[#This Row],[Missed Games]]))</f>
        <v>0</v>
      </c>
      <c r="AG10" s="71">
        <f t="shared" si="3"/>
        <v>1</v>
      </c>
      <c r="AH10" s="72">
        <f>IF($AA$6-Table1[[#This Row],[Missed Games]]=0, 0,Table1[[#This Row],[Threes]]/($AA$6-Table1[[#This Row],[Missed Games]]))</f>
        <v>0.5</v>
      </c>
      <c r="AI10" s="68" t="str">
        <f>SfW!C5</f>
        <v>5 Musketeers</v>
      </c>
      <c r="AJ10" s="73">
        <f t="shared" si="4"/>
        <v>0</v>
      </c>
      <c r="AK10" s="67"/>
      <c r="AL10" s="67"/>
      <c r="AM10" s="67"/>
      <c r="AO10" s="37"/>
      <c r="AP10" s="18"/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0"/>
        <v>0</v>
      </c>
      <c r="AB11" s="70">
        <f>IF($AA$6-Table1[[#This Row],[Missed Games]]=0, 0,Table1[[#This Row],[Points]]/($AA$6-Table1[[#This Row],[Missed Games]]))</f>
        <v>0</v>
      </c>
      <c r="AC11" s="71">
        <f t="shared" si="1"/>
        <v>0</v>
      </c>
      <c r="AD11" s="72">
        <f>IF($AA$6-Table1[[#This Row],[Missed Games]]=0, 0,Table1[[#This Row],[Finishes]]/($AA$6-Table1[[#This Row],[Missed Games]]))</f>
        <v>0</v>
      </c>
      <c r="AE11" s="71">
        <f t="shared" si="2"/>
        <v>0</v>
      </c>
      <c r="AF11" s="72">
        <f>IF($AA$6-Table1[[#This Row],[Missed Games]]=0, 0,Table1[[#This Row],[Midranges]]/($AA$6-Table1[[#This Row],[Missed Games]]))</f>
        <v>0</v>
      </c>
      <c r="AG11" s="71">
        <f t="shared" si="3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4"/>
        <v>2</v>
      </c>
      <c r="AK11" s="67"/>
      <c r="AL11" s="67"/>
      <c r="AM11" s="67"/>
      <c r="AO11" s="37"/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0"/>
        <v>0</v>
      </c>
      <c r="AB12" s="70">
        <f>IF($AA$6-Table1[[#This Row],[Missed Games]]=0, 0,Table1[[#This Row],[Points]]/($AA$6-Table1[[#This Row],[Missed Games]]))</f>
        <v>0</v>
      </c>
      <c r="AC12" s="71">
        <f t="shared" si="1"/>
        <v>0</v>
      </c>
      <c r="AD12" s="72">
        <f>IF($AA$6-Table1[[#This Row],[Missed Games]]=0, 0,Table1[[#This Row],[Finishes]]/($AA$6-Table1[[#This Row],[Missed Games]]))</f>
        <v>0</v>
      </c>
      <c r="AE12" s="71">
        <f t="shared" si="2"/>
        <v>0</v>
      </c>
      <c r="AF12" s="72">
        <f>IF($AA$6-Table1[[#This Row],[Missed Games]]=0, 0,Table1[[#This Row],[Midranges]]/($AA$6-Table1[[#This Row],[Missed Games]]))</f>
        <v>0</v>
      </c>
      <c r="AG12" s="71">
        <f t="shared" si="3"/>
        <v>0</v>
      </c>
      <c r="AH12" s="72">
        <f>IF($AA$6-Table1[[#This Row],[Missed Games]]=0, 0,Table1[[#This Row],[Threes]]/($AA$6-Table1[[#This Row],[Missed Games]]))</f>
        <v>0</v>
      </c>
      <c r="AI12" s="68" t="str">
        <f>SfW!C7</f>
        <v>Wet Willies</v>
      </c>
      <c r="AJ12" s="73">
        <f t="shared" si="4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0"/>
        <v>1</v>
      </c>
      <c r="AB13" s="70">
        <f>IF($AA$6-Table1[[#This Row],[Missed Games]]=0, 0,Table1[[#This Row],[Points]]/($AA$6-Table1[[#This Row],[Missed Games]]))</f>
        <v>0.5</v>
      </c>
      <c r="AC13" s="71">
        <f t="shared" si="1"/>
        <v>1</v>
      </c>
      <c r="AD13" s="72">
        <f>IF($AA$6-Table1[[#This Row],[Missed Games]]=0, 0,Table1[[#This Row],[Finishes]]/($AA$6-Table1[[#This Row],[Missed Games]]))</f>
        <v>0.5</v>
      </c>
      <c r="AE13" s="71">
        <f t="shared" si="2"/>
        <v>0</v>
      </c>
      <c r="AF13" s="72">
        <f>IF($AA$6-Table1[[#This Row],[Missed Games]]=0, 0,Table1[[#This Row],[Midranges]]/($AA$6-Table1[[#This Row],[Missed Games]]))</f>
        <v>0</v>
      </c>
      <c r="AG13" s="71">
        <f t="shared" si="3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4"/>
        <v>0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0"/>
        <v>2</v>
      </c>
      <c r="AB14" s="70">
        <f>IF($AA$6-Table1[[#This Row],[Missed Games]]=0, 0,Table1[[#This Row],[Points]]/($AA$6-Table1[[#This Row],[Missed Games]]))</f>
        <v>1</v>
      </c>
      <c r="AC14" s="71">
        <f t="shared" si="1"/>
        <v>1</v>
      </c>
      <c r="AD14" s="72">
        <f>IF($AA$6-Table1[[#This Row],[Missed Games]]=0, 0,Table1[[#This Row],[Finishes]]/($AA$6-Table1[[#This Row],[Missed Games]]))</f>
        <v>0.5</v>
      </c>
      <c r="AE14" s="71">
        <f t="shared" si="2"/>
        <v>1</v>
      </c>
      <c r="AF14" s="72">
        <f>IF($AA$6-Table1[[#This Row],[Missed Games]]=0, 0,Table1[[#This Row],[Midranges]]/($AA$6-Table1[[#This Row],[Missed Games]]))</f>
        <v>0.5</v>
      </c>
      <c r="AG14" s="71">
        <f t="shared" si="3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4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0"/>
        <v>0</v>
      </c>
      <c r="AB15" s="70">
        <f>IF($AA$6-Table1[[#This Row],[Missed Games]]=0, 0,Table1[[#This Row],[Points]]/($AA$6-Table1[[#This Row],[Missed Games]]))</f>
        <v>0</v>
      </c>
      <c r="AC15" s="71">
        <f t="shared" si="1"/>
        <v>0</v>
      </c>
      <c r="AD15" s="72">
        <f>IF($AA$6-Table1[[#This Row],[Missed Games]]=0, 0,Table1[[#This Row],[Finishes]]/($AA$6-Table1[[#This Row],[Missed Games]]))</f>
        <v>0</v>
      </c>
      <c r="AE15" s="71">
        <f t="shared" si="2"/>
        <v>0</v>
      </c>
      <c r="AF15" s="72">
        <f>IF($AA$6-Table1[[#This Row],[Missed Games]]=0, 0,Table1[[#This Row],[Midranges]]/($AA$6-Table1[[#This Row],[Missed Games]]))</f>
        <v>0</v>
      </c>
      <c r="AG15" s="71">
        <f t="shared" si="3"/>
        <v>0</v>
      </c>
      <c r="AH15" s="72">
        <f>IF($AA$6-Table1[[#This Row],[Missed Games]]=0, 0,Table1[[#This Row],[Threes]]/($AA$6-Table1[[#This Row],[Missed Games]]))</f>
        <v>0</v>
      </c>
      <c r="AI15" s="68" t="str">
        <f>SfW!C10</f>
        <v>Wet Willies</v>
      </c>
      <c r="AJ15" s="73">
        <f t="shared" si="4"/>
        <v>0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0"/>
        <v>3</v>
      </c>
      <c r="AB16" s="70">
        <f>IF($AA$6-Table1[[#This Row],[Missed Games]]=0, 0,Table1[[#This Row],[Points]]/($AA$6-Table1[[#This Row],[Missed Games]]))</f>
        <v>1.5</v>
      </c>
      <c r="AC16" s="71">
        <f t="shared" si="1"/>
        <v>1</v>
      </c>
      <c r="AD16" s="72">
        <f>IF($AA$6-Table1[[#This Row],[Missed Games]]=0, 0,Table1[[#This Row],[Finishes]]/($AA$6-Table1[[#This Row],[Missed Games]]))</f>
        <v>0.5</v>
      </c>
      <c r="AE16" s="71">
        <f t="shared" si="2"/>
        <v>0</v>
      </c>
      <c r="AF16" s="72">
        <f>IF($AA$6-Table1[[#This Row],[Missed Games]]=0, 0,Table1[[#This Row],[Midranges]]/($AA$6-Table1[[#This Row],[Missed Games]]))</f>
        <v>0</v>
      </c>
      <c r="AG16" s="71">
        <f t="shared" si="3"/>
        <v>1</v>
      </c>
      <c r="AH16" s="72">
        <f>IF($AA$6-Table1[[#This Row],[Missed Games]]=0, 0,Table1[[#This Row],[Threes]]/($AA$6-Table1[[#This Row],[Missed Games]]))</f>
        <v>0.5</v>
      </c>
      <c r="AI16" s="68" t="str">
        <f>SfW!C11</f>
        <v>Loose Gooses</v>
      </c>
      <c r="AJ16" s="73">
        <f t="shared" si="4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0"/>
        <v>12</v>
      </c>
      <c r="AB17" s="70">
        <f>IF($AA$6-Table1[[#This Row],[Missed Games]]=0, 0,Table1[[#This Row],[Points]]/($AA$6-Table1[[#This Row],[Missed Games]]))</f>
        <v>6</v>
      </c>
      <c r="AC17" s="71">
        <f t="shared" si="1"/>
        <v>1</v>
      </c>
      <c r="AD17" s="72">
        <f>IF($AA$6-Table1[[#This Row],[Missed Games]]=0, 0,Table1[[#This Row],[Finishes]]/($AA$6-Table1[[#This Row],[Missed Games]]))</f>
        <v>0.5</v>
      </c>
      <c r="AE17" s="71">
        <f t="shared" si="2"/>
        <v>9</v>
      </c>
      <c r="AF17" s="72">
        <f>IF($AA$6-Table1[[#This Row],[Missed Games]]=0, 0,Table1[[#This Row],[Midranges]]/($AA$6-Table1[[#This Row],[Missed Games]]))</f>
        <v>4.5</v>
      </c>
      <c r="AG17" s="71">
        <f t="shared" si="3"/>
        <v>1</v>
      </c>
      <c r="AH17" s="72">
        <f>IF($AA$6-Table1[[#This Row],[Missed Games]]=0, 0,Table1[[#This Row],[Threes]]/($AA$6-Table1[[#This Row],[Missed Games]]))</f>
        <v>0.5</v>
      </c>
      <c r="AI17" s="68" t="str">
        <f>SfW!C12</f>
        <v>5 Musketeers</v>
      </c>
      <c r="AJ17" s="73">
        <f t="shared" si="4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0"/>
        <v>2</v>
      </c>
      <c r="AB18" s="70">
        <f>IF($AA$6-Table1[[#This Row],[Missed Games]]=0, 0,Table1[[#This Row],[Points]]/($AA$6-Table1[[#This Row],[Missed Games]]))</f>
        <v>1</v>
      </c>
      <c r="AC18" s="71">
        <f t="shared" si="1"/>
        <v>0</v>
      </c>
      <c r="AD18" s="72">
        <f>IF($AA$6-Table1[[#This Row],[Missed Games]]=0, 0,Table1[[#This Row],[Finishes]]/($AA$6-Table1[[#This Row],[Missed Games]]))</f>
        <v>0</v>
      </c>
      <c r="AE18" s="71">
        <f t="shared" si="2"/>
        <v>0</v>
      </c>
      <c r="AF18" s="72">
        <f>IF($AA$6-Table1[[#This Row],[Missed Games]]=0, 0,Table1[[#This Row],[Midranges]]/($AA$6-Table1[[#This Row],[Missed Games]]))</f>
        <v>0</v>
      </c>
      <c r="AG18" s="71">
        <f t="shared" si="3"/>
        <v>1</v>
      </c>
      <c r="AH18" s="72">
        <f>IF($AA$6-Table1[[#This Row],[Missed Games]]=0, 0,Table1[[#This Row],[Threes]]/($AA$6-Table1[[#This Row],[Missed Games]]))</f>
        <v>0.5</v>
      </c>
      <c r="AI18" s="68" t="str">
        <f>SfW!C13</f>
        <v>Wet Willies</v>
      </c>
      <c r="AJ18" s="73">
        <f t="shared" si="4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202</v>
      </c>
      <c r="AA19" s="69">
        <f t="shared" ref="AA19" si="5">SUM(AA40,AL40,AA60,AL60,AA80,AL80,AA100,AL100)</f>
        <v>0</v>
      </c>
      <c r="AB19" s="70">
        <f>IF($AA$6-Table1[[#This Row],[Missed Games]]=0, 0,Table1[[#This Row],[Points]]/($AA$6-Table1[[#This Row],[Missed Games]]))</f>
        <v>0</v>
      </c>
      <c r="AC19" s="71">
        <f t="shared" ref="AC19" si="6">SUM(AB40,AM40,AB60,AM60,AB80,AM80,AB100,AM100)</f>
        <v>0</v>
      </c>
      <c r="AD19" s="72">
        <f>IF($AA$6-Table1[[#This Row],[Missed Games]]=0, 0,Table1[[#This Row],[Finishes]]/($AA$6-Table1[[#This Row],[Missed Games]]))</f>
        <v>0</v>
      </c>
      <c r="AE19" s="71">
        <f t="shared" ref="AE19" si="7">SUM(AC40,AN40,AC60,AN60,AC80,AN80,AC100,AN100)</f>
        <v>0</v>
      </c>
      <c r="AF19" s="72">
        <f>IF($AA$6-Table1[[#This Row],[Missed Games]]=0, 0,Table1[[#This Row],[Midranges]]/($AA$6-Table1[[#This Row],[Missed Games]]))</f>
        <v>0</v>
      </c>
      <c r="AG19" s="71">
        <f t="shared" ref="AG19" si="8">SUM(AD40,AO40,AD60,AO60,AD80,AO80,AD100,AO100)</f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4"/>
        <v>1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0"/>
        <v>4</v>
      </c>
      <c r="AB20" s="70">
        <f>IF($AA$6-Table1[[#This Row],[Missed Games]]=0, 0,Table1[[#This Row],[Points]]/($AA$6-Table1[[#This Row],[Missed Games]]))</f>
        <v>2</v>
      </c>
      <c r="AC20" s="71">
        <f t="shared" si="1"/>
        <v>2</v>
      </c>
      <c r="AD20" s="125">
        <f>IF($AA$6-Table1[[#This Row],[Missed Games]]=0, 0,Table1[[#This Row],[Finishes]]/($AA$6-Table1[[#This Row],[Missed Games]]))</f>
        <v>1</v>
      </c>
      <c r="AE20" s="71">
        <f t="shared" si="2"/>
        <v>0</v>
      </c>
      <c r="AF20" s="125">
        <f>IF($AA$6-Table1[[#This Row],[Missed Games]]=0, 0,Table1[[#This Row],[Midranges]]/($AA$6-Table1[[#This Row],[Missed Games]]))</f>
        <v>0</v>
      </c>
      <c r="AG20" s="71">
        <f t="shared" si="3"/>
        <v>1</v>
      </c>
      <c r="AH20" s="125">
        <f>IF($AA$6-Table1[[#This Row],[Missed Games]]=0, 0,Table1[[#This Row],[Threes]]/($AA$6-Table1[[#This Row],[Missed Games]]))</f>
        <v>0.5</v>
      </c>
      <c r="AI20" s="122" t="str">
        <f>SfW!C15</f>
        <v>5 Musketeers</v>
      </c>
      <c r="AJ20" s="73">
        <f t="shared" si="4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0"/>
        <v>6</v>
      </c>
      <c r="AB21" s="70">
        <f>IF($AA$6-Table1[[#This Row],[Missed Games]]=0, 0,Table1[[#This Row],[Points]]/($AA$6-Table1[[#This Row],[Missed Games]]))</f>
        <v>3</v>
      </c>
      <c r="AC21" s="71">
        <f t="shared" si="1"/>
        <v>2</v>
      </c>
      <c r="AD21" s="125">
        <f>IF($AA$6-Table1[[#This Row],[Missed Games]]=0, 0,Table1[[#This Row],[Finishes]]/($AA$6-Table1[[#This Row],[Missed Games]]))</f>
        <v>1</v>
      </c>
      <c r="AE21" s="71">
        <f t="shared" si="2"/>
        <v>2</v>
      </c>
      <c r="AF21" s="125">
        <f>IF($AA$6-Table1[[#This Row],[Missed Games]]=0, 0,Table1[[#This Row],[Midranges]]/($AA$6-Table1[[#This Row],[Missed Games]]))</f>
        <v>1</v>
      </c>
      <c r="AG21" s="71">
        <f t="shared" si="3"/>
        <v>1</v>
      </c>
      <c r="AH21" s="125">
        <f>IF($AA$6-Table1[[#This Row],[Missed Games]]=0, 0,Table1[[#This Row],[Threes]]/($AA$6-Table1[[#This Row],[Missed Games]]))</f>
        <v>0.5</v>
      </c>
      <c r="AI21" s="122" t="str">
        <f>SfW!C16</f>
        <v>Loose Gooses</v>
      </c>
      <c r="AJ21" s="73">
        <f t="shared" si="4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0"/>
        <v>6</v>
      </c>
      <c r="AB22" s="70">
        <f>IF($AA$6-Table1[[#This Row],[Missed Games]]=0, 0,Table1[[#This Row],[Points]]/($AA$6-Table1[[#This Row],[Missed Games]]))</f>
        <v>3</v>
      </c>
      <c r="AC22" s="71">
        <f t="shared" si="1"/>
        <v>3</v>
      </c>
      <c r="AD22" s="125">
        <f>IF($AA$6-Table1[[#This Row],[Missed Games]]=0, 0,Table1[[#This Row],[Finishes]]/($AA$6-Table1[[#This Row],[Missed Games]]))</f>
        <v>1.5</v>
      </c>
      <c r="AE22" s="71">
        <f t="shared" si="2"/>
        <v>1</v>
      </c>
      <c r="AF22" s="125">
        <f>IF($AA$6-Table1[[#This Row],[Missed Games]]=0, 0,Table1[[#This Row],[Midranges]]/($AA$6-Table1[[#This Row],[Missed Games]]))</f>
        <v>0.5</v>
      </c>
      <c r="AG22" s="71">
        <f t="shared" si="3"/>
        <v>1</v>
      </c>
      <c r="AH22" s="125">
        <f>IF($AA$6-Table1[[#This Row],[Missed Games]]=0, 0,Table1[[#This Row],[Threes]]/($AA$6-Table1[[#This Row],[Missed Games]]))</f>
        <v>0.5</v>
      </c>
      <c r="AI22" s="122" t="str">
        <f>SfW!C17</f>
        <v>Loose Gooses</v>
      </c>
      <c r="AJ22" s="73">
        <f t="shared" si="4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0"/>
        <v>0</v>
      </c>
      <c r="AB23" s="124">
        <f>IF($AA$6-Table1[[#This Row],[Missed Games]]=0, 0,Table1[[#This Row],[Points]]/($AA$6-Table1[[#This Row],[Missed Games]]))</f>
        <v>0</v>
      </c>
      <c r="AC23" s="71">
        <f t="shared" si="1"/>
        <v>0</v>
      </c>
      <c r="AD23" s="126">
        <f>IF($AA$6-Table1[[#This Row],[Missed Games]]=0, 0,Table1[[#This Row],[Finishes]]/($AA$6-Table1[[#This Row],[Missed Games]]))</f>
        <v>0</v>
      </c>
      <c r="AE23" s="71">
        <f t="shared" si="2"/>
        <v>0</v>
      </c>
      <c r="AF23" s="126">
        <f>IF($AA$6-Table1[[#This Row],[Missed Games]]=0, 0,Table1[[#This Row],[Midranges]]/($AA$6-Table1[[#This Row],[Missed Games]]))</f>
        <v>0</v>
      </c>
      <c r="AG23" s="71">
        <f t="shared" si="3"/>
        <v>0</v>
      </c>
      <c r="AH23" s="126">
        <f>IF($AA$6-Table1[[#This Row],[Missed Games]]=0, 0,Table1[[#This Row],[Threes]]/($AA$6-Table1[[#This Row],[Missed Games]]))</f>
        <v>0</v>
      </c>
      <c r="AI23" s="123" t="str">
        <f>SfW!C18</f>
        <v>Wet Willies</v>
      </c>
      <c r="AJ23" s="73">
        <f t="shared" si="4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0"/>
        <v>0</v>
      </c>
      <c r="AB24" s="70">
        <f>IF($AA$6-Table1[[#This Row],[Missed Games]]=0, 0,Table1[[#This Row],[Points]]/($AA$6-Table1[[#This Row],[Missed Games]]))</f>
        <v>0</v>
      </c>
      <c r="AC24" s="71">
        <f t="shared" si="1"/>
        <v>0</v>
      </c>
      <c r="AD24" s="72">
        <f>IF($AA$6-Table1[[#This Row],[Missed Games]]=0, 0,Table1[[#This Row],[Finishes]]/($AA$6-Table1[[#This Row],[Missed Games]]))</f>
        <v>0</v>
      </c>
      <c r="AE24" s="71">
        <f t="shared" si="2"/>
        <v>0</v>
      </c>
      <c r="AF24" s="72">
        <f>IF($AA$6-Table1[[#This Row],[Missed Games]]=0, 0,Table1[[#This Row],[Midranges]]/($AA$6-Table1[[#This Row],[Missed Games]]))</f>
        <v>0</v>
      </c>
      <c r="AG24" s="71">
        <f t="shared" si="3"/>
        <v>0</v>
      </c>
      <c r="AH24" s="72">
        <f>IF($AA$6-Table1[[#This Row],[Missed Games]]=0, 0,Table1[[#This Row],[Threes]]/($AA$6-Table1[[#This Row],[Missed Games]]))</f>
        <v>0</v>
      </c>
      <c r="AI24" s="68" t="str">
        <f>SfW!C19</f>
        <v>5 Musketeers</v>
      </c>
      <c r="AJ24" s="73">
        <f t="shared" si="4"/>
        <v>0</v>
      </c>
      <c r="AL24" s="45"/>
      <c r="AM24" s="46"/>
      <c r="AN24" s="5"/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/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166</v>
      </c>
      <c r="AA27" s="1">
        <v>2</v>
      </c>
      <c r="AI27" s="3"/>
      <c r="AK27" s="49" t="s">
        <v>125</v>
      </c>
      <c r="AL27" s="12">
        <v>0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165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165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'Preseason 1'!R3+'Preseason 2'!R3</f>
        <v>0</v>
      </c>
      <c r="AB29" s="32">
        <f>'Preseason 1'!S3+'Preseason 2'!S3</f>
        <v>0</v>
      </c>
      <c r="AC29" s="32">
        <f>'Preseason 1'!T3+'Preseason 2'!T3</f>
        <v>0</v>
      </c>
      <c r="AD29" s="32">
        <f>'Preseason 1'!U3+'Preseason 2'!U3</f>
        <v>0</v>
      </c>
      <c r="AE29" s="34">
        <f t="shared" ref="AE29:AE39" si="9">AA29/$AA$27</f>
        <v>0</v>
      </c>
      <c r="AF29" s="35">
        <f t="shared" ref="AF29:AF39" si="10">AB29/$AA$27</f>
        <v>0</v>
      </c>
      <c r="AG29" s="34">
        <f t="shared" ref="AG29:AG39" si="11">AC29/$AA$27</f>
        <v>0</v>
      </c>
      <c r="AH29" s="35">
        <f t="shared" ref="AH29:AH39" si="12">AD29/$AA$27</f>
        <v>0</v>
      </c>
      <c r="AI29" s="36">
        <f>COUNTIF(Template!V3, "TRUE")</f>
        <v>0</v>
      </c>
      <c r="AJ29" s="36"/>
      <c r="AK29" s="49" t="s">
        <v>45</v>
      </c>
      <c r="AL29" s="32"/>
      <c r="AM29" s="32"/>
      <c r="AN29" s="32"/>
      <c r="AO29" s="32"/>
      <c r="AP29" s="32"/>
      <c r="AQ29" s="32"/>
      <c r="AR29" s="32"/>
      <c r="AS29" s="32"/>
      <c r="AT29" s="32"/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184</v>
      </c>
      <c r="Z30" s="49" t="s">
        <v>49</v>
      </c>
      <c r="AA30" s="32">
        <f>'Preseason 1'!R4+'Preseason 2'!R4</f>
        <v>2</v>
      </c>
      <c r="AB30" s="32">
        <f>'Preseason 1'!S4+'Preseason 2'!S4</f>
        <v>1</v>
      </c>
      <c r="AC30" s="32">
        <f>'Preseason 1'!T4+'Preseason 2'!T4</f>
        <v>1</v>
      </c>
      <c r="AD30" s="32">
        <f>'Preseason 1'!U4+'Preseason 2'!U4</f>
        <v>0</v>
      </c>
      <c r="AE30" s="34">
        <f t="shared" si="9"/>
        <v>1</v>
      </c>
      <c r="AF30" s="35">
        <f t="shared" si="10"/>
        <v>0.5</v>
      </c>
      <c r="AG30" s="34">
        <f t="shared" si="11"/>
        <v>0.5</v>
      </c>
      <c r="AH30" s="35">
        <f t="shared" si="12"/>
        <v>0</v>
      </c>
      <c r="AI30" s="36">
        <f>COUNTIF(Template!V4, "TRUE")</f>
        <v>0</v>
      </c>
      <c r="AJ30" s="36"/>
      <c r="AK30" s="49" t="s">
        <v>49</v>
      </c>
      <c r="AL30" s="32"/>
      <c r="AM30" s="32"/>
      <c r="AN30" s="32"/>
      <c r="AO30" s="32"/>
      <c r="AP30" s="32"/>
      <c r="AQ30" s="32"/>
      <c r="AR30" s="32"/>
      <c r="AS30" s="32"/>
      <c r="AT30" s="32"/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185</v>
      </c>
      <c r="Z31" s="49" t="s">
        <v>51</v>
      </c>
      <c r="AA31" s="32">
        <f>'Preseason 1'!R5+'Preseason 2'!R5</f>
        <v>12</v>
      </c>
      <c r="AB31" s="32">
        <f>'Preseason 1'!S5+'Preseason 2'!S5</f>
        <v>10</v>
      </c>
      <c r="AC31" s="32">
        <f>'Preseason 1'!T5+'Preseason 2'!T5</f>
        <v>0</v>
      </c>
      <c r="AD31" s="32">
        <f>'Preseason 1'!U5+'Preseason 2'!U5</f>
        <v>1</v>
      </c>
      <c r="AE31" s="34">
        <f t="shared" si="9"/>
        <v>6</v>
      </c>
      <c r="AF31" s="35">
        <f t="shared" si="10"/>
        <v>5</v>
      </c>
      <c r="AG31" s="34">
        <f t="shared" si="11"/>
        <v>0</v>
      </c>
      <c r="AH31" s="35">
        <f t="shared" si="12"/>
        <v>0.5</v>
      </c>
      <c r="AI31" s="36">
        <f>COUNTIF(Template!V5, "TRUE")</f>
        <v>0</v>
      </c>
      <c r="AJ31" s="36"/>
      <c r="AK31" s="49" t="s">
        <v>51</v>
      </c>
      <c r="AL31" s="32"/>
      <c r="AM31" s="32"/>
      <c r="AN31" s="32"/>
      <c r="AO31" s="32"/>
      <c r="AP31" s="32"/>
      <c r="AQ31" s="32"/>
      <c r="AR31" s="32"/>
      <c r="AS31" s="32"/>
      <c r="AT31" s="32"/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186</v>
      </c>
      <c r="X32" s="19"/>
      <c r="Z32" s="49" t="s">
        <v>54</v>
      </c>
      <c r="AA32" s="32">
        <f>'Preseason 1'!R6+'Preseason 2'!R6</f>
        <v>0</v>
      </c>
      <c r="AB32" s="32">
        <f>'Preseason 1'!S6+'Preseason 2'!S6</f>
        <v>0</v>
      </c>
      <c r="AC32" s="32">
        <f>'Preseason 1'!T6+'Preseason 2'!T6</f>
        <v>0</v>
      </c>
      <c r="AD32" s="32">
        <f>'Preseason 1'!U6+'Preseason 2'!U6</f>
        <v>0</v>
      </c>
      <c r="AE32" s="34">
        <f t="shared" si="9"/>
        <v>0</v>
      </c>
      <c r="AF32" s="35">
        <f t="shared" si="10"/>
        <v>0</v>
      </c>
      <c r="AG32" s="34">
        <f t="shared" si="11"/>
        <v>0</v>
      </c>
      <c r="AH32" s="35">
        <f t="shared" si="12"/>
        <v>0</v>
      </c>
      <c r="AI32" s="36">
        <v>2</v>
      </c>
      <c r="AJ32" s="36"/>
      <c r="AK32" s="49" t="s">
        <v>54</v>
      </c>
      <c r="AL32" s="32"/>
      <c r="AM32" s="32"/>
      <c r="AN32" s="32"/>
      <c r="AO32" s="32"/>
      <c r="AP32" s="32"/>
      <c r="AQ32" s="32"/>
      <c r="AR32" s="32"/>
      <c r="AS32" s="32"/>
      <c r="AT32" s="32"/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187</v>
      </c>
      <c r="Z33" s="49" t="s">
        <v>57</v>
      </c>
      <c r="AA33" s="32">
        <f>'Preseason 1'!R7+'Preseason 2'!R7</f>
        <v>0</v>
      </c>
      <c r="AB33" s="32">
        <f>'Preseason 1'!S7+'Preseason 2'!S7</f>
        <v>0</v>
      </c>
      <c r="AC33" s="32">
        <f>'Preseason 1'!T7+'Preseason 2'!T7</f>
        <v>0</v>
      </c>
      <c r="AD33" s="32">
        <f>'Preseason 1'!U7+'Preseason 2'!U7</f>
        <v>0</v>
      </c>
      <c r="AE33" s="34">
        <f t="shared" si="9"/>
        <v>0</v>
      </c>
      <c r="AF33" s="35">
        <f t="shared" si="10"/>
        <v>0</v>
      </c>
      <c r="AG33" s="34">
        <f t="shared" si="11"/>
        <v>0</v>
      </c>
      <c r="AH33" s="35">
        <f t="shared" si="12"/>
        <v>0</v>
      </c>
      <c r="AI33" s="36">
        <f>COUNTIF(Template!V7, "TRUE")</f>
        <v>0</v>
      </c>
      <c r="AJ33" s="36"/>
      <c r="AK33" s="49" t="s">
        <v>57</v>
      </c>
      <c r="AL33" s="32"/>
      <c r="AM33" s="32"/>
      <c r="AN33" s="32"/>
      <c r="AO33" s="32"/>
      <c r="AP33" s="32"/>
      <c r="AQ33" s="32"/>
      <c r="AR33" s="32"/>
      <c r="AS33" s="32"/>
      <c r="AT33" s="32"/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188</v>
      </c>
      <c r="Z34" s="49" t="s">
        <v>60</v>
      </c>
      <c r="AA34" s="32">
        <f>'Preseason 1'!R8+'Preseason 2'!R8</f>
        <v>1</v>
      </c>
      <c r="AB34" s="32">
        <f>'Preseason 1'!S8+'Preseason 2'!S8</f>
        <v>1</v>
      </c>
      <c r="AC34" s="32">
        <f>'Preseason 1'!T8+'Preseason 2'!T8</f>
        <v>0</v>
      </c>
      <c r="AD34" s="32">
        <f>'Preseason 1'!U8+'Preseason 2'!U8</f>
        <v>0</v>
      </c>
      <c r="AE34" s="34">
        <f t="shared" si="9"/>
        <v>0.5</v>
      </c>
      <c r="AF34" s="35">
        <f t="shared" si="10"/>
        <v>0.5</v>
      </c>
      <c r="AG34" s="34">
        <f t="shared" si="11"/>
        <v>0</v>
      </c>
      <c r="AH34" s="35">
        <f t="shared" si="12"/>
        <v>0</v>
      </c>
      <c r="AI34" s="36">
        <f>COUNTIF(Template!V8, "TRUE")</f>
        <v>0</v>
      </c>
      <c r="AJ34" s="36"/>
      <c r="AK34" s="49" t="s">
        <v>60</v>
      </c>
      <c r="AL34" s="32"/>
      <c r="AM34" s="32"/>
      <c r="AN34" s="32"/>
      <c r="AO34" s="32"/>
      <c r="AP34" s="32"/>
      <c r="AQ34" s="32"/>
      <c r="AR34" s="32"/>
      <c r="AS34" s="32"/>
      <c r="AT34" s="32"/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189</v>
      </c>
      <c r="Z35" s="36" t="s">
        <v>93</v>
      </c>
      <c r="AA35" s="32">
        <f>'Preseason 1'!R9+'Preseason 2'!R9</f>
        <v>2</v>
      </c>
      <c r="AB35" s="32">
        <f>'Preseason 1'!S9+'Preseason 2'!S9</f>
        <v>1</v>
      </c>
      <c r="AC35" s="32">
        <f>'Preseason 1'!T9+'Preseason 2'!T9</f>
        <v>1</v>
      </c>
      <c r="AD35" s="32">
        <f>'Preseason 1'!U9+'Preseason 2'!U9</f>
        <v>0</v>
      </c>
      <c r="AE35" s="34">
        <f t="shared" si="9"/>
        <v>1</v>
      </c>
      <c r="AF35" s="35">
        <f t="shared" si="10"/>
        <v>0.5</v>
      </c>
      <c r="AG35" s="34">
        <f t="shared" si="11"/>
        <v>0.5</v>
      </c>
      <c r="AH35" s="35">
        <f t="shared" si="12"/>
        <v>0</v>
      </c>
      <c r="AI35" s="36">
        <f>COUNTIF(Template!V9, "TRUE")</f>
        <v>0</v>
      </c>
      <c r="AJ35" s="36"/>
      <c r="AK35" s="36" t="s">
        <v>93</v>
      </c>
      <c r="AL35" s="32"/>
      <c r="AM35" s="32"/>
      <c r="AN35" s="32"/>
      <c r="AO35" s="32"/>
      <c r="AP35" s="32"/>
      <c r="AQ35" s="32"/>
      <c r="AR35" s="32"/>
      <c r="AS35" s="32"/>
      <c r="AT35" s="32"/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190</v>
      </c>
      <c r="Z36" s="49" t="s">
        <v>63</v>
      </c>
      <c r="AA36" s="32">
        <f>'Preseason 1'!R10+'Preseason 2'!R10</f>
        <v>0</v>
      </c>
      <c r="AB36" s="32">
        <f>'Preseason 1'!S10+'Preseason 2'!S10</f>
        <v>0</v>
      </c>
      <c r="AC36" s="32">
        <f>'Preseason 1'!T10+'Preseason 2'!T10</f>
        <v>0</v>
      </c>
      <c r="AD36" s="32">
        <f>'Preseason 1'!U10+'Preseason 2'!U10</f>
        <v>0</v>
      </c>
      <c r="AE36" s="34">
        <f t="shared" si="9"/>
        <v>0</v>
      </c>
      <c r="AF36" s="35">
        <f t="shared" si="10"/>
        <v>0</v>
      </c>
      <c r="AG36" s="34">
        <f t="shared" si="11"/>
        <v>0</v>
      </c>
      <c r="AH36" s="35">
        <f t="shared" si="12"/>
        <v>0</v>
      </c>
      <c r="AI36" s="36">
        <v>0</v>
      </c>
      <c r="AJ36" s="36"/>
      <c r="AK36" s="49" t="s">
        <v>63</v>
      </c>
      <c r="AL36" s="32"/>
      <c r="AM36" s="32"/>
      <c r="AN36" s="32"/>
      <c r="AO36" s="32"/>
      <c r="AP36" s="32"/>
      <c r="AQ36" s="32"/>
      <c r="AR36" s="32"/>
      <c r="AS36" s="32"/>
      <c r="AT36" s="32"/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'Preseason 1'!R11+'Preseason 2'!R11</f>
        <v>3</v>
      </c>
      <c r="AB37" s="32">
        <f>'Preseason 1'!S11+'Preseason 2'!S11</f>
        <v>1</v>
      </c>
      <c r="AC37" s="32">
        <f>'Preseason 1'!T11+'Preseason 2'!T11</f>
        <v>0</v>
      </c>
      <c r="AD37" s="32">
        <f>'Preseason 1'!U11+'Preseason 2'!U11</f>
        <v>1</v>
      </c>
      <c r="AE37" s="34">
        <f t="shared" si="9"/>
        <v>1.5</v>
      </c>
      <c r="AF37" s="35">
        <f t="shared" si="10"/>
        <v>0.5</v>
      </c>
      <c r="AG37" s="34">
        <f t="shared" si="11"/>
        <v>0</v>
      </c>
      <c r="AH37" s="35">
        <f t="shared" si="12"/>
        <v>0.5</v>
      </c>
      <c r="AI37" s="36">
        <f>COUNTIF(Template!V11, "TRUE")</f>
        <v>0</v>
      </c>
      <c r="AJ37" s="36"/>
      <c r="AK37" s="49" t="s">
        <v>66</v>
      </c>
      <c r="AL37" s="32"/>
      <c r="AM37" s="32"/>
      <c r="AN37" s="32"/>
      <c r="AO37" s="32"/>
      <c r="AP37" s="32"/>
      <c r="AQ37" s="32"/>
      <c r="AR37" s="32"/>
      <c r="AS37" s="32"/>
      <c r="AT37" s="32"/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'Preseason 1'!R12+'Preseason 2'!R12</f>
        <v>12</v>
      </c>
      <c r="AB38" s="32">
        <f>'Preseason 1'!S12+'Preseason 2'!S12</f>
        <v>1</v>
      </c>
      <c r="AC38" s="32">
        <f>'Preseason 1'!T12+'Preseason 2'!T12</f>
        <v>9</v>
      </c>
      <c r="AD38" s="32">
        <f>'Preseason 1'!U12+'Preseason 2'!U12</f>
        <v>1</v>
      </c>
      <c r="AE38" s="34">
        <f t="shared" si="9"/>
        <v>6</v>
      </c>
      <c r="AF38" s="35">
        <f t="shared" si="10"/>
        <v>0.5</v>
      </c>
      <c r="AG38" s="34">
        <f t="shared" si="11"/>
        <v>4.5</v>
      </c>
      <c r="AH38" s="35">
        <f t="shared" si="12"/>
        <v>0.5</v>
      </c>
      <c r="AI38" s="36">
        <f>COUNTIF(Template!V12, "TRUE")</f>
        <v>0</v>
      </c>
      <c r="AJ38" s="36"/>
      <c r="AK38" s="49" t="s">
        <v>68</v>
      </c>
      <c r="AL38" s="32"/>
      <c r="AM38" s="32"/>
      <c r="AN38" s="32"/>
      <c r="AO38" s="32"/>
      <c r="AP38" s="32"/>
      <c r="AQ38" s="32"/>
      <c r="AR38" s="32"/>
      <c r="AS38" s="32"/>
      <c r="AT38" s="32"/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'Preseason 1'!R13+'Preseason 2'!R13</f>
        <v>2</v>
      </c>
      <c r="AB39" s="32">
        <f>'Preseason 1'!S13+'Preseason 2'!S13</f>
        <v>0</v>
      </c>
      <c r="AC39" s="32">
        <f>'Preseason 1'!T13+'Preseason 2'!T13</f>
        <v>0</v>
      </c>
      <c r="AD39" s="32">
        <f>'Preseason 1'!U13+'Preseason 2'!U13</f>
        <v>1</v>
      </c>
      <c r="AE39" s="34">
        <f t="shared" si="9"/>
        <v>1</v>
      </c>
      <c r="AF39" s="35">
        <f t="shared" si="10"/>
        <v>0</v>
      </c>
      <c r="AG39" s="34">
        <f t="shared" si="11"/>
        <v>0</v>
      </c>
      <c r="AH39" s="35">
        <f t="shared" si="12"/>
        <v>0.5</v>
      </c>
      <c r="AI39" s="36">
        <f>COUNTIF(Template!V13, "TRUE")</f>
        <v>0</v>
      </c>
      <c r="AJ39" s="76"/>
      <c r="AK39" s="49" t="s">
        <v>69</v>
      </c>
      <c r="AL39" s="32"/>
      <c r="AM39" s="32"/>
      <c r="AN39" s="32"/>
      <c r="AO39" s="32"/>
      <c r="AP39" s="32"/>
      <c r="AQ39" s="32"/>
      <c r="AR39" s="32"/>
      <c r="AS39" s="32"/>
      <c r="AT39" s="32"/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202</v>
      </c>
      <c r="AA40" s="32">
        <f>'Preseason 1'!R14+'Preseason 2'!R14</f>
        <v>0</v>
      </c>
      <c r="AB40" s="32">
        <f>'Preseason 1'!S14+'Preseason 2'!S14</f>
        <v>0</v>
      </c>
      <c r="AC40" s="32">
        <f>'Preseason 1'!T14+'Preseason 2'!T14</f>
        <v>0</v>
      </c>
      <c r="AD40" s="32">
        <f>'Preseason 1'!U14+'Preseason 2'!U14</f>
        <v>0</v>
      </c>
      <c r="AE40" s="34">
        <f t="shared" ref="AE40:AE45" si="13">AA40/$AA$27</f>
        <v>0</v>
      </c>
      <c r="AF40" s="35">
        <f t="shared" ref="AF40:AF45" si="14">AB40/$AA$27</f>
        <v>0</v>
      </c>
      <c r="AG40" s="34">
        <f t="shared" ref="AG40:AG45" si="15">AC40/$AA$27</f>
        <v>0</v>
      </c>
      <c r="AH40" s="35">
        <f t="shared" ref="AH40:AH45" si="16">AD40/$AA$27</f>
        <v>0</v>
      </c>
      <c r="AI40" s="36">
        <v>1</v>
      </c>
      <c r="AJ40" s="36"/>
      <c r="AK40" s="36" t="s">
        <v>202</v>
      </c>
      <c r="AL40" s="32"/>
      <c r="AM40" s="32"/>
      <c r="AN40" s="32"/>
      <c r="AO40" s="32"/>
      <c r="AP40" s="32"/>
      <c r="AQ40" s="32"/>
      <c r="AR40" s="32"/>
      <c r="AS40" s="32"/>
      <c r="AT40" s="32"/>
    </row>
    <row r="41" spans="2:46" ht="14.25" customHeight="1" x14ac:dyDescent="0.45">
      <c r="S41" s="14" t="s">
        <v>108</v>
      </c>
      <c r="T41">
        <f>'Statistics LG'!J3</f>
        <v>4</v>
      </c>
      <c r="V41" s="28"/>
      <c r="Z41" s="36" t="s">
        <v>128</v>
      </c>
      <c r="AA41" s="32">
        <f>'Preseason 1'!R15+'Preseason 2'!R15</f>
        <v>4</v>
      </c>
      <c r="AB41" s="32">
        <f>'Preseason 1'!S15+'Preseason 2'!S15</f>
        <v>2</v>
      </c>
      <c r="AC41" s="32">
        <f>'Preseason 1'!T15+'Preseason 2'!T15</f>
        <v>0</v>
      </c>
      <c r="AD41" s="32">
        <f>'Preseason 1'!U15+'Preseason 2'!U15</f>
        <v>1</v>
      </c>
      <c r="AE41" s="34">
        <f t="shared" si="13"/>
        <v>2</v>
      </c>
      <c r="AF41" s="35">
        <f t="shared" si="14"/>
        <v>1</v>
      </c>
      <c r="AG41" s="34">
        <f t="shared" si="15"/>
        <v>0</v>
      </c>
      <c r="AH41" s="35">
        <f t="shared" si="16"/>
        <v>0.5</v>
      </c>
      <c r="AI41" s="36">
        <f>COUNTIF(Template!V15, "TRUE")</f>
        <v>0</v>
      </c>
      <c r="AJ41" s="36"/>
      <c r="AK41" s="36" t="s">
        <v>128</v>
      </c>
      <c r="AL41" s="32"/>
      <c r="AM41" s="32"/>
      <c r="AN41" s="32"/>
      <c r="AO41" s="32"/>
      <c r="AP41" s="32"/>
      <c r="AQ41" s="32"/>
      <c r="AR41" s="32"/>
      <c r="AS41" s="32"/>
      <c r="AT41" s="32"/>
    </row>
    <row r="42" spans="2:46" ht="14.25" customHeight="1" x14ac:dyDescent="0.45">
      <c r="S42" s="14" t="s">
        <v>109</v>
      </c>
      <c r="T42">
        <f>'Statistics WW'!J4</f>
        <v>2</v>
      </c>
      <c r="V42" s="28"/>
      <c r="Z42" s="36" t="s">
        <v>127</v>
      </c>
      <c r="AA42" s="32">
        <f>'Preseason 1'!R16+'Preseason 2'!R16</f>
        <v>6</v>
      </c>
      <c r="AB42" s="32">
        <f>'Preseason 1'!S16+'Preseason 2'!S16</f>
        <v>2</v>
      </c>
      <c r="AC42" s="32">
        <f>'Preseason 1'!T16+'Preseason 2'!T16</f>
        <v>2</v>
      </c>
      <c r="AD42" s="32">
        <f>'Preseason 1'!U16+'Preseason 2'!U16</f>
        <v>1</v>
      </c>
      <c r="AE42" s="34">
        <f t="shared" si="13"/>
        <v>3</v>
      </c>
      <c r="AF42" s="35">
        <f t="shared" si="14"/>
        <v>1</v>
      </c>
      <c r="AG42" s="34">
        <f t="shared" si="15"/>
        <v>1</v>
      </c>
      <c r="AH42" s="35">
        <f t="shared" si="16"/>
        <v>0.5</v>
      </c>
      <c r="AI42" s="36">
        <f>COUNTIF(Template!V16, "TRUE")</f>
        <v>0</v>
      </c>
      <c r="AJ42" s="36"/>
      <c r="AK42" s="36" t="s">
        <v>127</v>
      </c>
      <c r="AL42" s="32"/>
      <c r="AM42" s="32"/>
      <c r="AN42" s="32"/>
      <c r="AO42" s="32"/>
      <c r="AP42" s="32"/>
      <c r="AQ42" s="32"/>
      <c r="AR42" s="32"/>
      <c r="AS42" s="32"/>
      <c r="AT42" s="32"/>
    </row>
    <row r="43" spans="2:46" ht="14.25" customHeight="1" x14ac:dyDescent="0.45">
      <c r="S43" s="14" t="s">
        <v>110</v>
      </c>
      <c r="T43">
        <f>'Statistics 5M'!J4</f>
        <v>6</v>
      </c>
      <c r="V43" s="28"/>
      <c r="Z43" s="36" t="s">
        <v>73</v>
      </c>
      <c r="AA43" s="32">
        <f>'Preseason 1'!R17+'Preseason 2'!R17</f>
        <v>6</v>
      </c>
      <c r="AB43" s="32">
        <f>'Preseason 1'!S17+'Preseason 2'!S17</f>
        <v>3</v>
      </c>
      <c r="AC43" s="32">
        <f>'Preseason 1'!T17+'Preseason 2'!T17</f>
        <v>1</v>
      </c>
      <c r="AD43" s="32">
        <f>'Preseason 1'!U17+'Preseason 2'!U17</f>
        <v>1</v>
      </c>
      <c r="AE43" s="34">
        <f t="shared" si="13"/>
        <v>3</v>
      </c>
      <c r="AF43" s="35">
        <f t="shared" si="14"/>
        <v>1.5</v>
      </c>
      <c r="AG43" s="34">
        <f t="shared" si="15"/>
        <v>0.5</v>
      </c>
      <c r="AH43" s="35">
        <f t="shared" si="16"/>
        <v>0.5</v>
      </c>
      <c r="AI43" s="36">
        <f>COUNTIF(Template!V17, "TRUE")</f>
        <v>0</v>
      </c>
      <c r="AJ43" s="36"/>
      <c r="AK43" s="36" t="s">
        <v>73</v>
      </c>
      <c r="AL43" s="32"/>
      <c r="AM43" s="32"/>
      <c r="AN43" s="32"/>
      <c r="AO43" s="32"/>
      <c r="AP43" s="32"/>
      <c r="AQ43" s="32"/>
      <c r="AR43" s="32"/>
      <c r="AS43" s="32"/>
      <c r="AT43" s="32"/>
    </row>
    <row r="44" spans="2:46" ht="14.25" customHeight="1" x14ac:dyDescent="0.45">
      <c r="Z44" s="36" t="s">
        <v>74</v>
      </c>
      <c r="AA44" s="32">
        <f>'Preseason 1'!R18+'Preseason 2'!R18</f>
        <v>0</v>
      </c>
      <c r="AB44" s="32">
        <f>'Preseason 1'!S18+'Preseason 2'!S18</f>
        <v>0</v>
      </c>
      <c r="AC44" s="32">
        <f>'Preseason 1'!T18+'Preseason 2'!T18</f>
        <v>0</v>
      </c>
      <c r="AD44" s="32">
        <f>'Preseason 1'!U18+'Preseason 2'!U18</f>
        <v>0</v>
      </c>
      <c r="AE44" s="34">
        <f t="shared" si="13"/>
        <v>0</v>
      </c>
      <c r="AF44" s="35">
        <f t="shared" si="14"/>
        <v>0</v>
      </c>
      <c r="AG44" s="34">
        <f t="shared" si="15"/>
        <v>0</v>
      </c>
      <c r="AH44" s="35">
        <f t="shared" si="16"/>
        <v>0</v>
      </c>
      <c r="AI44" s="36">
        <f>COUNTIF(Template!V18, "TRUE")</f>
        <v>0</v>
      </c>
      <c r="AJ44" s="36"/>
      <c r="AK44" s="36" t="s">
        <v>74</v>
      </c>
      <c r="AL44" s="32"/>
      <c r="AM44" s="32"/>
      <c r="AN44" s="32"/>
      <c r="AO44" s="32"/>
      <c r="AP44" s="32"/>
      <c r="AQ44" s="32"/>
      <c r="AR44" s="32"/>
      <c r="AS44" s="32"/>
      <c r="AT44" s="32"/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1'!R19+'Preseason 2'!R19</f>
        <v>0</v>
      </c>
      <c r="AB45" s="32">
        <f>'Preseason 1'!S19+'Preseason 2'!S19</f>
        <v>0</v>
      </c>
      <c r="AC45" s="32">
        <f>'Preseason 1'!T19+'Preseason 2'!T19</f>
        <v>0</v>
      </c>
      <c r="AD45" s="32">
        <f>'Preseason 1'!U19+'Preseason 2'!U19</f>
        <v>0</v>
      </c>
      <c r="AE45" s="34">
        <f t="shared" si="13"/>
        <v>0</v>
      </c>
      <c r="AF45" s="35">
        <f t="shared" si="14"/>
        <v>0</v>
      </c>
      <c r="AG45" s="34">
        <f t="shared" si="15"/>
        <v>0</v>
      </c>
      <c r="AH45" s="35">
        <f t="shared" si="16"/>
        <v>0</v>
      </c>
      <c r="AI45" s="36">
        <f>COUNTIF(Template!V19, "TRUE")</f>
        <v>0</v>
      </c>
      <c r="AJ45" s="36"/>
      <c r="AK45" s="49" t="s">
        <v>75</v>
      </c>
      <c r="AL45" s="32"/>
      <c r="AM45" s="32"/>
      <c r="AN45" s="32"/>
      <c r="AO45" s="32"/>
      <c r="AP45" s="32"/>
      <c r="AQ45" s="32"/>
      <c r="AR45" s="32"/>
      <c r="AS45" s="32"/>
      <c r="AT45" s="32"/>
    </row>
    <row r="46" spans="2:46" ht="14.25" customHeight="1" x14ac:dyDescent="0.45">
      <c r="T46" s="14" t="s">
        <v>1</v>
      </c>
      <c r="U46" s="19">
        <f>SUM(Table1[Finishes])</f>
        <v>22</v>
      </c>
      <c r="V46" s="18">
        <f>U46/AA6</f>
        <v>11</v>
      </c>
      <c r="W46" s="28">
        <f>U46/SUM($U$46:$U$48)</f>
        <v>0.51162790697674421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14</v>
      </c>
      <c r="V47" s="18">
        <f>U47/AA6</f>
        <v>7</v>
      </c>
      <c r="W47" s="28">
        <f>U47/SUM($U$46:$U$48)</f>
        <v>0.32558139534883723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7</v>
      </c>
      <c r="V48" s="18">
        <f>U48/AA6</f>
        <v>3.5</v>
      </c>
      <c r="W48" s="28">
        <f>U48/SUM($U$46:$U$48)</f>
        <v>0.16279069767441862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165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165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>
        <f>'Statistics LG'!L42</f>
        <v>0.8571428571428571</v>
      </c>
      <c r="V53" s="39">
        <f>'Statistics LG'!O42</f>
        <v>0.38095238095238093</v>
      </c>
      <c r="W53" s="39">
        <f>AVERAGE(U53:V53)</f>
        <v>0.61904761904761907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>
        <f>1-'Statistics LG'!L42</f>
        <v>0.1428571428571429</v>
      </c>
      <c r="U54" s="42" t="s">
        <v>131</v>
      </c>
      <c r="V54" s="39">
        <f>'Statistics WW'!L42</f>
        <v>0</v>
      </c>
      <c r="W54" s="39">
        <f>AVERAGE(T54:V54)</f>
        <v>7.1428571428571452E-2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>
        <f>1-V53</f>
        <v>0.61904761904761907</v>
      </c>
      <c r="U55" s="39">
        <f>1-V54</f>
        <v>1</v>
      </c>
      <c r="V55" s="42" t="s">
        <v>131</v>
      </c>
      <c r="W55" s="39">
        <f>AVERAGE(T55:V55)</f>
        <v>0.80952380952380953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43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202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202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165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165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 t="str">
        <f>'Statistics LG'!A5</f>
        <v>12-July</v>
      </c>
      <c r="T77">
        <f>T76+'Statistics LG'!D5</f>
        <v>4</v>
      </c>
      <c r="U77">
        <f>U76+'Statistics WW'!D5</f>
        <v>2</v>
      </c>
      <c r="V77">
        <f>V76+'Statistics 5M'!D5</f>
        <v>6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>
        <f>'Statistics LG'!A6</f>
        <v>0</v>
      </c>
      <c r="T78" s="17">
        <f>T77+'Statistics LG'!D6</f>
        <v>4</v>
      </c>
      <c r="U78" s="17">
        <f>U77+'Statistics WW'!D6</f>
        <v>2</v>
      </c>
      <c r="V78" s="17">
        <f>V77+'Statistics 5M'!D6</f>
        <v>6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>
        <f>'Statistics LG'!A7</f>
        <v>0</v>
      </c>
      <c r="T79" s="17">
        <f>T78+'Statistics LG'!D7</f>
        <v>4</v>
      </c>
      <c r="U79" s="17">
        <f>U78+'Statistics WW'!D7</f>
        <v>2</v>
      </c>
      <c r="V79" s="17">
        <f>V78+'Statistics 5M'!D7</f>
        <v>6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>
        <f>'Statistics LG'!A8</f>
        <v>0</v>
      </c>
      <c r="T80" s="17">
        <f>T79+'Statistics LG'!D8</f>
        <v>4</v>
      </c>
      <c r="U80" s="17">
        <f>U79+'Statistics WW'!D8</f>
        <v>2</v>
      </c>
      <c r="V80" s="17">
        <f>V79+'Statistics 5M'!D8</f>
        <v>6</v>
      </c>
      <c r="Z80" s="36" t="s">
        <v>202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202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>
        <f>T80+'Statistics LG'!D9</f>
        <v>4</v>
      </c>
      <c r="U81" s="17">
        <f>U80+'Statistics WW'!D9</f>
        <v>2</v>
      </c>
      <c r="V81" s="17">
        <f>V80+'Statistics 5M'!D9</f>
        <v>6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4</v>
      </c>
      <c r="U82" s="17">
        <f>U81+'Statistics WW'!D10</f>
        <v>2</v>
      </c>
      <c r="V82" s="17">
        <f>V81+'Statistics 5M'!D10</f>
        <v>6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4</v>
      </c>
      <c r="U83" s="17">
        <f>U82+'Statistics WW'!D11</f>
        <v>2</v>
      </c>
      <c r="V83" s="17">
        <f>V82+'Statistics 5M'!D11</f>
        <v>6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4</v>
      </c>
      <c r="U84" s="17">
        <f>U83+'Statistics WW'!D12</f>
        <v>2</v>
      </c>
      <c r="V84" s="17">
        <f>V83+'Statistics 5M'!D12</f>
        <v>6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4</v>
      </c>
      <c r="U85" s="17">
        <f>U84+'Statistics WW'!D13</f>
        <v>2</v>
      </c>
      <c r="V85" s="17">
        <f>V84+'Statistics 5M'!D13</f>
        <v>6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4</v>
      </c>
      <c r="U86" s="17">
        <f>U85+'Statistics WW'!D14</f>
        <v>2</v>
      </c>
      <c r="V86" s="17">
        <f>V85+'Statistics 5M'!D14</f>
        <v>6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4</v>
      </c>
      <c r="U87" s="17">
        <f>U86+'Statistics WW'!D15</f>
        <v>2</v>
      </c>
      <c r="V87" s="17">
        <f>V86+'Statistics 5M'!D15</f>
        <v>6</v>
      </c>
      <c r="Z87" s="49" t="s">
        <v>167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203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4</v>
      </c>
      <c r="U88" s="17">
        <f>U87+'Statistics WW'!D16</f>
        <v>2</v>
      </c>
      <c r="V88" s="17">
        <f>V87+'Statistics 5M'!D16</f>
        <v>6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165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165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4</v>
      </c>
      <c r="U89" s="17">
        <f>U88+'Statistics WW'!D17</f>
        <v>2</v>
      </c>
      <c r="V89" s="17">
        <f>V88+'Statistics 5M'!D17</f>
        <v>6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4</v>
      </c>
      <c r="U90" s="17">
        <f>U89+'Statistics WW'!D18</f>
        <v>2</v>
      </c>
      <c r="V90" s="17">
        <f>V89+'Statistics 5M'!D18</f>
        <v>6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202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202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2" type="noConversion"/>
  <conditionalFormatting sqref="AO11:AO23">
    <cfRule type="cellIs" dxfId="153" priority="11" operator="lessThan">
      <formula>$AO$6</formula>
    </cfRule>
    <cfRule type="cellIs" dxfId="152" priority="12" operator="greaterThan">
      <formula>$AO$6</formula>
    </cfRule>
  </conditionalFormatting>
  <conditionalFormatting sqref="AM8:AM23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U109:U118 W103:W108">
    <cfRule type="cellIs" dxfId="149" priority="2" operator="greaterThan">
      <formula>0</formula>
    </cfRule>
  </conditionalFormatting>
  <conditionalFormatting sqref="U109:U118 W103:W108">
    <cfRule type="cellIs" dxfId="148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55" zoomScaleNormal="55" workbookViewId="0">
      <selection activeCell="I43" sqref="I43:I46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194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SUM(B4:B40)</f>
        <v>14</v>
      </c>
      <c r="I3" s="86">
        <f>SUM(C4:C40)</f>
        <v>14</v>
      </c>
      <c r="J3" s="83">
        <f>SUM(D4:D40)</f>
        <v>4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80" t="str">
        <f>'Stats Global'!B5</f>
        <v>11-July</v>
      </c>
      <c r="B4" s="88">
        <f>'Stats Global'!F5</f>
        <v>5</v>
      </c>
      <c r="C4" s="88">
        <f>'Stats Global'!G5+'Stats Global'!H5</f>
        <v>6</v>
      </c>
      <c r="D4" s="88">
        <f>'Stats Global'!O5</f>
        <v>2</v>
      </c>
      <c r="E4" s="85" t="s">
        <v>46</v>
      </c>
      <c r="F4" s="85" t="s">
        <v>208</v>
      </c>
      <c r="J4" s="89"/>
      <c r="L4" s="90">
        <f>'Stats Global'!J5</f>
        <v>2</v>
      </c>
      <c r="M4" s="90">
        <f>'Stats Global'!G5</f>
        <v>0</v>
      </c>
      <c r="N4" s="91"/>
      <c r="O4" s="90">
        <f>'Stats Global'!M5</f>
        <v>3</v>
      </c>
      <c r="P4" s="90">
        <f>'Stats Global'!H5</f>
        <v>6</v>
      </c>
      <c r="R4" s="113" t="s">
        <v>61</v>
      </c>
      <c r="S4" s="103">
        <f>'Stats Global'!AA22</f>
        <v>6</v>
      </c>
      <c r="T4" s="103">
        <f>'Stats Global'!AB22</f>
        <v>3</v>
      </c>
      <c r="U4" s="103">
        <f>'Stats Global'!AC22</f>
        <v>3</v>
      </c>
      <c r="V4" s="103">
        <f>'Stats Global'!AD22</f>
        <v>1.5</v>
      </c>
      <c r="W4" s="103">
        <f>'Stats Global'!AE22</f>
        <v>1</v>
      </c>
      <c r="X4" s="103">
        <f>'Stats Global'!AF22</f>
        <v>0.5</v>
      </c>
      <c r="Y4" s="103">
        <f>'Stats Global'!AG22</f>
        <v>1</v>
      </c>
      <c r="Z4" s="103">
        <f>'Stats Global'!AH22</f>
        <v>0.5</v>
      </c>
      <c r="AA4" s="103">
        <f>'Stats Global'!AJ22</f>
        <v>0</v>
      </c>
    </row>
    <row r="5" spans="1:30" ht="14.35" customHeight="1" x14ac:dyDescent="0.45">
      <c r="A5" s="80" t="str">
        <f>'Stats Global'!B6</f>
        <v>12-July</v>
      </c>
      <c r="B5" s="88">
        <f>'Stats Global'!F6</f>
        <v>9</v>
      </c>
      <c r="C5" s="88">
        <f>'Stats Global'!G6+'Stats Global'!H6</f>
        <v>8</v>
      </c>
      <c r="D5" s="88">
        <f>'Stats Global'!O6</f>
        <v>2</v>
      </c>
      <c r="E5" s="85" t="s">
        <v>61</v>
      </c>
      <c r="F5" s="85" t="s">
        <v>211</v>
      </c>
      <c r="I5" s="86"/>
      <c r="J5" s="89"/>
      <c r="L5" s="90">
        <f>'Stats Global'!J6</f>
        <v>4</v>
      </c>
      <c r="M5" s="90">
        <f>'Stats Global'!G6</f>
        <v>1</v>
      </c>
      <c r="N5" s="91"/>
      <c r="O5" s="90">
        <f>'Stats Global'!M6</f>
        <v>5</v>
      </c>
      <c r="P5" s="90">
        <f>'Stats Global'!H6</f>
        <v>7</v>
      </c>
      <c r="R5" s="89" t="s">
        <v>46</v>
      </c>
      <c r="S5" s="103">
        <f>'Stats Global'!AA16</f>
        <v>3</v>
      </c>
      <c r="T5" s="103">
        <f>'Stats Global'!AB16</f>
        <v>1.5</v>
      </c>
      <c r="U5" s="103">
        <f>'Stats Global'!AC16</f>
        <v>1</v>
      </c>
      <c r="V5" s="103">
        <f>'Stats Global'!AD16</f>
        <v>0.5</v>
      </c>
      <c r="W5" s="103">
        <f>'Stats Global'!AE16</f>
        <v>0</v>
      </c>
      <c r="X5" s="103">
        <f>'Stats Global'!AF16</f>
        <v>0</v>
      </c>
      <c r="Y5" s="103">
        <f>'Stats Global'!AG16</f>
        <v>1</v>
      </c>
      <c r="Z5" s="103">
        <f>'Stats Global'!AH16</f>
        <v>0.5</v>
      </c>
      <c r="AA5" s="103">
        <f>'Stats Global'!AJ16</f>
        <v>0</v>
      </c>
    </row>
    <row r="6" spans="1:30" ht="14.35" customHeight="1" x14ac:dyDescent="0.45">
      <c r="A6" s="80">
        <f>'Stats Global'!B7</f>
        <v>0</v>
      </c>
      <c r="B6" s="88">
        <f>'Stats Global'!F7</f>
        <v>0</v>
      </c>
      <c r="C6" s="88">
        <f>'Stats Global'!G7+'Stats Global'!H7</f>
        <v>0</v>
      </c>
      <c r="D6" s="88">
        <f>'Stats Global'!O7</f>
        <v>0</v>
      </c>
      <c r="E6" s="85"/>
      <c r="F6" s="85"/>
      <c r="I6" s="86"/>
      <c r="J6" s="89"/>
      <c r="L6" s="90">
        <f>'Stats Global'!J7</f>
        <v>0</v>
      </c>
      <c r="M6" s="90">
        <f>'Stats Global'!G7</f>
        <v>0</v>
      </c>
      <c r="N6" s="91"/>
      <c r="O6" s="90">
        <f>'Stats Global'!M7</f>
        <v>0</v>
      </c>
      <c r="P6" s="90">
        <f>'Stats Global'!H7</f>
        <v>0</v>
      </c>
      <c r="R6" s="89" t="s">
        <v>58</v>
      </c>
      <c r="S6" s="103">
        <f>'Stats Global'!AA21</f>
        <v>6</v>
      </c>
      <c r="T6" s="103">
        <f>'Stats Global'!AB21</f>
        <v>3</v>
      </c>
      <c r="U6" s="103">
        <f>'Stats Global'!AC21</f>
        <v>2</v>
      </c>
      <c r="V6" s="103">
        <f>'Stats Global'!AD21</f>
        <v>1</v>
      </c>
      <c r="W6" s="103">
        <f>'Stats Global'!AE21</f>
        <v>2</v>
      </c>
      <c r="X6" s="103">
        <f>'Stats Global'!AF21</f>
        <v>1</v>
      </c>
      <c r="Y6" s="103">
        <f>'Stats Global'!AG21</f>
        <v>1</v>
      </c>
      <c r="Z6" s="103">
        <f>'Stats Global'!AH21</f>
        <v>0.5</v>
      </c>
      <c r="AA6" s="103">
        <f>'Stats Global'!AJ21</f>
        <v>0</v>
      </c>
    </row>
    <row r="7" spans="1:30" ht="14.35" customHeight="1" x14ac:dyDescent="0.45">
      <c r="A7" s="80">
        <f>'Stats Global'!B8</f>
        <v>0</v>
      </c>
      <c r="B7" s="88">
        <f>'Stats Global'!F8</f>
        <v>0</v>
      </c>
      <c r="C7" s="88">
        <f>'Stats Global'!G8+'Stats Global'!H8</f>
        <v>0</v>
      </c>
      <c r="D7" s="88">
        <f>'Stats Global'!O8</f>
        <v>0</v>
      </c>
      <c r="E7" s="85"/>
      <c r="F7" s="85"/>
      <c r="I7" s="86"/>
      <c r="J7" s="89"/>
      <c r="L7" s="90">
        <f>'Stats Global'!J8</f>
        <v>0</v>
      </c>
      <c r="M7" s="90">
        <f>'Stats Global'!G8</f>
        <v>0</v>
      </c>
      <c r="N7" s="91"/>
      <c r="O7" s="90">
        <f>'Stats Global'!M8</f>
        <v>0</v>
      </c>
      <c r="P7" s="90">
        <f>'Stats Global'!H8</f>
        <v>0</v>
      </c>
      <c r="R7" s="89" t="s">
        <v>25</v>
      </c>
      <c r="S7" s="103">
        <f>'Stats Global'!AA8</f>
        <v>0</v>
      </c>
      <c r="T7" s="103">
        <f>'Stats Global'!AB8</f>
        <v>0</v>
      </c>
      <c r="U7" s="103">
        <f>'Stats Global'!AC8</f>
        <v>0</v>
      </c>
      <c r="V7" s="103">
        <f>'Stats Global'!AD8</f>
        <v>0</v>
      </c>
      <c r="W7" s="103">
        <f>'Stats Global'!AE8</f>
        <v>0</v>
      </c>
      <c r="X7" s="103">
        <f>'Stats Global'!AF8</f>
        <v>0</v>
      </c>
      <c r="Y7" s="103">
        <f>'Stats Global'!AG8</f>
        <v>0</v>
      </c>
      <c r="Z7" s="103">
        <f>'Stats Global'!AH8</f>
        <v>0</v>
      </c>
      <c r="AA7" s="103">
        <f>'Stats Global'!AJ8</f>
        <v>0</v>
      </c>
    </row>
    <row r="8" spans="1:30" ht="14.35" customHeight="1" x14ac:dyDescent="0.45">
      <c r="A8" s="80">
        <f>'Stats Global'!B9</f>
        <v>0</v>
      </c>
      <c r="B8" s="88">
        <f>'Stats Global'!F9</f>
        <v>0</v>
      </c>
      <c r="C8" s="88">
        <f>'Stats Global'!G9+'Stats Global'!H9</f>
        <v>0</v>
      </c>
      <c r="D8" s="88">
        <f>'Stats Global'!O9</f>
        <v>0</v>
      </c>
      <c r="E8" s="85"/>
      <c r="F8" s="85"/>
      <c r="I8" s="86"/>
      <c r="J8" s="89"/>
      <c r="L8" s="90">
        <f>'Stats Global'!J9</f>
        <v>0</v>
      </c>
      <c r="M8" s="90">
        <f>'Stats Global'!G9</f>
        <v>0</v>
      </c>
      <c r="N8" s="91"/>
      <c r="O8" s="90">
        <f>'Stats Global'!M9</f>
        <v>0</v>
      </c>
      <c r="P8" s="90">
        <f>'Stats Global'!H9</f>
        <v>0</v>
      </c>
      <c r="R8" s="89" t="s">
        <v>28</v>
      </c>
      <c r="S8" s="103">
        <f>'Stats Global'!AA9</f>
        <v>2</v>
      </c>
      <c r="T8" s="103">
        <f>'Stats Global'!AB9</f>
        <v>1</v>
      </c>
      <c r="U8" s="103">
        <f>'Stats Global'!AC9</f>
        <v>1</v>
      </c>
      <c r="V8" s="103">
        <f>'Stats Global'!AD9</f>
        <v>0.5</v>
      </c>
      <c r="W8" s="103">
        <f>'Stats Global'!AE9</f>
        <v>1</v>
      </c>
      <c r="X8" s="103">
        <f>'Stats Global'!AF9</f>
        <v>0.5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J41" s="89"/>
      <c r="K41" s="86" t="s">
        <v>94</v>
      </c>
      <c r="L41" s="107">
        <f>SUM(L4:L40)</f>
        <v>6</v>
      </c>
      <c r="M41" s="107">
        <f>SUM(M4:M40)</f>
        <v>1</v>
      </c>
      <c r="N41" s="89"/>
      <c r="O41" s="107">
        <f>SUM(O4:O40)</f>
        <v>8</v>
      </c>
      <c r="P41" s="107">
        <f>SUM(P4:P40)</f>
        <v>13</v>
      </c>
    </row>
    <row r="42" spans="1:16" ht="14.25" customHeight="1" x14ac:dyDescent="0.45">
      <c r="L42" s="98">
        <f>L41/(M41+L41)</f>
        <v>0.8571428571428571</v>
      </c>
      <c r="O42" s="98">
        <f>O41/(P41+O41)</f>
        <v>0.38095238095238093</v>
      </c>
    </row>
    <row r="43" spans="1:16" ht="14.25" customHeight="1" x14ac:dyDescent="0.45">
      <c r="I43" s="99" t="str">
        <f>K43&amp;H3&amp;","&amp;I3&amp;"],"</f>
        <v>"PartA":[14,14],</v>
      </c>
      <c r="K43" s="81" t="s">
        <v>135</v>
      </c>
      <c r="M43" s="81" t="s">
        <v>139</v>
      </c>
      <c r="O43" s="100">
        <f>ROUND((SUM('Stats Global'!AA8,'Stats Global'!AA9,'Stats Global'!AA16,'Stats Global'!AA21,'Stats Global'!AA22))/'Stats Global'!AA6,1)</f>
        <v>8.5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"PartB":[6,"Angus Walker",3,"Angus Walker",2,"Christopher Tomkinson",1,"Angus Walker"],</v>
      </c>
      <c r="K44" s="81" t="s">
        <v>136</v>
      </c>
      <c r="M44" s="101">
        <f>MAX(Table1114[Points])</f>
        <v>6</v>
      </c>
      <c r="N44" s="81" t="str">
        <f>IF(M44&lt;&gt;0,IF(M44=S4,R4,IF(M44=S5,R5,IF(S6=M44,R6,IF(S7=M44,R7,R8)))),"N/A")</f>
        <v>Angus Walker</v>
      </c>
      <c r="O44" s="100">
        <f>ROUND(SUM('Stats Global'!AC8,'Stats Global'!AC9,'Stats Global'!AC16,'Stats Global'!AC21,'Stats Global'!AC22)/'Stats Global'!AA6,1)</f>
        <v>3.5</v>
      </c>
    </row>
    <row r="45" spans="1:16" ht="14.25" customHeight="1" x14ac:dyDescent="0.45">
      <c r="I45" s="81" t="str">
        <f>K45&amp;O43&amp;","&amp;O44&amp;","&amp;O45&amp;","&amp;O46&amp;","&amp;O47&amp;","&amp;O48&amp;"],"</f>
        <v>"PartC":[8.5,3.5,2,1.5,7,7],</v>
      </c>
      <c r="K45" s="81" t="s">
        <v>137</v>
      </c>
      <c r="M45" s="101">
        <f>MAX(Table1114[Finishes])</f>
        <v>3</v>
      </c>
      <c r="N45" s="108" t="str">
        <f>IF(M45&lt;&gt;0,IF(M45=U4,R4,IF(M45=U5,R5,IF(U6=M45,R6,IF(U7=M45,R7,R8)))),"N/A")</f>
        <v>Angus Walker</v>
      </c>
      <c r="O45" s="100">
        <f>ROUND(SUM('Stats Global'!AE8,'Stats Global'!AE9,'Stats Global'!AE16,'Stats Global'!AE21,'Stats Global'!AE22)/'Stats Global'!AA6,1)</f>
        <v>2</v>
      </c>
    </row>
    <row r="46" spans="1:16" ht="14.25" customHeight="1" x14ac:dyDescent="0.45">
      <c r="I46" s="81" t="str">
        <f>K46&amp;L41&amp;","&amp;M41&amp;","&amp;ROUND(L42*100,1)&amp;","&amp;O41&amp;","&amp;P41&amp;","&amp;ROUND(O42*100,1)&amp;"],"</f>
        <v>"PartD":[6,1,85.7,8,13,38.1],</v>
      </c>
      <c r="K46" s="81" t="s">
        <v>138</v>
      </c>
      <c r="M46" s="101">
        <f>MAX(Table1114[Midranges])</f>
        <v>2</v>
      </c>
      <c r="N46" s="108" t="str">
        <f>IF(M46&lt;&gt;0,IF(M46=W4,R4,IF(M46=W5,R5,IF(W6=M46,R6,IF(W7=M46,R7,R8)))),"N/A")</f>
        <v>Christopher Tomkinson</v>
      </c>
      <c r="O46" s="100">
        <f>ROUND(SUM('Stats Global'!AG8,'Stats Global'!AG9,'Stats Global'!AG16,'Stats Global'!AG21,'Stats Global'!AG22)/'Stats Global'!AA6,1)</f>
        <v>1.5</v>
      </c>
    </row>
    <row r="47" spans="1:16" ht="14.25" customHeight="1" x14ac:dyDescent="0.45">
      <c r="M47" s="101">
        <f>MAX(Table1114[Threes])</f>
        <v>1</v>
      </c>
      <c r="N47" s="81" t="str">
        <f>IF(M47&lt;&gt;0,IF(M47=Y4,R4,IF(M47=Y5,R5,IF(Y6=M47,R6,IF(Y7=M47,R7,R8)))),"N/A")</f>
        <v>Angus Walker</v>
      </c>
      <c r="O47" s="81">
        <f>ROUND(H3/'Stats Global'!AA6,1)</f>
        <v>7</v>
      </c>
    </row>
    <row r="48" spans="1:16" ht="14.25" customHeight="1" x14ac:dyDescent="0.45">
      <c r="O48" s="81">
        <f>ROUND(I3/'Stats Global'!AA6,1)</f>
        <v>7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194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80" t="str">
        <f>'Stats Global'!B5</f>
        <v>11-July</v>
      </c>
      <c r="B4" s="88">
        <f>'Stats Global'!I5</f>
        <v>0</v>
      </c>
      <c r="C4" s="88">
        <f>'Stats Global'!J5+'Stats Global'!K5</f>
        <v>8</v>
      </c>
      <c r="D4" s="88">
        <f>'Stats Global'!P5</f>
        <v>1</v>
      </c>
      <c r="E4" s="85" t="s">
        <v>209</v>
      </c>
      <c r="F4" s="85" t="s">
        <v>209</v>
      </c>
      <c r="H4" s="86">
        <f>SUM(B4:B40)</f>
        <v>2</v>
      </c>
      <c r="I4" s="86">
        <f>SUM(C4:C40)</f>
        <v>20</v>
      </c>
      <c r="J4" s="83">
        <f>SUM(D4:D40)</f>
        <v>2</v>
      </c>
      <c r="L4" s="90">
        <f>'Stats Global'!N5</f>
        <v>0</v>
      </c>
      <c r="M4" s="90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2</v>
      </c>
    </row>
    <row r="5" spans="1:24" ht="14.25" customHeight="1" x14ac:dyDescent="0.45">
      <c r="A5" s="80" t="str">
        <f>'Stats Global'!B6</f>
        <v>12-July</v>
      </c>
      <c r="B5" s="88">
        <f>'Stats Global'!I6</f>
        <v>2</v>
      </c>
      <c r="C5" s="88">
        <f>'Stats Global'!J6+'Stats Global'!K6</f>
        <v>12</v>
      </c>
      <c r="D5" s="88">
        <f>'Stats Global'!P6</f>
        <v>1</v>
      </c>
      <c r="E5" s="85" t="s">
        <v>42</v>
      </c>
      <c r="F5" s="85" t="s">
        <v>52</v>
      </c>
      <c r="J5" s="89"/>
      <c r="L5" s="90">
        <f>'Stats Global'!N6</f>
        <v>0</v>
      </c>
      <c r="M5" s="90">
        <f>'Stats Global'!K6</f>
        <v>8</v>
      </c>
      <c r="N5" s="91"/>
      <c r="O5" s="89" t="s">
        <v>37</v>
      </c>
      <c r="P5" s="103">
        <f>'Stats Global'!AA12</f>
        <v>0</v>
      </c>
      <c r="Q5" s="103">
        <f>'Stats Global'!AB12</f>
        <v>0</v>
      </c>
      <c r="R5" s="103">
        <f>'Stats Global'!AC12</f>
        <v>0</v>
      </c>
      <c r="S5" s="103">
        <f>'Stats Global'!AD12</f>
        <v>0</v>
      </c>
      <c r="T5" s="103">
        <f>'Stats Global'!AE12</f>
        <v>0</v>
      </c>
      <c r="U5" s="103">
        <f>'Stats Global'!AF12</f>
        <v>0</v>
      </c>
      <c r="V5" s="103">
        <f>'Stats Global'!AG12</f>
        <v>0</v>
      </c>
      <c r="W5" s="103">
        <f>'Stats Global'!AH12</f>
        <v>0</v>
      </c>
      <c r="X5" s="103">
        <f>'Stats Global'!AJ12</f>
        <v>0</v>
      </c>
    </row>
    <row r="6" spans="1:24" ht="14.25" customHeight="1" x14ac:dyDescent="0.45">
      <c r="A6" s="80">
        <f>'Stats Global'!B7</f>
        <v>0</v>
      </c>
      <c r="B6" s="88">
        <f>'Stats Global'!I7</f>
        <v>0</v>
      </c>
      <c r="C6" s="88">
        <f>'Stats Global'!J7+'Stats Global'!K7</f>
        <v>0</v>
      </c>
      <c r="D6" s="88">
        <f>'Stats Global'!P7</f>
        <v>0</v>
      </c>
      <c r="E6" s="85"/>
      <c r="F6" s="85"/>
      <c r="I6" s="86"/>
      <c r="J6" s="89"/>
      <c r="L6" s="90">
        <f>'Stats Global'!N7</f>
        <v>0</v>
      </c>
      <c r="M6" s="90">
        <f>'Stats Global'!K7</f>
        <v>0</v>
      </c>
      <c r="N6" s="91"/>
      <c r="O6" s="89" t="s">
        <v>42</v>
      </c>
      <c r="P6" s="103">
        <f>'Stats Global'!AA13</f>
        <v>1</v>
      </c>
      <c r="Q6" s="103">
        <f>'Stats Global'!AB13</f>
        <v>0.5</v>
      </c>
      <c r="R6" s="103">
        <f>'Stats Global'!AC13</f>
        <v>1</v>
      </c>
      <c r="S6" s="103">
        <f>'Stats Global'!AD13</f>
        <v>0.5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0</v>
      </c>
    </row>
    <row r="7" spans="1:24" ht="14.25" customHeight="1" x14ac:dyDescent="0.45">
      <c r="A7" s="80">
        <f>'Stats Global'!B8</f>
        <v>0</v>
      </c>
      <c r="B7" s="88">
        <f>'Stats Global'!I8</f>
        <v>0</v>
      </c>
      <c r="C7" s="88">
        <f>'Stats Global'!J8+'Stats Global'!K8</f>
        <v>0</v>
      </c>
      <c r="D7" s="88">
        <f>'Stats Global'!P8</f>
        <v>0</v>
      </c>
      <c r="E7" s="85"/>
      <c r="F7" s="85"/>
      <c r="I7" s="86"/>
      <c r="J7" s="89"/>
      <c r="L7" s="90">
        <f>'Stats Global'!N8</f>
        <v>0</v>
      </c>
      <c r="M7" s="90">
        <f>'Stats Global'!K8</f>
        <v>0</v>
      </c>
      <c r="N7" s="91"/>
      <c r="O7" s="89" t="s">
        <v>52</v>
      </c>
      <c r="P7" s="103">
        <f>'Stats Global'!AA18</f>
        <v>2</v>
      </c>
      <c r="Q7" s="103">
        <f>'Stats Global'!AB18</f>
        <v>1</v>
      </c>
      <c r="R7" s="103">
        <f>'Stats Global'!AC18</f>
        <v>0</v>
      </c>
      <c r="S7" s="103">
        <f>'Stats Global'!AD18</f>
        <v>0</v>
      </c>
      <c r="T7" s="103">
        <f>'Stats Global'!AE18</f>
        <v>0</v>
      </c>
      <c r="U7" s="103">
        <f>'Stats Global'!AF18</f>
        <v>0</v>
      </c>
      <c r="V7" s="103">
        <f>'Stats Global'!AG18</f>
        <v>1</v>
      </c>
      <c r="W7" s="103">
        <f>'Stats Global'!AH18</f>
        <v>0.5</v>
      </c>
      <c r="X7" s="103">
        <f>'Stats Global'!AJ18</f>
        <v>0</v>
      </c>
    </row>
    <row r="8" spans="1:24" ht="14.25" customHeight="1" x14ac:dyDescent="0.45">
      <c r="A8" s="80">
        <f>'Stats Global'!B9</f>
        <v>0</v>
      </c>
      <c r="B8" s="88">
        <f>'Stats Global'!I9</f>
        <v>0</v>
      </c>
      <c r="C8" s="88">
        <f>'Stats Global'!J9+'Stats Global'!K9</f>
        <v>0</v>
      </c>
      <c r="D8" s="88">
        <f>'Stats Global'!P9</f>
        <v>0</v>
      </c>
      <c r="E8" s="85"/>
      <c r="F8" s="85"/>
      <c r="I8" s="86"/>
      <c r="J8" s="89"/>
      <c r="L8" s="90">
        <f>'Stats Global'!N9</f>
        <v>0</v>
      </c>
      <c r="M8" s="90">
        <f>'Stats Global'!K9</f>
        <v>0</v>
      </c>
      <c r="N8" s="91"/>
      <c r="O8" s="89" t="s">
        <v>204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7">
        <f>'Stats Global'!AA15</f>
        <v>0</v>
      </c>
      <c r="Q9" s="127">
        <f>'Stats Global'!AB15</f>
        <v>0</v>
      </c>
      <c r="R9" s="127">
        <f>'Stats Global'!AC15</f>
        <v>0</v>
      </c>
      <c r="S9" s="127">
        <f>'Stats Global'!AD15</f>
        <v>0</v>
      </c>
      <c r="T9" s="127">
        <f>'Stats Global'!AE15</f>
        <v>0</v>
      </c>
      <c r="U9" s="127">
        <f>'Stats Global'!AF15</f>
        <v>0</v>
      </c>
      <c r="V9" s="127">
        <f>'Stats Global'!AG15</f>
        <v>0</v>
      </c>
      <c r="W9" s="127">
        <f>'Stats Global'!AH15</f>
        <v>0</v>
      </c>
      <c r="X9" s="127">
        <f>'Stats Global'!AJ15</f>
        <v>0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202</v>
      </c>
      <c r="P10" s="127">
        <f>'Stats Global'!AA19</f>
        <v>0</v>
      </c>
      <c r="Q10" s="127">
        <f>'Stats Global'!AB19</f>
        <v>0</v>
      </c>
      <c r="R10" s="127">
        <f>'Stats Global'!AC19</f>
        <v>0</v>
      </c>
      <c r="S10" s="127">
        <f>'Stats Global'!AD19</f>
        <v>0</v>
      </c>
      <c r="T10" s="127">
        <f>'Stats Global'!AE19</f>
        <v>0</v>
      </c>
      <c r="U10" s="127">
        <f>'Stats Global'!AF19</f>
        <v>0</v>
      </c>
      <c r="V10" s="127">
        <f>'Stats Global'!AG19</f>
        <v>0</v>
      </c>
      <c r="W10" s="127">
        <f>'Stats Global'!AH19</f>
        <v>0</v>
      </c>
      <c r="X10" s="127">
        <f>'Stats Global'!AJ19</f>
        <v>1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J41" s="89"/>
      <c r="K41" s="81" t="s">
        <v>94</v>
      </c>
      <c r="L41" s="107">
        <f>SUM(L4:L40)</f>
        <v>0</v>
      </c>
      <c r="M41" s="107">
        <f>SUM(M4:M40)</f>
        <v>14</v>
      </c>
      <c r="N41" s="89"/>
      <c r="O41" s="89"/>
      <c r="P41" s="58"/>
    </row>
    <row r="42" spans="1:16" ht="14.25" customHeight="1" x14ac:dyDescent="0.45">
      <c r="L42" s="98">
        <f>L41/(M41+L41)</f>
        <v>0</v>
      </c>
      <c r="P42" s="58"/>
    </row>
    <row r="43" spans="1:16" ht="14.25" customHeight="1" x14ac:dyDescent="0.45">
      <c r="J43" s="99" t="str">
        <f>L43&amp;H4&amp;","&amp;I4&amp;"],"</f>
        <v>"PartA":[2,20],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Global'!AA23)/'Stats Global'!AA6,1)</f>
        <v>1.5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"PartB":[2,"Ryan Pattemore",1,"Lukas Johnston",0,"N/A",1,"Ryan Pattemore"],</v>
      </c>
      <c r="L44" s="81" t="s">
        <v>136</v>
      </c>
      <c r="N44" s="101">
        <f>MAX(Table1113[Points])</f>
        <v>2</v>
      </c>
      <c r="O44" s="81" t="str">
        <f>IF(N44&lt;&gt;0,IF(N44=P4,O4,IF(N44=P5,O5,IF(P6=N44,O6,IF(P7=N44,O7,IF(P8=N44,O8,IF(P9=N44,O9,O10)))))),"N/A")</f>
        <v>Ryan Pattemore</v>
      </c>
      <c r="P44" s="100">
        <f>ROUND(SUM('Stats Global'!AC11,'Stats Global'!AC12,'Stats Global'!AC13,'Stats Global'!AC15,'Stats Global'!AC19,'Stats Global'!AC18,'Stats Global'!AC23)/'Stats Global'!AA6,1)</f>
        <v>0.5</v>
      </c>
    </row>
    <row r="45" spans="1:16" ht="14.25" customHeight="1" x14ac:dyDescent="0.45">
      <c r="J45" s="81" t="str">
        <f>L45&amp;P43&amp;","&amp;P44&amp;","&amp;P45&amp;","&amp;P46&amp;","&amp;P47&amp;","&amp;P48&amp;"],"</f>
        <v>"PartC":[1.5,0.5,0,0.5,1,10],</v>
      </c>
      <c r="L45" s="81" t="s">
        <v>137</v>
      </c>
      <c r="N45" s="101">
        <f>MAX(Table1113[Finishes])</f>
        <v>1</v>
      </c>
      <c r="O45" s="81" t="str">
        <f>IF(N45&lt;&gt;0,IF(N45=R4,O4,IF(N45=R5,O5,IF(R6=N45,O6,IF(R7=N45,O7,IF(R8=N45,O8,IF(R9=N45,O9,O10)))))),"N/A")</f>
        <v>Lukas Johnston</v>
      </c>
      <c r="P45" s="100">
        <f>ROUND(SUM('Stats Global'!AE11,'Stats Global'!AE12,'Stats Global'!AE13,'Stats Global'!AE15,'Stats Global'!AE19,'Stats Global'!AE18,'Stats Global'!AE23)/'Stats Global'!AA6,1)</f>
        <v>0</v>
      </c>
    </row>
    <row r="46" spans="1:16" ht="14.25" customHeight="1" x14ac:dyDescent="0.45">
      <c r="J46" s="81" t="str">
        <f>L46&amp;'Statistics LG'!M41&amp;","&amp;'Statistics LG'!L41&amp;","&amp;ROUND((1-'Statistics LG'!L42)*100,1)&amp;","&amp;L41&amp;","&amp;M41&amp;","&amp;ROUND(L42*100,1)&amp;"],"</f>
        <v>"PartD":[1,6,14.3,0,14,0],</v>
      </c>
      <c r="L46" s="81" t="s">
        <v>138</v>
      </c>
      <c r="N46" s="101">
        <f>MAX(Table1113[Midranges])</f>
        <v>0</v>
      </c>
      <c r="O46" s="81" t="str">
        <f>IF(N46&lt;&gt;0,IF(N46=T4,O4,IF(N46=T5,O5,IF(T6=N46,O6,IF(T7=N46,O7,IF(T8=N46,O8,IF(T9=N46,O9,O10)))))),"N/A")</f>
        <v>N/A</v>
      </c>
      <c r="P46" s="100">
        <f>ROUND(SUM('Stats Global'!AG11,'Stats Global'!AG12,'Stats Global'!AG13,'Stats Global'!AG15,'Stats Global'!AG19,'Stats Global'!AG18,'Stats Global'!AG23)/'Stats Global'!AA6,1)</f>
        <v>0.5</v>
      </c>
    </row>
    <row r="47" spans="1:16" ht="14.25" customHeight="1" x14ac:dyDescent="0.45">
      <c r="N47" s="101">
        <f>MAX(Table1113[Threes])</f>
        <v>1</v>
      </c>
      <c r="O47" s="108" t="str">
        <f>IF(N47&lt;&gt;0,IF(N47=V4,O4,IF(N47=V5,O5,IF(V6=N47,O6,IF(V7=N47,O7,IF(V8=N47,O8,IF(V9=N47,O9,O10)))))),"N/A")</f>
        <v>Ryan Pattemore</v>
      </c>
      <c r="P47" s="81">
        <f>ROUND(H4/'Stats Global'!AA6,1)</f>
        <v>1</v>
      </c>
    </row>
    <row r="48" spans="1:16" ht="14.25" customHeight="1" x14ac:dyDescent="0.45">
      <c r="P48" s="81">
        <f>ROUND(I4/'Stats Global'!AA6,1)</f>
        <v>10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K32" sqref="K32:K35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194</v>
      </c>
      <c r="U3" s="58"/>
      <c r="V3" s="83"/>
      <c r="W3" s="83"/>
      <c r="X3" s="83"/>
    </row>
    <row r="4" spans="1:24" ht="14.25" customHeight="1" x14ac:dyDescent="0.45">
      <c r="A4" s="80" t="str">
        <f>'Stats Global'!B5</f>
        <v>11-July</v>
      </c>
      <c r="B4" s="88">
        <f>'Stats Global'!L5</f>
        <v>12</v>
      </c>
      <c r="C4" s="88">
        <f>'Stats Global'!M5+'Stats Global'!N5</f>
        <v>3</v>
      </c>
      <c r="D4" s="88">
        <f>'Stats Global'!Q5</f>
        <v>3</v>
      </c>
      <c r="E4" s="85" t="s">
        <v>30</v>
      </c>
      <c r="F4" s="85" t="s">
        <v>50</v>
      </c>
      <c r="H4" s="86">
        <f>SUM(B4:B40)</f>
        <v>27</v>
      </c>
      <c r="I4" s="86">
        <f>SUM(C4:C40)</f>
        <v>8</v>
      </c>
      <c r="J4" s="83">
        <f>SUM(D4:D40)</f>
        <v>6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80" t="str">
        <f>'Stats Global'!B6</f>
        <v>12-July</v>
      </c>
      <c r="B5" s="88">
        <f>'Stats Global'!L6</f>
        <v>15</v>
      </c>
      <c r="C5" s="88">
        <f>'Stats Global'!M6+'Stats Global'!N6</f>
        <v>5</v>
      </c>
      <c r="D5" s="88">
        <f>'Stats Global'!Q6</f>
        <v>3</v>
      </c>
      <c r="E5" s="85" t="s">
        <v>30</v>
      </c>
      <c r="F5" s="85" t="s">
        <v>50</v>
      </c>
      <c r="K5" s="89"/>
      <c r="L5" s="89" t="s">
        <v>50</v>
      </c>
      <c r="M5" s="103">
        <f>'Stats Global'!AA17</f>
        <v>12</v>
      </c>
      <c r="N5" s="103">
        <f>'Stats Global'!AB17</f>
        <v>6</v>
      </c>
      <c r="O5" s="103">
        <f>'Stats Global'!AC17</f>
        <v>1</v>
      </c>
      <c r="P5" s="103">
        <f>'Stats Global'!AD17</f>
        <v>0.5</v>
      </c>
      <c r="Q5" s="103">
        <f>'Stats Global'!AE17</f>
        <v>9</v>
      </c>
      <c r="R5" s="103">
        <f>'Stats Global'!AF17</f>
        <v>4.5</v>
      </c>
      <c r="S5" s="103">
        <f>'Stats Global'!AG17</f>
        <v>1</v>
      </c>
      <c r="T5" s="103">
        <f>'Stats Global'!AH17</f>
        <v>0.5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80">
        <f>'Stats Global'!B7</f>
        <v>0</v>
      </c>
      <c r="B6" s="88">
        <f>'Stats Global'!L7</f>
        <v>0</v>
      </c>
      <c r="C6" s="88">
        <f>'Stats Global'!M7+'Stats Global'!N7</f>
        <v>0</v>
      </c>
      <c r="D6" s="88">
        <f>'Stats Global'!Q7</f>
        <v>0</v>
      </c>
      <c r="E6" s="85"/>
      <c r="F6" s="85"/>
      <c r="H6" s="86"/>
      <c r="I6" s="102"/>
      <c r="K6" s="89"/>
      <c r="L6" s="89" t="s">
        <v>30</v>
      </c>
      <c r="M6" s="103">
        <f>'Stats Global'!AA10</f>
        <v>12</v>
      </c>
      <c r="N6" s="103">
        <f>'Stats Global'!AB10</f>
        <v>6</v>
      </c>
      <c r="O6" s="103">
        <f>'Stats Global'!AC10</f>
        <v>10</v>
      </c>
      <c r="P6" s="103">
        <f>'Stats Global'!AD10</f>
        <v>5</v>
      </c>
      <c r="Q6" s="103">
        <f>'Stats Global'!AE10</f>
        <v>0</v>
      </c>
      <c r="R6" s="103">
        <f>'Stats Global'!AF10</f>
        <v>0</v>
      </c>
      <c r="S6" s="103">
        <f>'Stats Global'!AG10</f>
        <v>1</v>
      </c>
      <c r="T6" s="103">
        <f>'Stats Global'!AH10</f>
        <v>0.5</v>
      </c>
      <c r="U6" s="103">
        <f>'Stats Global'!AJ10</f>
        <v>0</v>
      </c>
      <c r="V6" s="89"/>
      <c r="W6" s="89"/>
      <c r="X6" s="89"/>
    </row>
    <row r="7" spans="1:24" ht="14.25" customHeight="1" x14ac:dyDescent="0.45">
      <c r="A7" s="80">
        <f>'Stats Global'!B8</f>
        <v>0</v>
      </c>
      <c r="B7" s="88">
        <f>'Stats Global'!L8</f>
        <v>0</v>
      </c>
      <c r="C7" s="88">
        <f>'Stats Global'!M8+'Stats Global'!N8</f>
        <v>0</v>
      </c>
      <c r="D7" s="88">
        <f>'Stats Global'!Q8</f>
        <v>0</v>
      </c>
      <c r="E7" s="85"/>
      <c r="F7" s="85"/>
      <c r="H7" s="86"/>
      <c r="I7" s="102"/>
      <c r="K7" s="89"/>
      <c r="L7" s="89" t="s">
        <v>55</v>
      </c>
      <c r="M7" s="103">
        <f>'Stats Global'!AA20</f>
        <v>4</v>
      </c>
      <c r="N7" s="103">
        <f>'Stats Global'!AB20</f>
        <v>2</v>
      </c>
      <c r="O7" s="103">
        <f>'Stats Global'!AC20</f>
        <v>2</v>
      </c>
      <c r="P7" s="103">
        <f>'Stats Global'!AD20</f>
        <v>1</v>
      </c>
      <c r="Q7" s="103">
        <f>'Stats Global'!AE20</f>
        <v>0</v>
      </c>
      <c r="R7" s="103">
        <f>'Stats Global'!AF20</f>
        <v>0</v>
      </c>
      <c r="S7" s="103">
        <f>'Stats Global'!AG20</f>
        <v>1</v>
      </c>
      <c r="T7" s="103">
        <f>'Stats Global'!AH20</f>
        <v>0.5</v>
      </c>
      <c r="U7" s="103">
        <f>'Stats Global'!AJ20</f>
        <v>0</v>
      </c>
      <c r="V7" s="89"/>
      <c r="W7" s="89"/>
      <c r="X7" s="89"/>
    </row>
    <row r="8" spans="1:24" ht="14.25" customHeight="1" x14ac:dyDescent="0.45">
      <c r="A8" s="80">
        <f>'Stats Global'!B9</f>
        <v>0</v>
      </c>
      <c r="B8" s="88">
        <f>'Stats Global'!L9</f>
        <v>0</v>
      </c>
      <c r="C8" s="88">
        <f>'Stats Global'!M9+'Stats Global'!N9</f>
        <v>0</v>
      </c>
      <c r="D8" s="88">
        <f>'Stats Global'!Q9</f>
        <v>0</v>
      </c>
      <c r="E8" s="85"/>
      <c r="F8" s="85"/>
      <c r="H8" s="86"/>
      <c r="I8" s="102"/>
      <c r="K8" s="89"/>
      <c r="L8" s="89" t="s">
        <v>115</v>
      </c>
      <c r="M8" s="103">
        <f>'Stats Global'!AA14</f>
        <v>2</v>
      </c>
      <c r="N8" s="103">
        <f>'Stats Global'!AB14</f>
        <v>1</v>
      </c>
      <c r="O8" s="103">
        <f>'Stats Global'!AC14</f>
        <v>1</v>
      </c>
      <c r="P8" s="103">
        <f>'Stats Global'!AD14</f>
        <v>0.5</v>
      </c>
      <c r="Q8" s="103">
        <f>'Stats Global'!AE14</f>
        <v>1</v>
      </c>
      <c r="R8" s="103">
        <f>'Stats Global'!AF14</f>
        <v>0.5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0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"PartA":[27,8],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Global'!AA24)/'Stats Global'!AA6,1)</f>
        <v>15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"PartB":[12,"Samuel McConaghy",10,"Alexander Galt",9,"Samuel McConaghy",1,"Samuel McConaghy"],</v>
      </c>
      <c r="M33" s="81" t="s">
        <v>136</v>
      </c>
      <c r="O33" s="101">
        <f>MAX(Table11[Points])</f>
        <v>12</v>
      </c>
      <c r="P33" s="81" t="str">
        <f>IF(O33&lt;&gt;0,IF(O33=M5,L5,IF(O33=M6,L6,IF(M7=O33,L7,IF(M8=O33,L8,L9)))),"N/A")</f>
        <v>Samuel McConaghy</v>
      </c>
      <c r="Q33" s="100">
        <f>ROUND(SUM('Stats Global'!AC10,'Stats Global'!AC14,'Stats Global'!AC17,'Stats Global'!AC20,'Stats Global'!AC24)/'Stats Global'!AA6,1)</f>
        <v>7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"PartC":[15,7,5,1.5,13.5,4],</v>
      </c>
      <c r="M34" s="81" t="s">
        <v>137</v>
      </c>
      <c r="O34" s="101">
        <f>MAX(Table11[Finishes])</f>
        <v>10</v>
      </c>
      <c r="P34" s="81" t="str">
        <f>IF(O34&lt;&gt;0,IF(O34=O5,L5,IF(O34=O6,L6,IF(O7=O34,L7,IF(O8=O34,L8,L9)))),"N/A")</f>
        <v>Alexander Galt</v>
      </c>
      <c r="Q34" s="100">
        <f>ROUND(SUM('Stats Global'!AE10,'Stats Global'!AE14,'Stats Global'!AE17,'Stats Global'!AE20,'Stats Global'!AE24)/'Stats Global'!AA6,1)</f>
        <v>5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str">
        <f>M35&amp;'Statistics LG'!P41&amp;","&amp;'Statistics LG'!O41&amp;","&amp;ROUND((1-'Statistics LG'!O42)*100,1)&amp;","&amp;'Statistics WW'!M41&amp;","&amp;'Statistics WW'!L41&amp;","&amp;ROUND((1-'Statistics WW'!L42)*100,1)&amp;"],"</f>
        <v>"PartD":[13,8,61.9,14,0,100],</v>
      </c>
      <c r="M35" s="81" t="s">
        <v>138</v>
      </c>
      <c r="O35" s="101">
        <f>MAX(Table11[Midranges])</f>
        <v>9</v>
      </c>
      <c r="P35" s="81" t="str">
        <f>IF(O35&lt;&gt;0,IF(O35=Q5,L5,IF(O35=Q6,L6,IF(Q7=O35,L7,IF(Q8=O35,L8,L9)))),"N/A")</f>
        <v>Samuel McConaghy</v>
      </c>
      <c r="Q35" s="100">
        <f>ROUND(SUM('Stats Global'!AG10,'Stats Global'!AG14,'Stats Global'!AG17,'Stats Global'!AG20,'Stats Global'!AG24)/'Stats Global'!AA6,1)</f>
        <v>1.5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1</v>
      </c>
      <c r="P36" s="81" t="str">
        <f>IF(O36&lt;&gt;0,IF(O36=S5,L5,IF(O36=S6,L6,IF(S7=O36,L7,IF(S8=O36,L8,L9)))),"N/A")</f>
        <v>Samuel McConaghy</v>
      </c>
      <c r="Q36" s="81">
        <f>ROUND(H4/'Stats Global'!AA6,1)</f>
        <v>13.5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4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/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topLeftCell="A16" workbookViewId="0">
      <selection activeCell="B43" sqref="B43:Q45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161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3" si="0">COUNTIF($E$3:$E$40, Q3)+U3</f>
        <v>0</v>
      </c>
      <c r="S3" s="10">
        <f t="shared" ref="S3:S13" si="1">COUNTIFS($E$3:$E$40, $Q3,$F$3:$F$40,"Finish")</f>
        <v>0</v>
      </c>
      <c r="T3" s="10">
        <f t="shared" ref="T3:T13" si="2">COUNTIFS($E$3:$E$40, $Q3,$F$3:$F$40,"Midrange")</f>
        <v>0</v>
      </c>
      <c r="U3" s="10">
        <f t="shared" ref="U3:U13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202</v>
      </c>
      <c r="R14" s="9">
        <f t="shared" ref="R14:R19" si="8">COUNTIF($E$3:$E$40, Q14)+U14</f>
        <v>0</v>
      </c>
      <c r="S14" s="10">
        <f t="shared" ref="S14:S19" si="9">COUNTIFS($E$3:$E$40, $Q14,$F$3:$F$40,"Finish")</f>
        <v>0</v>
      </c>
      <c r="T14" s="10">
        <f t="shared" ref="T14:T19" si="10">COUNTIFS($E$3:$E$40, $Q14,$F$3:$F$40,"Midrange")</f>
        <v>0</v>
      </c>
      <c r="U14" s="10">
        <f t="shared" ref="U14:U19" si="11">COUNTIFS($E$3:$E$40, $Q14,$F$3:$F$40,"Three Pointer")</f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8"/>
        <v>0</v>
      </c>
      <c r="S15" s="10">
        <f t="shared" si="9"/>
        <v>0</v>
      </c>
      <c r="T15" s="10">
        <f t="shared" si="10"/>
        <v>0</v>
      </c>
      <c r="U15" s="10">
        <f t="shared" si="11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8"/>
        <v>0</v>
      </c>
      <c r="S16" s="10">
        <f t="shared" si="9"/>
        <v>0</v>
      </c>
      <c r="T16" s="10">
        <f t="shared" si="10"/>
        <v>0</v>
      </c>
      <c r="U16" s="10">
        <f t="shared" si="11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8"/>
        <v>0</v>
      </c>
      <c r="S17" s="10">
        <f t="shared" si="9"/>
        <v>0</v>
      </c>
      <c r="T17" s="10">
        <f t="shared" si="10"/>
        <v>0</v>
      </c>
      <c r="U17" s="10">
        <f t="shared" si="11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8"/>
        <v>0</v>
      </c>
      <c r="S18" s="10">
        <f t="shared" si="9"/>
        <v>0</v>
      </c>
      <c r="T18" s="10">
        <f t="shared" si="10"/>
        <v>0</v>
      </c>
      <c r="U18" s="10">
        <f t="shared" si="11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8"/>
        <v>0</v>
      </c>
      <c r="S19" s="10">
        <f t="shared" si="9"/>
        <v>0</v>
      </c>
      <c r="T19" s="10">
        <f t="shared" si="10"/>
        <v>0</v>
      </c>
      <c r="U19" s="10">
        <f t="shared" si="11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2">IF($V3, CHAR(34)&amp;"Did not Play"&amp;CHAR(34), S3)&amp;","</f>
        <v>0,</v>
      </c>
      <c r="T23" s="17" t="str">
        <f t="shared" si="12"/>
        <v>0,</v>
      </c>
      <c r="U23" s="17" t="str">
        <f t="shared" si="12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29" si="13">IF($V4, CHAR(34)&amp;"Did not Play"&amp;CHAR(34), R4)&amp;","</f>
        <v>0,</v>
      </c>
      <c r="S24" s="17" t="str">
        <f t="shared" si="13"/>
        <v>0,</v>
      </c>
      <c r="T24" s="17" t="str">
        <f t="shared" si="13"/>
        <v>0,</v>
      </c>
      <c r="U24" s="17" t="str">
        <f t="shared" si="13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3"/>
        <v>0,</v>
      </c>
      <c r="S25" s="17" t="str">
        <f t="shared" si="13"/>
        <v>0,</v>
      </c>
      <c r="T25" s="17" t="str">
        <f t="shared" si="13"/>
        <v>0,</v>
      </c>
      <c r="U25" s="17" t="str">
        <f t="shared" si="13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3"/>
        <v>0,</v>
      </c>
      <c r="S26" s="17" t="str">
        <f t="shared" si="13"/>
        <v>0,</v>
      </c>
      <c r="T26" s="17" t="str">
        <f t="shared" si="13"/>
        <v>0,</v>
      </c>
      <c r="U26" s="17" t="str">
        <f t="shared" si="13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3"/>
        <v>0,</v>
      </c>
      <c r="S27" s="17" t="str">
        <f t="shared" si="13"/>
        <v>0,</v>
      </c>
      <c r="T27" s="17" t="str">
        <f t="shared" si="13"/>
        <v>0,</v>
      </c>
      <c r="U27" s="17" t="str">
        <f t="shared" si="13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3"/>
        <v>0,</v>
      </c>
      <c r="S28" s="17" t="str">
        <f t="shared" si="13"/>
        <v>0,</v>
      </c>
      <c r="T28" s="17" t="str">
        <f t="shared" si="13"/>
        <v>0,</v>
      </c>
      <c r="U28" s="17" t="str">
        <f t="shared" si="13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3"/>
        <v>0,</v>
      </c>
      <c r="S29" s="17" t="str">
        <f t="shared" si="13"/>
        <v>0,</v>
      </c>
      <c r="T29" s="17" t="str">
        <f t="shared" si="13"/>
        <v>0,</v>
      </c>
      <c r="U29" s="17" t="str">
        <f t="shared" si="13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ref="R30:U31" si="14">IF($V10, CHAR(34)&amp;"Did not Play"&amp;CHAR(34), R10)&amp;","</f>
        <v>"Did not Play",</v>
      </c>
      <c r="S30" s="17" t="str">
        <f t="shared" si="14"/>
        <v>"Did not Play",</v>
      </c>
      <c r="T30" s="17" t="str">
        <f t="shared" si="14"/>
        <v>"Did not Play",</v>
      </c>
      <c r="U30" s="17" t="str">
        <f t="shared" si="14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4"/>
        <v>0,</v>
      </c>
      <c r="S31" s="17" t="str">
        <f t="shared" si="14"/>
        <v>0,</v>
      </c>
      <c r="T31" s="17" t="str">
        <f t="shared" si="14"/>
        <v>0,</v>
      </c>
      <c r="U31" s="17" t="str">
        <f t="shared" si="14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ref="R32:U32" si="15">IF($V12, CHAR(34)&amp;"Did not Play"&amp;CHAR(34), R12)&amp;","</f>
        <v>0,</v>
      </c>
      <c r="S32" s="17" t="str">
        <f t="shared" si="15"/>
        <v>0,</v>
      </c>
      <c r="T32" s="17" t="str">
        <f t="shared" si="15"/>
        <v>0,</v>
      </c>
      <c r="U32" s="17" t="str">
        <f t="shared" si="15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ref="R33:U33" si="16">IF($V13, CHAR(34)&amp;"Did not Play"&amp;CHAR(34), R13)&amp;","</f>
        <v>0,</v>
      </c>
      <c r="S33" s="17" t="str">
        <f t="shared" si="16"/>
        <v>0,</v>
      </c>
      <c r="T33" s="17" t="str">
        <f t="shared" si="16"/>
        <v>0,</v>
      </c>
      <c r="U33" s="17" t="str">
        <f t="shared" si="16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ref="R34:U34" si="17">IF($V14, CHAR(34)&amp;"Did not Play"&amp;CHAR(34), R14)&amp;","</f>
        <v>0,</v>
      </c>
      <c r="S34" s="17" t="str">
        <f t="shared" si="17"/>
        <v>0,</v>
      </c>
      <c r="T34" s="17" t="str">
        <f t="shared" si="17"/>
        <v>0,</v>
      </c>
      <c r="U34" s="17" t="str">
        <f t="shared" si="17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ref="R35:U35" si="18">IF($V15, CHAR(34)&amp;"Did not Play"&amp;CHAR(34), R15)&amp;","</f>
        <v>0,</v>
      </c>
      <c r="S35" s="17" t="str">
        <f t="shared" si="18"/>
        <v>0,</v>
      </c>
      <c r="T35" s="17" t="str">
        <f t="shared" si="18"/>
        <v>0,</v>
      </c>
      <c r="U35" s="17" t="str">
        <f t="shared" si="18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ref="R36:U36" si="19">IF($V16, CHAR(34)&amp;"Did not Play"&amp;CHAR(34), R16)&amp;","</f>
        <v>0,</v>
      </c>
      <c r="S36" s="17" t="str">
        <f t="shared" si="19"/>
        <v>0,</v>
      </c>
      <c r="T36" s="17" t="str">
        <f t="shared" si="19"/>
        <v>0,</v>
      </c>
      <c r="U36" s="17" t="str">
        <f t="shared" si="1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ref="R37:U37" si="20">IF($V17, CHAR(34)&amp;"Did not Play"&amp;CHAR(34), R17)&amp;","</f>
        <v>0,</v>
      </c>
      <c r="S37" s="17" t="str">
        <f t="shared" si="20"/>
        <v>0,</v>
      </c>
      <c r="T37" s="17" t="str">
        <f t="shared" si="20"/>
        <v>0,</v>
      </c>
      <c r="U37" s="17" t="str">
        <f t="shared" si="20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ref="R38:U38" si="21">IF($V18, CHAR(34)&amp;"Did not Play"&amp;CHAR(34), R18)&amp;","</f>
        <v>0,</v>
      </c>
      <c r="S38" s="17" t="str">
        <f t="shared" si="21"/>
        <v>0,</v>
      </c>
      <c r="T38" s="17" t="str">
        <f t="shared" si="21"/>
        <v>0,</v>
      </c>
      <c r="U38" s="17" t="str">
        <f t="shared" si="21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2" t="s">
        <v>119</v>
      </c>
      <c r="U41" s="132"/>
      <c r="V41" s="132"/>
    </row>
    <row r="42" spans="2:26" ht="14.25" customHeight="1" x14ac:dyDescent="0.9">
      <c r="R42" s="104"/>
      <c r="S42" s="104"/>
      <c r="T42" s="132"/>
      <c r="U42" s="132"/>
      <c r="V42" s="132"/>
    </row>
    <row r="43" spans="2:26" ht="14.25" customHeight="1" x14ac:dyDescent="0.45">
      <c r="B43" s="17" t="s">
        <v>171</v>
      </c>
      <c r="T43" s="74" t="s">
        <v>169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172</v>
      </c>
      <c r="G44" s="105" t="s">
        <v>178</v>
      </c>
      <c r="H44" s="105" t="s">
        <v>179</v>
      </c>
      <c r="I44" s="17" t="s">
        <v>173</v>
      </c>
      <c r="J44" s="17" t="s">
        <v>180</v>
      </c>
      <c r="K44" s="105" t="s">
        <v>181</v>
      </c>
      <c r="L44" s="17" t="s">
        <v>174</v>
      </c>
      <c r="M44" s="105" t="s">
        <v>182</v>
      </c>
      <c r="N44" s="105" t="s">
        <v>183</v>
      </c>
      <c r="O44" s="17" t="s">
        <v>175</v>
      </c>
      <c r="P44" s="17" t="s">
        <v>176</v>
      </c>
      <c r="Q44" s="17" t="s">
        <v>177</v>
      </c>
      <c r="T44" s="17" t="str">
        <f>CHAR(34)&amp;"Date"&amp;CHAR(34)&amp;":["&amp;CHAR(34)&amp;""&amp;C2&amp;""&amp;CHAR(34)&amp;"],"</f>
        <v>"Date":["24-May"],</v>
      </c>
    </row>
    <row r="45" spans="2:26" ht="14.25" customHeight="1" x14ac:dyDescent="0.45">
      <c r="B45" s="79" t="str">
        <f>C2</f>
        <v>24-May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"Points":[0,0,0,0,0,0,0,"Did not Play",0,0,0,0,0,0,0,0,0],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"Finishes":[0,0,0,0,0,0,0,"Did not Play",0,0,0,0,0,0,0,0,0],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"Midrange":[0,0,0,0,0,0,0,"Did not Play",0,0,0,0,0,0,0,0,0],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74" t="s">
        <v>170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N24" sqref="N24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206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206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207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206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206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206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207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206</v>
      </c>
      <c r="G14" s="26">
        <v>2</v>
      </c>
      <c r="H14" s="26">
        <v>6</v>
      </c>
      <c r="I14" s="26">
        <v>2</v>
      </c>
      <c r="Q14" s="2" t="s">
        <v>202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206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206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206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206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si="5"/>
        <v/>
      </c>
      <c r="Y21" s="54" t="str">
        <f t="shared" si="6"/>
        <v/>
      </c>
      <c r="Z21" s="54" t="str">
        <f t="shared" si="7"/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207</v>
      </c>
      <c r="G22" s="26">
        <v>1</v>
      </c>
      <c r="H22" s="26">
        <v>1</v>
      </c>
      <c r="I22" s="26">
        <v>1</v>
      </c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206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206</v>
      </c>
      <c r="G24" s="26">
        <v>1</v>
      </c>
      <c r="H24" s="26">
        <v>1</v>
      </c>
      <c r="I24" s="26">
        <v>1</v>
      </c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206</v>
      </c>
      <c r="G25" s="26">
        <v>1</v>
      </c>
      <c r="H25" s="26">
        <v>1</v>
      </c>
      <c r="I25" s="26">
        <v>1</v>
      </c>
      <c r="Q25" s="7"/>
      <c r="R25" s="17" t="str">
        <f t="shared" si="9"/>
        <v>7,</v>
      </c>
      <c r="S25" s="17" t="str">
        <f t="shared" si="9"/>
        <v>7,</v>
      </c>
      <c r="T25" s="17" t="str">
        <f t="shared" si="9"/>
        <v>0,</v>
      </c>
      <c r="U25" s="17" t="str">
        <f t="shared" si="9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206</v>
      </c>
      <c r="G26" s="26">
        <v>2</v>
      </c>
      <c r="H26" s="26">
        <v>2</v>
      </c>
      <c r="I26" s="26">
        <v>1</v>
      </c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9"/>
        <v>1,</v>
      </c>
      <c r="S28" s="17" t="str">
        <f t="shared" si="9"/>
        <v>1,</v>
      </c>
      <c r="T28" s="17" t="str">
        <f t="shared" si="9"/>
        <v>0,</v>
      </c>
      <c r="U28" s="17" t="str">
        <f t="shared" si="9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206</v>
      </c>
      <c r="G29" s="26">
        <v>5</v>
      </c>
      <c r="H29" s="26">
        <v>3</v>
      </c>
      <c r="I29" s="26">
        <v>1</v>
      </c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6,</v>
      </c>
      <c r="S32" s="17" t="str">
        <f t="shared" si="9"/>
        <v>1,</v>
      </c>
      <c r="T32" s="17" t="str">
        <f t="shared" si="9"/>
        <v>5,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0,</v>
      </c>
      <c r="U33" s="17" t="str">
        <f t="shared" si="9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2,</v>
      </c>
      <c r="S35" s="17" t="str">
        <f t="shared" si="9"/>
        <v>2,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5,</v>
      </c>
      <c r="S36" s="17" t="str">
        <f t="shared" si="9"/>
        <v>2,</v>
      </c>
      <c r="T36" s="17" t="str">
        <f t="shared" si="9"/>
        <v>1,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6,</v>
      </c>
      <c r="S37" s="17" t="str">
        <f t="shared" si="9"/>
        <v>3,</v>
      </c>
      <c r="T37" s="17" t="str">
        <f t="shared" si="9"/>
        <v>1,</v>
      </c>
      <c r="U37" s="17" t="str">
        <f t="shared" si="9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2" t="s">
        <v>119</v>
      </c>
      <c r="U41" s="132"/>
      <c r="V41" s="132"/>
    </row>
    <row r="42" spans="2:26" ht="14.25" customHeight="1" x14ac:dyDescent="0.9">
      <c r="R42" s="104"/>
      <c r="S42" s="104"/>
      <c r="T42" s="132"/>
      <c r="U42" s="132"/>
      <c r="V42" s="132"/>
    </row>
    <row r="43" spans="2:26" ht="14.25" customHeight="1" x14ac:dyDescent="0.45">
      <c r="B43" s="17" t="s">
        <v>171</v>
      </c>
      <c r="T43" s="74" t="s">
        <v>169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172</v>
      </c>
      <c r="G44" s="105" t="s">
        <v>178</v>
      </c>
      <c r="H44" s="105" t="s">
        <v>179</v>
      </c>
      <c r="I44" s="17" t="s">
        <v>173</v>
      </c>
      <c r="J44" s="17" t="s">
        <v>180</v>
      </c>
      <c r="K44" s="105" t="s">
        <v>181</v>
      </c>
      <c r="L44" s="17" t="s">
        <v>174</v>
      </c>
      <c r="M44" s="105" t="s">
        <v>182</v>
      </c>
      <c r="N44" s="105" t="s">
        <v>183</v>
      </c>
      <c r="O44" s="17" t="s">
        <v>175</v>
      </c>
      <c r="P44" s="17" t="s">
        <v>176</v>
      </c>
      <c r="Q44" s="17" t="s">
        <v>177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4" t="s">
        <v>170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A22" workbookViewId="0">
      <selection activeCell="B43" sqref="B43:Q45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>LG/5M</v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206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207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206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206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207</v>
      </c>
      <c r="G14" s="26">
        <v>9</v>
      </c>
      <c r="H14" s="26">
        <v>5</v>
      </c>
      <c r="I14" s="26">
        <v>1</v>
      </c>
      <c r="Q14" s="2" t="s">
        <v>202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206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207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207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206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1,</v>
      </c>
      <c r="T24" s="17" t="str">
        <f t="shared" si="9"/>
        <v>1,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5,</v>
      </c>
      <c r="S25" s="17" t="str">
        <f t="shared" si="9"/>
        <v>3,</v>
      </c>
      <c r="T25" s="17" t="str">
        <f t="shared" si="9"/>
        <v>0,</v>
      </c>
      <c r="U25" s="17" t="str">
        <f t="shared" si="9"/>
        <v>1,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9"/>
        <v>2,</v>
      </c>
      <c r="S29" s="17" t="str">
        <f t="shared" si="9"/>
        <v>1,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1,</v>
      </c>
      <c r="T31" s="17" t="str">
        <f t="shared" si="9"/>
        <v>0,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6,</v>
      </c>
      <c r="S32" s="17" t="str">
        <f t="shared" si="9"/>
        <v>0,</v>
      </c>
      <c r="T32" s="17" t="str">
        <f t="shared" si="9"/>
        <v>4,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2,</v>
      </c>
      <c r="S35" s="17" t="str">
        <f t="shared" si="9"/>
        <v>0,</v>
      </c>
      <c r="T35" s="17" t="str">
        <f t="shared" si="9"/>
        <v>0,</v>
      </c>
      <c r="U35" s="17" t="str">
        <f t="shared" si="9"/>
        <v>1,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2" t="s">
        <v>119</v>
      </c>
      <c r="U41" s="132"/>
      <c r="V41" s="132"/>
    </row>
    <row r="42" spans="2:26" ht="14.25" customHeight="1" x14ac:dyDescent="0.9">
      <c r="R42" s="104"/>
      <c r="S42" s="104"/>
      <c r="T42" s="132"/>
      <c r="U42" s="132"/>
      <c r="V42" s="132"/>
    </row>
    <row r="43" spans="2:26" ht="14.25" customHeight="1" x14ac:dyDescent="0.45">
      <c r="B43" s="17" t="s">
        <v>171</v>
      </c>
      <c r="T43" s="74" t="s">
        <v>169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172</v>
      </c>
      <c r="G44" s="105" t="s">
        <v>178</v>
      </c>
      <c r="H44" s="105" t="s">
        <v>179</v>
      </c>
      <c r="I44" s="17" t="s">
        <v>173</v>
      </c>
      <c r="J44" s="17" t="s">
        <v>180</v>
      </c>
      <c r="K44" s="105" t="s">
        <v>181</v>
      </c>
      <c r="L44" s="17" t="s">
        <v>174</v>
      </c>
      <c r="M44" s="105" t="s">
        <v>182</v>
      </c>
      <c r="N44" s="105" t="s">
        <v>183</v>
      </c>
      <c r="O44" s="17" t="s">
        <v>175</v>
      </c>
      <c r="P44" s="17" t="s">
        <v>176</v>
      </c>
      <c r="Q44" s="17" t="s">
        <v>177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170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SfW</vt:lpstr>
      <vt:lpstr>Stats Global</vt:lpstr>
      <vt:lpstr>Statistics LG</vt:lpstr>
      <vt:lpstr>Statistics WW</vt:lpstr>
      <vt:lpstr>Statistics 5M</vt:lpstr>
      <vt:lpstr>Template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2023-07-12T04:40:52Z</dcterms:modified>
</cp:coreProperties>
</file>