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1DD0DDF8-9CCB-4DBF-B897-E153225EFB6A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807" sheetId="12" r:id="rId7"/>
    <sheet name="1707" sheetId="11" r:id="rId8"/>
    <sheet name="Preseason 3" sheetId="10" r:id="rId9"/>
    <sheet name="Preseason 2" sheetId="9" r:id="rId10"/>
    <sheet name="Preseason 1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J10" i="3" s="1"/>
  <c r="AT32" i="3"/>
  <c r="AT33" i="3"/>
  <c r="AT34" i="3"/>
  <c r="AJ13" i="3" s="1"/>
  <c r="AT35" i="3"/>
  <c r="AJ14" i="3" s="1"/>
  <c r="AT36" i="3"/>
  <c r="AJ15" i="3" s="1"/>
  <c r="AT37" i="3"/>
  <c r="AT38" i="3"/>
  <c r="AT39" i="3"/>
  <c r="AT40" i="3"/>
  <c r="AT41" i="3"/>
  <c r="AT42" i="3"/>
  <c r="AJ21" i="3" s="1"/>
  <c r="AT43" i="3"/>
  <c r="AJ22" i="3" s="1"/>
  <c r="AT44" i="3"/>
  <c r="AJ23" i="3" s="1"/>
  <c r="AT45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R16" i="12"/>
  <c r="R36" i="12" s="1"/>
  <c r="Z15" i="12"/>
  <c r="Y15" i="12"/>
  <c r="X15" i="12"/>
  <c r="U15" i="12"/>
  <c r="U35" i="12" s="1"/>
  <c r="T15" i="12"/>
  <c r="T35" i="12" s="1"/>
  <c r="S15" i="12"/>
  <c r="S35" i="12" s="1"/>
  <c r="R15" i="12"/>
  <c r="R35" i="12" s="1"/>
  <c r="Z14" i="12"/>
  <c r="Y14" i="12"/>
  <c r="X14" i="12"/>
  <c r="U14" i="12"/>
  <c r="U34" i="12" s="1"/>
  <c r="T14" i="12"/>
  <c r="T34" i="12" s="1"/>
  <c r="S14" i="12"/>
  <c r="S34" i="12" s="1"/>
  <c r="R14" i="12"/>
  <c r="R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R7" i="12"/>
  <c r="R27" i="12" s="1"/>
  <c r="Z6" i="12"/>
  <c r="Y6" i="12"/>
  <c r="X6" i="12"/>
  <c r="U6" i="12"/>
  <c r="U26" i="12" s="1"/>
  <c r="T6" i="12"/>
  <c r="T26" i="12" s="1"/>
  <c r="S6" i="12"/>
  <c r="S26" i="12" s="1"/>
  <c r="R6" i="12"/>
  <c r="R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K45" i="12" s="1"/>
  <c r="Y4" i="12"/>
  <c r="G45" i="12" s="1"/>
  <c r="X4" i="12"/>
  <c r="M45" i="12" s="1"/>
  <c r="U4" i="12"/>
  <c r="U24" i="12" s="1"/>
  <c r="T4" i="12"/>
  <c r="T24" i="12" s="1"/>
  <c r="S4" i="12"/>
  <c r="S24" i="12" s="1"/>
  <c r="R4" i="12"/>
  <c r="R24" i="12" s="1"/>
  <c r="M4" i="12"/>
  <c r="L4" i="12"/>
  <c r="L45" i="12" s="1"/>
  <c r="U3" i="12"/>
  <c r="U23" i="12" s="1"/>
  <c r="T3" i="12"/>
  <c r="T23" i="12" s="1"/>
  <c r="S3" i="12"/>
  <c r="S23" i="12" s="1"/>
  <c r="T46" i="12" s="1"/>
  <c r="R3" i="12"/>
  <c r="R23" i="12" s="1"/>
  <c r="M3" i="12"/>
  <c r="L3" i="12"/>
  <c r="E45" i="12" s="1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8" i="3"/>
  <c r="AJ9" i="3"/>
  <c r="AJ11" i="3"/>
  <c r="AJ12" i="3"/>
  <c r="AJ16" i="3"/>
  <c r="AJ17" i="3"/>
  <c r="AJ18" i="3"/>
  <c r="AJ19" i="3"/>
  <c r="AJ20" i="3"/>
  <c r="AJ24" i="3"/>
  <c r="C4" i="5"/>
  <c r="AM41" i="3" l="1"/>
  <c r="AM33" i="3"/>
  <c r="AN42" i="3"/>
  <c r="AN34" i="3"/>
  <c r="AO43" i="3"/>
  <c r="AO35" i="3"/>
  <c r="AM40" i="3"/>
  <c r="AM32" i="3"/>
  <c r="AN41" i="3"/>
  <c r="AN33" i="3"/>
  <c r="AO42" i="3"/>
  <c r="AO34" i="3"/>
  <c r="AM39" i="3"/>
  <c r="AM31" i="3"/>
  <c r="AN40" i="3"/>
  <c r="AN32" i="3"/>
  <c r="AO41" i="3"/>
  <c r="AO33" i="3"/>
  <c r="AM38" i="3"/>
  <c r="AC17" i="3" s="1"/>
  <c r="AM30" i="3"/>
  <c r="AC9" i="3" s="1"/>
  <c r="AN39" i="3"/>
  <c r="AN31" i="3"/>
  <c r="AO40" i="3"/>
  <c r="AG19" i="3" s="1"/>
  <c r="AO32" i="3"/>
  <c r="AG11" i="3" s="1"/>
  <c r="AM45" i="3"/>
  <c r="AM37" i="3"/>
  <c r="AM29" i="3"/>
  <c r="AQ29" i="3" s="1"/>
  <c r="AN38" i="3"/>
  <c r="AN30" i="3"/>
  <c r="AO39" i="3"/>
  <c r="AO31" i="3"/>
  <c r="AM44" i="3"/>
  <c r="AM36" i="3"/>
  <c r="AN45" i="3"/>
  <c r="AN37" i="3"/>
  <c r="AN29" i="3"/>
  <c r="AO38" i="3"/>
  <c r="AO30" i="3"/>
  <c r="AM43" i="3"/>
  <c r="AM35" i="3"/>
  <c r="AN44" i="3"/>
  <c r="AE23" i="3" s="1"/>
  <c r="AN36" i="3"/>
  <c r="AO45" i="3"/>
  <c r="AO37" i="3"/>
  <c r="AO29" i="3"/>
  <c r="AM42" i="3"/>
  <c r="AM34" i="3"/>
  <c r="AN43" i="3"/>
  <c r="AE22" i="3" s="1"/>
  <c r="AN35" i="3"/>
  <c r="AE14" i="3" s="1"/>
  <c r="AO44" i="3"/>
  <c r="AO36" i="3"/>
  <c r="AR44" i="3"/>
  <c r="T47" i="12"/>
  <c r="N5" i="12"/>
  <c r="U30" i="12"/>
  <c r="T48" i="12" s="1"/>
  <c r="U38" i="12"/>
  <c r="F45" i="12"/>
  <c r="N45" i="12"/>
  <c r="U37" i="12"/>
  <c r="R5" i="12"/>
  <c r="R25" i="12" s="1"/>
  <c r="T4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O4" i="12" s="1"/>
  <c r="Q45" i="12" s="1"/>
  <c r="C45" i="12"/>
  <c r="D45" i="12" s="1"/>
  <c r="AR35" i="3"/>
  <c r="AC8" i="3"/>
  <c r="AQ38" i="3"/>
  <c r="AF29" i="3"/>
  <c r="AG29" i="3"/>
  <c r="AH29" i="3"/>
  <c r="R14" i="11"/>
  <c r="AL40" i="3" s="1"/>
  <c r="R9" i="11"/>
  <c r="AL35" i="3" s="1"/>
  <c r="R8" i="11"/>
  <c r="AL34" i="3" s="1"/>
  <c r="R3" i="11"/>
  <c r="AL29" i="3" s="1"/>
  <c r="G45" i="11"/>
  <c r="G8" i="3" s="1"/>
  <c r="M45" i="11"/>
  <c r="M8" i="3" s="1"/>
  <c r="K45" i="11"/>
  <c r="K8" i="3" s="1"/>
  <c r="T48" i="11"/>
  <c r="R6" i="11"/>
  <c r="AL32" i="3" s="1"/>
  <c r="R12" i="11"/>
  <c r="AL38" i="3" s="1"/>
  <c r="R18" i="11"/>
  <c r="AL44" i="3" s="1"/>
  <c r="E45" i="11"/>
  <c r="E8" i="3" s="1"/>
  <c r="V6" i="3" s="1"/>
  <c r="R4" i="11"/>
  <c r="AL30" i="3" s="1"/>
  <c r="R17" i="11"/>
  <c r="AL43" i="3" s="1"/>
  <c r="R16" i="11"/>
  <c r="AL42" i="3" s="1"/>
  <c r="R10" i="11"/>
  <c r="AL36" i="3" s="1"/>
  <c r="T46" i="11"/>
  <c r="T47" i="11"/>
  <c r="N5" i="11"/>
  <c r="R7" i="11"/>
  <c r="AL33" i="3" s="1"/>
  <c r="R15" i="11"/>
  <c r="AL41" i="3" s="1"/>
  <c r="F45" i="11"/>
  <c r="F8" i="3" s="1"/>
  <c r="N45" i="11"/>
  <c r="N8" i="3" s="1"/>
  <c r="R5" i="11"/>
  <c r="AL31" i="3" s="1"/>
  <c r="R13" i="11"/>
  <c r="AL39" i="3" s="1"/>
  <c r="H45" i="11"/>
  <c r="H8" i="3" s="1"/>
  <c r="R11" i="11"/>
  <c r="AL37" i="3" s="1"/>
  <c r="R19" i="11"/>
  <c r="AL45" i="3" s="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S32" i="3" l="1"/>
  <c r="AS40" i="3"/>
  <c r="AR43" i="3"/>
  <c r="AQ30" i="3"/>
  <c r="O3" i="12"/>
  <c r="O45" i="12" s="1"/>
  <c r="O5" i="12"/>
  <c r="P45" i="12" s="1"/>
  <c r="R32" i="11"/>
  <c r="R29" i="11"/>
  <c r="AE17" i="3"/>
  <c r="AR38" i="3"/>
  <c r="AE20" i="3"/>
  <c r="AR41" i="3"/>
  <c r="AC21" i="3"/>
  <c r="AQ42" i="3"/>
  <c r="AC11" i="3"/>
  <c r="AQ32" i="3"/>
  <c r="AC24" i="3"/>
  <c r="AQ45" i="3"/>
  <c r="R33" i="11"/>
  <c r="R26" i="11"/>
  <c r="R34" i="11"/>
  <c r="AQ41" i="3"/>
  <c r="AC20" i="3"/>
  <c r="AC23" i="3"/>
  <c r="AQ44" i="3"/>
  <c r="AG23" i="3"/>
  <c r="AS44" i="3"/>
  <c r="AG13" i="3"/>
  <c r="AS34" i="3"/>
  <c r="AE11" i="3"/>
  <c r="AR32" i="3"/>
  <c r="R38" i="11"/>
  <c r="AE18" i="3"/>
  <c r="AR39" i="3"/>
  <c r="R25" i="11"/>
  <c r="R30" i="11"/>
  <c r="AG22" i="3"/>
  <c r="AS43" i="3"/>
  <c r="AS29" i="3"/>
  <c r="AG8" i="3"/>
  <c r="AG10" i="3"/>
  <c r="AS31" i="3"/>
  <c r="AR37" i="3"/>
  <c r="AE16" i="3"/>
  <c r="AC14" i="3"/>
  <c r="AQ35" i="3"/>
  <c r="R28" i="11"/>
  <c r="AG14" i="3"/>
  <c r="AS35" i="3"/>
  <c r="AS41" i="3"/>
  <c r="AG20" i="3"/>
  <c r="R36" i="11"/>
  <c r="AR29" i="3"/>
  <c r="AE8" i="3"/>
  <c r="AQ31" i="3"/>
  <c r="AC10" i="3"/>
  <c r="AN9" i="3" s="1"/>
  <c r="AE13" i="3"/>
  <c r="AR34" i="3"/>
  <c r="AQ40" i="3"/>
  <c r="AC19" i="3"/>
  <c r="AG16" i="3"/>
  <c r="AS37" i="3"/>
  <c r="R31" i="11"/>
  <c r="AS38" i="3"/>
  <c r="AG17" i="3"/>
  <c r="R37" i="11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R30" i="3"/>
  <c r="AE9" i="3"/>
  <c r="AR33" i="3"/>
  <c r="AE12" i="3"/>
  <c r="AR36" i="3"/>
  <c r="AE15" i="3"/>
  <c r="AC13" i="3"/>
  <c r="AQ34" i="3"/>
  <c r="AS39" i="3"/>
  <c r="AG18" i="3"/>
  <c r="AR45" i="3"/>
  <c r="AE24" i="3"/>
  <c r="I19" i="2" s="1"/>
  <c r="AC22" i="3"/>
  <c r="AQ43" i="3"/>
  <c r="R24" i="11"/>
  <c r="R39" i="11"/>
  <c r="R27" i="11"/>
  <c r="R23" i="11"/>
  <c r="AC12" i="3"/>
  <c r="AM9" i="3" s="1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J4" i="6" s="1"/>
  <c r="R9" i="10"/>
  <c r="R29" i="10" s="1"/>
  <c r="R17" i="10"/>
  <c r="R37" i="10" s="1"/>
  <c r="R12" i="10"/>
  <c r="R32" i="10" s="1"/>
  <c r="D45" i="11"/>
  <c r="D8" i="3" s="1"/>
  <c r="C8" i="3"/>
  <c r="T6" i="3" s="1"/>
  <c r="O3" i="11"/>
  <c r="O45" i="11" s="1"/>
  <c r="O8" i="3" s="1"/>
  <c r="D7" i="4" s="1"/>
  <c r="J3" i="4" s="1"/>
  <c r="O5" i="11"/>
  <c r="P45" i="11" s="1"/>
  <c r="P8" i="3" s="1"/>
  <c r="D7" i="5" s="1"/>
  <c r="J4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L41" i="5" s="1"/>
  <c r="M7" i="5"/>
  <c r="M41" i="5" s="1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L41" i="4" s="1"/>
  <c r="M7" i="4"/>
  <c r="M41" i="4" s="1"/>
  <c r="O7" i="4"/>
  <c r="O41" i="4" s="1"/>
  <c r="P7" i="4"/>
  <c r="P41" i="4" s="1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I4" i="6" s="1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I4" i="5" s="1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I3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T45" i="11" l="1"/>
  <c r="AN10" i="3"/>
  <c r="AM10" i="3"/>
  <c r="AN11" i="3"/>
  <c r="AM11" i="3"/>
  <c r="AA21" i="3"/>
  <c r="AP42" i="3"/>
  <c r="AA9" i="3"/>
  <c r="AP30" i="3"/>
  <c r="AA20" i="3"/>
  <c r="E15" i="2" s="1"/>
  <c r="AP41" i="3"/>
  <c r="AP36" i="3"/>
  <c r="AA15" i="3"/>
  <c r="AA18" i="3"/>
  <c r="AP39" i="3"/>
  <c r="AA8" i="3"/>
  <c r="AP29" i="3"/>
  <c r="AA16" i="3"/>
  <c r="AP37" i="3"/>
  <c r="AA10" i="3"/>
  <c r="AP31" i="3"/>
  <c r="AA19" i="3"/>
  <c r="AB19" i="3" s="1"/>
  <c r="AP40" i="3"/>
  <c r="AP35" i="3"/>
  <c r="AA14" i="3"/>
  <c r="AP43" i="3"/>
  <c r="AA22" i="3"/>
  <c r="E17" i="2" s="1"/>
  <c r="AP44" i="3"/>
  <c r="AA23" i="3"/>
  <c r="AA12" i="3"/>
  <c r="AB12" i="3" s="1"/>
  <c r="AP33" i="3"/>
  <c r="AA13" i="3"/>
  <c r="AP34" i="3"/>
  <c r="AA11" i="3"/>
  <c r="AP32" i="3"/>
  <c r="AA17" i="3"/>
  <c r="AB17" i="3" s="1"/>
  <c r="AP38" i="3"/>
  <c r="AA24" i="3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S6" i="3" s="1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2" i="3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E18" i="2"/>
  <c r="T41" i="3"/>
  <c r="AH13" i="3"/>
  <c r="AB11" i="3" l="1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AN8" i="3" s="1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N44" i="5" s="1"/>
  <c r="O44" i="5" s="1"/>
  <c r="AB18" i="3"/>
  <c r="AM8" i="3" s="1"/>
  <c r="S82" i="3"/>
  <c r="S81" i="3"/>
  <c r="S80" i="3"/>
  <c r="S79" i="3"/>
  <c r="N46" i="5" l="1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<sst xmlns="http://schemas.openxmlformats.org/spreadsheetml/2006/main" count="1276" uniqueCount="222">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</sst>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4" fillId="0" borderId="1"/>
    <xf numFmtId="9" fontId="15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7" fillId="0" borderId="0" xfId="0" applyFont="1"/>
    <xf numFmtId="0" fontId="16" fillId="0" borderId="1" xfId="0" applyFont="1" applyBorder="1"/>
    <xf numFmtId="2" fontId="16" fillId="0" borderId="0" xfId="0" applyNumberFormat="1" applyFont="1"/>
    <xf numFmtId="164" fontId="18" fillId="0" borderId="0" xfId="0" applyNumberFormat="1" applyFont="1"/>
    <xf numFmtId="0" fontId="17" fillId="0" borderId="0" xfId="0" applyFont="1" applyAlignment="1"/>
    <xf numFmtId="2" fontId="15" fillId="0" borderId="0" xfId="0" applyNumberFormat="1" applyFont="1"/>
    <xf numFmtId="1" fontId="15" fillId="0" borderId="0" xfId="0" applyNumberFormat="1" applyFont="1"/>
    <xf numFmtId="1" fontId="16" fillId="0" borderId="0" xfId="0" applyNumberFormat="1" applyFont="1"/>
    <xf numFmtId="10" fontId="16" fillId="0" borderId="0" xfId="0" applyNumberFormat="1" applyFont="1"/>
    <xf numFmtId="0" fontId="15" fillId="0" borderId="0" xfId="0" applyFont="1"/>
    <xf numFmtId="16" fontId="15" fillId="0" borderId="0" xfId="0" applyNumberFormat="1" applyFont="1" applyAlignment="1"/>
    <xf numFmtId="0" fontId="20" fillId="0" borderId="0" xfId="0" applyFont="1" applyAlignment="1"/>
    <xf numFmtId="0" fontId="22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0" fillId="0" borderId="3" xfId="0" applyFont="1" applyFill="1" applyBorder="1"/>
    <xf numFmtId="0" fontId="20" fillId="0" borderId="4" xfId="0" applyFont="1" applyFill="1" applyBorder="1"/>
    <xf numFmtId="0" fontId="20" fillId="0" borderId="4" xfId="0" applyFont="1" applyFill="1" applyBorder="1" applyAlignment="1"/>
    <xf numFmtId="0" fontId="21" fillId="0" borderId="4" xfId="0" applyFont="1" applyFill="1" applyBorder="1" applyAlignment="1"/>
    <xf numFmtId="0" fontId="17" fillId="0" borderId="5" xfId="0" applyFont="1" applyFill="1" applyBorder="1"/>
    <xf numFmtId="0" fontId="0" fillId="0" borderId="0" xfId="0"/>
    <xf numFmtId="0" fontId="26" fillId="0" borderId="0" xfId="0" applyFont="1"/>
    <xf numFmtId="9" fontId="0" fillId="0" borderId="0" xfId="2" applyFont="1" applyAlignment="1"/>
    <xf numFmtId="0" fontId="20" fillId="0" borderId="0" xfId="0" applyFont="1" applyFill="1"/>
    <xf numFmtId="0" fontId="20" fillId="0" borderId="0" xfId="0" applyFont="1" applyFill="1" applyAlignment="1"/>
    <xf numFmtId="0" fontId="21" fillId="0" borderId="0" xfId="0" applyFont="1" applyFill="1" applyAlignment="1"/>
    <xf numFmtId="1" fontId="0" fillId="0" borderId="0" xfId="0" quotePrefix="1" applyNumberFormat="1" applyFont="1" applyFill="1" applyAlignment="1"/>
    <xf numFmtId="2" fontId="16" fillId="0" borderId="0" xfId="0" applyNumberFormat="1" applyFont="1" applyFill="1"/>
    <xf numFmtId="1" fontId="15" fillId="0" borderId="0" xfId="0" applyNumberFormat="1" applyFont="1" applyFill="1" applyAlignment="1"/>
    <xf numFmtId="0" fontId="15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1" fillId="0" borderId="5" xfId="0" applyFont="1" applyFill="1" applyBorder="1" applyAlignment="1"/>
    <xf numFmtId="9" fontId="0" fillId="0" borderId="0" xfId="0" applyNumberFormat="1" applyFont="1" applyAlignment="1"/>
    <xf numFmtId="0" fontId="16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14" fillId="0" borderId="0" xfId="0" applyFont="1" applyAlignment="1"/>
    <xf numFmtId="165" fontId="26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2" fillId="0" borderId="0" xfId="0" applyFont="1" applyAlignment="1"/>
    <xf numFmtId="16" fontId="13" fillId="0" borderId="0" xfId="0" applyNumberFormat="1" applyFont="1" applyAlignment="1"/>
    <xf numFmtId="0" fontId="15" fillId="0" borderId="0" xfId="0" applyFont="1" applyFill="1" applyAlignment="1"/>
    <xf numFmtId="0" fontId="24" fillId="0" borderId="1" xfId="1" applyNumberFormat="1"/>
    <xf numFmtId="0" fontId="25" fillId="0" borderId="1" xfId="0" applyFont="1" applyBorder="1" applyAlignment="1">
      <alignment horizontal="center"/>
    </xf>
    <xf numFmtId="49" fontId="16" fillId="0" borderId="0" xfId="0" applyNumberFormat="1" applyFont="1"/>
    <xf numFmtId="0" fontId="17" fillId="3" borderId="0" xfId="0" applyFont="1" applyFill="1"/>
    <xf numFmtId="0" fontId="15" fillId="3" borderId="0" xfId="0" applyFont="1" applyFill="1"/>
    <xf numFmtId="0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7" fillId="0" borderId="1" xfId="0" applyFont="1" applyFill="1" applyBorder="1"/>
    <xf numFmtId="0" fontId="11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7" fillId="0" borderId="1" xfId="0" applyFont="1" applyFill="1" applyBorder="1" applyAlignment="1">
      <alignment vertical="center"/>
    </xf>
    <xf numFmtId="0" fontId="21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5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6" fillId="0" borderId="2" xfId="0" applyNumberFormat="1" applyFont="1" applyFill="1" applyBorder="1"/>
    <xf numFmtId="1" fontId="15" fillId="0" borderId="2" xfId="0" applyNumberFormat="1" applyFont="1" applyFill="1" applyBorder="1" applyAlignment="1"/>
    <xf numFmtId="0" fontId="15" fillId="0" borderId="2" xfId="0" applyFont="1" applyFill="1" applyBorder="1"/>
    <xf numFmtId="1" fontId="16" fillId="0" borderId="6" xfId="0" applyNumberFormat="1" applyFont="1" applyFill="1" applyBorder="1"/>
    <xf numFmtId="0" fontId="6" fillId="0" borderId="0" xfId="0" applyFont="1" applyAlignment="1"/>
    <xf numFmtId="0" fontId="17" fillId="0" borderId="0" xfId="0" applyFont="1" applyFill="1"/>
    <xf numFmtId="0" fontId="16" fillId="0" borderId="0" xfId="0" applyFont="1" applyFill="1" applyAlignment="1">
      <alignment horizontal="center"/>
    </xf>
    <xf numFmtId="0" fontId="6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6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6" fillId="3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9" fontId="16" fillId="0" borderId="1" xfId="2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9" fontId="16" fillId="0" borderId="0" xfId="0" applyNumberFormat="1" applyFont="1" applyAlignment="1">
      <alignment vertical="center"/>
    </xf>
    <xf numFmtId="0" fontId="15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" fontId="16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/>
    <xf numFmtId="0" fontId="5" fillId="0" borderId="0" xfId="0" applyFont="1" applyAlignment="1"/>
    <xf numFmtId="0" fontId="5" fillId="0" borderId="0" xfId="0" applyFont="1"/>
    <xf numFmtId="0" fontId="16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1" xfId="0" applyFont="1" applyFill="1" applyBorder="1"/>
    <xf numFmtId="0" fontId="28" fillId="0" borderId="1" xfId="0" applyFont="1" applyFill="1" applyBorder="1" applyAlignment="1"/>
    <xf numFmtId="0" fontId="29" fillId="0" borderId="1" xfId="0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5" fillId="3" borderId="2" xfId="0" applyFont="1" applyFill="1" applyBorder="1" applyAlignment="1"/>
    <xf numFmtId="0" fontId="0" fillId="3" borderId="2" xfId="0" applyFont="1" applyFill="1" applyBorder="1" applyAlignment="1"/>
    <xf numFmtId="16" fontId="16" fillId="3" borderId="2" xfId="0" applyNumberFormat="1" applyFont="1" applyFill="1" applyBorder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6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6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2" fillId="0" borderId="0" xfId="0" applyFont="1" applyAlignment="1"/>
    <xf numFmtId="0" fontId="2" fillId="0" borderId="0" xfId="0" applyFont="1"/>
    <xf numFmtId="9" fontId="14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" fillId="0" borderId="0" xfId="0" applyNumberFormat="1" applyFont="1"/>
    <xf numFmtId="16" fontId="16" fillId="5" borderId="0" xfId="0" applyNumberFormat="1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1" fontId="15" fillId="0" borderId="0" xfId="0" applyNumberFormat="1" applyFont="1" applyFill="1"/>
    <xf numFmtId="0" fontId="0" fillId="0" borderId="1" xfId="2" applyNumberFormat="1" applyFont="1" applyFill="1" applyBorder="1" applyAlignment="1"/>
    <xf numFmtId="10" fontId="20" fillId="0" borderId="1" xfId="2" applyNumberFormat="1" applyFont="1" applyFill="1" applyBorder="1" applyAlignment="1"/>
    <xf numFmtId="0" fontId="2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2.4615384615384617</c:v>
                </c:pt>
                <c:pt idx="1">
                  <c:v>0.92307692307692313</c:v>
                </c:pt>
                <c:pt idx="2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</calculatedColumnFormula>
    </tableColumn>
    <tableColumn id="3" xr3:uid="{2D436F37-54B6-4820-9145-F48B4EF9B294}" name="Finishes" dataDxfId="115">
      <calculatedColumnFormula>'1707'!S3+'1807'!S3</calculatedColumnFormula>
    </tableColumn>
    <tableColumn id="4" xr3:uid="{1D9B6A22-B682-47F3-B738-7C138F317A41}" name="Midranges" dataDxfId="114">
      <calculatedColumnFormula>'1707'!T3+'1807'!T3</calculatedColumnFormula>
    </tableColumn>
    <tableColumn id="5" xr3:uid="{9966C9A0-3872-44E9-BB39-05DE197EAA68}" name="Threes" dataDxfId="113">
      <calculatedColumnFormula>'1707'!U3+'1807'!U3</calculatedColumnFormula>
    </tableColumn>
    <tableColumn id="6" xr3:uid="{CC4AB646-735F-425F-8528-C5EFE7FE11DC}" name="Avg P" dataDxfId="112">
      <calculatedColumnFormula>AL29/($AA$27-Table211[[#This Row],[Missed Games]])</calculatedColumnFormula>
    </tableColumn>
    <tableColumn id="7" xr3:uid="{F8D0247E-C6F7-467A-9F38-46084D44F8AB}" name="Avg F" dataDxfId="111">
      <calculatedColumnFormula>AM29/($AA$27-Table211[[#This Row],[Missed Games]])</calculatedColumnFormula>
    </tableColumn>
    <tableColumn id="8" xr3:uid="{7CCF1C77-9DB0-4EB2-B7D0-FD0BDBEBFA0E}" name="Avg M" dataDxfId="110">
      <calculatedColumnFormula>AN29/($AA$27-Table211[[#This Row],[Missed Games]])</calculatedColumnFormula>
    </tableColumn>
    <tableColumn id="9" xr3:uid="{582A1A4E-5383-4383-A480-735408867046}" name="Avg T" dataDxfId="109">
      <calculatedColumnFormula>AO29/($AA$27-Table211[[#This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2</v>
      </c>
      <c r="E4" s="12">
        <f>'Stats Global'!AA9</f>
        <v>2</v>
      </c>
      <c r="F4" s="8">
        <f>'Stats Global'!AD9</f>
        <v>2</v>
      </c>
      <c r="G4" s="12">
        <f>'Stats Global'!AC9</f>
        <v>2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</v>
      </c>
      <c r="E11" s="12">
        <f>'Stats Global'!AA16</f>
        <v>1</v>
      </c>
      <c r="F11" s="8">
        <f>'Stats Global'!AD16</f>
        <v>1</v>
      </c>
      <c r="G11" s="12">
        <f>'Stats Global'!AC16</f>
        <v>1</v>
      </c>
      <c r="H11" s="8">
        <f>'Stats Global'!AF16</f>
        <v>0</v>
      </c>
      <c r="I11" s="12">
        <f>'Stats Global'!AE16</f>
        <v>0</v>
      </c>
      <c r="J11" s="8">
        <f>'Stats Global'!AH16</f>
        <v>0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3</v>
      </c>
      <c r="E12" s="12">
        <f>'Stats Global'!AA17</f>
        <v>3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1</v>
      </c>
      <c r="J12" s="8">
        <f>'Stats Global'!AH17</f>
        <v>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2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2</v>
      </c>
      <c r="I13" s="12">
        <f>'Stats Global'!AE18</f>
        <v>2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9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0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1</v>
      </c>
      <c r="E15" s="12">
        <f>'Stats Global'!AA20</f>
        <v>1</v>
      </c>
      <c r="F15" s="8">
        <f>'Stats Global'!AD20</f>
        <v>1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1</v>
      </c>
      <c r="E16" s="12">
        <f>'Stats Global'!AA21</f>
        <v>1</v>
      </c>
      <c r="F16" s="8">
        <f>'Stats Global'!AD21</f>
        <v>0</v>
      </c>
      <c r="G16" s="12">
        <f>'Stats Global'!AC21</f>
        <v>0</v>
      </c>
      <c r="H16" s="8">
        <f>'Stats Global'!AF21</f>
        <v>1</v>
      </c>
      <c r="I16" s="12">
        <f>'Stats Global'!AE21</f>
        <v>1</v>
      </c>
      <c r="J16" s="8">
        <f>'Stats Global'!AH21</f>
        <v>0</v>
      </c>
      <c r="K16" s="12">
        <f>'Stats Global'!AG21</f>
        <v>0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5</v>
      </c>
      <c r="E17" s="12">
        <f>'Stats Global'!AA22</f>
        <v>5</v>
      </c>
      <c r="F17" s="8">
        <f>'Stats Global'!AD22</f>
        <v>3</v>
      </c>
      <c r="G17" s="12">
        <f>'Stats Global'!AC22</f>
        <v>3</v>
      </c>
      <c r="H17" s="8">
        <f>'Stats Global'!AF22</f>
        <v>0</v>
      </c>
      <c r="I17" s="12">
        <f>'Stats Global'!AE22</f>
        <v>0</v>
      </c>
      <c r="J17" s="8">
        <f>'Stats Global'!AH22</f>
        <v>1</v>
      </c>
      <c r="K17" s="12">
        <f>'Stats Global'!AG22</f>
        <v>1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42" t="s">
        <v>119</v>
      </c>
      <c r="C22" s="142"/>
      <c r="D22" s="104"/>
      <c r="X22" s="2" t="s">
        <v>70</v>
      </c>
    </row>
    <row r="23" spans="2:24" ht="14.25" customHeight="1" x14ac:dyDescent="0.9">
      <c r="B23" s="142"/>
      <c r="C23" s="142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"PPG":[0,2,0,0,0,0,0,0,1,3,2,0,1,1,5,0,0],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"TP":[0,2,0,0,0,0,0,0,1,3,2,0,1,1,5,0,0],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"FPG":[0,2,0,0,0,0,0,0,1,0,0,0,1,0,3,0,0],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"TF":[0,2,0,0,0,0,0,0,1,0,0,0,1,0,3,0,0],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"MPG":[0,0,0,0,0,0,0,0,0,1,2,0,0,1,0,0,0],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"TM":[0,0,0,0,0,0,0,0,0,1,2,0,0,1,0,0,0],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"TPG":[0,0,0,0,0,0,0,0,0,1,0,0,0,0,1,0,0],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"TT":[0,0,0,0,0,0,0,0,0,1,0,0,0,0,1,0,0],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2,</v>
      </c>
      <c r="E51" s="18" t="str">
        <f t="shared" si="7"/>
        <v>2,</v>
      </c>
      <c r="F51" s="18" t="str">
        <f t="shared" si="8"/>
        <v>2,</v>
      </c>
      <c r="G51" s="18" t="str">
        <f t="shared" si="9"/>
        <v>2,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1,</v>
      </c>
      <c r="E58" s="18" t="str">
        <f t="shared" si="7"/>
        <v>1,</v>
      </c>
      <c r="F58" s="18" t="str">
        <f t="shared" si="8"/>
        <v>1,</v>
      </c>
      <c r="G58" s="18" t="str">
        <f t="shared" si="9"/>
        <v>1,</v>
      </c>
      <c r="H58" s="18" t="str">
        <f t="shared" si="10"/>
        <v>0,</v>
      </c>
      <c r="I58" s="18" t="str">
        <f t="shared" si="11"/>
        <v>0,</v>
      </c>
      <c r="J58" s="18" t="str">
        <f t="shared" si="12"/>
        <v>0,</v>
      </c>
      <c r="K58" s="18" t="str">
        <f t="shared" si="13"/>
        <v>0,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3,</v>
      </c>
      <c r="E59" s="18" t="str">
        <f t="shared" si="7"/>
        <v>3,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1,</v>
      </c>
      <c r="J59" s="18" t="str">
        <f t="shared" si="12"/>
        <v>1,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2,</v>
      </c>
      <c r="E60" s="18" t="str">
        <f t="shared" si="7"/>
        <v>2,</v>
      </c>
      <c r="F60" s="18" t="str">
        <f t="shared" si="8"/>
        <v>0,</v>
      </c>
      <c r="G60" s="18" t="str">
        <f t="shared" si="9"/>
        <v>0,</v>
      </c>
      <c r="H60" s="18" t="str">
        <f t="shared" si="10"/>
        <v>2,</v>
      </c>
      <c r="I60" s="18" t="str">
        <f t="shared" si="11"/>
        <v>2,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1,</v>
      </c>
      <c r="E62" s="18" t="str">
        <f t="shared" si="7"/>
        <v>1,</v>
      </c>
      <c r="F62" s="18" t="str">
        <f t="shared" si="8"/>
        <v>1,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1,</v>
      </c>
      <c r="E63" s="18" t="str">
        <f t="shared" si="7"/>
        <v>1,</v>
      </c>
      <c r="F63" s="18" t="str">
        <f t="shared" si="8"/>
        <v>0,</v>
      </c>
      <c r="G63" s="18" t="str">
        <f t="shared" si="9"/>
        <v>0,</v>
      </c>
      <c r="H63" s="18" t="str">
        <f t="shared" si="10"/>
        <v>1,</v>
      </c>
      <c r="I63" s="18" t="str">
        <f t="shared" si="11"/>
        <v>1,</v>
      </c>
      <c r="J63" s="18" t="str">
        <f t="shared" si="12"/>
        <v>0,</v>
      </c>
      <c r="K63" s="18" t="str">
        <f t="shared" si="13"/>
        <v>0,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5,</v>
      </c>
      <c r="E64" s="18" t="str">
        <f t="shared" si="7"/>
        <v>5,</v>
      </c>
      <c r="F64" s="18" t="str">
        <f t="shared" si="8"/>
        <v>3,</v>
      </c>
      <c r="G64" s="18" t="str">
        <f t="shared" si="9"/>
        <v>3,</v>
      </c>
      <c r="H64" s="18" t="str">
        <f t="shared" si="10"/>
        <v>0,</v>
      </c>
      <c r="I64" s="18" t="str">
        <f t="shared" si="11"/>
        <v>0,</v>
      </c>
      <c r="J64" s="18" t="str">
        <f t="shared" si="12"/>
        <v>1,</v>
      </c>
      <c r="K64" s="18" t="str">
        <f t="shared" si="13"/>
        <v>1,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3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V1" zoomScale="70" zoomScaleNormal="70" workbookViewId="0">
      <selection activeCell="AB8" sqref="AB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33" t="str">
        <f>'Preseason 1'!B45</f>
        <v>11-July</v>
      </c>
      <c r="C5" s="133">
        <f>'Preseason 1'!C45</f>
        <v>12</v>
      </c>
      <c r="D5" s="133">
        <f>'Preseason 1'!D45</f>
        <v>5</v>
      </c>
      <c r="E5" s="133">
        <f>'Preseason 1'!E45</f>
        <v>0</v>
      </c>
      <c r="F5" s="133">
        <f>'Preseason 1'!F45</f>
        <v>5</v>
      </c>
      <c r="G5" s="133">
        <f>'Preseason 1'!G45</f>
        <v>0</v>
      </c>
      <c r="H5" s="133">
        <f>'Preseason 1'!H45</f>
        <v>6</v>
      </c>
      <c r="I5" s="133">
        <f>'Preseason 1'!I45</f>
        <v>0</v>
      </c>
      <c r="J5" s="133">
        <f>'Preseason 1'!J45</f>
        <v>2</v>
      </c>
      <c r="K5" s="133">
        <f>'Preseason 1'!K45</f>
        <v>6</v>
      </c>
      <c r="L5" s="133">
        <f>'Preseason 1'!L45</f>
        <v>12</v>
      </c>
      <c r="M5" s="133">
        <f>'Preseason 1'!M45</f>
        <v>3</v>
      </c>
      <c r="N5" s="133">
        <f>'Preseason 1'!N45</f>
        <v>0</v>
      </c>
      <c r="O5" s="133">
        <f>'Preseason 1'!O45</f>
        <v>2</v>
      </c>
      <c r="P5" s="133">
        <f>'Preseason 1'!P45</f>
        <v>1</v>
      </c>
      <c r="Q5" s="133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33" t="str">
        <f>'Preseason 2'!B45</f>
        <v>12-July</v>
      </c>
      <c r="C6" s="133">
        <f>'Preseason 2'!C45</f>
        <v>15</v>
      </c>
      <c r="D6" s="133">
        <f>'Preseason 2'!D45</f>
        <v>9</v>
      </c>
      <c r="E6" s="133">
        <f>'Preseason 2'!E45</f>
        <v>2</v>
      </c>
      <c r="F6" s="133">
        <f>'Preseason 2'!F45</f>
        <v>9</v>
      </c>
      <c r="G6" s="133">
        <f>'Preseason 2'!G45</f>
        <v>1</v>
      </c>
      <c r="H6" s="133">
        <f>'Preseason 2'!H45</f>
        <v>7</v>
      </c>
      <c r="I6" s="133">
        <f>'Preseason 2'!I45</f>
        <v>2</v>
      </c>
      <c r="J6" s="133">
        <f>'Preseason 2'!J45</f>
        <v>4</v>
      </c>
      <c r="K6" s="133">
        <f>'Preseason 2'!K45</f>
        <v>8</v>
      </c>
      <c r="L6" s="133">
        <f>'Preseason 2'!L45</f>
        <v>15</v>
      </c>
      <c r="M6" s="133">
        <f>'Preseason 2'!M45</f>
        <v>5</v>
      </c>
      <c r="N6" s="133">
        <f>'Preseason 2'!N45</f>
        <v>1</v>
      </c>
      <c r="O6" s="133">
        <f>'Preseason 2'!O45</f>
        <v>2</v>
      </c>
      <c r="P6" s="133">
        <f>'Preseason 2'!P45</f>
        <v>1</v>
      </c>
      <c r="Q6" s="133">
        <f>'Preseason 2'!Q45</f>
        <v>3</v>
      </c>
      <c r="S6" s="5">
        <f>SUM(C8:E40)/COUNT(C5:C40)</f>
        <v>3.25</v>
      </c>
      <c r="T6" s="134">
        <f>AVERAGE(C8:C40)</f>
        <v>8</v>
      </c>
      <c r="U6" s="134">
        <f t="shared" ref="U6:V6" si="0">AVERAGE(D8:D40)</f>
        <v>3</v>
      </c>
      <c r="V6" s="134">
        <f t="shared" si="0"/>
        <v>2</v>
      </c>
      <c r="Z6" s="74" t="s">
        <v>167</v>
      </c>
      <c r="AA6" s="9">
        <f>AA46+AA65+AL27+AL46+AL65+AA84+AL84</f>
        <v>1</v>
      </c>
      <c r="AK6" s="30"/>
      <c r="AL6" s="30"/>
      <c r="AM6" s="30" t="s">
        <v>221</v>
      </c>
      <c r="AO6" s="44"/>
      <c r="AP6" s="28"/>
      <c r="AR6" s="65"/>
      <c r="AS6" s="65"/>
      <c r="AT6" s="65"/>
    </row>
    <row r="7" spans="2:46" ht="14.25" customHeight="1" x14ac:dyDescent="0.45">
      <c r="B7" s="133" t="str">
        <f>'Preseason 3'!B45</f>
        <v>13-July</v>
      </c>
      <c r="C7" s="133">
        <f>'Preseason 3'!C45</f>
        <v>8</v>
      </c>
      <c r="D7" s="133">
        <f>'Preseason 3'!D45</f>
        <v>4</v>
      </c>
      <c r="E7" s="133">
        <f>'Preseason 3'!E45</f>
        <v>1</v>
      </c>
      <c r="F7" s="133">
        <f>'Preseason 3'!F45</f>
        <v>8</v>
      </c>
      <c r="G7" s="133">
        <f>'Preseason 3'!G45</f>
        <v>2</v>
      </c>
      <c r="H7" s="133">
        <f>'Preseason 3'!H45</f>
        <v>0</v>
      </c>
      <c r="I7" s="133">
        <f>'Preseason 3'!I45</f>
        <v>4</v>
      </c>
      <c r="J7" s="133">
        <f>'Preseason 3'!J45</f>
        <v>4</v>
      </c>
      <c r="K7" s="133">
        <f>'Preseason 3'!K45</f>
        <v>1</v>
      </c>
      <c r="L7" s="133">
        <f>'Preseason 3'!L45</f>
        <v>1</v>
      </c>
      <c r="M7" s="133">
        <f>'Preseason 3'!M45</f>
        <v>4</v>
      </c>
      <c r="N7" s="133">
        <f>'Preseason 3'!N45</f>
        <v>2</v>
      </c>
      <c r="O7" s="133">
        <f>'Preseason 3'!O45</f>
        <v>3</v>
      </c>
      <c r="P7" s="133">
        <f>'Preseason 3'!P45</f>
        <v>2</v>
      </c>
      <c r="Q7" s="133">
        <f>'Preseason 3'!Q45</f>
        <v>1</v>
      </c>
      <c r="S7" s="3" t="s">
        <v>83</v>
      </c>
      <c r="T7" s="6">
        <f>T6/$S$6</f>
        <v>2.4615384615384617</v>
      </c>
      <c r="U7" s="6">
        <f>U6/$S$6</f>
        <v>0.92307692307692313</v>
      </c>
      <c r="V7" s="6">
        <f>V6/$S$6</f>
        <v>0.61538461538461542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 t="s">
        <v>80</v>
      </c>
      <c r="AN7" s="14" t="s">
        <v>220</v>
      </c>
      <c r="AO7" s="14"/>
      <c r="AR7" s="62"/>
      <c r="AS7" s="63"/>
      <c r="AT7" s="61"/>
    </row>
    <row r="8" spans="2:46" ht="14.25" customHeight="1" x14ac:dyDescent="0.45">
      <c r="B8" s="128" t="str">
        <f>'1707'!B45</f>
        <v>17-July</v>
      </c>
      <c r="C8" s="128">
        <f>'1707'!C45</f>
        <v>8</v>
      </c>
      <c r="D8" s="128">
        <f>'1707'!D45</f>
        <v>3</v>
      </c>
      <c r="E8" s="128">
        <f>'1707'!E45</f>
        <v>2</v>
      </c>
      <c r="F8" s="128">
        <f>'1707'!F45</f>
        <v>8</v>
      </c>
      <c r="G8" s="128">
        <f>'1707'!G45</f>
        <v>0</v>
      </c>
      <c r="H8" s="128">
        <f>'1707'!H45</f>
        <v>3</v>
      </c>
      <c r="I8" s="128">
        <f>'1707'!I45</f>
        <v>2</v>
      </c>
      <c r="J8" s="128">
        <f>'1707'!J45</f>
        <v>5</v>
      </c>
      <c r="K8" s="128">
        <f>'1707'!K45</f>
        <v>0</v>
      </c>
      <c r="L8" s="128">
        <f>'1707'!L45</f>
        <v>3</v>
      </c>
      <c r="M8" s="128">
        <f>'1707'!M45</f>
        <v>3</v>
      </c>
      <c r="N8" s="128">
        <f>'1707'!N45</f>
        <v>2</v>
      </c>
      <c r="O8" s="128">
        <f>'1707'!O45</f>
        <v>3</v>
      </c>
      <c r="P8" s="128">
        <f>'1707'!P45</f>
        <v>1</v>
      </c>
      <c r="Q8" s="128">
        <f>'1707'!Q45</f>
        <v>2</v>
      </c>
      <c r="Z8" s="68" t="s">
        <v>45</v>
      </c>
      <c r="AA8" s="69">
        <f t="shared" ref="AA8:AA24" si="1">SUM(AL29,AA49,AL49,AA69,AL69,AA89,AL89)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141" t="s">
        <v>0</v>
      </c>
      <c r="AM8" s="140">
        <f>AVERAGE(Table1[Average])</f>
        <v>0.88235294117647056</v>
      </c>
      <c r="AN8" s="140">
        <f>MEDIAN(Table1[Average])</f>
        <v>0</v>
      </c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si="1"/>
        <v>2</v>
      </c>
      <c r="AB9" s="70">
        <f>IF($AA$6-Table1[[#This Row],[Missed Games]]=0, 0,Table1[[#This Row],[Points]]/($AA$6-Table1[[#This Row],[Missed Games]]))</f>
        <v>2</v>
      </c>
      <c r="AC9" s="71">
        <f t="shared" si="2"/>
        <v>2</v>
      </c>
      <c r="AD9" s="72">
        <f>IF($AA$6-Table1[[#This Row],[Missed Games]]=0, 0,Table1[[#This Row],[Finishes]]/($AA$6-Table1[[#This Row],[Missed Games]]))</f>
        <v>2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141" t="s">
        <v>1</v>
      </c>
      <c r="AM9" s="140">
        <f>AVERAGE(Table1[Finishes])</f>
        <v>0.41176470588235292</v>
      </c>
      <c r="AN9" s="140">
        <f>MEDIAN(Table1[Finishes])</f>
        <v>0</v>
      </c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1</v>
      </c>
      <c r="AK10" s="67"/>
      <c r="AL10" s="141" t="s">
        <v>220</v>
      </c>
      <c r="AM10" s="140">
        <f>AVERAGE(Table1[Midranges])</f>
        <v>0.23529411764705882</v>
      </c>
      <c r="AN10" s="140">
        <f>MEDIAN(Table1[Midranges])</f>
        <v>0</v>
      </c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1</v>
      </c>
      <c r="AK11" s="67"/>
      <c r="AL11" s="141" t="s">
        <v>3</v>
      </c>
      <c r="AM11" s="140">
        <f>AVERAGE(Table1[Threes])</f>
        <v>0.11764705882352941</v>
      </c>
      <c r="AN11" s="140">
        <f>MEDIAN(Table1[Threes])</f>
        <v>0</v>
      </c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1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1"/>
        <v>1</v>
      </c>
      <c r="AB16" s="70">
        <f>IF($AA$6-Table1[[#This Row],[Missed Games]]=0, 0,Table1[[#This Row],[Points]]/($AA$6-Table1[[#This Row],[Missed Games]]))</f>
        <v>1</v>
      </c>
      <c r="AC16" s="71">
        <f t="shared" si="2"/>
        <v>1</v>
      </c>
      <c r="AD16" s="72">
        <f>IF($AA$6-Table1[[#This Row],[Missed Games]]=0, 0,Table1[[#This Row],[Finishes]]/($AA$6-Table1[[#This Row],[Missed Games]]))</f>
        <v>1</v>
      </c>
      <c r="AE16" s="71">
        <f t="shared" si="3"/>
        <v>0</v>
      </c>
      <c r="AF16" s="72">
        <f>IF($AA$6-Table1[[#This Row],[Missed Games]]=0, 0,Table1[[#This Row],[Midranges]]/($AA$6-Table1[[#This Row],[Missed Games]]))</f>
        <v>0</v>
      </c>
      <c r="AG16" s="71">
        <f t="shared" si="4"/>
        <v>0</v>
      </c>
      <c r="AH16" s="72">
        <f>IF($AA$6-Table1[[#This Row],[Missed Games]]=0, 0,Table1[[#This Row],[Threes]]/($AA$6-Table1[[#This Row],[Missed Games]]))</f>
        <v>0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1"/>
        <v>3</v>
      </c>
      <c r="AB17" s="70">
        <f>IF($AA$6-Table1[[#This Row],[Missed Games]]=0, 0,Table1[[#This Row],[Points]]/($AA$6-Table1[[#This Row],[Missed Games]]))</f>
        <v>3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1</v>
      </c>
      <c r="AF17" s="72">
        <f>IF($AA$6-Table1[[#This Row],[Missed Games]]=0, 0,Table1[[#This Row],[Midranges]]/($AA$6-Table1[[#This Row],[Missed Games]]))</f>
        <v>1</v>
      </c>
      <c r="AG17" s="71">
        <f t="shared" si="4"/>
        <v>1</v>
      </c>
      <c r="AH17" s="72">
        <f>IF($AA$6-Table1[[#This Row],[Missed Games]]=0, 0,Table1[[#This Row],[Threes]]/($AA$6-Table1[[#This Row],[Missed Games]]))</f>
        <v>1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1"/>
        <v>2</v>
      </c>
      <c r="AB18" s="70">
        <f>IF($AA$6-Table1[[#This Row],[Missed Games]]=0, 0,Table1[[#This Row],[Points]]/($AA$6-Table1[[#This Row],[Missed Games]]))</f>
        <v>2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2</v>
      </c>
      <c r="AF18" s="72">
        <f>IF($AA$6-Table1[[#This Row],[Missed Games]]=0, 0,Table1[[#This Row],[Midranges]]/($AA$6-Table1[[#This Row],[Missed Games]]))</f>
        <v>2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1"/>
        <v>1</v>
      </c>
      <c r="AB20" s="70">
        <f>IF($AA$6-Table1[[#This Row],[Missed Games]]=0, 0,Table1[[#This Row],[Points]]/($AA$6-Table1[[#This Row],[Missed Games]]))</f>
        <v>1</v>
      </c>
      <c r="AC20" s="71">
        <f t="shared" si="2"/>
        <v>1</v>
      </c>
      <c r="AD20" s="125">
        <f>IF($AA$6-Table1[[#This Row],[Missed Games]]=0, 0,Table1[[#This Row],[Finishes]]/($AA$6-Table1[[#This Row],[Missed Games]]))</f>
        <v>1</v>
      </c>
      <c r="AE20" s="71">
        <f t="shared" si="3"/>
        <v>0</v>
      </c>
      <c r="AF20" s="125">
        <f>IF($AA$6-Table1[[#This Row],[Missed Games]]=0, 0,Table1[[#This Row],[Midranges]]/($AA$6-Table1[[#This Row],[Missed Games]]))</f>
        <v>0</v>
      </c>
      <c r="AG20" s="71">
        <f t="shared" si="4"/>
        <v>0</v>
      </c>
      <c r="AH20" s="125">
        <f>IF($AA$6-Table1[[#This Row],[Missed Games]]=0, 0,Table1[[#This Row],[Threes]]/($AA$6-Table1[[#This Row],[Missed Games]]))</f>
        <v>0</v>
      </c>
      <c r="AI20" s="122" t="str">
        <f>SfW!C15</f>
        <v>5 Musketeers</v>
      </c>
      <c r="AJ20" s="73">
        <f t="shared" si="5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1"/>
        <v>1</v>
      </c>
      <c r="AB21" s="70">
        <f>IF($AA$6-Table1[[#This Row],[Missed Games]]=0, 0,Table1[[#This Row],[Points]]/($AA$6-Table1[[#This Row],[Missed Games]]))</f>
        <v>1</v>
      </c>
      <c r="AC21" s="71">
        <f t="shared" si="2"/>
        <v>0</v>
      </c>
      <c r="AD21" s="125">
        <f>IF($AA$6-Table1[[#This Row],[Missed Games]]=0, 0,Table1[[#This Row],[Finishes]]/($AA$6-Table1[[#This Row],[Missed Games]]))</f>
        <v>0</v>
      </c>
      <c r="AE21" s="71">
        <f t="shared" si="3"/>
        <v>1</v>
      </c>
      <c r="AF21" s="125">
        <f>IF($AA$6-Table1[[#This Row],[Missed Games]]=0, 0,Table1[[#This Row],[Midranges]]/($AA$6-Table1[[#This Row],[Missed Games]]))</f>
        <v>1</v>
      </c>
      <c r="AG21" s="71">
        <f t="shared" si="4"/>
        <v>0</v>
      </c>
      <c r="AH21" s="125">
        <f>IF($AA$6-Table1[[#This Row],[Missed Games]]=0, 0,Table1[[#This Row],[Threes]]/($AA$6-Table1[[#This Row],[Missed Games]]))</f>
        <v>0</v>
      </c>
      <c r="AI21" s="122" t="str">
        <f>SfW!C16</f>
        <v>Loose Gooses</v>
      </c>
      <c r="AJ21" s="73">
        <f t="shared" si="5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1"/>
        <v>5</v>
      </c>
      <c r="AB22" s="70">
        <f>IF($AA$6-Table1[[#This Row],[Missed Games]]=0, 0,Table1[[#This Row],[Points]]/($AA$6-Table1[[#This Row],[Missed Games]]))</f>
        <v>5</v>
      </c>
      <c r="AC22" s="71">
        <f t="shared" si="2"/>
        <v>3</v>
      </c>
      <c r="AD22" s="125">
        <f>IF($AA$6-Table1[[#This Row],[Missed Games]]=0, 0,Table1[[#This Row],[Finishes]]/($AA$6-Table1[[#This Row],[Missed Games]]))</f>
        <v>3</v>
      </c>
      <c r="AE22" s="71">
        <f t="shared" si="3"/>
        <v>0</v>
      </c>
      <c r="AF22" s="125">
        <f>IF($AA$6-Table1[[#This Row],[Missed Games]]=0, 0,Table1[[#This Row],[Midranges]]/($AA$6-Table1[[#This Row],[Missed Games]]))</f>
        <v>0</v>
      </c>
      <c r="AG22" s="71">
        <f t="shared" si="4"/>
        <v>1</v>
      </c>
      <c r="AH22" s="125">
        <f>IF($AA$6-Table1[[#This Row],[Missed Games]]=0, 0,Table1[[#This Row],[Threes]]/($AA$6-Table1[[#This Row],[Missed Games]]))</f>
        <v>1</v>
      </c>
      <c r="AI22" s="122" t="str">
        <f>SfW!C17</f>
        <v>Loose Gooses</v>
      </c>
      <c r="AJ22" s="73">
        <f t="shared" si="5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1"/>
        <v>0</v>
      </c>
      <c r="AB23" s="124">
        <f>IF($AA$6-Table1[[#This Row],[Missed Games]]=0, 0,Table1[[#This Row],[Points]]/($AA$6-Table1[[#This Row],[Missed Games]]))</f>
        <v>0</v>
      </c>
      <c r="AC23" s="71">
        <f t="shared" si="2"/>
        <v>0</v>
      </c>
      <c r="AD23" s="126">
        <f>IF($AA$6-Table1[[#This Row],[Missed Games]]=0, 0,Table1[[#This Row],[Finishes]]/($AA$6-Table1[[#This Row],[Missed Games]]))</f>
        <v>0</v>
      </c>
      <c r="AE23" s="71">
        <f t="shared" si="3"/>
        <v>0</v>
      </c>
      <c r="AF23" s="126">
        <f>IF($AA$6-Table1[[#This Row],[Missed Games]]=0, 0,Table1[[#This Row],[Midranges]]/($AA$6-Table1[[#This Row],[Missed Games]]))</f>
        <v>0</v>
      </c>
      <c r="AG23" s="71">
        <f t="shared" si="4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5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1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1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</f>
        <v>0</v>
      </c>
      <c r="AM29" s="32">
        <f>'1707'!S3+'1807'!S3</f>
        <v>0</v>
      </c>
      <c r="AN29" s="32">
        <f>'1707'!T3+'1807'!T3</f>
        <v>0</v>
      </c>
      <c r="AO29" s="32">
        <f>'1707'!U3+'1807'!U3</f>
        <v>0</v>
      </c>
      <c r="AP29" s="34">
        <f>AL29/($AA$27-Table211[[#This Row],[Missed Games]])</f>
        <v>0</v>
      </c>
      <c r="AQ29" s="34">
        <f>AM29/($AA$27-Table211[[#This Row],[Missed Games]])</f>
        <v>0</v>
      </c>
      <c r="AR29" s="34">
        <f>AN29/($AA$27-Table211[[#This Row],[Missed Games]])</f>
        <v>0</v>
      </c>
      <c r="AS29" s="34">
        <f>AO29/($AA$27-Table211[[#This Row],[Missed Games]])</f>
        <v>0</v>
      </c>
      <c r="AT29" s="32">
        <f>COUNTIF('1707'!V3, "TRUE")+COUNTIF('1807'!V3, "TRUE")</f>
        <v>0</v>
      </c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9">
        <f>AB30/($AA$27-Table2[[#This Row],[Missed Games]])</f>
        <v>0.33333333333333331</v>
      </c>
      <c r="AG30" s="34">
        <f>AC30/($AA$27-Table2[[#This Row],[Missed Games]])</f>
        <v>0.33333333333333331</v>
      </c>
      <c r="AH30" s="139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</f>
        <v>2</v>
      </c>
      <c r="AM30" s="32">
        <f>'1707'!S4+'1807'!S4</f>
        <v>2</v>
      </c>
      <c r="AN30" s="32">
        <f>'1707'!T4+'1807'!T4</f>
        <v>0</v>
      </c>
      <c r="AO30" s="32">
        <f>'1707'!U4+'1807'!U4</f>
        <v>0</v>
      </c>
      <c r="AP30" s="32">
        <f>AL30/($AA$27-Table211[[#This Row],[Missed Games]])</f>
        <v>0.66666666666666663</v>
      </c>
      <c r="AQ30" s="32">
        <f>AM30/($AA$27-Table211[[#This Row],[Missed Games]])</f>
        <v>0.66666666666666663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"TRUE")+COUNTIF('1807'!V4, "TRUE")</f>
        <v>0</v>
      </c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9">
        <f>AB31/($AA$27-Table2[[#This Row],[Missed Games]])</f>
        <v>5</v>
      </c>
      <c r="AG31" s="34">
        <f>AC31/($AA$27-Table2[[#This Row],[Missed Games]])</f>
        <v>0</v>
      </c>
      <c r="AH31" s="139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</f>
        <v>0</v>
      </c>
      <c r="AM31" s="32">
        <f>'1707'!S5+'1807'!S5</f>
        <v>0</v>
      </c>
      <c r="AN31" s="32">
        <f>'1707'!T5+'1807'!T5</f>
        <v>0</v>
      </c>
      <c r="AO31" s="32">
        <f>'1707'!U5+'1807'!U5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"TRUE")+COUNTIF('1807'!V5, "TRUE")</f>
        <v>1</v>
      </c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9" t="e">
        <f>AB32/($AA$27-Table2[[#This Row],[Missed Games]])</f>
        <v>#DIV/0!</v>
      </c>
      <c r="AG32" s="34" t="e">
        <f>AC32/($AA$27-Table2[[#This Row],[Missed Games]])</f>
        <v>#DIV/0!</v>
      </c>
      <c r="AH32" s="139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</f>
        <v>0</v>
      </c>
      <c r="AM32" s="32">
        <f>'1707'!S6+'1807'!S6</f>
        <v>0</v>
      </c>
      <c r="AN32" s="32">
        <f>'1707'!T6+'1807'!T6</f>
        <v>0</v>
      </c>
      <c r="AO32" s="32">
        <f>'1707'!U6+'1807'!U6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"TRUE")+COUNTIF('1807'!V6, "TRUE")</f>
        <v>1</v>
      </c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9">
        <f>AB33/($AA$27-Table2[[#This Row],[Missed Games]])</f>
        <v>0</v>
      </c>
      <c r="AG33" s="34">
        <f>AC33/($AA$27-Table2[[#This Row],[Missed Games]])</f>
        <v>0.33333333333333331</v>
      </c>
      <c r="AH33" s="139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</f>
        <v>0</v>
      </c>
      <c r="AM33" s="32">
        <f>'1707'!S7+'1807'!S7</f>
        <v>0</v>
      </c>
      <c r="AN33" s="32">
        <f>'1707'!T7+'1807'!T7</f>
        <v>0</v>
      </c>
      <c r="AO33" s="32">
        <f>'1707'!U7+'1807'!U7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"TRUE")+COUNTIF('1807'!V7, "TRUE")</f>
        <v>0</v>
      </c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9">
        <f>AB34/($AA$27-Table2[[#This Row],[Missed Games]])</f>
        <v>0.33333333333333331</v>
      </c>
      <c r="AG34" s="34">
        <f>AC34/($AA$27-Table2[[#This Row],[Missed Games]])</f>
        <v>0</v>
      </c>
      <c r="AH34" s="139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</f>
        <v>0</v>
      </c>
      <c r="AM34" s="32">
        <f>'1707'!S8+'1807'!S8</f>
        <v>0</v>
      </c>
      <c r="AN34" s="32">
        <f>'1707'!T8+'1807'!T8</f>
        <v>0</v>
      </c>
      <c r="AO34" s="32">
        <f>'1707'!U8+'1807'!U8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"TRUE")+COUNTIF('1807'!V8, "TRUE")</f>
        <v>1</v>
      </c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9">
        <f>AB35/($AA$27-Table2[[#This Row],[Missed Games]])</f>
        <v>0.33333333333333331</v>
      </c>
      <c r="AG35" s="34">
        <f>AC35/($AA$27-Table2[[#This Row],[Missed Games]])</f>
        <v>0.33333333333333331</v>
      </c>
      <c r="AH35" s="139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</f>
        <v>0</v>
      </c>
      <c r="AM35" s="32">
        <f>'1707'!S9+'1807'!S9</f>
        <v>0</v>
      </c>
      <c r="AN35" s="32">
        <f>'1707'!T9+'1807'!T9</f>
        <v>0</v>
      </c>
      <c r="AO35" s="32">
        <f>'1707'!U9+'1807'!U9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"TRUE")+COUNTIF('1807'!V9, "TRUE")</f>
        <v>0</v>
      </c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9">
        <f>AB36/($AA$27-Table2[[#This Row],[Missed Games]])</f>
        <v>0</v>
      </c>
      <c r="AG36" s="34">
        <f>AC36/($AA$27-Table2[[#This Row],[Missed Games]])</f>
        <v>0</v>
      </c>
      <c r="AH36" s="139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</f>
        <v>0</v>
      </c>
      <c r="AM36" s="32">
        <f>'1707'!S10+'1807'!S10</f>
        <v>0</v>
      </c>
      <c r="AN36" s="32">
        <f>'1707'!T10+'1807'!T10</f>
        <v>0</v>
      </c>
      <c r="AO36" s="32">
        <f>'1707'!U10+'1807'!U10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"TRUE")+COUNTIF('1807'!V10, "TRUE")</f>
        <v>1</v>
      </c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9">
        <f>AB37/($AA$27-Table2[[#This Row],[Missed Games]])</f>
        <v>0.33333333333333331</v>
      </c>
      <c r="AG37" s="34">
        <f>AC37/($AA$27-Table2[[#This Row],[Missed Games]])</f>
        <v>0.66666666666666663</v>
      </c>
      <c r="AH37" s="139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</f>
        <v>1</v>
      </c>
      <c r="AM37" s="32">
        <f>'1707'!S11+'1807'!S11</f>
        <v>1</v>
      </c>
      <c r="AN37" s="32">
        <f>'1707'!T11+'1807'!T11</f>
        <v>0</v>
      </c>
      <c r="AO37" s="32">
        <f>'1707'!U11+'1807'!U11</f>
        <v>0</v>
      </c>
      <c r="AP37" s="32">
        <f>AL37/($AA$27-Table211[[#This Row],[Missed Games]])</f>
        <v>0.33333333333333331</v>
      </c>
      <c r="AQ37" s="32">
        <f>AM37/($AA$27-Table211[[#This Row],[Missed Games]])</f>
        <v>0.33333333333333331</v>
      </c>
      <c r="AR37" s="32">
        <f>AN37/($AA$27-Table211[[#This Row],[Missed Games]])</f>
        <v>0</v>
      </c>
      <c r="AS37" s="32">
        <f>AO37/($AA$27-Table211[[#This Row],[Missed Games]])</f>
        <v>0</v>
      </c>
      <c r="AT37" s="32">
        <f>COUNTIF('1707'!V11, "TRUE")+COUNTIF('1807'!V11, "TRUE")</f>
        <v>0</v>
      </c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9">
        <f>AB38/($AA$27-Table2[[#This Row],[Missed Games]])</f>
        <v>0.33333333333333331</v>
      </c>
      <c r="AG38" s="34">
        <f>AC38/($AA$27-Table2[[#This Row],[Missed Games]])</f>
        <v>3</v>
      </c>
      <c r="AH38" s="139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</f>
        <v>3</v>
      </c>
      <c r="AM38" s="32">
        <f>'1707'!S12+'1807'!S12</f>
        <v>0</v>
      </c>
      <c r="AN38" s="32">
        <f>'1707'!T12+'1807'!T12</f>
        <v>1</v>
      </c>
      <c r="AO38" s="32">
        <f>'1707'!U12+'1807'!U12</f>
        <v>1</v>
      </c>
      <c r="AP38" s="32">
        <f>AL38/($AA$27-Table211[[#This Row],[Missed Games]])</f>
        <v>1</v>
      </c>
      <c r="AQ38" s="32">
        <f>AM38/($AA$27-Table211[[#This Row],[Missed Games]])</f>
        <v>0</v>
      </c>
      <c r="AR38" s="32">
        <f>AN38/($AA$27-Table211[[#This Row],[Missed Games]])</f>
        <v>0.33333333333333331</v>
      </c>
      <c r="AS38" s="32">
        <f>AO38/($AA$27-Table211[[#This Row],[Missed Games]])</f>
        <v>0.33333333333333331</v>
      </c>
      <c r="AT38" s="32">
        <f>COUNTIF('1707'!V12, "TRUE")+COUNTIF('1807'!V12, "TRUE")</f>
        <v>0</v>
      </c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9">
        <f>AB39/($AA$27-Table2[[#This Row],[Missed Games]])</f>
        <v>0</v>
      </c>
      <c r="AG39" s="34">
        <f>AC39/($AA$27-Table2[[#This Row],[Missed Games]])</f>
        <v>0</v>
      </c>
      <c r="AH39" s="139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'1707'!R13+'1807'!R13</f>
        <v>2</v>
      </c>
      <c r="AM39" s="32">
        <f>'1707'!S13+'1807'!S13</f>
        <v>0</v>
      </c>
      <c r="AN39" s="32">
        <f>'1707'!T13+'1807'!T13</f>
        <v>2</v>
      </c>
      <c r="AO39" s="32">
        <f>'1707'!U13+'1807'!U13</f>
        <v>0</v>
      </c>
      <c r="AP39" s="32">
        <f>AL39/($AA$27-Table211[[#This Row],[Missed Games]])</f>
        <v>0.66666666666666663</v>
      </c>
      <c r="AQ39" s="32">
        <f>AM39/($AA$27-Table211[[#This Row],[Missed Games]])</f>
        <v>0</v>
      </c>
      <c r="AR39" s="32">
        <f>AN39/($AA$27-Table211[[#This Row],[Missed Games]])</f>
        <v>0.66666666666666663</v>
      </c>
      <c r="AS39" s="32">
        <f>AO39/($AA$27-Table211[[#This Row],[Missed Games]])</f>
        <v>0</v>
      </c>
      <c r="AT39" s="32">
        <f>COUNTIF('1707'!V13, "TRUE")+COUNTIF('1807'!V13, "TRUE")</f>
        <v>0</v>
      </c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9">
        <f>AB40/($AA$27-Table2[[#This Row],[Missed Games]])</f>
        <v>0.5</v>
      </c>
      <c r="AG40" s="34">
        <f>AC40/($AA$27-Table2[[#This Row],[Missed Games]])</f>
        <v>0</v>
      </c>
      <c r="AH40" s="139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</f>
        <v>0</v>
      </c>
      <c r="AM40" s="32">
        <f>'1707'!S14+'1807'!S14</f>
        <v>0</v>
      </c>
      <c r="AN40" s="32">
        <f>'1707'!T14+'1807'!T14</f>
        <v>0</v>
      </c>
      <c r="AO40" s="32">
        <f>'1707'!U14+'1807'!U14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"TRUE")+COUNTIF('1807'!V14, "TRUE")</f>
        <v>0</v>
      </c>
    </row>
    <row r="41" spans="2:46" ht="14.25" customHeight="1" x14ac:dyDescent="0.45">
      <c r="S41" s="14" t="s">
        <v>108</v>
      </c>
      <c r="T41">
        <f>'Statistics LG'!J3</f>
        <v>3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9">
        <f>AB41/($AA$27-Table2[[#This Row],[Missed Games]])</f>
        <v>1</v>
      </c>
      <c r="AG41" s="34">
        <f>AC41/($AA$27-Table2[[#This Row],[Missed Games]])</f>
        <v>0</v>
      </c>
      <c r="AH41" s="139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</f>
        <v>1</v>
      </c>
      <c r="AM41" s="32">
        <f>'1707'!S15+'1807'!S15</f>
        <v>1</v>
      </c>
      <c r="AN41" s="32">
        <f>'1707'!T15+'1807'!T15</f>
        <v>0</v>
      </c>
      <c r="AO41" s="32">
        <f>'1707'!U15+'1807'!U15</f>
        <v>0</v>
      </c>
      <c r="AP41" s="32">
        <f>AL41/($AA$27-Table211[[#This Row],[Missed Games]])</f>
        <v>0.33333333333333331</v>
      </c>
      <c r="AQ41" s="32">
        <f>AM41/($AA$27-Table211[[#This Row],[Missed Games]])</f>
        <v>0.33333333333333331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"TRUE")+COUNTIF('1807'!V15, "TRUE")</f>
        <v>0</v>
      </c>
    </row>
    <row r="42" spans="2:46" ht="14.25" customHeight="1" x14ac:dyDescent="0.45">
      <c r="S42" s="14" t="s">
        <v>109</v>
      </c>
      <c r="T42">
        <f>'Statistics WW'!J4</f>
        <v>1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9">
        <f>AB42/($AA$27-Table2[[#This Row],[Missed Games]])</f>
        <v>1</v>
      </c>
      <c r="AG42" s="34">
        <f>AC42/($AA$27-Table2[[#This Row],[Missed Games]])</f>
        <v>0.66666666666666663</v>
      </c>
      <c r="AH42" s="139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</f>
        <v>1</v>
      </c>
      <c r="AM42" s="32">
        <f>'1707'!S16+'1807'!S16</f>
        <v>0</v>
      </c>
      <c r="AN42" s="32">
        <f>'1707'!T16+'1807'!T16</f>
        <v>1</v>
      </c>
      <c r="AO42" s="32">
        <f>'1707'!U16+'1807'!U16</f>
        <v>0</v>
      </c>
      <c r="AP42" s="32">
        <f>AL42/($AA$27-Table211[[#This Row],[Missed Games]])</f>
        <v>0.33333333333333331</v>
      </c>
      <c r="AQ42" s="32">
        <f>AM42/($AA$27-Table211[[#This Row],[Missed Games]])</f>
        <v>0</v>
      </c>
      <c r="AR42" s="32">
        <f>AN42/($AA$27-Table211[[#This Row],[Missed Games]])</f>
        <v>0.33333333333333331</v>
      </c>
      <c r="AS42" s="32">
        <f>AO42/($AA$27-Table211[[#This Row],[Missed Games]])</f>
        <v>0</v>
      </c>
      <c r="AT42" s="32">
        <f>COUNTIF('1707'!V16, "TRUE")+COUNTIF('1807'!V16, "TRUE")</f>
        <v>0</v>
      </c>
    </row>
    <row r="43" spans="2:46" ht="14.25" customHeight="1" x14ac:dyDescent="0.45">
      <c r="S43" s="14" t="s">
        <v>110</v>
      </c>
      <c r="T43">
        <f>'Statistics 5M'!J4</f>
        <v>2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9">
        <f>AB43/($AA$27-Table2[[#This Row],[Missed Games]])</f>
        <v>2</v>
      </c>
      <c r="AG43" s="34">
        <f>AC43/($AA$27-Table2[[#This Row],[Missed Games]])</f>
        <v>0.66666666666666663</v>
      </c>
      <c r="AH43" s="139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</f>
        <v>5</v>
      </c>
      <c r="AM43" s="32">
        <f>'1707'!S17+'1807'!S17</f>
        <v>3</v>
      </c>
      <c r="AN43" s="32">
        <f>'1707'!T17+'1807'!T17</f>
        <v>0</v>
      </c>
      <c r="AO43" s="32">
        <f>'1707'!U17+'1807'!U17</f>
        <v>1</v>
      </c>
      <c r="AP43" s="32">
        <f>AL43/($AA$27-Table211[[#This Row],[Missed Games]])</f>
        <v>1.6666666666666667</v>
      </c>
      <c r="AQ43" s="32">
        <f>AM43/($AA$27-Table211[[#This Row],[Missed Games]])</f>
        <v>1</v>
      </c>
      <c r="AR43" s="32">
        <f>AN43/($AA$27-Table211[[#This Row],[Missed Games]])</f>
        <v>0</v>
      </c>
      <c r="AS43" s="32">
        <f>AO43/($AA$27-Table211[[#This Row],[Missed Games]])</f>
        <v>0.33333333333333331</v>
      </c>
      <c r="AT43" s="32">
        <f>COUNTIF('1707'!V17, "TRUE")+COUNTIF('1807'!V17,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9">
        <f>AB44/($AA$27-Table2[[#This Row],[Missed Games]])</f>
        <v>0</v>
      </c>
      <c r="AG44" s="34">
        <f>AC44/($AA$27-Table2[[#This Row],[Missed Games]])</f>
        <v>0</v>
      </c>
      <c r="AH44" s="139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</f>
        <v>0</v>
      </c>
      <c r="AM44" s="32">
        <f>'1707'!S18+'1807'!S18</f>
        <v>0</v>
      </c>
      <c r="AN44" s="32">
        <f>'1707'!T18+'1807'!T18</f>
        <v>0</v>
      </c>
      <c r="AO44" s="32">
        <f>'1707'!U18+'1807'!U18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"TRUE")+COUNTIF('1807'!V18,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9">
        <f>AB45/($AA$27-Table2[[#This Row],[Missed Games]])</f>
        <v>0</v>
      </c>
      <c r="AG45" s="34">
        <f>AC45/($AA$27-Table2[[#This Row],[Missed Games]])</f>
        <v>0</v>
      </c>
      <c r="AH45" s="139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</f>
        <v>0</v>
      </c>
      <c r="AM45" s="32">
        <f>'1707'!S19+'1807'!S19</f>
        <v>0</v>
      </c>
      <c r="AN45" s="32">
        <f>'1707'!T19+'1807'!T19</f>
        <v>0</v>
      </c>
      <c r="AO45" s="32">
        <f>'1707'!U19+'1807'!U19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"TRUE")+COUNTIF('1807'!V19, "TRUE")</f>
        <v>1</v>
      </c>
    </row>
    <row r="46" spans="2:46" ht="14.25" customHeight="1" x14ac:dyDescent="0.45">
      <c r="T46" s="14" t="s">
        <v>1</v>
      </c>
      <c r="U46" s="19">
        <f>SUM(Table1[Finishes])</f>
        <v>7</v>
      </c>
      <c r="V46" s="18">
        <f>U46/AA6</f>
        <v>7</v>
      </c>
      <c r="W46" s="28">
        <f>U46/SUM($U$46:$U$48)</f>
        <v>0.53846153846153844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4</v>
      </c>
      <c r="V47" s="18">
        <f>U47/AA6</f>
        <v>4</v>
      </c>
      <c r="W47" s="28">
        <f>U47/SUM($U$46:$U$48)</f>
        <v>0.30769230769230771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2</v>
      </c>
      <c r="V48" s="18">
        <f>U48/AA6</f>
        <v>2</v>
      </c>
      <c r="W48" s="28">
        <f>U48/SUM($U$46:$U$48)</f>
        <v>0.15384615384615385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1</v>
      </c>
      <c r="V53" s="39">
        <f>'Statistics LG'!O42</f>
        <v>0.5</v>
      </c>
      <c r="W53" s="39">
        <f>AVERAGE(U53:V53)</f>
        <v>0.75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</v>
      </c>
      <c r="U54" s="42" t="s">
        <v>131</v>
      </c>
      <c r="V54" s="39">
        <f>'Statistics WW'!L42</f>
        <v>1</v>
      </c>
      <c r="W54" s="39">
        <f>AVERAGE(T54:V54)</f>
        <v>0.5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0.5</v>
      </c>
      <c r="U55" s="39">
        <f>1-V54</f>
        <v>0</v>
      </c>
      <c r="V55" s="42" t="s">
        <v>131</v>
      </c>
      <c r="W55" s="39">
        <f>AVERAGE(T55:V55)</f>
        <v>0.25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1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>
        <f>T78+'Statistics LG'!D7</f>
        <v>10</v>
      </c>
      <c r="U79" s="17">
        <f>U78+'Statistics WW'!D7</f>
        <v>5</v>
      </c>
      <c r="V79" s="17">
        <f>V78+'Statistics 5M'!D7</f>
        <v>9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10</v>
      </c>
      <c r="U80" s="17">
        <f>U79+'Statistics WW'!D8</f>
        <v>5</v>
      </c>
      <c r="V80" s="17">
        <f>V79+'Statistics 5M'!D8</f>
        <v>9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10</v>
      </c>
      <c r="U81" s="17">
        <f>U80+'Statistics WW'!D9</f>
        <v>5</v>
      </c>
      <c r="V81" s="17">
        <f>V80+'Statistics 5M'!D9</f>
        <v>9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10</v>
      </c>
      <c r="U82" s="17">
        <f>U81+'Statistics WW'!D10</f>
        <v>5</v>
      </c>
      <c r="V82" s="17">
        <f>V81+'Statistics 5M'!D10</f>
        <v>9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10</v>
      </c>
      <c r="U83" s="17">
        <f>U82+'Statistics WW'!D11</f>
        <v>5</v>
      </c>
      <c r="V83" s="17">
        <f>V82+'Statistics 5M'!D11</f>
        <v>9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10</v>
      </c>
      <c r="U84" s="17">
        <f>U83+'Statistics WW'!D12</f>
        <v>5</v>
      </c>
      <c r="V84" s="17">
        <f>V83+'Statistics 5M'!D12</f>
        <v>9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10</v>
      </c>
      <c r="U85" s="17">
        <f>U84+'Statistics WW'!D13</f>
        <v>5</v>
      </c>
      <c r="V85" s="17">
        <f>V84+'Statistics 5M'!D13</f>
        <v>9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10</v>
      </c>
      <c r="U86" s="17">
        <f>U85+'Statistics WW'!D14</f>
        <v>5</v>
      </c>
      <c r="V86" s="17">
        <f>V85+'Statistics 5M'!D14</f>
        <v>9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10</v>
      </c>
      <c r="U87" s="17">
        <f>U86+'Statistics WW'!D15</f>
        <v>5</v>
      </c>
      <c r="V87" s="17">
        <f>V86+'Statistics 5M'!D15</f>
        <v>9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10</v>
      </c>
      <c r="U88" s="17">
        <f>U87+'Statistics WW'!D16</f>
        <v>5</v>
      </c>
      <c r="V88" s="17">
        <f>V87+'Statistics 5M'!D16</f>
        <v>9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10</v>
      </c>
      <c r="U89" s="17">
        <f>U88+'Statistics WW'!D17</f>
        <v>5</v>
      </c>
      <c r="V89" s="17">
        <f>V88+'Statistics 5M'!D17</f>
        <v>9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10</v>
      </c>
      <c r="U90" s="17">
        <f>U89+'Statistics WW'!D18</f>
        <v>5</v>
      </c>
      <c r="V90" s="17">
        <f>V89+'Statistics 5M'!D18</f>
        <v>9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3" type="noConversion"/>
  <conditionalFormatting sqref="U109:U118 W103:W108">
    <cfRule type="cellIs" dxfId="149" priority="4" operator="greaterThan">
      <formula>0</formula>
    </cfRule>
  </conditionalFormatting>
  <conditionalFormatting sqref="U109:U118 W103:W108">
    <cfRule type="cellIs" dxfId="148" priority="3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F8" sqref="F8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8</v>
      </c>
      <c r="I3" s="86">
        <f>SUM(C7:C40)</f>
        <v>3</v>
      </c>
      <c r="J3" s="83">
        <f>SUM(D7:D40)</f>
        <v>3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5" t="str">
        <f>'Stats Global'!B5</f>
        <v>11-July</v>
      </c>
      <c r="B4" s="136">
        <f>'Stats Global'!F5</f>
        <v>5</v>
      </c>
      <c r="C4" s="136">
        <f>'Stats Global'!G5+'Stats Global'!H5</f>
        <v>6</v>
      </c>
      <c r="D4" s="136">
        <f>'Stats Global'!O5</f>
        <v>2</v>
      </c>
      <c r="E4" s="137" t="s">
        <v>46</v>
      </c>
      <c r="F4" s="137" t="s">
        <v>207</v>
      </c>
      <c r="J4" s="89"/>
      <c r="L4" s="138">
        <f>'Stats Global'!J5</f>
        <v>2</v>
      </c>
      <c r="M4" s="138">
        <f>'Stats Global'!G5</f>
        <v>0</v>
      </c>
      <c r="N4" s="91"/>
      <c r="O4" s="138">
        <f>'Stats Global'!M5</f>
        <v>3</v>
      </c>
      <c r="P4" s="138">
        <f>'Stats Global'!H5</f>
        <v>6</v>
      </c>
      <c r="R4" s="113" t="s">
        <v>61</v>
      </c>
      <c r="S4" s="103">
        <f>'Stats Global'!AA22</f>
        <v>5</v>
      </c>
      <c r="T4" s="103">
        <f>'Stats Global'!AB22</f>
        <v>5</v>
      </c>
      <c r="U4" s="103">
        <f>'Stats Global'!AC22</f>
        <v>3</v>
      </c>
      <c r="V4" s="103">
        <f>'Stats Global'!AD22</f>
        <v>3</v>
      </c>
      <c r="W4" s="103">
        <f>'Stats Global'!AE22</f>
        <v>0</v>
      </c>
      <c r="X4" s="103">
        <f>'Stats Global'!AF22</f>
        <v>0</v>
      </c>
      <c r="Y4" s="103">
        <f>'Stats Global'!AG22</f>
        <v>1</v>
      </c>
      <c r="Z4" s="103">
        <f>'Stats Global'!AH22</f>
        <v>1</v>
      </c>
      <c r="AA4" s="103">
        <f>'Stats Global'!AJ22</f>
        <v>0</v>
      </c>
    </row>
    <row r="5" spans="1:30" ht="14.35" customHeight="1" x14ac:dyDescent="0.45">
      <c r="A5" s="135" t="str">
        <f>'Stats Global'!B6</f>
        <v>12-July</v>
      </c>
      <c r="B5" s="136">
        <f>'Stats Global'!F6</f>
        <v>9</v>
      </c>
      <c r="C5" s="136">
        <f>'Stats Global'!G6+'Stats Global'!H6</f>
        <v>8</v>
      </c>
      <c r="D5" s="136">
        <f>'Stats Global'!O6</f>
        <v>2</v>
      </c>
      <c r="E5" s="137" t="s">
        <v>61</v>
      </c>
      <c r="F5" s="137" t="s">
        <v>210</v>
      </c>
      <c r="I5" s="86"/>
      <c r="J5" s="89"/>
      <c r="L5" s="138">
        <f>'Stats Global'!J6</f>
        <v>4</v>
      </c>
      <c r="M5" s="138">
        <f>'Stats Global'!G6</f>
        <v>1</v>
      </c>
      <c r="N5" s="91"/>
      <c r="O5" s="138">
        <f>'Stats Global'!M6</f>
        <v>5</v>
      </c>
      <c r="P5" s="138">
        <f>'Stats Global'!H6</f>
        <v>7</v>
      </c>
      <c r="R5" s="89" t="s">
        <v>46</v>
      </c>
      <c r="S5" s="103">
        <f>'Stats Global'!AA16</f>
        <v>1</v>
      </c>
      <c r="T5" s="103">
        <f>'Stats Global'!AB16</f>
        <v>1</v>
      </c>
      <c r="U5" s="103">
        <f>'Stats Global'!AC16</f>
        <v>1</v>
      </c>
      <c r="V5" s="103">
        <f>'Stats Global'!AD16</f>
        <v>1</v>
      </c>
      <c r="W5" s="103">
        <f>'Stats Global'!AE16</f>
        <v>0</v>
      </c>
      <c r="X5" s="103">
        <f>'Stats Global'!AF16</f>
        <v>0</v>
      </c>
      <c r="Y5" s="103">
        <f>'Stats Global'!AG16</f>
        <v>0</v>
      </c>
      <c r="Z5" s="103">
        <f>'Stats Global'!AH16</f>
        <v>0</v>
      </c>
      <c r="AA5" s="103">
        <f>'Stats Global'!AJ16</f>
        <v>0</v>
      </c>
    </row>
    <row r="6" spans="1:30" ht="14.35" customHeight="1" x14ac:dyDescent="0.45">
      <c r="A6" s="135" t="str">
        <f>'Stats Global'!B7</f>
        <v>13-July</v>
      </c>
      <c r="B6" s="136">
        <f>'Stats Global'!F7</f>
        <v>8</v>
      </c>
      <c r="C6" s="136">
        <f>'Stats Global'!G7+'Stats Global'!H7</f>
        <v>2</v>
      </c>
      <c r="D6" s="136">
        <f>'Stats Global'!O7</f>
        <v>3</v>
      </c>
      <c r="E6" s="137" t="s">
        <v>61</v>
      </c>
      <c r="F6" s="137" t="s">
        <v>61</v>
      </c>
      <c r="I6" s="86"/>
      <c r="J6" s="89"/>
      <c r="L6" s="138">
        <f>'Stats Global'!J7</f>
        <v>4</v>
      </c>
      <c r="M6" s="138">
        <f>'Stats Global'!G7</f>
        <v>2</v>
      </c>
      <c r="N6" s="91"/>
      <c r="O6" s="138">
        <f>'Stats Global'!M7</f>
        <v>4</v>
      </c>
      <c r="P6" s="138">
        <f>'Stats Global'!H7</f>
        <v>0</v>
      </c>
      <c r="R6" s="89" t="s">
        <v>58</v>
      </c>
      <c r="S6" s="103">
        <f>'Stats Global'!AA21</f>
        <v>1</v>
      </c>
      <c r="T6" s="103">
        <f>'Stats Global'!AB21</f>
        <v>1</v>
      </c>
      <c r="U6" s="103">
        <f>'Stats Global'!AC21</f>
        <v>0</v>
      </c>
      <c r="V6" s="103">
        <f>'Stats Global'!AD21</f>
        <v>0</v>
      </c>
      <c r="W6" s="103">
        <f>'Stats Global'!AE21</f>
        <v>1</v>
      </c>
      <c r="X6" s="103">
        <f>'Stats Global'!AF21</f>
        <v>1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8</v>
      </c>
      <c r="C7" s="88">
        <f>'Stats Global'!G8+'Stats Global'!H8</f>
        <v>3</v>
      </c>
      <c r="D7" s="88">
        <f>'Stats Global'!O8</f>
        <v>3</v>
      </c>
      <c r="E7" s="85" t="s">
        <v>61</v>
      </c>
      <c r="F7" s="85" t="s">
        <v>61</v>
      </c>
      <c r="I7" s="86"/>
      <c r="J7" s="89"/>
      <c r="L7" s="90">
        <f>'Stats Global'!J8</f>
        <v>5</v>
      </c>
      <c r="M7" s="90">
        <f>'Stats Global'!G8</f>
        <v>0</v>
      </c>
      <c r="N7" s="91"/>
      <c r="O7" s="90">
        <f>'Stats Global'!M8</f>
        <v>3</v>
      </c>
      <c r="P7" s="90">
        <f>'Stats Global'!H8</f>
        <v>3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2</v>
      </c>
      <c r="U8" s="103">
        <f>'Stats Global'!AC9</f>
        <v>2</v>
      </c>
      <c r="V8" s="103">
        <f>'Stats Global'!AD9</f>
        <v>2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2">
        <f>SUM(B7:B40)/SUM(B7:C40)</f>
        <v>0.72727272727272729</v>
      </c>
      <c r="J41" s="89"/>
      <c r="K41" s="86" t="s">
        <v>94</v>
      </c>
      <c r="L41" s="107">
        <f>SUM(L7:L40)</f>
        <v>5</v>
      </c>
      <c r="M41" s="107">
        <f>SUM(M7:M40)</f>
        <v>0</v>
      </c>
      <c r="N41" s="89"/>
      <c r="O41" s="107">
        <f>SUM(O7:O40)</f>
        <v>3</v>
      </c>
      <c r="P41" s="107">
        <f>SUM(P7:P40)</f>
        <v>3</v>
      </c>
    </row>
    <row r="42" spans="1:16" ht="14.25" customHeight="1" x14ac:dyDescent="0.45">
      <c r="L42" s="98">
        <f>L41/(M41+L41)</f>
        <v>1</v>
      </c>
      <c r="O42" s="98">
        <f>O41/(P41+O41)</f>
        <v>0.5</v>
      </c>
    </row>
    <row r="43" spans="1:16" ht="14.25" customHeight="1" x14ac:dyDescent="0.45">
      <c r="I43" s="99" t="str">
        <f>K43&amp;H3&amp;","&amp;I3&amp;"],"</f>
        <v>"PartA":[8,3],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9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"PartB":[5,"Angus Walker",3,"Angus Walker",1,"Christopher Tomkinson",1,"Angus Walker"],</v>
      </c>
      <c r="K44" s="81" t="s">
        <v>136</v>
      </c>
      <c r="M44" s="101">
        <f>MAX(Table1114[Points])</f>
        <v>5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6</v>
      </c>
    </row>
    <row r="45" spans="1:16" ht="14.25" customHeight="1" x14ac:dyDescent="0.45">
      <c r="I45" s="81" t="str">
        <f>K45&amp;O43&amp;","&amp;O44&amp;","&amp;O45&amp;","&amp;O46&amp;","&amp;O47&amp;","&amp;O48&amp;"],"</f>
        <v>"PartC":[9,6,1,1,8,3],</v>
      </c>
      <c r="K45" s="81" t="s">
        <v>137</v>
      </c>
      <c r="M45" s="101">
        <f>MAX(Table1114[Finishes])</f>
        <v>3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1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"PartD":[5,0,100,3,3,50],</v>
      </c>
      <c r="K46" s="81" t="s">
        <v>138</v>
      </c>
      <c r="M46" s="101">
        <f>MAX(Table1114[Midranges])</f>
        <v>1</v>
      </c>
      <c r="N46" s="108" t="str">
        <f>IF(M46&lt;&gt;0,IF(M46=W4,R4,IF(M46=W5,R5,IF(W6=M46,R6,IF(W7=M46,R7,R8)))),"N/A")</f>
        <v>Christopher Tomkinson</v>
      </c>
      <c r="O46" s="100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101">
        <f>MAX(Table1114[Threes])</f>
        <v>1</v>
      </c>
      <c r="N47" s="81" t="str">
        <f>IF(M47&lt;&gt;0,IF(M47=Y4,R4,IF(M47=Y5,R5,IF(Y6=M47,R6,IF(Y7=M47,R7,R8)))),"N/A")</f>
        <v>Angus Walker</v>
      </c>
      <c r="O47" s="81">
        <f>ROUND(H3/'Stats Global'!AA6,1)</f>
        <v>8</v>
      </c>
    </row>
    <row r="48" spans="1:16" ht="14.25" customHeight="1" x14ac:dyDescent="0.45">
      <c r="O48" s="81">
        <f>ROUND(I3/'Stats Global'!AA6,1)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E8" sqref="E8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5" t="str">
        <f>'Stats Global'!B5</f>
        <v>11-July</v>
      </c>
      <c r="B4" s="136">
        <f>'Stats Global'!I5</f>
        <v>0</v>
      </c>
      <c r="C4" s="136">
        <f>'Stats Global'!J5+'Stats Global'!K5</f>
        <v>8</v>
      </c>
      <c r="D4" s="136">
        <f>'Stats Global'!P5</f>
        <v>1</v>
      </c>
      <c r="E4" s="137" t="s">
        <v>208</v>
      </c>
      <c r="F4" s="137" t="s">
        <v>208</v>
      </c>
      <c r="H4" s="86">
        <f>SUM(B7:B40)</f>
        <v>2</v>
      </c>
      <c r="I4" s="86">
        <f>SUM(C7:C40)</f>
        <v>5</v>
      </c>
      <c r="J4" s="83">
        <f>SUM(D7:D40)</f>
        <v>1</v>
      </c>
      <c r="L4" s="138">
        <f>'Stats Global'!N5</f>
        <v>0</v>
      </c>
      <c r="M4" s="138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1</v>
      </c>
    </row>
    <row r="5" spans="1:24" ht="14.25" customHeight="1" x14ac:dyDescent="0.45">
      <c r="A5" s="135" t="str">
        <f>'Stats Global'!B6</f>
        <v>12-July</v>
      </c>
      <c r="B5" s="136">
        <f>'Stats Global'!I6</f>
        <v>2</v>
      </c>
      <c r="C5" s="136">
        <f>'Stats Global'!J6+'Stats Global'!K6</f>
        <v>12</v>
      </c>
      <c r="D5" s="136">
        <f>'Stats Global'!P6</f>
        <v>1</v>
      </c>
      <c r="E5" s="137" t="s">
        <v>42</v>
      </c>
      <c r="F5" s="137" t="s">
        <v>52</v>
      </c>
      <c r="J5" s="89"/>
      <c r="L5" s="138">
        <f>'Stats Global'!N6</f>
        <v>1</v>
      </c>
      <c r="M5" s="138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5" t="str">
        <f>'Stats Global'!B7</f>
        <v>13-July</v>
      </c>
      <c r="B6" s="136">
        <f>'Stats Global'!I7</f>
        <v>4</v>
      </c>
      <c r="C6" s="136">
        <f>'Stats Global'!J7+'Stats Global'!K7</f>
        <v>5</v>
      </c>
      <c r="D6" s="136">
        <f>'Stats Global'!P7</f>
        <v>2</v>
      </c>
      <c r="E6" s="137" t="s">
        <v>215</v>
      </c>
      <c r="F6" s="137" t="s">
        <v>216</v>
      </c>
      <c r="I6" s="86"/>
      <c r="J6" s="89"/>
      <c r="L6" s="138">
        <f>'Stats Global'!N7</f>
        <v>2</v>
      </c>
      <c r="M6" s="138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1</v>
      </c>
    </row>
    <row r="7" spans="1:24" ht="14.25" customHeight="1" x14ac:dyDescent="0.45">
      <c r="A7" s="80" t="str">
        <f>'Stats Global'!B8</f>
        <v>17-July</v>
      </c>
      <c r="B7" s="88">
        <f>'Stats Global'!I8</f>
        <v>2</v>
      </c>
      <c r="C7" s="88">
        <f>'Stats Global'!J8+'Stats Global'!K8</f>
        <v>5</v>
      </c>
      <c r="D7" s="88">
        <f>'Stats Global'!P8</f>
        <v>1</v>
      </c>
      <c r="E7" s="85" t="s">
        <v>208</v>
      </c>
      <c r="F7" s="85" t="s">
        <v>52</v>
      </c>
      <c r="I7" s="86"/>
      <c r="J7" s="89"/>
      <c r="L7" s="90">
        <f>'Stats Global'!N8</f>
        <v>2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2</v>
      </c>
      <c r="R7" s="103">
        <f>'Stats Global'!AC18</f>
        <v>0</v>
      </c>
      <c r="S7" s="103">
        <f>'Stats Global'!AD18</f>
        <v>0</v>
      </c>
      <c r="T7" s="103">
        <f>'Stats Global'!AE18</f>
        <v>2</v>
      </c>
      <c r="U7" s="103">
        <f>'Stats Global'!AF18</f>
        <v>2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0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2">
        <f>SUM(B7:B40)/SUM(B7:C40)</f>
        <v>0.2857142857142857</v>
      </c>
      <c r="J41" s="89"/>
      <c r="K41" s="81" t="s">
        <v>94</v>
      </c>
      <c r="L41" s="107">
        <f>SUM(L7:L40)</f>
        <v>2</v>
      </c>
      <c r="M41" s="107">
        <f>SUM(M7:M40)</f>
        <v>0</v>
      </c>
      <c r="N41" s="89"/>
      <c r="O41" s="89"/>
      <c r="P41" s="58"/>
    </row>
    <row r="42" spans="1:16" ht="14.25" customHeight="1" x14ac:dyDescent="0.45">
      <c r="L42" s="98">
        <f>L41/(M41+L41)</f>
        <v>1</v>
      </c>
      <c r="P42" s="58"/>
    </row>
    <row r="43" spans="1:16" ht="14.25" customHeight="1" x14ac:dyDescent="0.45">
      <c r="J43" s="99" t="str">
        <f>L43&amp;H4&amp;","&amp;I4&amp;"],"</f>
        <v>"PartA":[2,5],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2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"PartB":[2,"Ryan Pattemore",0,"N/A",2,"Ryan Pattemore",0,"N/A"],</v>
      </c>
      <c r="L44" s="81" t="s">
        <v>136</v>
      </c>
      <c r="N44" s="101">
        <f>MAX(Table1113[Points])</f>
        <v>2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"PartC":[2,0,2,0,2,5],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2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"PartD":[0,5,0,2,0,100],</v>
      </c>
      <c r="L46" s="81" t="s">
        <v>138</v>
      </c>
      <c r="N46" s="101">
        <f>MAX(Table1113[Midranges])</f>
        <v>2</v>
      </c>
      <c r="O46" s="81" t="str">
        <f>IF(N46&lt;&gt;0,IF(N46=T4,O4,IF(N46=T5,O5,IF(T6=N46,O6,IF(T7=N46,O7,IF(T8=N46,O8,IF(T9=N46,O9,O10)))))),"N/A")</f>
        <v>Ryan Pattemore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2</v>
      </c>
    </row>
    <row r="48" spans="1:16" ht="14.25" customHeight="1" x14ac:dyDescent="0.45">
      <c r="P48" s="81">
        <f>ROUND(I4/'Stats Global'!AA6,1)</f>
        <v>5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F8" sqref="F8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5" t="str">
        <f>'Stats Global'!B5</f>
        <v>11-July</v>
      </c>
      <c r="B4" s="136">
        <f>'Stats Global'!L5</f>
        <v>12</v>
      </c>
      <c r="C4" s="136">
        <f>'Stats Global'!M5+'Stats Global'!N5</f>
        <v>3</v>
      </c>
      <c r="D4" s="136">
        <f>'Stats Global'!Q5</f>
        <v>3</v>
      </c>
      <c r="E4" s="137" t="s">
        <v>30</v>
      </c>
      <c r="F4" s="137" t="s">
        <v>50</v>
      </c>
      <c r="H4" s="86">
        <f>SUM(B7:B40)</f>
        <v>3</v>
      </c>
      <c r="I4" s="86">
        <f>SUM(C7:C40)</f>
        <v>5</v>
      </c>
      <c r="J4" s="83">
        <f>SUM(D7:D40)</f>
        <v>2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5" t="str">
        <f>'Stats Global'!B6</f>
        <v>12-July</v>
      </c>
      <c r="B5" s="136">
        <f>'Stats Global'!L6</f>
        <v>15</v>
      </c>
      <c r="C5" s="136">
        <f>'Stats Global'!M6+'Stats Global'!N6</f>
        <v>6</v>
      </c>
      <c r="D5" s="136">
        <f>'Stats Global'!Q6</f>
        <v>3</v>
      </c>
      <c r="E5" s="137" t="s">
        <v>30</v>
      </c>
      <c r="F5" s="137" t="s">
        <v>50</v>
      </c>
      <c r="K5" s="89"/>
      <c r="L5" s="89" t="s">
        <v>50</v>
      </c>
      <c r="M5" s="103">
        <f>'Stats Global'!AA17</f>
        <v>3</v>
      </c>
      <c r="N5" s="103">
        <f>'Stats Global'!AB17</f>
        <v>3</v>
      </c>
      <c r="O5" s="103">
        <f>'Stats Global'!AC17</f>
        <v>0</v>
      </c>
      <c r="P5" s="103">
        <f>'Stats Global'!AD17</f>
        <v>0</v>
      </c>
      <c r="Q5" s="103">
        <f>'Stats Global'!AE17</f>
        <v>1</v>
      </c>
      <c r="R5" s="103">
        <f>'Stats Global'!AF17</f>
        <v>1</v>
      </c>
      <c r="S5" s="103">
        <f>'Stats Global'!AG17</f>
        <v>1</v>
      </c>
      <c r="T5" s="103">
        <f>'Stats Global'!AH17</f>
        <v>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5" t="str">
        <f>'Stats Global'!B7</f>
        <v>13-July</v>
      </c>
      <c r="B6" s="136">
        <f>'Stats Global'!L7</f>
        <v>1</v>
      </c>
      <c r="C6" s="136">
        <f>'Stats Global'!M7+'Stats Global'!N7</f>
        <v>6</v>
      </c>
      <c r="D6" s="136">
        <f>'Stats Global'!Q7</f>
        <v>1</v>
      </c>
      <c r="E6" s="137" t="s">
        <v>208</v>
      </c>
      <c r="F6" s="137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1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3</v>
      </c>
      <c r="C7" s="88">
        <f>'Stats Global'!M8+'Stats Global'!N8</f>
        <v>5</v>
      </c>
      <c r="D7" s="88">
        <f>'Stats Global'!Q8</f>
        <v>2</v>
      </c>
      <c r="E7" s="85" t="s">
        <v>50</v>
      </c>
      <c r="F7" s="85" t="s">
        <v>208</v>
      </c>
      <c r="H7" s="86"/>
      <c r="I7" s="102"/>
      <c r="K7" s="89"/>
      <c r="L7" s="89" t="s">
        <v>55</v>
      </c>
      <c r="M7" s="103">
        <f>'Stats Global'!AA20</f>
        <v>1</v>
      </c>
      <c r="N7" s="103">
        <f>'Stats Global'!AB20</f>
        <v>1</v>
      </c>
      <c r="O7" s="103">
        <f>'Stats Global'!AC20</f>
        <v>1</v>
      </c>
      <c r="P7" s="103">
        <f>'Stats Global'!AD20</f>
        <v>1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1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"PartA":[3,5],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4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"PartB":[3,"Samuel McConaghy",1,"Nicholas Szogi",1,"Samuel McConaghy",1,"Samuel McConaghy"],</v>
      </c>
      <c r="M33" s="81" t="s">
        <v>136</v>
      </c>
      <c r="O33" s="101">
        <f>MAX(Table11[Points])</f>
        <v>3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1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"PartC":[4,1,1,1,3,5],</v>
      </c>
      <c r="M34" s="81" t="s">
        <v>137</v>
      </c>
      <c r="O34" s="101">
        <f>MAX(Table11[Finishes])</f>
        <v>1</v>
      </c>
      <c r="P34" s="81" t="str">
        <f>IF(O34&lt;&gt;0,IF(O34=O5,L5,IF(O34=O6,L6,IF(O7=O34,L7,IF(O8=O34,L8,L9)))),"N/A")</f>
        <v>Nicholas Szogi</v>
      </c>
      <c r="Q34" s="100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"PartD":[3,3,50,0,2,0],</v>
      </c>
      <c r="M35" s="81" t="s">
        <v>138</v>
      </c>
      <c r="O35" s="101">
        <f>MAX(Table11[Midranges])</f>
        <v>1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3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2">
        <f>SUM(B7:B40)/SUM(B7:C40)</f>
        <v>0.375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26" ht="14.25" customHeight="1" x14ac:dyDescent="0.45">
      <c r="B45" s="79" t="str">
        <f>C2</f>
        <v>18-July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zoomScale="90" zoomScaleNormal="90" workbookViewId="0">
      <selection activeCell="D5" sqref="D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43" t="s">
        <v>219</v>
      </c>
      <c r="Y2" s="143"/>
      <c r="Z2" s="143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42" t="s">
        <v>119</v>
      </c>
      <c r="U41" s="142"/>
      <c r="V41" s="142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LG</vt:lpstr>
      <vt:lpstr>Statistics WW</vt:lpstr>
      <vt:lpstr>Statistics 5M</vt:lpstr>
      <vt:lpstr>Template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2023-07-17T04:16:17Z</dcterms:modified>
</cp:coreProperties>
</file>