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7956174-FDC9-429C-91F8-2F34D7958FDD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808" sheetId="22" r:id="rId7"/>
    <sheet name="0308" sheetId="21" r:id="rId8"/>
    <sheet name="0208" sheetId="20" r:id="rId9"/>
    <sheet name="0108" sheetId="19" r:id="rId10"/>
    <sheet name="3107" sheetId="18" r:id="rId11"/>
    <sheet name="2707" sheetId="17" r:id="rId12"/>
    <sheet name="2607" sheetId="16" r:id="rId13"/>
    <sheet name="2407" sheetId="15" r:id="rId14"/>
    <sheet name="2007" sheetId="14" r:id="rId15"/>
    <sheet name="1907" sheetId="13" r:id="rId16"/>
    <sheet name="1807" sheetId="12" r:id="rId17"/>
    <sheet name="1707" sheetId="11" r:id="rId18"/>
    <sheet name="Preseason 3" sheetId="10" r:id="rId19"/>
    <sheet name="Preseason 2" sheetId="9" r:id="rId20"/>
    <sheet name="Preseason 1" sheetId="8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3" l="1"/>
  <c r="S80" i="3"/>
  <c r="S81" i="3"/>
  <c r="S82" i="3"/>
  <c r="S83" i="3"/>
  <c r="S84" i="3"/>
  <c r="S85" i="3"/>
  <c r="S86" i="3"/>
  <c r="S87" i="3"/>
  <c r="S88" i="3"/>
  <c r="S89" i="3"/>
  <c r="S78" i="3"/>
  <c r="B19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22" l="1"/>
  <c r="R15" i="22"/>
  <c r="R35" i="22" s="1"/>
  <c r="R7" i="22"/>
  <c r="R27" i="22" s="1"/>
  <c r="R17" i="22"/>
  <c r="R37" i="22" s="1"/>
  <c r="G45" i="22"/>
  <c r="G19" i="3" s="1"/>
  <c r="AC69" i="3"/>
  <c r="AG69" i="3" s="1"/>
  <c r="AB84" i="3"/>
  <c r="AB82" i="3"/>
  <c r="AF82" i="3" s="1"/>
  <c r="AB80" i="3"/>
  <c r="AF80" i="3" s="1"/>
  <c r="AB78" i="3"/>
  <c r="AF78" i="3" s="1"/>
  <c r="AB76" i="3"/>
  <c r="AF76" i="3" s="1"/>
  <c r="AB74" i="3"/>
  <c r="AF74" i="3" s="1"/>
  <c r="AB72" i="3"/>
  <c r="AF72" i="3" s="1"/>
  <c r="AB70" i="3"/>
  <c r="AF70" i="3" s="1"/>
  <c r="K45" i="22"/>
  <c r="K19" i="3" s="1"/>
  <c r="AB69" i="3"/>
  <c r="AF69" i="3" s="1"/>
  <c r="O4" i="22"/>
  <c r="Q45" i="22" s="1"/>
  <c r="Q19" i="3" s="1"/>
  <c r="AD85" i="3"/>
  <c r="AH85" i="3" s="1"/>
  <c r="AD83" i="3"/>
  <c r="AH83" i="3" s="1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E45" i="22"/>
  <c r="E19" i="3" s="1"/>
  <c r="R4" i="22"/>
  <c r="R12" i="22"/>
  <c r="R18" i="22"/>
  <c r="AC85" i="3"/>
  <c r="AG85" i="3" s="1"/>
  <c r="AC83" i="3"/>
  <c r="AG83" i="3" s="1"/>
  <c r="AC81" i="3"/>
  <c r="AG81" i="3" s="1"/>
  <c r="AC79" i="3"/>
  <c r="AG79" i="3" s="1"/>
  <c r="AC77" i="3"/>
  <c r="AG77" i="3" s="1"/>
  <c r="AC75" i="3"/>
  <c r="AG75" i="3" s="1"/>
  <c r="AC73" i="3"/>
  <c r="AG73" i="3" s="1"/>
  <c r="AC71" i="3"/>
  <c r="AG71" i="3" s="1"/>
  <c r="AB85" i="3"/>
  <c r="AF85" i="3" s="1"/>
  <c r="AB83" i="3"/>
  <c r="AF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R3" i="22"/>
  <c r="R10" i="22"/>
  <c r="R16" i="22"/>
  <c r="AA83" i="3"/>
  <c r="AE83" i="3" s="1"/>
  <c r="AA81" i="3"/>
  <c r="AE81" i="3" s="1"/>
  <c r="AA77" i="3"/>
  <c r="AE77" i="3" s="1"/>
  <c r="AA75" i="3"/>
  <c r="AA73" i="3"/>
  <c r="AE73" i="3" s="1"/>
  <c r="AD84" i="3"/>
  <c r="AH84" i="3" s="1"/>
  <c r="AD82" i="3"/>
  <c r="AH82" i="3" s="1"/>
  <c r="AD80" i="3"/>
  <c r="AH80" i="3" s="1"/>
  <c r="AD78" i="3"/>
  <c r="AH78" i="3" s="1"/>
  <c r="AD76" i="3"/>
  <c r="AH76" i="3" s="1"/>
  <c r="AD74" i="3"/>
  <c r="AH74" i="3" s="1"/>
  <c r="AD72" i="3"/>
  <c r="AH72" i="3" s="1"/>
  <c r="AD70" i="3"/>
  <c r="R8" i="22"/>
  <c r="AD69" i="3"/>
  <c r="AH69" i="3" s="1"/>
  <c r="AC84" i="3"/>
  <c r="AG84" i="3" s="1"/>
  <c r="AC82" i="3"/>
  <c r="AG82" i="3" s="1"/>
  <c r="AC80" i="3"/>
  <c r="AG80" i="3" s="1"/>
  <c r="AC78" i="3"/>
  <c r="AG78" i="3" s="1"/>
  <c r="AC76" i="3"/>
  <c r="AC74" i="3"/>
  <c r="AG74" i="3" s="1"/>
  <c r="AC72" i="3"/>
  <c r="AG72" i="3" s="1"/>
  <c r="AC70" i="3"/>
  <c r="AG70" i="3" s="1"/>
  <c r="AH70" i="3"/>
  <c r="AE75" i="3"/>
  <c r="AF84" i="3"/>
  <c r="AG76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36" i="22" l="1"/>
  <c r="AA82" i="3"/>
  <c r="AE82" i="3" s="1"/>
  <c r="R38" i="22"/>
  <c r="AA84" i="3"/>
  <c r="AE84" i="3" s="1"/>
  <c r="R32" i="22"/>
  <c r="AA78" i="3"/>
  <c r="AE78" i="3" s="1"/>
  <c r="D45" i="22"/>
  <c r="D19" i="3" s="1"/>
  <c r="C19" i="3"/>
  <c r="R28" i="22"/>
  <c r="AA74" i="3"/>
  <c r="AE74" i="3" s="1"/>
  <c r="R23" i="22"/>
  <c r="AA69" i="3"/>
  <c r="AE69" i="3" s="1"/>
  <c r="P45" i="22"/>
  <c r="P19" i="3" s="1"/>
  <c r="R25" i="22"/>
  <c r="AA71" i="3"/>
  <c r="AE71" i="3" s="1"/>
  <c r="R24" i="22"/>
  <c r="AA70" i="3"/>
  <c r="AE70" i="3" s="1"/>
  <c r="R39" i="22"/>
  <c r="AA85" i="3"/>
  <c r="AE85" i="3" s="1"/>
  <c r="R30" i="22"/>
  <c r="AA76" i="3"/>
  <c r="AE76" i="3" s="1"/>
  <c r="R33" i="22"/>
  <c r="AA79" i="3"/>
  <c r="AE79" i="3" s="1"/>
  <c r="R34" i="22"/>
  <c r="AA80" i="3"/>
  <c r="AE80" i="3" s="1"/>
  <c r="R26" i="22"/>
  <c r="AA72" i="3"/>
  <c r="AE72" i="3" s="1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2" l="1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J43" i="5" l="1"/>
  <c r="O47" i="4"/>
  <c r="I43" i="4"/>
  <c r="Q36" i="6"/>
  <c r="K32" i="6"/>
  <c r="AS10" i="3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<sst xmlns="http://schemas.openxmlformats.org/spreadsheetml/2006/main" count="2772" uniqueCount="269">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</sst>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5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4" fillId="0" borderId="0" xfId="0" applyFont="1" applyAlignment="1"/>
    <xf numFmtId="0" fontId="14" fillId="0" borderId="0" xfId="0" applyFont="1"/>
    <xf numFmtId="0" fontId="23" fillId="4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1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10" fillId="0" borderId="0" xfId="0" applyFont="1" applyAlignment="1"/>
    <xf numFmtId="0" fontId="9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8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7" fillId="0" borderId="0" xfId="0" applyFont="1" applyAlignment="1"/>
    <xf numFmtId="0" fontId="7" fillId="0" borderId="0" xfId="0" applyFont="1"/>
    <xf numFmtId="0" fontId="23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3" fillId="0" borderId="0" xfId="0" applyFont="1" applyAlignment="1"/>
    <xf numFmtId="0" fontId="2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1" fillId="3" borderId="0" xfId="0" applyFont="1" applyFill="1" applyAlignment="1">
      <alignment vertical="center"/>
    </xf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0.64640883977900554</c:v>
                </c:pt>
                <c:pt idx="1">
                  <c:v>0.22651933701657456</c:v>
                </c:pt>
                <c:pt idx="2">
                  <c:v>0.1270718232044199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Global'!$T$78:$T$89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Global'!$U$78:$U$89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Global'!$V$78:$V$89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'0808'!R3</calculatedColumnFormula>
    </tableColumn>
    <tableColumn id="3" xr3:uid="{9537269D-8C1D-42B5-866F-D03CE61A8512}" name="Finishes" dataDxfId="73">
      <calculatedColumnFormula>'0808'!S3</calculatedColumnFormula>
    </tableColumn>
    <tableColumn id="4" xr3:uid="{AC590DDB-BE19-4A14-8B98-1E5E2430AA45}" name="Midranges" dataDxfId="72">
      <calculatedColumnFormula>'0808'!T3</calculatedColumnFormula>
    </tableColumn>
    <tableColumn id="5" xr3:uid="{C96D3ACD-F34D-477E-86DE-4650EE56BC94}" name="Threes" dataDxfId="71">
      <calculatedColumnFormula>'0808'!U3</calculatedColumnFormula>
    </tableColumn>
    <tableColumn id="6" xr3:uid="{A43DE5E9-BB01-49FA-A204-66EE7BAA2E9F}" name="Avg P" dataDxfId="70">
      <calculatedColumnFormula>Table21126[[#This Row],[Points]]/($AA$67-Table21126[[#This Row],[Missed Games]])</calculatedColumnFormula>
    </tableColumn>
    <tableColumn id="7" xr3:uid="{C75A19FF-6041-45C2-BACB-E347F06B6329}" name="Avg F" dataDxfId="69">
      <calculatedColumnFormula>Table21126[[#This Row],[Finishes]]/($AA$67-Table21126[[#This Row],[Missed Games]])</calculatedColumnFormula>
    </tableColumn>
    <tableColumn id="8" xr3:uid="{00D3FCFC-C9C5-4C96-BE0E-8E1FDC95D07C}" name="Avg M" dataDxfId="68">
      <calculatedColumnFormula>Table21126[[#This Row],[Midranges]]/($AA$67-Table21126[[#This Row],[Missed Games]])</calculatedColumnFormula>
    </tableColumn>
    <tableColumn id="9" xr3:uid="{0448FF4E-9D2D-47F6-89B7-F17D36B05E8A}" name="Avg T" dataDxfId="67">
      <calculatedColumnFormula>Table21126[[#This Row],[Threes]]/($AA$67-Table21126[[#This Row],[Missed Games]])</calculatedColumnFormula>
    </tableColumn>
    <tableColumn id="10" xr3:uid="{D5BDFA2D-095B-44F8-8567-15B3B1520E5A}" name="Missed Games" dataDxfId="66">
      <calculatedColumnFormula>COUNTIF('0808'!V3,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9" t="s">
        <v>47</v>
      </c>
      <c r="D3" s="7">
        <f>'Stats Global'!AB8</f>
        <v>0.25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9" t="s">
        <v>47</v>
      </c>
      <c r="D4" s="7">
        <f>'Stats Global'!AB9</f>
        <v>1.0909090909090908</v>
      </c>
      <c r="E4" s="11">
        <f>'Stats Global'!AA9</f>
        <v>12</v>
      </c>
      <c r="F4" s="7">
        <f>'Stats Global'!AD9</f>
        <v>1.0909090909090908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8" t="s">
        <v>26</v>
      </c>
      <c r="D5" s="7">
        <f>'Stats Global'!AB10</f>
        <v>3.1666666666666665</v>
      </c>
      <c r="E5" s="11">
        <f>'Stats Global'!AA10</f>
        <v>19</v>
      </c>
      <c r="F5" s="7">
        <f>'Stats Global'!AD10</f>
        <v>2.8333333333333335</v>
      </c>
      <c r="G5" s="11">
        <f>'Stats Global'!AC10</f>
        <v>17</v>
      </c>
      <c r="H5" s="7">
        <f>'Stats Global'!AF10</f>
        <v>0</v>
      </c>
      <c r="I5" s="11">
        <f>'Stats Global'!AE10</f>
        <v>0</v>
      </c>
      <c r="J5" s="7">
        <f>'Stats Global'!AH10</f>
        <v>0.16666666666666666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0.75</v>
      </c>
      <c r="E6" s="11">
        <f>'Stats Global'!AA11</f>
        <v>6</v>
      </c>
      <c r="F6" s="7">
        <f>'Stats Global'!AD11</f>
        <v>0.75</v>
      </c>
      <c r="G6" s="11">
        <f>'Stats Global'!AC11</f>
        <v>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8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8" t="s">
        <v>31</v>
      </c>
      <c r="D7" s="7">
        <f>'Stats Global'!AB12</f>
        <v>1</v>
      </c>
      <c r="E7" s="11">
        <f>'Stats Global'!AA12</f>
        <v>10</v>
      </c>
      <c r="F7" s="7">
        <f>'Stats Global'!AD12</f>
        <v>0.4</v>
      </c>
      <c r="G7" s="11">
        <f>'Stats Global'!AC12</f>
        <v>4</v>
      </c>
      <c r="H7" s="7">
        <f>'Stats Global'!AF12</f>
        <v>0.4</v>
      </c>
      <c r="I7" s="11">
        <f>'Stats Global'!AE12</f>
        <v>4</v>
      </c>
      <c r="J7" s="7">
        <f>'Stats Global'!AH12</f>
        <v>0.1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8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0" t="s">
        <v>26</v>
      </c>
      <c r="D8" s="7">
        <f>'Stats Global'!AB13</f>
        <v>0.5</v>
      </c>
      <c r="E8" s="11">
        <f>'Stats Global'!AA13</f>
        <v>5</v>
      </c>
      <c r="F8" s="7">
        <f>'Stats Global'!AD13</f>
        <v>0.4</v>
      </c>
      <c r="G8" s="11">
        <f>'Stats Global'!AC13</f>
        <v>4</v>
      </c>
      <c r="H8" s="7">
        <f>'Stats Global'!AF13</f>
        <v>0.1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0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9" t="s">
        <v>26</v>
      </c>
      <c r="D9" s="7">
        <f>'Stats Global'!AB14</f>
        <v>0.5</v>
      </c>
      <c r="E9" s="11">
        <f>'Stats Global'!AA14</f>
        <v>6</v>
      </c>
      <c r="F9" s="7">
        <f>'Stats Global'!AD14</f>
        <v>0.33333333333333331</v>
      </c>
      <c r="G9" s="11">
        <f>'Stats Global'!AC14</f>
        <v>4</v>
      </c>
      <c r="H9" s="7">
        <f>'Stats Global'!AF14</f>
        <v>0.16666666666666666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9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9" t="s">
        <v>31</v>
      </c>
      <c r="D10" s="7">
        <f>'Stats Global'!AB15</f>
        <v>1.3333333333333333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0.66666666666666663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9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8" t="s">
        <v>47</v>
      </c>
      <c r="D11" s="7">
        <f>'Stats Global'!AB16</f>
        <v>1.7</v>
      </c>
      <c r="E11" s="11">
        <f>'Stats Global'!AA16</f>
        <v>17</v>
      </c>
      <c r="F11" s="7">
        <f>'Stats Global'!AD16</f>
        <v>0.7</v>
      </c>
      <c r="G11" s="11">
        <f>'Stats Global'!AC16</f>
        <v>7</v>
      </c>
      <c r="H11" s="7">
        <f>'Stats Global'!AF16</f>
        <v>0.6</v>
      </c>
      <c r="I11" s="11">
        <f>'Stats Global'!AE16</f>
        <v>6</v>
      </c>
      <c r="J11" s="7">
        <f>'Stats Global'!AH16</f>
        <v>0.2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3.5833333333333335</v>
      </c>
      <c r="E12" s="11">
        <f>'Stats Global'!AA17</f>
        <v>43</v>
      </c>
      <c r="F12" s="7">
        <f>'Stats Global'!AD17</f>
        <v>0.58333333333333337</v>
      </c>
      <c r="G12" s="11">
        <f>'Stats Global'!AC17</f>
        <v>7</v>
      </c>
      <c r="H12" s="7">
        <f>'Stats Global'!AF17</f>
        <v>2.1666666666666665</v>
      </c>
      <c r="I12" s="11">
        <f>'Stats Global'!AE17</f>
        <v>26</v>
      </c>
      <c r="J12" s="7">
        <f>'Stats Global'!AH17</f>
        <v>0.41666666666666669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9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9" t="s">
        <v>31</v>
      </c>
      <c r="D13" s="7">
        <f>'Stats Global'!AB18</f>
        <v>0.58333333333333337</v>
      </c>
      <c r="E13" s="11">
        <f>'Stats Global'!AA18</f>
        <v>7</v>
      </c>
      <c r="F13" s="7">
        <f>'Stats Global'!AD18</f>
        <v>8.3333333333333329E-2</v>
      </c>
      <c r="G13" s="11">
        <f>'Stats Global'!AC18</f>
        <v>1</v>
      </c>
      <c r="H13" s="7">
        <f>'Stats Global'!AF18</f>
        <v>0.5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0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44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45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0" t="s">
        <v>31</v>
      </c>
      <c r="D15" s="7">
        <f>'Stats Global'!AB20</f>
        <v>0.75</v>
      </c>
      <c r="E15" s="11">
        <f>'Stats Global'!AA20</f>
        <v>9</v>
      </c>
      <c r="F15" s="7">
        <f>'Stats Global'!AD20</f>
        <v>0.66666666666666663</v>
      </c>
      <c r="G15" s="11">
        <f>'Stats Global'!AC20</f>
        <v>8</v>
      </c>
      <c r="H15" s="7">
        <f>'Stats Global'!AF20</f>
        <v>8.3333333333333329E-2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1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9" t="s">
        <v>47</v>
      </c>
      <c r="D16" s="7">
        <f>'Stats Global'!AB21</f>
        <v>1.1666666666666667</v>
      </c>
      <c r="E16" s="11">
        <f>'Stats Global'!AA21</f>
        <v>14</v>
      </c>
      <c r="F16" s="7">
        <f>'Stats Global'!AD21</f>
        <v>0.75</v>
      </c>
      <c r="G16" s="11">
        <f>'Stats Global'!AC21</f>
        <v>9</v>
      </c>
      <c r="H16" s="7">
        <f>'Stats Global'!AF21</f>
        <v>0.25</v>
      </c>
      <c r="I16" s="11">
        <f>'Stats Global'!AE21</f>
        <v>3</v>
      </c>
      <c r="J16" s="7">
        <f>'Stats Global'!AH21</f>
        <v>8.3333333333333329E-2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0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2.8333333333333335</v>
      </c>
      <c r="E17" s="11">
        <f>'Stats Global'!AA22</f>
        <v>34</v>
      </c>
      <c r="F17" s="7">
        <f>'Stats Global'!AD22</f>
        <v>1.4166666666666667</v>
      </c>
      <c r="G17" s="11">
        <f>'Stats Global'!AC22</f>
        <v>17</v>
      </c>
      <c r="H17" s="7">
        <f>'Stats Global'!AF22</f>
        <v>0.58333333333333337</v>
      </c>
      <c r="I17" s="11">
        <f>'Stats Global'!AE22</f>
        <v>7</v>
      </c>
      <c r="J17" s="7">
        <f>'Stats Global'!AH22</f>
        <v>0.41666666666666669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8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09" t="s">
        <v>31</v>
      </c>
      <c r="D18" s="7">
        <f>'Stats Global'!AB23</f>
        <v>8.3333333333333329E-2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8.3333333333333329E-2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09" t="s">
        <v>197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4" t="s">
        <v>31</v>
      </c>
      <c r="D19" s="7">
        <f>'Stats Global'!AB24</f>
        <v>0.5714285714285714</v>
      </c>
      <c r="E19" s="11">
        <f>'Stats Global'!AA24</f>
        <v>4</v>
      </c>
      <c r="F19" s="7">
        <f>'Stats Global'!AD24</f>
        <v>0.5714285714285714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4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58" t="s">
        <v>119</v>
      </c>
      <c r="C22" s="158"/>
      <c r="D22" s="97"/>
      <c r="X22" s="2" t="s">
        <v>70</v>
      </c>
    </row>
    <row r="23" spans="2:24" ht="14.25" customHeight="1" x14ac:dyDescent="0.9">
      <c r="B23" s="158"/>
      <c r="C23" s="158"/>
      <c r="D23" s="97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"PPG":[0.25,1.09,3.17,0.75,1,0.5,0.5,1.33,1.7,3.58,0.58,0.17,0.75,1.17,2.83,0.08,0.57],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"TP":[3,12,19,6,10,5,6,8,17,43,7,1,9,14,34,1,4],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"FPG":[0,1.09,2.83,0.75,0.4,0.4,0.33,0,0.7,0.58,0.08,0,0.67,0.75,1.42,0,0.57],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"TF":[0,12,17,6,4,4,4,0,7,7,1,0,8,9,17,0,4],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"MPG":[0.25,0,0,0,0.4,0.1,0.17,0,0.6,2.17,0.5,0.17,0.08,0.25,0.58,0.08,0],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"TM":[3,0,0,0,4,1,2,0,6,26,6,1,1,3,7,1,0],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"TPG":[0,0,0.17,0,0.1,0,0,0.67,0.2,0.42,0,0,0,0.08,0.42,0,0],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"TT":[0,0,1,0,1,0,0,4,2,5,0,0,0,1,5,0,0],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0.25,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0.25,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1.09,</v>
      </c>
      <c r="E51" s="17" t="str">
        <f t="shared" si="7"/>
        <v>12,</v>
      </c>
      <c r="F51" s="17" t="str">
        <f t="shared" si="8"/>
        <v>1.09,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3.17,</v>
      </c>
      <c r="E52" s="17" t="str">
        <f t="shared" si="7"/>
        <v>19,</v>
      </c>
      <c r="F52" s="17" t="str">
        <f t="shared" si="8"/>
        <v>2.83,</v>
      </c>
      <c r="G52" s="17" t="str">
        <f t="shared" si="9"/>
        <v>17,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0.17,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0.75,</v>
      </c>
      <c r="E53" s="17" t="str">
        <f t="shared" si="7"/>
        <v>6,</v>
      </c>
      <c r="F53" s="17" t="str">
        <f t="shared" si="8"/>
        <v>0.75,</v>
      </c>
      <c r="G53" s="17" t="str">
        <f t="shared" si="9"/>
        <v>6,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1,</v>
      </c>
      <c r="E54" s="17" t="str">
        <f t="shared" si="7"/>
        <v>10,</v>
      </c>
      <c r="F54" s="17" t="str">
        <f t="shared" si="8"/>
        <v>0.4,</v>
      </c>
      <c r="G54" s="17" t="str">
        <f t="shared" si="9"/>
        <v>4,</v>
      </c>
      <c r="H54" s="17" t="str">
        <f t="shared" si="10"/>
        <v>0.4,</v>
      </c>
      <c r="I54" s="17" t="str">
        <f t="shared" si="11"/>
        <v>4,</v>
      </c>
      <c r="J54" s="17" t="str">
        <f t="shared" si="12"/>
        <v>0.1,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0.5,</v>
      </c>
      <c r="E55" s="17" t="str">
        <f t="shared" si="7"/>
        <v>5,</v>
      </c>
      <c r="F55" s="17" t="str">
        <f t="shared" si="8"/>
        <v>0.4,</v>
      </c>
      <c r="G55" s="17" t="str">
        <f t="shared" si="9"/>
        <v>4,</v>
      </c>
      <c r="H55" s="17" t="str">
        <f t="shared" si="10"/>
        <v>0.1,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0.5,</v>
      </c>
      <c r="E56" s="17" t="str">
        <f t="shared" si="7"/>
        <v>6,</v>
      </c>
      <c r="F56" s="17" t="str">
        <f t="shared" si="8"/>
        <v>0.33,</v>
      </c>
      <c r="G56" s="17" t="str">
        <f t="shared" si="9"/>
        <v>4,</v>
      </c>
      <c r="H56" s="17" t="str">
        <f t="shared" si="10"/>
        <v>0.17,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1.33,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0.67,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1.7,</v>
      </c>
      <c r="E58" s="17" t="str">
        <f t="shared" si="7"/>
        <v>17,</v>
      </c>
      <c r="F58" s="17" t="str">
        <f t="shared" si="8"/>
        <v>0.7,</v>
      </c>
      <c r="G58" s="17" t="str">
        <f t="shared" si="9"/>
        <v>7,</v>
      </c>
      <c r="H58" s="17" t="str">
        <f t="shared" si="10"/>
        <v>0.6,</v>
      </c>
      <c r="I58" s="17" t="str">
        <f t="shared" si="11"/>
        <v>6,</v>
      </c>
      <c r="J58" s="17" t="str">
        <f t="shared" si="12"/>
        <v>0.2,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3.58,</v>
      </c>
      <c r="E59" s="17" t="str">
        <f t="shared" si="7"/>
        <v>43,</v>
      </c>
      <c r="F59" s="17" t="str">
        <f t="shared" si="8"/>
        <v>0.58,</v>
      </c>
      <c r="G59" s="17" t="str">
        <f t="shared" si="9"/>
        <v>7,</v>
      </c>
      <c r="H59" s="17" t="str">
        <f t="shared" si="10"/>
        <v>2.17,</v>
      </c>
      <c r="I59" s="17" t="str">
        <f t="shared" si="11"/>
        <v>26,</v>
      </c>
      <c r="J59" s="17" t="str">
        <f t="shared" si="12"/>
        <v>0.42,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0.58,</v>
      </c>
      <c r="E60" s="17" t="str">
        <f t="shared" si="7"/>
        <v>7,</v>
      </c>
      <c r="F60" s="17" t="str">
        <f t="shared" si="8"/>
        <v>0.08,</v>
      </c>
      <c r="G60" s="17" t="str">
        <f t="shared" si="9"/>
        <v>1,</v>
      </c>
      <c r="H60" s="17" t="str">
        <f t="shared" si="10"/>
        <v>0.5,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0.75,</v>
      </c>
      <c r="E62" s="17" t="str">
        <f t="shared" si="7"/>
        <v>9,</v>
      </c>
      <c r="F62" s="17" t="str">
        <f t="shared" si="8"/>
        <v>0.67,</v>
      </c>
      <c r="G62" s="17" t="str">
        <f t="shared" si="9"/>
        <v>8,</v>
      </c>
      <c r="H62" s="17" t="str">
        <f t="shared" si="10"/>
        <v>0.08,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1.17,</v>
      </c>
      <c r="E63" s="17" t="str">
        <f t="shared" si="7"/>
        <v>14,</v>
      </c>
      <c r="F63" s="17" t="str">
        <f t="shared" si="8"/>
        <v>0.75,</v>
      </c>
      <c r="G63" s="17" t="str">
        <f t="shared" si="9"/>
        <v>9,</v>
      </c>
      <c r="H63" s="17" t="str">
        <f t="shared" si="10"/>
        <v>0.25,</v>
      </c>
      <c r="I63" s="17" t="str">
        <f t="shared" si="11"/>
        <v>3,</v>
      </c>
      <c r="J63" s="17" t="str">
        <f t="shared" si="12"/>
        <v>0.08,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2.83,</v>
      </c>
      <c r="E64" s="17" t="str">
        <f t="shared" si="7"/>
        <v>34,</v>
      </c>
      <c r="F64" s="17" t="str">
        <f t="shared" si="8"/>
        <v>1.42,</v>
      </c>
      <c r="G64" s="17" t="str">
        <f t="shared" si="9"/>
        <v>17,</v>
      </c>
      <c r="H64" s="17" t="str">
        <f t="shared" si="10"/>
        <v>0.58,</v>
      </c>
      <c r="I64" s="17" t="str">
        <f t="shared" si="11"/>
        <v>7,</v>
      </c>
      <c r="J64" s="17" t="str">
        <f t="shared" si="12"/>
        <v>0.42,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0.08,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0.08,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0.56999999999999995</v>
      </c>
      <c r="E66" s="17">
        <f>E19</f>
        <v>4</v>
      </c>
      <c r="F66" s="17">
        <f>ROUND(F19,2)</f>
        <v>0.56999999999999995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7"/>
      <c r="AC23" s="147"/>
      <c r="AD23" s="147"/>
      <c r="AE23" s="147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47"/>
      <c r="AD24" s="147"/>
      <c r="AE24" s="147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47"/>
      <c r="AD25" s="147"/>
      <c r="AE25" s="147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47"/>
      <c r="AD26" s="147"/>
      <c r="AE26" s="147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1"/>
      <c r="AC27" s="147"/>
      <c r="AD27" s="147"/>
      <c r="AE27" s="147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1"/>
      <c r="AC28" s="147"/>
      <c r="AD28" s="147"/>
      <c r="AE28" s="147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47"/>
      <c r="AD29" s="147"/>
      <c r="AE29" s="147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47"/>
      <c r="AD30" s="147"/>
      <c r="AE30" s="147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47"/>
      <c r="AD31" s="147"/>
      <c r="AE31" s="147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2"/>
      <c r="AC32" s="147"/>
      <c r="AD32" s="147"/>
      <c r="AE32" s="147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2"/>
      <c r="AC33" s="147"/>
      <c r="AD33" s="147"/>
      <c r="AE33" s="147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47"/>
      <c r="AD34" s="147"/>
      <c r="AE34" s="147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47"/>
      <c r="AD35" s="147"/>
      <c r="AE35" s="147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47"/>
      <c r="AD36" s="147"/>
      <c r="AE36" s="147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47"/>
      <c r="AD37" s="147"/>
      <c r="AE37" s="147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47"/>
      <c r="AD38" s="147"/>
      <c r="AE38" s="147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3"/>
      <c r="AC39" s="147"/>
      <c r="AD39" s="147"/>
      <c r="AE39" s="147"/>
    </row>
    <row r="40" spans="2:31" ht="14.25" customHeight="1" x14ac:dyDescent="0.45">
      <c r="B40" s="73"/>
      <c r="S40" s="8"/>
      <c r="T40" s="8"/>
      <c r="U40" s="8"/>
      <c r="AB40" s="133"/>
      <c r="AC40" s="147"/>
      <c r="AD40" s="147"/>
      <c r="AE40" s="147"/>
    </row>
    <row r="41" spans="2:31" ht="14.25" customHeight="1" x14ac:dyDescent="0.9">
      <c r="R41" s="97"/>
      <c r="S41" s="97"/>
      <c r="T41" s="158" t="s">
        <v>119</v>
      </c>
      <c r="U41" s="158"/>
      <c r="V41" s="158"/>
    </row>
    <row r="42" spans="2:31" ht="14.25" customHeight="1" x14ac:dyDescent="0.9">
      <c r="R42" s="97"/>
      <c r="S42" s="97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0"/>
      <c r="AC21" s="130"/>
      <c r="AD21" s="130"/>
      <c r="AE21" s="130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1"/>
      <c r="AC22" s="130"/>
      <c r="AD22" s="130"/>
      <c r="AE22" s="130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1"/>
      <c r="AC23" s="130"/>
      <c r="AD23" s="130"/>
      <c r="AE23" s="13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30"/>
      <c r="AD24" s="130"/>
      <c r="AE24" s="13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30"/>
      <c r="AD25" s="130"/>
      <c r="AE25" s="13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30"/>
      <c r="AD26" s="130"/>
      <c r="AE26" s="13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30"/>
      <c r="AD27" s="130"/>
      <c r="AE27" s="13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30"/>
      <c r="AD28" s="130"/>
      <c r="AE28" s="13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30"/>
      <c r="AD29" s="130"/>
      <c r="AE29" s="13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30"/>
      <c r="AD30" s="130"/>
      <c r="AE30" s="13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30"/>
      <c r="AD31" s="130"/>
      <c r="AE31" s="13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30"/>
      <c r="AD32" s="130"/>
      <c r="AE32" s="13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30"/>
      <c r="AD33" s="130"/>
      <c r="AE33" s="13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30"/>
      <c r="AD34" s="130"/>
      <c r="AE34" s="13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30"/>
      <c r="AD35" s="130"/>
      <c r="AE35" s="130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30"/>
      <c r="AD36" s="130"/>
      <c r="AE36" s="130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30"/>
      <c r="AD37" s="130"/>
      <c r="AE37" s="13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30"/>
      <c r="AD38" s="130"/>
      <c r="AE38" s="130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7"/>
      <c r="S41" s="97"/>
      <c r="T41" s="158" t="s">
        <v>119</v>
      </c>
      <c r="U41" s="158"/>
      <c r="V41" s="158"/>
    </row>
    <row r="42" spans="2:31" ht="14.25" customHeight="1" x14ac:dyDescent="0.9">
      <c r="R42" s="97"/>
      <c r="S42" s="97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218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7"/>
      <c r="S41" s="97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H7" zoomScale="55" zoomScaleNormal="55" workbookViewId="0">
      <selection activeCell="AB17" sqref="AB1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7" t="s">
        <v>72</v>
      </c>
      <c r="C4" s="107" t="s">
        <v>77</v>
      </c>
      <c r="D4" s="107" t="s">
        <v>78</v>
      </c>
      <c r="E4" s="107" t="s">
        <v>79</v>
      </c>
      <c r="F4" s="107" t="s">
        <v>170</v>
      </c>
      <c r="G4" s="107" t="s">
        <v>176</v>
      </c>
      <c r="H4" s="107" t="s">
        <v>177</v>
      </c>
      <c r="I4" s="107" t="s">
        <v>171</v>
      </c>
      <c r="J4" s="107" t="s">
        <v>178</v>
      </c>
      <c r="K4" s="107" t="s">
        <v>179</v>
      </c>
      <c r="L4" s="107" t="s">
        <v>172</v>
      </c>
      <c r="M4" s="107" t="s">
        <v>180</v>
      </c>
      <c r="N4" s="107" t="s">
        <v>181</v>
      </c>
      <c r="O4" s="107" t="s">
        <v>173</v>
      </c>
      <c r="P4" s="107" t="s">
        <v>174</v>
      </c>
      <c r="Q4" s="107" t="s">
        <v>175</v>
      </c>
      <c r="S4" s="3" t="s">
        <v>80</v>
      </c>
      <c r="Z4" t="s">
        <v>144</v>
      </c>
      <c r="AA4" s="134">
        <f>AA6/(20-AA5)</f>
        <v>0.66666666666666663</v>
      </c>
    </row>
    <row r="5" spans="1:55" ht="14.25" customHeight="1" x14ac:dyDescent="0.45">
      <c r="B5" s="120" t="str">
        <f>'Preseason 1'!B45</f>
        <v>11-July</v>
      </c>
      <c r="C5" s="120">
        <f>'Preseason 1'!C45</f>
        <v>12</v>
      </c>
      <c r="D5" s="120">
        <f>'Preseason 1'!D45</f>
        <v>5</v>
      </c>
      <c r="E5" s="120">
        <f>'Preseason 1'!E45</f>
        <v>0</v>
      </c>
      <c r="F5" s="120">
        <f>'Preseason 1'!F45</f>
        <v>5</v>
      </c>
      <c r="G5" s="120">
        <f>'Preseason 1'!G45</f>
        <v>0</v>
      </c>
      <c r="H5" s="120">
        <f>'Preseason 1'!H45</f>
        <v>6</v>
      </c>
      <c r="I5" s="120">
        <f>'Preseason 1'!I45</f>
        <v>0</v>
      </c>
      <c r="J5" s="120">
        <f>'Preseason 1'!J45</f>
        <v>2</v>
      </c>
      <c r="K5" s="120">
        <f>'Preseason 1'!K45</f>
        <v>6</v>
      </c>
      <c r="L5" s="120">
        <f>'Preseason 1'!L45</f>
        <v>12</v>
      </c>
      <c r="M5" s="120">
        <f>'Preseason 1'!M45</f>
        <v>3</v>
      </c>
      <c r="N5" s="120">
        <f>'Preseason 1'!N45</f>
        <v>0</v>
      </c>
      <c r="O5" s="120">
        <f>'Preseason 1'!O45</f>
        <v>2</v>
      </c>
      <c r="P5" s="120">
        <f>'Preseason 1'!P45</f>
        <v>1</v>
      </c>
      <c r="Q5" s="120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20" t="str">
        <f>'Preseason 2'!B45</f>
        <v>12-July</v>
      </c>
      <c r="C6" s="120">
        <f>'Preseason 2'!C45</f>
        <v>15</v>
      </c>
      <c r="D6" s="120">
        <f>'Preseason 2'!D45</f>
        <v>9</v>
      </c>
      <c r="E6" s="120">
        <f>'Preseason 2'!E45</f>
        <v>2</v>
      </c>
      <c r="F6" s="120">
        <f>'Preseason 2'!F45</f>
        <v>9</v>
      </c>
      <c r="G6" s="120">
        <f>'Preseason 2'!G45</f>
        <v>1</v>
      </c>
      <c r="H6" s="120">
        <f>'Preseason 2'!H45</f>
        <v>7</v>
      </c>
      <c r="I6" s="120">
        <f>'Preseason 2'!I45</f>
        <v>2</v>
      </c>
      <c r="J6" s="120">
        <f>'Preseason 2'!J45</f>
        <v>4</v>
      </c>
      <c r="K6" s="120">
        <f>'Preseason 2'!K45</f>
        <v>8</v>
      </c>
      <c r="L6" s="120">
        <f>'Preseason 2'!L45</f>
        <v>15</v>
      </c>
      <c r="M6" s="120">
        <f>'Preseason 2'!M45</f>
        <v>5</v>
      </c>
      <c r="N6" s="120">
        <f>'Preseason 2'!N45</f>
        <v>1</v>
      </c>
      <c r="O6" s="120">
        <f>'Preseason 2'!O45</f>
        <v>2</v>
      </c>
      <c r="P6" s="120">
        <f>'Preseason 2'!P45</f>
        <v>1</v>
      </c>
      <c r="Q6" s="120">
        <f>'Preseason 2'!Q45</f>
        <v>3</v>
      </c>
      <c r="S6" s="4">
        <f>SUM(C8:E40)/COUNT(C8:C40)</f>
        <v>15.083333333333334</v>
      </c>
      <c r="T6" s="121">
        <f>AVERAGE(C8:C40)</f>
        <v>9.75</v>
      </c>
      <c r="U6" s="121">
        <f t="shared" ref="U6:V6" si="0">AVERAGE(D8:D40)</f>
        <v>3.4166666666666665</v>
      </c>
      <c r="V6" s="121">
        <f t="shared" si="0"/>
        <v>1.9166666666666667</v>
      </c>
      <c r="Z6" s="69" t="s">
        <v>166</v>
      </c>
      <c r="AA6" s="8">
        <f>AA47+AA67+AL27+AL47+AL67+AA87+AL87</f>
        <v>12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9</v>
      </c>
    </row>
    <row r="7" spans="1:55" ht="14.25" customHeight="1" x14ac:dyDescent="0.45">
      <c r="B7" s="120" t="str">
        <f>'Preseason 3'!B45</f>
        <v>13-July</v>
      </c>
      <c r="C7" s="120">
        <f>'Preseason 3'!C45</f>
        <v>8</v>
      </c>
      <c r="D7" s="120">
        <f>'Preseason 3'!D45</f>
        <v>4</v>
      </c>
      <c r="E7" s="120">
        <f>'Preseason 3'!E45</f>
        <v>1</v>
      </c>
      <c r="F7" s="120">
        <f>'Preseason 3'!F45</f>
        <v>8</v>
      </c>
      <c r="G7" s="120">
        <f>'Preseason 3'!G45</f>
        <v>2</v>
      </c>
      <c r="H7" s="120">
        <f>'Preseason 3'!H45</f>
        <v>0</v>
      </c>
      <c r="I7" s="120">
        <f>'Preseason 3'!I45</f>
        <v>4</v>
      </c>
      <c r="J7" s="120">
        <f>'Preseason 3'!J45</f>
        <v>4</v>
      </c>
      <c r="K7" s="120">
        <f>'Preseason 3'!K45</f>
        <v>1</v>
      </c>
      <c r="L7" s="120">
        <f>'Preseason 3'!L45</f>
        <v>1</v>
      </c>
      <c r="M7" s="120">
        <f>'Preseason 3'!M45</f>
        <v>4</v>
      </c>
      <c r="N7" s="120">
        <f>'Preseason 3'!N45</f>
        <v>2</v>
      </c>
      <c r="O7" s="120">
        <f>'Preseason 3'!O45</f>
        <v>3</v>
      </c>
      <c r="P7" s="120">
        <f>'Preseason 3'!P45</f>
        <v>2</v>
      </c>
      <c r="Q7" s="120">
        <f>'Preseason 3'!Q45</f>
        <v>1</v>
      </c>
      <c r="S7" s="3" t="s">
        <v>83</v>
      </c>
      <c r="T7" s="5">
        <f>T6/$S$6</f>
        <v>0.64640883977900554</v>
      </c>
      <c r="U7" s="5">
        <f>U6/$S$6</f>
        <v>0.22651933701657456</v>
      </c>
      <c r="V7" s="5">
        <f>V6/$S$6</f>
        <v>0.1270718232044199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41"/>
      <c r="AR7" s="142" t="s">
        <v>231</v>
      </c>
      <c r="AS7" s="59" t="s">
        <v>232</v>
      </c>
      <c r="AT7" s="152" t="s">
        <v>260</v>
      </c>
      <c r="AU7" s="154" t="s">
        <v>261</v>
      </c>
      <c r="AW7" s="2" t="s">
        <v>4</v>
      </c>
      <c r="AX7" s="149" t="s">
        <v>245</v>
      </c>
      <c r="AY7" s="149" t="s">
        <v>246</v>
      </c>
      <c r="AZ7" s="149" t="s">
        <v>247</v>
      </c>
      <c r="BA7" s="149" t="s">
        <v>248</v>
      </c>
      <c r="BB7" s="149" t="s">
        <v>249</v>
      </c>
      <c r="BC7" s="149" t="s">
        <v>250</v>
      </c>
    </row>
    <row r="8" spans="1:55" ht="14.25" customHeight="1" x14ac:dyDescent="0.45">
      <c r="A8" s="73"/>
      <c r="B8" s="117" t="str">
        <f>'1707'!B45</f>
        <v>17-July</v>
      </c>
      <c r="C8" s="117">
        <f>'1707'!C45</f>
        <v>8</v>
      </c>
      <c r="D8" s="117">
        <f>'1707'!D45</f>
        <v>3</v>
      </c>
      <c r="E8" s="117">
        <f>'1707'!E45</f>
        <v>2</v>
      </c>
      <c r="F8" s="117">
        <f>'1707'!F45</f>
        <v>8</v>
      </c>
      <c r="G8" s="117">
        <f>'1707'!G45</f>
        <v>0</v>
      </c>
      <c r="H8" s="117">
        <f>'1707'!H45</f>
        <v>3</v>
      </c>
      <c r="I8" s="117">
        <f>'1707'!I45</f>
        <v>2</v>
      </c>
      <c r="J8" s="117">
        <f>'1707'!J45</f>
        <v>5</v>
      </c>
      <c r="K8" s="117">
        <f>'1707'!K45</f>
        <v>0</v>
      </c>
      <c r="L8" s="117">
        <f>'1707'!L45</f>
        <v>3</v>
      </c>
      <c r="M8" s="117">
        <f>'1707'!M45</f>
        <v>3</v>
      </c>
      <c r="N8" s="117">
        <f>'1707'!N45</f>
        <v>2</v>
      </c>
      <c r="O8" s="117">
        <f>'1707'!O45</f>
        <v>3</v>
      </c>
      <c r="P8" s="117">
        <f>'1707'!P45</f>
        <v>1</v>
      </c>
      <c r="Q8" s="117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0.25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0.25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8" t="s">
        <v>0</v>
      </c>
      <c r="AM8" s="127">
        <f>AVERAGE(Table1[Average])</f>
        <v>1.1781767252355488</v>
      </c>
      <c r="AN8" s="127">
        <f>MEDIAN(Table1[Average])</f>
        <v>0.75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7">
        <f>AP8-Table1[[#This Row],[Points]]</f>
        <v>5</v>
      </c>
      <c r="AS8" s="143">
        <f>Table1[[#This Row],[Points]]/(20-AA$5-Table1[[#This Row],[Missed Games]])</f>
        <v>0.16666666666666666</v>
      </c>
      <c r="AT8" s="153">
        <f>Table1[[#This Row],[Average]]-'[1]Stats Global'!R8</f>
        <v>-0.16176470588235292</v>
      </c>
      <c r="AU8" s="27">
        <f>(Table1[[#This Row],[Average]]-'[1]Stats Global'!R8)/'[1]Stats Global'!R8</f>
        <v>-0.39285714285714285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0.33333333333333331</v>
      </c>
      <c r="BB8" s="16">
        <f>Table4[[#This Row],[Total A]]/$AX$6</f>
        <v>0.1111111111111111</v>
      </c>
      <c r="BC8" s="16">
        <f>Table4[[#This Row],[Total S]]/$AX$6</f>
        <v>0.33333333333333331</v>
      </c>
    </row>
    <row r="9" spans="1:55" ht="14.25" customHeight="1" x14ac:dyDescent="0.45">
      <c r="A9" s="73"/>
      <c r="B9" s="117" t="str">
        <f>'1807'!B45</f>
        <v>18-July</v>
      </c>
      <c r="C9" s="117">
        <f>'1807'!C45</f>
        <v>12</v>
      </c>
      <c r="D9" s="117">
        <f>'1807'!D45</f>
        <v>1</v>
      </c>
      <c r="E9" s="117">
        <f>'1807'!E45</f>
        <v>1</v>
      </c>
      <c r="F9" s="117">
        <f>'1807'!F45</f>
        <v>12</v>
      </c>
      <c r="G9" s="117">
        <f>'1807'!G45</f>
        <v>1</v>
      </c>
      <c r="H9" s="117">
        <f>'1807'!H45</f>
        <v>0</v>
      </c>
      <c r="I9" s="117">
        <f>'1807'!I45</f>
        <v>1</v>
      </c>
      <c r="J9" s="117">
        <f>'1807'!J45</f>
        <v>6</v>
      </c>
      <c r="K9" s="117">
        <f>'1807'!K45</f>
        <v>1</v>
      </c>
      <c r="L9" s="117">
        <f>'1807'!L45</f>
        <v>1</v>
      </c>
      <c r="M9" s="117">
        <f>'1807'!M45</f>
        <v>6</v>
      </c>
      <c r="N9" s="117">
        <f>'1807'!N45</f>
        <v>0</v>
      </c>
      <c r="O9" s="117">
        <f>'1807'!O45</f>
        <v>3</v>
      </c>
      <c r="P9" s="117">
        <f>'1807'!P45</f>
        <v>1</v>
      </c>
      <c r="Q9" s="117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1.0909090909090908</v>
      </c>
      <c r="AC9" s="66">
        <f t="shared" si="2"/>
        <v>12</v>
      </c>
      <c r="AD9" s="67">
        <f>IF($AA$6-Table1[[#This Row],[Missed Games]]=0, 0,Table1[[#This Row],[Finishes]]/($AA$6-Table1[[#This Row],[Missed Games]]))</f>
        <v>1.0909090909090908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8" t="s">
        <v>1</v>
      </c>
      <c r="AM9" s="127">
        <f>AVERAGE(Table1[Finishes])</f>
        <v>5.882352941176471</v>
      </c>
      <c r="AN9" s="127">
        <f>MEDIAN(Table1[Finishes])</f>
        <v>4</v>
      </c>
      <c r="AO9" s="138"/>
      <c r="AP9" s="18">
        <f>_xlfn.CEILING.MATH('[1]Stats Global'!R9*(20-$AA$5-$AJ9))</f>
        <v>11</v>
      </c>
      <c r="AQ9" s="27">
        <f>Table1[[#This Row],[Points]]/AP9</f>
        <v>1.0909090909090908</v>
      </c>
      <c r="AR9" s="137">
        <f>AP9-Table1[[#This Row],[Points]]</f>
        <v>-1</v>
      </c>
      <c r="AS9" s="143">
        <f>Table1[[#This Row],[Points]]/(20-AA$5-Table1[[#This Row],[Missed Games]])</f>
        <v>0.70588235294117652</v>
      </c>
      <c r="AT9" s="153">
        <f>Table1[[#This Row],[Average]]-'[1]Stats Global'!R9</f>
        <v>0.49090909090909085</v>
      </c>
      <c r="AU9" s="27">
        <f>(Table1[[#This Row],[Average]]-'[1]Stats Global'!R9)/'[1]Stats Global'!R9</f>
        <v>0.81818181818181812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1.4444444444444444</v>
      </c>
      <c r="BB9" s="16">
        <f>Table4[[#This Row],[Total A]]/$AX$6</f>
        <v>0</v>
      </c>
      <c r="BC9" s="16">
        <f>Table4[[#This Row],[Total S]]/$AX$6</f>
        <v>0.33333333333333331</v>
      </c>
    </row>
    <row r="10" spans="1:55" ht="14.25" customHeight="1" x14ac:dyDescent="0.45">
      <c r="A10" s="73"/>
      <c r="B10" s="117" t="str">
        <f>'1907'!B45</f>
        <v>19-July</v>
      </c>
      <c r="C10" s="117">
        <f>'1907'!C45</f>
        <v>15</v>
      </c>
      <c r="D10" s="117">
        <f>'1907'!D45</f>
        <v>0</v>
      </c>
      <c r="E10" s="117">
        <f>'1907'!E45</f>
        <v>0</v>
      </c>
      <c r="F10" s="117">
        <f>'1907'!F45</f>
        <v>15</v>
      </c>
      <c r="G10" s="117">
        <f>'1907'!G45</f>
        <v>0</v>
      </c>
      <c r="H10" s="117">
        <f>'1907'!H45</f>
        <v>0</v>
      </c>
      <c r="I10" s="117">
        <f>'1907'!I45</f>
        <v>0</v>
      </c>
      <c r="J10" s="117">
        <f>'1907'!J45</f>
        <v>8</v>
      </c>
      <c r="K10" s="117">
        <f>'1907'!K45</f>
        <v>0</v>
      </c>
      <c r="L10" s="117">
        <f>'1907'!L45</f>
        <v>0</v>
      </c>
      <c r="M10" s="117">
        <f>'1907'!M45</f>
        <v>7</v>
      </c>
      <c r="N10" s="117">
        <f>'1907'!N45</f>
        <v>0</v>
      </c>
      <c r="O10" s="117">
        <f>'1907'!O45</f>
        <v>3</v>
      </c>
      <c r="P10" s="117">
        <f>'1907'!P45</f>
        <v>1</v>
      </c>
      <c r="Q10" s="117">
        <f>'1907'!Q45</f>
        <v>2</v>
      </c>
      <c r="Z10" s="63" t="s">
        <v>51</v>
      </c>
      <c r="AA10" s="64">
        <f t="shared" si="1"/>
        <v>19</v>
      </c>
      <c r="AB10" s="65">
        <f>IF($AA$6-Table1[[#This Row],[Missed Games]]=0, 0,Table1[[#This Row],[Points]]/($AA$6-Table1[[#This Row],[Missed Games]]))</f>
        <v>3.1666666666666665</v>
      </c>
      <c r="AC10" s="66">
        <f t="shared" si="2"/>
        <v>17</v>
      </c>
      <c r="AD10" s="67">
        <f>IF($AA$6-Table1[[#This Row],[Missed Games]]=0, 0,Table1[[#This Row],[Finishes]]/($AA$6-Table1[[#This Row],[Missed Games]]))</f>
        <v>2.8333333333333335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0.16666666666666666</v>
      </c>
      <c r="AI10" s="63" t="str">
        <f>SfW!C5</f>
        <v>5 Musketeers</v>
      </c>
      <c r="AJ10" s="68">
        <f t="shared" si="5"/>
        <v>6</v>
      </c>
      <c r="AK10" s="62"/>
      <c r="AL10" s="128" t="s">
        <v>219</v>
      </c>
      <c r="AM10" s="127">
        <f>AVERAGE(Table1[Midranges])</f>
        <v>3.5882352941176472</v>
      </c>
      <c r="AN10" s="127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0.5</v>
      </c>
      <c r="AR10" s="137">
        <f>AP10-Table1[[#This Row],[Points]]</f>
        <v>19</v>
      </c>
      <c r="AS10" s="143">
        <f>Table1[[#This Row],[Points]]/(20-AA$5-Table1[[#This Row],[Missed Games]])</f>
        <v>1.5833333333333333</v>
      </c>
      <c r="AT10" s="153">
        <f>Table1[[#This Row],[Average]]-'[1]Stats Global'!R10</f>
        <v>2.3809523809523725E-2</v>
      </c>
      <c r="AU10" s="27">
        <f>(Table1[[#This Row],[Average]]-'[1]Stats Global'!R10)/'[1]Stats Global'!R10</f>
        <v>7.5757575757575491E-3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0.55555555555555558</v>
      </c>
      <c r="BB10" s="16">
        <f>Table4[[#This Row],[Total A]]/$AX$6</f>
        <v>0.33333333333333331</v>
      </c>
      <c r="BC10" s="16">
        <f>Table4[[#This Row],[Total S]]/$AX$6</f>
        <v>0.22222222222222221</v>
      </c>
    </row>
    <row r="11" spans="1:55" ht="14.25" customHeight="1" x14ac:dyDescent="0.45">
      <c r="A11" s="73"/>
      <c r="B11" s="117" t="str">
        <f>'2007'!B45</f>
        <v>20-July</v>
      </c>
      <c r="C11" s="117">
        <f>'2007'!C45</f>
        <v>6</v>
      </c>
      <c r="D11" s="117">
        <f>'2007'!D45</f>
        <v>3</v>
      </c>
      <c r="E11" s="117">
        <f>'2007'!E45</f>
        <v>2</v>
      </c>
      <c r="F11" s="117">
        <f>'2007'!F45</f>
        <v>3</v>
      </c>
      <c r="G11" s="117">
        <f>'2007'!G45</f>
        <v>3</v>
      </c>
      <c r="H11" s="117">
        <f>'2007'!H45</f>
        <v>1</v>
      </c>
      <c r="I11" s="117">
        <f>'2007'!I45</f>
        <v>6</v>
      </c>
      <c r="J11" s="117">
        <f>'2007'!J45</f>
        <v>2</v>
      </c>
      <c r="K11" s="117">
        <f>'2007'!K45</f>
        <v>1</v>
      </c>
      <c r="L11" s="117">
        <f>'2007'!L45</f>
        <v>2</v>
      </c>
      <c r="M11" s="117">
        <f>'2007'!M45</f>
        <v>1</v>
      </c>
      <c r="N11" s="117">
        <f>'2007'!N45</f>
        <v>3</v>
      </c>
      <c r="O11" s="117">
        <f>'2007'!O45</f>
        <v>2</v>
      </c>
      <c r="P11" s="117">
        <f>'2007'!P45</f>
        <v>3</v>
      </c>
      <c r="Q11" s="117">
        <f>'2007'!Q45</f>
        <v>1</v>
      </c>
      <c r="Z11" s="63" t="s">
        <v>54</v>
      </c>
      <c r="AA11" s="64">
        <f t="shared" si="1"/>
        <v>6</v>
      </c>
      <c r="AB11" s="65">
        <f>IF($AA$6-Table1[[#This Row],[Missed Games]]=0, 0,Table1[[#This Row],[Points]]/($AA$6-Table1[[#This Row],[Missed Games]]))</f>
        <v>0.75</v>
      </c>
      <c r="AC11" s="66">
        <f t="shared" si="2"/>
        <v>6</v>
      </c>
      <c r="AD11" s="67">
        <f>IF($AA$6-Table1[[#This Row],[Missed Games]]=0, 0,Table1[[#This Row],[Finishes]]/($AA$6-Table1[[#This Row],[Missed Games]]))</f>
        <v>0.75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8" t="s">
        <v>3</v>
      </c>
      <c r="AM11" s="127">
        <f>AVERAGE(Table1[Threes])</f>
        <v>1.1176470588235294</v>
      </c>
      <c r="AN11" s="127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0.15</v>
      </c>
      <c r="AR11" s="137">
        <f>AP11-Table1[[#This Row],[Points]]</f>
        <v>34</v>
      </c>
      <c r="AS11" s="143">
        <f>Table1[[#This Row],[Points]]/(20-AA$5-Table1[[#This Row],[Missed Games]])</f>
        <v>0.42857142857142855</v>
      </c>
      <c r="AT11" s="153">
        <f>Table1[[#This Row],[Average]]-'[1]Stats Global'!R11</f>
        <v>-2.0625</v>
      </c>
      <c r="AU11" s="27">
        <f>(Table1[[#This Row],[Average]]-'[1]Stats Global'!R11)/'[1]Stats Global'!R11</f>
        <v>-0.73333333333333328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1.1111111111111112</v>
      </c>
      <c r="BB11" s="16">
        <f>Table4[[#This Row],[Total A]]/$AX$6</f>
        <v>0.1111111111111111</v>
      </c>
      <c r="BC11" s="16">
        <f>Table4[[#This Row],[Total S]]/$AX$6</f>
        <v>0.22222222222222221</v>
      </c>
    </row>
    <row r="12" spans="1:55" ht="14.25" customHeight="1" x14ac:dyDescent="0.45">
      <c r="A12" s="73"/>
      <c r="B12" s="117" t="str">
        <f>'2407'!B45</f>
        <v>24-July</v>
      </c>
      <c r="C12" s="117">
        <f>'2407'!C45</f>
        <v>9</v>
      </c>
      <c r="D12" s="117">
        <f>'2407'!D45</f>
        <v>1</v>
      </c>
      <c r="E12" s="117">
        <f>'2407'!E45</f>
        <v>1</v>
      </c>
      <c r="F12" s="117">
        <f>'2407'!F45</f>
        <v>1</v>
      </c>
      <c r="G12" s="117">
        <f>'2407'!G45</f>
        <v>0</v>
      </c>
      <c r="H12" s="117">
        <f>'2407'!H45</f>
        <v>5</v>
      </c>
      <c r="I12" s="117">
        <f>'2407'!I45</f>
        <v>1</v>
      </c>
      <c r="J12" s="117">
        <f>'2407'!J45</f>
        <v>1</v>
      </c>
      <c r="K12" s="117">
        <f>'2407'!K45</f>
        <v>4</v>
      </c>
      <c r="L12" s="117">
        <f>'2407'!L45</f>
        <v>9</v>
      </c>
      <c r="M12" s="117">
        <f>'2407'!M45</f>
        <v>0</v>
      </c>
      <c r="N12" s="117">
        <f>'2407'!N45</f>
        <v>1</v>
      </c>
      <c r="O12" s="117">
        <f>'2407'!O45</f>
        <v>2</v>
      </c>
      <c r="P12" s="117">
        <f>'2407'!P45</f>
        <v>1</v>
      </c>
      <c r="Q12" s="117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</v>
      </c>
      <c r="AG12" s="66">
        <f t="shared" si="4"/>
        <v>1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0.30303030303030304</v>
      </c>
      <c r="AR12" s="137">
        <f>AP12-Table1[[#This Row],[Points]]</f>
        <v>23</v>
      </c>
      <c r="AS12" s="143">
        <f>Table1[[#This Row],[Points]]/(20-AA$5-Table1[[#This Row],[Missed Games]])</f>
        <v>0.625</v>
      </c>
      <c r="AT12" s="153">
        <f>Table1[[#This Row],[Average]]-'[1]Stats Global'!R12</f>
        <v>-1.0588235294117645</v>
      </c>
      <c r="AU12" s="27">
        <f>(Table1[[#This Row],[Average]]-'[1]Stats Global'!R12)/'[1]Stats Global'!R12</f>
        <v>-0.51428571428571423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0.66666666666666663</v>
      </c>
      <c r="BB12" s="16">
        <f>Table4[[#This Row],[Total A]]/$AX$6</f>
        <v>0.1111111111111111</v>
      </c>
      <c r="BC12" s="16">
        <f>Table4[[#This Row],[Total S]]/$AX$6</f>
        <v>0.1111111111111111</v>
      </c>
    </row>
    <row r="13" spans="1:55" ht="14.25" customHeight="1" x14ac:dyDescent="0.45">
      <c r="A13" s="73"/>
      <c r="B13" s="117" t="str">
        <f>'2607'!B45</f>
        <v>26-July</v>
      </c>
      <c r="C13" s="117">
        <f>'2607'!C45</f>
        <v>8</v>
      </c>
      <c r="D13" s="117">
        <f>'2607'!D45</f>
        <v>6</v>
      </c>
      <c r="E13" s="117">
        <f>'2607'!E45</f>
        <v>3</v>
      </c>
      <c r="F13" s="117">
        <f>'2607'!F45</f>
        <v>6</v>
      </c>
      <c r="G13" s="117">
        <f>'2607'!G45</f>
        <v>2</v>
      </c>
      <c r="H13" s="117">
        <f>'2607'!H45</f>
        <v>3</v>
      </c>
      <c r="I13" s="117">
        <f>'2607'!I45</f>
        <v>3</v>
      </c>
      <c r="J13" s="117">
        <f>'2607'!J45</f>
        <v>2</v>
      </c>
      <c r="K13" s="117">
        <f>'2607'!K45</f>
        <v>5</v>
      </c>
      <c r="L13" s="117">
        <f>'2607'!L45</f>
        <v>8</v>
      </c>
      <c r="M13" s="117">
        <f>'2607'!M45</f>
        <v>4</v>
      </c>
      <c r="N13" s="117">
        <f>'2607'!N45</f>
        <v>1</v>
      </c>
      <c r="O13" s="117">
        <f>'2607'!O45</f>
        <v>2</v>
      </c>
      <c r="P13" s="117">
        <f>'2607'!P45</f>
        <v>1</v>
      </c>
      <c r="Q13" s="117">
        <f>'2607'!Q45</f>
        <v>3</v>
      </c>
      <c r="Z13" s="63" t="s">
        <v>60</v>
      </c>
      <c r="AA13" s="64">
        <f t="shared" si="1"/>
        <v>5</v>
      </c>
      <c r="AB13" s="65">
        <f>IF($AA$6-Table1[[#This Row],[Missed Games]]=0, 0,Table1[[#This Row],[Points]]/($AA$6-Table1[[#This Row],[Missed Games]]))</f>
        <v>0.5</v>
      </c>
      <c r="AC13" s="66">
        <f t="shared" si="2"/>
        <v>4</v>
      </c>
      <c r="AD13" s="67">
        <f>IF($AA$6-Table1[[#This Row],[Missed Games]]=0, 0,Table1[[#This Row],[Finishes]]/($AA$6-Table1[[#This Row],[Missed Games]]))</f>
        <v>0.4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0.26315789473684209</v>
      </c>
      <c r="AR13" s="137">
        <f>AP13-Table1[[#This Row],[Points]]</f>
        <v>14</v>
      </c>
      <c r="AS13" s="143">
        <f>Table1[[#This Row],[Points]]/(20-AA$5-Table1[[#This Row],[Missed Games]])</f>
        <v>0.3125</v>
      </c>
      <c r="AT13" s="153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0.66666666666666663</v>
      </c>
      <c r="BB13" s="16">
        <f>Table4[[#This Row],[Total A]]/$AX$6</f>
        <v>0.22222222222222221</v>
      </c>
      <c r="BC13" s="16">
        <f>Table4[[#This Row],[Total S]]/$AX$6</f>
        <v>0.1111111111111111</v>
      </c>
    </row>
    <row r="14" spans="1:55" ht="14.25" customHeight="1" x14ac:dyDescent="0.45">
      <c r="A14" s="73"/>
      <c r="B14" s="117" t="str">
        <f>'2707'!B45</f>
        <v>27-July</v>
      </c>
      <c r="C14" s="117">
        <f>'2707'!C45</f>
        <v>8</v>
      </c>
      <c r="D14" s="117">
        <f>'2707'!D45</f>
        <v>3</v>
      </c>
      <c r="E14" s="117">
        <f>'2707'!E45</f>
        <v>3</v>
      </c>
      <c r="F14" s="117">
        <f>'2707'!F45</f>
        <v>3</v>
      </c>
      <c r="G14" s="117">
        <f>'2707'!G45</f>
        <v>1</v>
      </c>
      <c r="H14" s="117">
        <f>'2707'!H45</f>
        <v>4</v>
      </c>
      <c r="I14" s="117">
        <f>'2707'!I45</f>
        <v>3</v>
      </c>
      <c r="J14" s="117">
        <f>'2707'!J45</f>
        <v>2</v>
      </c>
      <c r="K14" s="117">
        <f>'2707'!K45</f>
        <v>4</v>
      </c>
      <c r="L14" s="117">
        <f>'2707'!L45</f>
        <v>8</v>
      </c>
      <c r="M14" s="117">
        <f>'2707'!M45</f>
        <v>1</v>
      </c>
      <c r="N14" s="117">
        <f>'2707'!N45</f>
        <v>2</v>
      </c>
      <c r="O14" s="117">
        <f>'2707'!O45</f>
        <v>2</v>
      </c>
      <c r="P14" s="117">
        <f>'2707'!P45</f>
        <v>1</v>
      </c>
      <c r="Q14" s="117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0.16666666666666666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7">
        <f>AP14-Table1[[#This Row],[Points]]</f>
        <v>0</v>
      </c>
      <c r="AS14" s="143">
        <f>Table1[[#This Row],[Points]]/(20-AA$5-Table1[[#This Row],[Missed Games]])</f>
        <v>0.33333333333333331</v>
      </c>
      <c r="AT14" s="153">
        <f>Table1[[#This Row],[Average]]-'[1]Stats Global'!R23</f>
        <v>0.1875</v>
      </c>
      <c r="AU14" s="27">
        <f>(Table1[[#This Row],[Average]]-'[1]Stats Global'!R23)/'[1]Stats Global'!R23</f>
        <v>0.6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</v>
      </c>
      <c r="BB14" s="16">
        <f>Table4[[#This Row],[Total A]]/$AX$6</f>
        <v>0</v>
      </c>
      <c r="BC14" s="16">
        <f>Table4[[#This Row],[Total S]]/$AX$6</f>
        <v>0.22222222222222221</v>
      </c>
    </row>
    <row r="15" spans="1:55" ht="14.25" customHeight="1" x14ac:dyDescent="0.45">
      <c r="A15" s="73"/>
      <c r="B15" s="117" t="str">
        <f>'3107'!B45</f>
        <v>31-July</v>
      </c>
      <c r="C15" s="117">
        <f>'3107'!C45</f>
        <v>9</v>
      </c>
      <c r="D15" s="117">
        <f>'3107'!D45</f>
        <v>4</v>
      </c>
      <c r="E15" s="117">
        <f>'3107'!E45</f>
        <v>3</v>
      </c>
      <c r="F15" s="117">
        <f>'3107'!F45</f>
        <v>9</v>
      </c>
      <c r="G15" s="117">
        <f>'3107'!G45</f>
        <v>2</v>
      </c>
      <c r="H15" s="117">
        <f>'3107'!H45</f>
        <v>1</v>
      </c>
      <c r="I15" s="117">
        <f>'3107'!I45</f>
        <v>4</v>
      </c>
      <c r="J15" s="117">
        <f>'3107'!J45</f>
        <v>4</v>
      </c>
      <c r="K15" s="117">
        <f>'3107'!K45</f>
        <v>2</v>
      </c>
      <c r="L15" s="117">
        <f>'3107'!L45</f>
        <v>3</v>
      </c>
      <c r="M15" s="117">
        <f>'3107'!M45</f>
        <v>5</v>
      </c>
      <c r="N15" s="117">
        <f>'3107'!N45</f>
        <v>2</v>
      </c>
      <c r="O15" s="117">
        <f>'3107'!O45</f>
        <v>3</v>
      </c>
      <c r="P15" s="117">
        <f>'3107'!P45</f>
        <v>2</v>
      </c>
      <c r="Q15" s="117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1.3333333333333333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0.66666666666666663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7">
        <f>AP15-Table1[[#This Row],[Points]]</f>
        <v>12</v>
      </c>
      <c r="AS15" s="143">
        <f>Table1[[#This Row],[Points]]/(20-AA$5-Table1[[#This Row],[Missed Games]])</f>
        <v>0.66666666666666663</v>
      </c>
      <c r="AT15" s="153">
        <f>Table1[[#This Row],[Average]]-'[1]Stats Global'!R14</f>
        <v>-0.25490196078431371</v>
      </c>
      <c r="AU15" s="27">
        <f>(Table1[[#This Row],[Average]]-'[1]Stats Global'!R14)/'[1]Stats Global'!R14</f>
        <v>-0.16049382716049382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7" t="str">
        <f>'0108'!B45</f>
        <v>1-August</v>
      </c>
      <c r="C16" s="117">
        <f>'0108'!C45</f>
        <v>6</v>
      </c>
      <c r="D16" s="117">
        <f>'0108'!D45</f>
        <v>6</v>
      </c>
      <c r="E16" s="117">
        <f>'0108'!E45</f>
        <v>3</v>
      </c>
      <c r="F16" s="117">
        <f>'0108'!F45</f>
        <v>3</v>
      </c>
      <c r="G16" s="117">
        <f>'0108'!G45</f>
        <v>3</v>
      </c>
      <c r="H16" s="117">
        <f>'0108'!H45</f>
        <v>3</v>
      </c>
      <c r="I16" s="117">
        <f>'0108'!I45</f>
        <v>6</v>
      </c>
      <c r="J16" s="117">
        <f>'0108'!J45</f>
        <v>1</v>
      </c>
      <c r="K16" s="117">
        <f>'0108'!K45</f>
        <v>3</v>
      </c>
      <c r="L16" s="117">
        <f>'0108'!L45</f>
        <v>6</v>
      </c>
      <c r="M16" s="117">
        <f>'0108'!M45</f>
        <v>2</v>
      </c>
      <c r="N16" s="117">
        <f>'0108'!N45</f>
        <v>3</v>
      </c>
      <c r="O16" s="117">
        <f>'0108'!O45</f>
        <v>1</v>
      </c>
      <c r="P16" s="117">
        <f>'0108'!P45</f>
        <v>3</v>
      </c>
      <c r="Q16" s="117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1.7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</v>
      </c>
      <c r="AG16" s="66">
        <f t="shared" si="4"/>
        <v>2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0.73913043478260865</v>
      </c>
      <c r="AR16" s="137">
        <f>AP16-Table1[[#This Row],[Points]]</f>
        <v>6</v>
      </c>
      <c r="AS16" s="143">
        <f>Table1[[#This Row],[Points]]/(20-AA$5-Table1[[#This Row],[Missed Games]])</f>
        <v>1.0625</v>
      </c>
      <c r="AT16" s="153">
        <f>Table1[[#This Row],[Average]]-'[1]Stats Global'!R15</f>
        <v>0.28823529411764692</v>
      </c>
      <c r="AU16" s="27">
        <f>(Table1[[#This Row],[Average]]-'[1]Stats Global'!R15)/'[1]Stats Global'!R15</f>
        <v>0.20416666666666655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1.5555555555555556</v>
      </c>
      <c r="BB16" s="16">
        <f>Table4[[#This Row],[Total A]]/$AX$6</f>
        <v>0.33333333333333331</v>
      </c>
      <c r="BC16" s="16">
        <f>Table4[[#This Row],[Total S]]/$AX$6</f>
        <v>0.22222222222222221</v>
      </c>
    </row>
    <row r="17" spans="2:55" ht="14.25" customHeight="1" x14ac:dyDescent="0.45">
      <c r="B17" s="117" t="str">
        <f>'0208'!B45</f>
        <v>2-August</v>
      </c>
      <c r="C17" s="117">
        <f>'0208'!C45</f>
        <v>12</v>
      </c>
      <c r="D17" s="117">
        <f>'0208'!D45</f>
        <v>10</v>
      </c>
      <c r="E17" s="117">
        <f>'0208'!E45</f>
        <v>4</v>
      </c>
      <c r="F17" s="117">
        <f>'0208'!F45</f>
        <v>4</v>
      </c>
      <c r="G17" s="117">
        <f>'0208'!G45</f>
        <v>3</v>
      </c>
      <c r="H17" s="117">
        <f>'0208'!H45</f>
        <v>8</v>
      </c>
      <c r="I17" s="117">
        <f>'0208'!I45</f>
        <v>10</v>
      </c>
      <c r="J17" s="117">
        <f>'0208'!J45</f>
        <v>4</v>
      </c>
      <c r="K17" s="117">
        <f>'0208'!K45</f>
        <v>4</v>
      </c>
      <c r="L17" s="117">
        <f>'0208'!L45</f>
        <v>12</v>
      </c>
      <c r="M17" s="117">
        <f>'0208'!M45</f>
        <v>0</v>
      </c>
      <c r="N17" s="117">
        <f>'0208'!N45</f>
        <v>7</v>
      </c>
      <c r="O17" s="117">
        <f>'0208'!O45</f>
        <v>1</v>
      </c>
      <c r="P17" s="117">
        <f>'0208'!P45</f>
        <v>2</v>
      </c>
      <c r="Q17" s="117">
        <f>'0208'!Q45</f>
        <v>3</v>
      </c>
      <c r="Z17" s="72" t="s">
        <v>68</v>
      </c>
      <c r="AA17" s="64">
        <f t="shared" si="1"/>
        <v>43</v>
      </c>
      <c r="AB17" s="65">
        <f>IF($AA$6-Table1[[#This Row],[Missed Games]]=0, 0,Table1[[#This Row],[Points]]/($AA$6-Table1[[#This Row],[Missed Games]]))</f>
        <v>3.5833333333333335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0.58333333333333337</v>
      </c>
      <c r="AE17" s="66">
        <f t="shared" si="3"/>
        <v>26</v>
      </c>
      <c r="AF17" s="67">
        <f>IF($AA$6-Table1[[#This Row],[Missed Games]]=0, 0,Table1[[#This Row],[Midranges]]/($AA$6-Table1[[#This Row],[Missed Games]]))</f>
        <v>2.1666666666666665</v>
      </c>
      <c r="AG17" s="66">
        <f t="shared" si="4"/>
        <v>5</v>
      </c>
      <c r="AH17" s="67">
        <f>IF($AA$6-Table1[[#This Row],[Missed Games]]=0, 0,Table1[[#This Row],[Threes]]/($AA$6-Table1[[#This Row],[Missed Games]]))</f>
        <v>0.41666666666666669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0.93478260869565222</v>
      </c>
      <c r="AR17" s="137">
        <f>AP17-Table1[[#This Row],[Points]]</f>
        <v>3</v>
      </c>
      <c r="AS17" s="143">
        <f>Table1[[#This Row],[Points]]/(20-AA$5-Table1[[#This Row],[Missed Games]])</f>
        <v>2.3888888888888888</v>
      </c>
      <c r="AT17" s="153">
        <f>Table1[[#This Row],[Average]]-'[1]Stats Global'!R16</f>
        <v>1.0500000000000003</v>
      </c>
      <c r="AU17" s="27">
        <f>(Table1[[#This Row],[Average]]-'[1]Stats Global'!R16)/'[1]Stats Global'!R16</f>
        <v>0.41447368421052644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1.5555555555555556</v>
      </c>
      <c r="BB17" s="16">
        <f>Table4[[#This Row],[Total A]]/$AX$6</f>
        <v>0.22222222222222221</v>
      </c>
      <c r="BC17" s="16">
        <f>Table4[[#This Row],[Total S]]/$AX$6</f>
        <v>0</v>
      </c>
    </row>
    <row r="18" spans="2:55" ht="14.25" customHeight="1" x14ac:dyDescent="0.45">
      <c r="B18" s="117" t="str">
        <f>'0308'!B45</f>
        <v>3-August</v>
      </c>
      <c r="C18" s="117">
        <f>'0308'!C45</f>
        <v>7</v>
      </c>
      <c r="D18" s="117">
        <f>'0308'!D45</f>
        <v>3</v>
      </c>
      <c r="E18" s="117">
        <f>'0308'!E45</f>
        <v>0</v>
      </c>
      <c r="F18" s="117">
        <f>'0308'!F45</f>
        <v>7</v>
      </c>
      <c r="G18" s="117">
        <f>'0308'!G45</f>
        <v>2</v>
      </c>
      <c r="H18" s="117">
        <f>'0308'!H45</f>
        <v>0</v>
      </c>
      <c r="I18" s="117">
        <f>'0308'!I45</f>
        <v>3</v>
      </c>
      <c r="J18" s="117">
        <f>'0308'!J45</f>
        <v>3</v>
      </c>
      <c r="K18" s="117">
        <f>'0308'!K45</f>
        <v>0</v>
      </c>
      <c r="L18" s="117">
        <f>'0308'!L45</f>
        <v>0</v>
      </c>
      <c r="M18" s="117">
        <f>'0308'!M45</f>
        <v>4</v>
      </c>
      <c r="N18" s="117">
        <f>'0308'!N45</f>
        <v>1</v>
      </c>
      <c r="O18" s="117">
        <f>'0308'!O45</f>
        <v>3</v>
      </c>
      <c r="P18" s="117">
        <f>'0308'!P45</f>
        <v>2</v>
      </c>
      <c r="Q18" s="117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0.58333333333333337</v>
      </c>
      <c r="AC18" s="66">
        <f t="shared" si="2"/>
        <v>1</v>
      </c>
      <c r="AD18" s="67">
        <f>IF($AA$6-Table1[[#This Row],[Missed Games]]=0, 0,Table1[[#This Row],[Finishes]]/($AA$6-Table1[[#This Row],[Missed Games]]))</f>
        <v>8.3333333333333329E-2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7">
        <f>AP18-Table1[[#This Row],[Points]]</f>
        <v>9</v>
      </c>
      <c r="AS18" s="143">
        <f>Table1[[#This Row],[Points]]/(20-AA$5-Table1[[#This Row],[Missed Games]])</f>
        <v>0.3888888888888889</v>
      </c>
      <c r="AT18" s="153">
        <f>Table1[[#This Row],[Average]]-'[1]Stats Global'!R17</f>
        <v>-0.29166666666666663</v>
      </c>
      <c r="AU18" s="27">
        <f>(Table1[[#This Row],[Average]]-'[1]Stats Global'!R17)/'[1]Stats Global'!R17</f>
        <v>-0.33333333333333331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0.1111111111111111</v>
      </c>
      <c r="BB18" s="16">
        <f>Table4[[#This Row],[Total A]]/$AX$6</f>
        <v>0</v>
      </c>
      <c r="BC18" s="16">
        <f>Table4[[#This Row],[Total S]]/$AX$6</f>
        <v>0.55555555555555558</v>
      </c>
    </row>
    <row r="19" spans="2:55" ht="14.25" customHeight="1" x14ac:dyDescent="0.45">
      <c r="B19" s="156" t="str">
        <f>'0808'!B45</f>
        <v>8-August</v>
      </c>
      <c r="C19" s="156">
        <f>'0808'!C45</f>
        <v>17</v>
      </c>
      <c r="D19" s="156">
        <f>'0808'!D45</f>
        <v>1</v>
      </c>
      <c r="E19" s="156">
        <f>'0808'!E45</f>
        <v>1</v>
      </c>
      <c r="F19" s="156">
        <f>'0808'!F45</f>
        <v>1</v>
      </c>
      <c r="G19" s="156">
        <f>'0808'!G45</f>
        <v>1</v>
      </c>
      <c r="H19" s="156">
        <f>'0808'!H45</f>
        <v>8</v>
      </c>
      <c r="I19" s="156">
        <f>'0808'!I45</f>
        <v>1</v>
      </c>
      <c r="J19" s="156">
        <f>'0808'!J45</f>
        <v>0</v>
      </c>
      <c r="K19" s="156">
        <f>'0808'!K45</f>
        <v>9</v>
      </c>
      <c r="L19" s="156">
        <f>'0808'!L45</f>
        <v>17</v>
      </c>
      <c r="M19" s="156">
        <f>'0808'!M45</f>
        <v>1</v>
      </c>
      <c r="N19" s="156">
        <f>'0808'!N45</f>
        <v>0</v>
      </c>
      <c r="O19" s="156">
        <f>'0808'!O45</f>
        <v>1</v>
      </c>
      <c r="P19" s="156">
        <f>'0808'!P45</f>
        <v>2</v>
      </c>
      <c r="Q19" s="156">
        <f>'0808'!Q45</f>
        <v>3</v>
      </c>
      <c r="Z19" s="111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6</v>
      </c>
      <c r="AK19" s="62"/>
      <c r="AL19" s="62"/>
      <c r="AM19" s="62"/>
      <c r="AO19" s="36"/>
      <c r="AP19" s="18">
        <v>0</v>
      </c>
      <c r="AQ19" s="27">
        <v>1</v>
      </c>
      <c r="AR19" s="137">
        <f>AP19-Table1[[#This Row],[Points]]</f>
        <v>-1</v>
      </c>
      <c r="AS19" s="143">
        <f>Table1[[#This Row],[Points]]/(20-AA$5-Table1[[#This Row],[Missed Games]])</f>
        <v>8.3333333333333329E-2</v>
      </c>
      <c r="AT19" s="153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0.33333333333333331</v>
      </c>
      <c r="BB19" s="16">
        <f>Table4[[#This Row],[Total A]]/$AX$6</f>
        <v>0.1111111111111111</v>
      </c>
      <c r="BC19" s="16">
        <f>Table4[[#This Row],[Total S]]/$AX$6</f>
        <v>0</v>
      </c>
    </row>
    <row r="20" spans="2:55" ht="14.25" customHeight="1" x14ac:dyDescent="0.45">
      <c r="B20" s="136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Z20" s="111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0.75</v>
      </c>
      <c r="AC20" s="66">
        <f t="shared" si="2"/>
        <v>8</v>
      </c>
      <c r="AD20" s="114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4">
        <f>IF($AA$6-Table1[[#This Row],[Missed Games]]=0, 0,Table1[[#This Row],[Midranges]]/($AA$6-Table1[[#This Row],[Missed Games]]))</f>
        <v>8.3333333333333329E-2</v>
      </c>
      <c r="AG20" s="66">
        <f t="shared" si="4"/>
        <v>0</v>
      </c>
      <c r="AH20" s="114">
        <f>IF($AA$6-Table1[[#This Row],[Missed Games]]=0, 0,Table1[[#This Row],[Threes]]/($AA$6-Table1[[#This Row],[Missed Games]]))</f>
        <v>0</v>
      </c>
      <c r="AI20" s="111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20</v>
      </c>
      <c r="AQ20" s="27">
        <f>Table1[[#This Row],[Points]]/AP20</f>
        <v>0.45</v>
      </c>
      <c r="AR20" s="137">
        <f>AP20-Table1[[#This Row],[Points]]</f>
        <v>11</v>
      </c>
      <c r="AS20" s="143">
        <f>Table1[[#This Row],[Points]]/(20-AA$5-Table1[[#This Row],[Missed Games]])</f>
        <v>0.5</v>
      </c>
      <c r="AT20" s="153">
        <f>Table1[[#This Row],[Average]]-'[1]Stats Global'!R18</f>
        <v>-0.31666666666666665</v>
      </c>
      <c r="AU20" s="27">
        <f>(Table1[[#This Row],[Average]]-'[1]Stats Global'!R18)/'[1]Stats Global'!R18</f>
        <v>-0.296875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0.88888888888888884</v>
      </c>
      <c r="BB20" s="16">
        <f>Table4[[#This Row],[Total A]]/$AX$6</f>
        <v>0.1111111111111111</v>
      </c>
      <c r="BC20" s="16">
        <f>Table4[[#This Row],[Total S]]/$AX$6</f>
        <v>0.33333333333333331</v>
      </c>
    </row>
    <row r="21" spans="2:55" ht="14.25" customHeight="1" x14ac:dyDescent="0.45">
      <c r="B21" s="136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Z21" s="111" t="s">
        <v>127</v>
      </c>
      <c r="AA21" s="64">
        <f t="shared" si="1"/>
        <v>14</v>
      </c>
      <c r="AB21" s="65">
        <f>IF($AA$6-Table1[[#This Row],[Missed Games]]=0, 0,Table1[[#This Row],[Points]]/($AA$6-Table1[[#This Row],[Missed Games]]))</f>
        <v>1.1666666666666667</v>
      </c>
      <c r="AC21" s="66">
        <f t="shared" si="2"/>
        <v>9</v>
      </c>
      <c r="AD21" s="114">
        <f>IF($AA$6-Table1[[#This Row],[Missed Games]]=0, 0,Table1[[#This Row],[Finishes]]/($AA$6-Table1[[#This Row],[Missed Games]]))</f>
        <v>0.75</v>
      </c>
      <c r="AE21" s="66">
        <f t="shared" si="3"/>
        <v>3</v>
      </c>
      <c r="AF21" s="114">
        <f>IF($AA$6-Table1[[#This Row],[Missed Games]]=0, 0,Table1[[#This Row],[Midranges]]/($AA$6-Table1[[#This Row],[Missed Games]]))</f>
        <v>0.25</v>
      </c>
      <c r="AG21" s="66">
        <f t="shared" si="4"/>
        <v>1</v>
      </c>
      <c r="AH21" s="114">
        <f>IF($AA$6-Table1[[#This Row],[Missed Games]]=0, 0,Table1[[#This Row],[Threes]]/($AA$6-Table1[[#This Row],[Missed Games]]))</f>
        <v>8.3333333333333329E-2</v>
      </c>
      <c r="AI21" s="111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0.7</v>
      </c>
      <c r="AR21" s="137">
        <f>AP21-Table1[[#This Row],[Points]]</f>
        <v>6</v>
      </c>
      <c r="AS21" s="143">
        <f>Table1[[#This Row],[Points]]/(20-AA$5-Table1[[#This Row],[Missed Games]])</f>
        <v>0.77777777777777779</v>
      </c>
      <c r="AT21" s="153">
        <f>Table1[[#This Row],[Average]]-'[1]Stats Global'!R19</f>
        <v>0.10784313725490202</v>
      </c>
      <c r="AU21" s="27">
        <f>(Table1[[#This Row],[Average]]-'[1]Stats Global'!R19)/'[1]Stats Global'!R19</f>
        <v>0.1018518518518519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1.3333333333333333</v>
      </c>
      <c r="BB21" s="16">
        <f>Table4[[#This Row],[Total A]]/$AX$6</f>
        <v>0.22222222222222221</v>
      </c>
      <c r="BC21" s="16">
        <f>Table4[[#This Row],[Total S]]/$AX$6</f>
        <v>0.22222222222222221</v>
      </c>
    </row>
    <row r="22" spans="2:55" ht="14.25" customHeight="1" x14ac:dyDescent="0.45"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Z22" s="111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2.8333333333333335</v>
      </c>
      <c r="AC22" s="66">
        <f t="shared" si="2"/>
        <v>17</v>
      </c>
      <c r="AD22" s="114">
        <f>IF($AA$6-Table1[[#This Row],[Missed Games]]=0, 0,Table1[[#This Row],[Finishes]]/($AA$6-Table1[[#This Row],[Missed Games]]))</f>
        <v>1.4166666666666667</v>
      </c>
      <c r="AE22" s="66">
        <f t="shared" si="3"/>
        <v>7</v>
      </c>
      <c r="AF22" s="114">
        <f>IF($AA$6-Table1[[#This Row],[Missed Games]]=0, 0,Table1[[#This Row],[Midranges]]/($AA$6-Table1[[#This Row],[Missed Games]]))</f>
        <v>0.58333333333333337</v>
      </c>
      <c r="AG22" s="66">
        <f t="shared" si="4"/>
        <v>5</v>
      </c>
      <c r="AH22" s="114">
        <f>IF($AA$6-Table1[[#This Row],[Missed Games]]=0, 0,Table1[[#This Row],[Threes]]/($AA$6-Table1[[#This Row],[Missed Games]]))</f>
        <v>0.41666666666666669</v>
      </c>
      <c r="AI22" s="111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0.77272727272727271</v>
      </c>
      <c r="AR22" s="137">
        <f>AP22-Table1[[#This Row],[Points]]</f>
        <v>10</v>
      </c>
      <c r="AS22" s="143">
        <f>Table1[[#This Row],[Points]]/(20-AA$5-Table1[[#This Row],[Missed Games]])</f>
        <v>1.8888888888888888</v>
      </c>
      <c r="AT22" s="153">
        <f>Table1[[#This Row],[Average]]-'[1]Stats Global'!R20</f>
        <v>0.4047619047619051</v>
      </c>
      <c r="AU22" s="27">
        <f>(Table1[[#This Row],[Average]]-'[1]Stats Global'!R20)/'[1]Stats Global'!R20</f>
        <v>0.16666666666666682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1.2222222222222223</v>
      </c>
      <c r="BB22" s="16">
        <f>Table4[[#This Row],[Total A]]/$AX$6</f>
        <v>0.77777777777777779</v>
      </c>
      <c r="BC22" s="16">
        <f>Table4[[#This Row],[Total S]]/$AX$6</f>
        <v>0.33333333333333331</v>
      </c>
    </row>
    <row r="23" spans="2:55" ht="14.25" customHeight="1" x14ac:dyDescent="0.45"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Z23" s="112" t="s">
        <v>74</v>
      </c>
      <c r="AA23" s="64">
        <f t="shared" si="1"/>
        <v>1</v>
      </c>
      <c r="AB23" s="113">
        <f>IF($AA$6-Table1[[#This Row],[Missed Games]]=0, 0,Table1[[#This Row],[Points]]/($AA$6-Table1[[#This Row],[Missed Games]]))</f>
        <v>8.3333333333333329E-2</v>
      </c>
      <c r="AC23" s="66">
        <f t="shared" si="2"/>
        <v>0</v>
      </c>
      <c r="AD23" s="115">
        <f>IF($AA$6-Table1[[#This Row],[Missed Games]]=0, 0,Table1[[#This Row],[Finishes]]/($AA$6-Table1[[#This Row],[Missed Games]]))</f>
        <v>0</v>
      </c>
      <c r="AE23" s="66">
        <f t="shared" si="3"/>
        <v>1</v>
      </c>
      <c r="AF23" s="115">
        <f>IF($AA$6-Table1[[#This Row],[Missed Games]]=0, 0,Table1[[#This Row],[Midranges]]/($AA$6-Table1[[#This Row],[Missed Games]]))</f>
        <v>8.3333333333333329E-2</v>
      </c>
      <c r="AG23" s="66">
        <f t="shared" si="4"/>
        <v>0</v>
      </c>
      <c r="AH23" s="115">
        <f>IF($AA$6-Table1[[#This Row],[Missed Games]]=0, 0,Table1[[#This Row],[Threes]]/($AA$6-Table1[[#This Row],[Missed Games]]))</f>
        <v>0</v>
      </c>
      <c r="AI23" s="112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7">
        <f>AP23-Table1[[#This Row],[Points]]</f>
        <v>2</v>
      </c>
      <c r="AS23" s="143">
        <f>Table1[[#This Row],[Points]]/(20-AA$5-Table1[[#This Row],[Missed Games]])</f>
        <v>5.5555555555555552E-2</v>
      </c>
      <c r="AT23" s="153">
        <f>Table1[[#This Row],[Average]]-'[1]Stats Global'!R21</f>
        <v>-3.4313725490196081E-2</v>
      </c>
      <c r="AU23" s="27">
        <f>(Table1[[#This Row],[Average]]-'[1]Stats Global'!R21)/'[1]Stats Global'!R21</f>
        <v>-0.29166666666666669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0.44444444444444442</v>
      </c>
      <c r="BB23" s="16">
        <f>Table4[[#This Row],[Total A]]/$AX$6</f>
        <v>0.1111111111111111</v>
      </c>
      <c r="BC23" s="16">
        <f>Table4[[#This Row],[Total S]]/$AX$6</f>
        <v>0.22222222222222221</v>
      </c>
    </row>
    <row r="24" spans="2:55" ht="14.25" customHeight="1" x14ac:dyDescent="0.45"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0.5714285714285714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0.5714285714285714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7">
        <f>AP24-Table1[[#This Row],[Points]]</f>
        <v>5</v>
      </c>
      <c r="AS24" s="143">
        <f>Table1[[#This Row],[Points]]/(20-AA$5-Table1[[#This Row],[Missed Games]])</f>
        <v>0.30769230769230771</v>
      </c>
      <c r="AT24" s="153">
        <f>Table1[[#This Row],[Average]]-'[1]Stats Global'!R22</f>
        <v>-7.5630252100840401E-2</v>
      </c>
      <c r="AU24" s="27">
        <f>(Table1[[#This Row],[Average]]-'[1]Stats Global'!R22)/'[1]Stats Global'!R22</f>
        <v>-0.11688311688311698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0.1111111111111111</v>
      </c>
    </row>
    <row r="25" spans="2:55" ht="14.25" customHeight="1" x14ac:dyDescent="0.45"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AB25" s="17"/>
      <c r="AP25" s="17"/>
      <c r="AQ25" s="27"/>
    </row>
    <row r="26" spans="2:55" ht="14.25" customHeight="1" x14ac:dyDescent="0.45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3"/>
      <c r="S30" s="98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6">
        <f>AB30/($AA$27-Table2[[#This Row],[Missed Games]])</f>
        <v>0.33333333333333331</v>
      </c>
      <c r="AG30" s="33">
        <f>AC30/($AA$27-Table2[[#This Row],[Missed Games]])</f>
        <v>0.33333333333333331</v>
      </c>
      <c r="AH30" s="126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3"/>
      <c r="S31" s="98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6">
        <f>AB31/($AA$27-Table2[[#This Row],[Missed Games]])</f>
        <v>5</v>
      </c>
      <c r="AG31" s="33">
        <f>AC31/($AA$27-Table2[[#This Row],[Missed Games]])</f>
        <v>0</v>
      </c>
      <c r="AH31" s="126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S32" s="98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6" t="e">
        <f>AB32/($AA$27-Table2[[#This Row],[Missed Games]])</f>
        <v>#DIV/0!</v>
      </c>
      <c r="AG32" s="33" t="e">
        <f>AC32/($AA$27-Table2[[#This Row],[Missed Games]])</f>
        <v>#DIV/0!</v>
      </c>
      <c r="AH32" s="126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S33" s="98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6">
        <f>AB33/($AA$27-Table2[[#This Row],[Missed Games]])</f>
        <v>0</v>
      </c>
      <c r="AG33" s="33">
        <f>AC33/($AA$27-Table2[[#This Row],[Missed Games]])</f>
        <v>0.33333333333333331</v>
      </c>
      <c r="AH33" s="126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S34" s="98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6">
        <f>AB34/($AA$27-Table2[[#This Row],[Missed Games]])</f>
        <v>0.33333333333333331</v>
      </c>
      <c r="AG34" s="33">
        <f>AC34/($AA$27-Table2[[#This Row],[Missed Games]])</f>
        <v>0</v>
      </c>
      <c r="AH34" s="126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S35" s="98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6">
        <f>AB35/($AA$27-Table2[[#This Row],[Missed Games]])</f>
        <v>0.33333333333333331</v>
      </c>
      <c r="AG35" s="33">
        <f>AC35/($AA$27-Table2[[#This Row],[Missed Games]])</f>
        <v>0.33333333333333331</v>
      </c>
      <c r="AH35" s="126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S36" s="98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6">
        <f>AB36/($AA$27-Table2[[#This Row],[Missed Games]])</f>
        <v>0</v>
      </c>
      <c r="AG36" s="33">
        <f>AC36/($AA$27-Table2[[#This Row],[Missed Games]])</f>
        <v>0</v>
      </c>
      <c r="AH36" s="126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6">
        <f>AB37/($AA$27-Table2[[#This Row],[Missed Games]])</f>
        <v>0.33333333333333331</v>
      </c>
      <c r="AG37" s="33">
        <f>AC37/($AA$27-Table2[[#This Row],[Missed Games]])</f>
        <v>0.66666666666666663</v>
      </c>
      <c r="AH37" s="126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6">
        <f>AB38/($AA$27-Table2[[#This Row],[Missed Games]])</f>
        <v>0.33333333333333331</v>
      </c>
      <c r="AG38" s="33">
        <f>AC38/($AA$27-Table2[[#This Row],[Missed Games]])</f>
        <v>3</v>
      </c>
      <c r="AH38" s="126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6">
        <f>AB39/($AA$27-Table2[[#This Row],[Missed Games]])</f>
        <v>0</v>
      </c>
      <c r="AG39" s="33">
        <f>AC39/($AA$27-Table2[[#This Row],[Missed Games]])</f>
        <v>0</v>
      </c>
      <c r="AH39" s="126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6">
        <f>AB40/($AA$27-Table2[[#This Row],[Missed Games]])</f>
        <v>0.5</v>
      </c>
      <c r="AG40" s="33">
        <f>AC40/($AA$27-Table2[[#This Row],[Missed Games]])</f>
        <v>0</v>
      </c>
      <c r="AH40" s="126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26</v>
      </c>
      <c r="T41" s="134">
        <f>S41/SUM(S41:S43)</f>
        <v>0.3611111111111111</v>
      </c>
      <c r="U41" s="139">
        <v>0.32188841201716739</v>
      </c>
      <c r="V41" s="43">
        <v>0.36899999999999999</v>
      </c>
      <c r="W41">
        <f>T41*(6*(20-AA$5))</f>
        <v>39</v>
      </c>
      <c r="X41" s="18">
        <f>((MAX(U41:U43)+MAX(V41:V43))/2)*6*(20-AA5)</f>
        <v>38.930291845493556</v>
      </c>
      <c r="Y41" s="140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6">
        <f>AB41/($AA$27-Table2[[#This Row],[Missed Games]])</f>
        <v>1</v>
      </c>
      <c r="AG41" s="33">
        <f>AC41/($AA$27-Table2[[#This Row],[Missed Games]])</f>
        <v>0</v>
      </c>
      <c r="AH41" s="126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20</v>
      </c>
      <c r="T42" s="139">
        <f>S42/SUM(S41:S43)</f>
        <v>0.27777777777777779</v>
      </c>
      <c r="U42" s="139">
        <v>0.35193133047210301</v>
      </c>
      <c r="V42" s="43">
        <v>0.26200000000000001</v>
      </c>
      <c r="W42" s="16">
        <f t="shared" ref="W42:W43" si="6">T42*(6*(20-AA$5))</f>
        <v>30</v>
      </c>
      <c r="X42" s="18">
        <f>6*(20-AA5)-X41-X43</f>
        <v>37.539733905579396</v>
      </c>
      <c r="Y42" s="140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6">
        <f>AB42/($AA$27-Table2[[#This Row],[Missed Games]])</f>
        <v>1</v>
      </c>
      <c r="AG42" s="33">
        <f>AC42/($AA$27-Table2[[#This Row],[Missed Games]])</f>
        <v>0.66666666666666663</v>
      </c>
      <c r="AH42" s="126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26</v>
      </c>
      <c r="T43" s="139">
        <f>S43/SUM(S41:S43)</f>
        <v>0.3611111111111111</v>
      </c>
      <c r="U43" s="139">
        <v>0.3261802575107296</v>
      </c>
      <c r="V43" s="43">
        <v>0.36899999999999999</v>
      </c>
      <c r="W43" s="16">
        <f t="shared" si="6"/>
        <v>39</v>
      </c>
      <c r="X43" s="18">
        <f>((MIN(U41:U43)+MIN(V41:V43))/2)*6*(20-AA5)</f>
        <v>31.529974248927044</v>
      </c>
      <c r="Y43" s="140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6">
        <f>AB43/($AA$27-Table2[[#This Row],[Missed Games]])</f>
        <v>2</v>
      </c>
      <c r="AG43" s="33">
        <f>AC43/($AA$27-Table2[[#This Row],[Missed Games]])</f>
        <v>0.66666666666666663</v>
      </c>
      <c r="AH43" s="126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6">
        <f>AB44/($AA$27-Table2[[#This Row],[Missed Games]])</f>
        <v>0</v>
      </c>
      <c r="AG44" s="33">
        <f>AC44/($AA$27-Table2[[#This Row],[Missed Games]])</f>
        <v>0</v>
      </c>
      <c r="AH44" s="126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12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6">
        <f>AB45/($AA$27-Table2[[#This Row],[Missed Games]])</f>
        <v>0</v>
      </c>
      <c r="AG45" s="33">
        <f>AC45/($AA$27-Table2[[#This Row],[Missed Games]])</f>
        <v>0</v>
      </c>
      <c r="AH45" s="126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3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100</v>
      </c>
      <c r="V49" s="17">
        <f>U49/AA6</f>
        <v>8.3333333333333339</v>
      </c>
      <c r="W49" s="27">
        <f>U49/SUM($U$49:$U$51)</f>
        <v>0.55555555555555558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8">
        <f>Table21123[[#This Row],[Points]]/($AA$47-Table21123[[#This Row],[Missed Games]])</f>
        <v>0.33333333333333331</v>
      </c>
      <c r="AF49" s="148">
        <f>Table21123[[#This Row],[Finishes]]/($AA$47-Table21123[[#This Row],[Missed Games]])</f>
        <v>0</v>
      </c>
      <c r="AG49" s="148">
        <f>Table21123[[#This Row],[Midranges]]/($AA$47-Table21123[[#This Row],[Missed Games]])</f>
        <v>0.33333333333333331</v>
      </c>
      <c r="AH49" s="148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61</v>
      </c>
      <c r="V50" s="17">
        <f>U50/AA6</f>
        <v>5.083333333333333</v>
      </c>
      <c r="W50" s="27">
        <f>U50/SUM($U$49:$U$51)</f>
        <v>0.33888888888888891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8">
        <f>Table21123[[#This Row],[Points]]/($AA$47-Table21123[[#This Row],[Missed Games]])</f>
        <v>0.33333333333333331</v>
      </c>
      <c r="AF50" s="148">
        <f>Table21123[[#This Row],[Finishes]]/($AA$47-Table21123[[#This Row],[Missed Games]])</f>
        <v>0.33333333333333331</v>
      </c>
      <c r="AG50" s="148">
        <f>Table21123[[#This Row],[Midranges]]/($AA$47-Table21123[[#This Row],[Missed Games]])</f>
        <v>0</v>
      </c>
      <c r="AH50" s="148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19</v>
      </c>
      <c r="V51" s="17">
        <f>U51/AA6</f>
        <v>1.5833333333333333</v>
      </c>
      <c r="W51" s="27">
        <f>U51/SUM($U$49:$U$51)</f>
        <v>0.10555555555555556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8">
        <f>Table21123[[#This Row],[Points]]/($AA$47-Table21123[[#This Row],[Missed Games]])</f>
        <v>4</v>
      </c>
      <c r="AF51" s="148">
        <f>Table21123[[#This Row],[Finishes]]/($AA$47-Table21123[[#This Row],[Missed Games]])</f>
        <v>3.3333333333333335</v>
      </c>
      <c r="AG51" s="148">
        <f>Table21123[[#This Row],[Midranges]]/($AA$47-Table21123[[#This Row],[Missed Games]])</f>
        <v>0</v>
      </c>
      <c r="AH51" s="148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8">
        <f>Table21123[[#This Row],[Points]]/($AA$47-Table21123[[#This Row],[Missed Games]])</f>
        <v>0.66666666666666663</v>
      </c>
      <c r="AF52" s="148">
        <f>Table21123[[#This Row],[Finishes]]/($AA$47-Table21123[[#This Row],[Missed Games]])</f>
        <v>0.66666666666666663</v>
      </c>
      <c r="AG52" s="148">
        <f>Table21123[[#This Row],[Midranges]]/($AA$47-Table21123[[#This Row],[Missed Games]])</f>
        <v>0</v>
      </c>
      <c r="AH52" s="148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8">
        <f>Table21123[[#This Row],[Points]]/($AA$47-Table21123[[#This Row],[Missed Games]])</f>
        <v>1</v>
      </c>
      <c r="AF53" s="148">
        <f>Table21123[[#This Row],[Finishes]]/($AA$47-Table21123[[#This Row],[Missed Games]])</f>
        <v>0</v>
      </c>
      <c r="AG53" s="148">
        <f>Table21123[[#This Row],[Midranges]]/($AA$47-Table21123[[#This Row],[Missed Games]])</f>
        <v>1</v>
      </c>
      <c r="AH53" s="148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8">
        <f>Table21123[[#This Row],[Points]]/($AA$47-Table21123[[#This Row],[Missed Games]])</f>
        <v>0.33333333333333331</v>
      </c>
      <c r="AF54" s="148">
        <f>Table21123[[#This Row],[Finishes]]/($AA$47-Table21123[[#This Row],[Missed Games]])</f>
        <v>0.33333333333333331</v>
      </c>
      <c r="AG54" s="148">
        <f>Table21123[[#This Row],[Midranges]]/($AA$47-Table21123[[#This Row],[Missed Games]])</f>
        <v>0</v>
      </c>
      <c r="AH54" s="148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0.6785714285714286</v>
      </c>
      <c r="V55" s="38">
        <f>'Statistics LG'!O42</f>
        <v>0.48571428571428571</v>
      </c>
      <c r="W55" s="38">
        <f>AVERAGE(U55:V55)</f>
        <v>0.58214285714285718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8">
        <f>Table21123[[#This Row],[Points]]/($AA$47-Table21123[[#This Row],[Missed Games]])</f>
        <v>1.3333333333333333</v>
      </c>
      <c r="AF55" s="148">
        <f>Table21123[[#This Row],[Finishes]]/($AA$47-Table21123[[#This Row],[Missed Games]])</f>
        <v>1</v>
      </c>
      <c r="AG55" s="148">
        <f>Table21123[[#This Row],[Midranges]]/($AA$47-Table21123[[#This Row],[Missed Games]])</f>
        <v>0.33333333333333331</v>
      </c>
      <c r="AH55" s="148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0.3214285714285714</v>
      </c>
      <c r="U56" s="40" t="s">
        <v>131</v>
      </c>
      <c r="V56" s="38">
        <f>'Statistics WW'!L42</f>
        <v>0.4</v>
      </c>
      <c r="W56" s="38">
        <f>AVERAGE(T56:V56)</f>
        <v>0.36071428571428571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8">
        <f>Table21123[[#This Row],[Points]]/($AA$47-Table21123[[#This Row],[Missed Games]])</f>
        <v>0</v>
      </c>
      <c r="AF56" s="148">
        <f>Table21123[[#This Row],[Finishes]]/($AA$47-Table21123[[#This Row],[Missed Games]])</f>
        <v>0</v>
      </c>
      <c r="AG56" s="148">
        <f>Table21123[[#This Row],[Midranges]]/($AA$47-Table21123[[#This Row],[Missed Games]])</f>
        <v>0</v>
      </c>
      <c r="AH56" s="148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0.51428571428571423</v>
      </c>
      <c r="U57" s="38">
        <f>1-V56</f>
        <v>0.6</v>
      </c>
      <c r="V57" s="40" t="s">
        <v>131</v>
      </c>
      <c r="W57" s="38">
        <f>AVERAGE(T57:V57)</f>
        <v>0.55714285714285716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8">
        <f>Table21123[[#This Row],[Points]]/($AA$47-Table21123[[#This Row],[Missed Games]])</f>
        <v>0.66666666666666663</v>
      </c>
      <c r="AF57" s="148">
        <f>Table21123[[#This Row],[Finishes]]/($AA$47-Table21123[[#This Row],[Missed Games]])</f>
        <v>0</v>
      </c>
      <c r="AG57" s="148">
        <f>Table21123[[#This Row],[Midranges]]/($AA$47-Table21123[[#This Row],[Missed Games]])</f>
        <v>0.66666666666666663</v>
      </c>
      <c r="AH57" s="148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8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8">
        <f>Table21123[[#This Row],[Points]]/($AA$47-Table21123[[#This Row],[Missed Games]])</f>
        <v>2.6666666666666665</v>
      </c>
      <c r="AF58" s="148">
        <f>Table21123[[#This Row],[Finishes]]/($AA$47-Table21123[[#This Row],[Missed Games]])</f>
        <v>0.66666666666666663</v>
      </c>
      <c r="AG58" s="148">
        <f>Table21123[[#This Row],[Midranges]]/($AA$47-Table21123[[#This Row],[Missed Games]])</f>
        <v>2</v>
      </c>
      <c r="AH58" s="148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8">
        <f>Table21123[[#This Row],[Points]]/($AA$47-Table21123[[#This Row],[Missed Games]])</f>
        <v>0.66666666666666663</v>
      </c>
      <c r="AF59" s="148">
        <f>Table21123[[#This Row],[Finishes]]/($AA$47-Table21123[[#This Row],[Missed Games]])</f>
        <v>0</v>
      </c>
      <c r="AG59" s="148">
        <f>Table21123[[#This Row],[Midranges]]/($AA$47-Table21123[[#This Row],[Missed Games]])</f>
        <v>0.66666666666666663</v>
      </c>
      <c r="AH59" s="148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8">
        <f>Table21123[[#This Row],[Points]]/($AA$47-Table21123[[#This Row],[Missed Games]])</f>
        <v>0</v>
      </c>
      <c r="AF60" s="148">
        <f>Table21123[[#This Row],[Finishes]]/($AA$47-Table21123[[#This Row],[Missed Games]])</f>
        <v>0</v>
      </c>
      <c r="AG60" s="148">
        <f>Table21123[[#This Row],[Midranges]]/($AA$47-Table21123[[#This Row],[Missed Games]])</f>
        <v>0</v>
      </c>
      <c r="AH60" s="148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8">
        <f>Table21123[[#This Row],[Points]]/($AA$47-Table21123[[#This Row],[Missed Games]])</f>
        <v>0.66666666666666663</v>
      </c>
      <c r="AF61" s="148">
        <f>Table21123[[#This Row],[Finishes]]/($AA$47-Table21123[[#This Row],[Missed Games]])</f>
        <v>0.33333333333333331</v>
      </c>
      <c r="AG61" s="148">
        <f>Table21123[[#This Row],[Midranges]]/($AA$47-Table21123[[#This Row],[Missed Games]])</f>
        <v>0.33333333333333331</v>
      </c>
      <c r="AH61" s="148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8">
        <f>Table21123[[#This Row],[Points]]/($AA$47-Table21123[[#This Row],[Missed Games]])</f>
        <v>0.33333333333333331</v>
      </c>
      <c r="AF62" s="148">
        <f>Table21123[[#This Row],[Finishes]]/($AA$47-Table21123[[#This Row],[Missed Games]])</f>
        <v>0.33333333333333331</v>
      </c>
      <c r="AG62" s="148">
        <f>Table21123[[#This Row],[Midranges]]/($AA$47-Table21123[[#This Row],[Missed Games]])</f>
        <v>0</v>
      </c>
      <c r="AH62" s="148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8">
        <f>Table21123[[#This Row],[Points]]/($AA$47-Table21123[[#This Row],[Missed Games]])</f>
        <v>1.6666666666666667</v>
      </c>
      <c r="AF63" s="148">
        <f>Table21123[[#This Row],[Finishes]]/($AA$47-Table21123[[#This Row],[Missed Games]])</f>
        <v>1</v>
      </c>
      <c r="AG63" s="148">
        <f>Table21123[[#This Row],[Midranges]]/($AA$47-Table21123[[#This Row],[Missed Games]])</f>
        <v>0.66666666666666663</v>
      </c>
      <c r="AH63" s="148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8">
        <f>Table21123[[#This Row],[Points]]/($AA$47-Table21123[[#This Row],[Missed Games]])</f>
        <v>0.33333333333333331</v>
      </c>
      <c r="AF64" s="148">
        <f>Table21123[[#This Row],[Finishes]]/($AA$47-Table21123[[#This Row],[Missed Games]])</f>
        <v>0</v>
      </c>
      <c r="AG64" s="148">
        <f>Table21123[[#This Row],[Midranges]]/($AA$47-Table21123[[#This Row],[Missed Games]])</f>
        <v>0.33333333333333331</v>
      </c>
      <c r="AH64" s="148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8">
        <f>Table21123[[#This Row],[Points]]/($AA$47-Table21123[[#This Row],[Missed Games]])</f>
        <v>0</v>
      </c>
      <c r="AF65" s="148">
        <f>Table21123[[#This Row],[Finishes]]/($AA$47-Table21123[[#This Row],[Missed Games]])</f>
        <v>0</v>
      </c>
      <c r="AG65" s="148">
        <f>Table21123[[#This Row],[Midranges]]/($AA$47-Table21123[[#This Row],[Missed Games]])</f>
        <v>0</v>
      </c>
      <c r="AH65" s="148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1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</f>
        <v>0</v>
      </c>
      <c r="AB69" s="31">
        <f>'0808'!S3</f>
        <v>0</v>
      </c>
      <c r="AC69" s="31">
        <f>'0808'!T3</f>
        <v>0</v>
      </c>
      <c r="AD69" s="31">
        <f>'0808'!U3</f>
        <v>0</v>
      </c>
      <c r="AE69" s="148">
        <f>Table21126[[#This Row],[Points]]/($AA$67-Table21126[[#This Row],[Missed Games]])</f>
        <v>0</v>
      </c>
      <c r="AF69" s="148">
        <f>Table21126[[#This Row],[Finishes]]/($AA$67-Table21126[[#This Row],[Missed Games]])</f>
        <v>0</v>
      </c>
      <c r="AG69" s="148">
        <f>Table21126[[#This Row],[Midranges]]/($AA$67-Table21126[[#This Row],[Missed Games]])</f>
        <v>0</v>
      </c>
      <c r="AH69" s="148">
        <f>Table21126[[#This Row],[Threes]]/($AA$67-Table21126[[#This Row],[Missed Games]])</f>
        <v>0</v>
      </c>
      <c r="AI69" s="31">
        <f>COUNTIF('0808'!V3,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</f>
        <v>0</v>
      </c>
      <c r="AB70" s="31">
        <f>'0808'!S4</f>
        <v>0</v>
      </c>
      <c r="AC70" s="31">
        <f>'0808'!T4</f>
        <v>0</v>
      </c>
      <c r="AD70" s="31">
        <f>'0808'!U4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</f>
        <v>4</v>
      </c>
      <c r="AB71" s="31">
        <f>'0808'!S5</f>
        <v>4</v>
      </c>
      <c r="AC71" s="31">
        <f>'0808'!T5</f>
        <v>0</v>
      </c>
      <c r="AD71" s="31">
        <f>'0808'!U5</f>
        <v>0</v>
      </c>
      <c r="AE71" s="31">
        <f>Table21126[[#This Row],[Points]]/($AA$67-Table21126[[#This Row],[Missed Games]])</f>
        <v>4</v>
      </c>
      <c r="AF71" s="31">
        <f>Table21126[[#This Row],[Finishes]]/($AA$67-Table21126[[#This Row],[Missed Games]])</f>
        <v>4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</f>
        <v>0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</f>
        <v>1</v>
      </c>
      <c r="AB72" s="31">
        <f>'0808'!S6</f>
        <v>1</v>
      </c>
      <c r="AC72" s="31">
        <f>'0808'!T6</f>
        <v>0</v>
      </c>
      <c r="AD72" s="31">
        <f>'0808'!U6</f>
        <v>0</v>
      </c>
      <c r="AE72" s="31">
        <f>Table21126[[#This Row],[Points]]/($AA$67-Table21126[[#This Row],[Missed Games]])</f>
        <v>1</v>
      </c>
      <c r="AF72" s="31">
        <f>Table21126[[#This Row],[Finishes]]/($AA$67-Table21126[[#This Row],[Missed Games]])</f>
        <v>1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</f>
        <v>0</v>
      </c>
      <c r="AB73" s="31">
        <f>'0808'!S7</f>
        <v>0</v>
      </c>
      <c r="AC73" s="31">
        <f>'0808'!T7</f>
        <v>0</v>
      </c>
      <c r="AD73" s="31">
        <f>'0808'!U7</f>
        <v>0</v>
      </c>
      <c r="AE73" s="31">
        <f>Table21126[[#This Row],[Points]]/($AA$67-Table21126[[#This Row],[Missed Games]])</f>
        <v>0</v>
      </c>
      <c r="AF73" s="31">
        <f>Table21126[[#This Row],[Finishes]]/($AA$67-Table21126[[#This Row],[Missed Games]])</f>
        <v>0</v>
      </c>
      <c r="AG73" s="31">
        <f>Table21126[[#This Row],[Midranges]]/($AA$67-Table21126[[#This Row],[Missed Games]])</f>
        <v>0</v>
      </c>
      <c r="AH73" s="31">
        <f>Table21126[[#This Row],[Threes]]/($AA$67-Table21126[[#This Row],[Missed Games]])</f>
        <v>0</v>
      </c>
      <c r="AI73" s="31">
        <f>COUNTIF('0808'!V7,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</f>
        <v>2</v>
      </c>
      <c r="AB74" s="31">
        <f>'0808'!S8</f>
        <v>2</v>
      </c>
      <c r="AC74" s="31">
        <f>'0808'!T8</f>
        <v>0</v>
      </c>
      <c r="AD74" s="31">
        <f>'0808'!U8</f>
        <v>0</v>
      </c>
      <c r="AE74" s="31">
        <f>Table21126[[#This Row],[Points]]/($AA$67-Table21126[[#This Row],[Missed Games]])</f>
        <v>2</v>
      </c>
      <c r="AF74" s="31">
        <f>Table21126[[#This Row],[Finishes]]/($AA$67-Table21126[[#This Row],[Missed Games]])</f>
        <v>2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</f>
        <v>0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</f>
        <v>0</v>
      </c>
      <c r="AB75" s="31">
        <f>'0808'!S9</f>
        <v>0</v>
      </c>
      <c r="AC75" s="31">
        <f>'0808'!T9</f>
        <v>0</v>
      </c>
      <c r="AD75" s="31">
        <f>'0808'!U9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</f>
        <v>0</v>
      </c>
      <c r="AB76" s="31">
        <f>'0808'!S10</f>
        <v>0</v>
      </c>
      <c r="AC76" s="31">
        <f>'0808'!T10</f>
        <v>0</v>
      </c>
      <c r="AD76" s="31">
        <f>'0808'!U10</f>
        <v>0</v>
      </c>
      <c r="AE76" s="31">
        <f>Table21126[[#This Row],[Points]]/($AA$67-Table21126[[#This Row],[Missed Games]])</f>
        <v>0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</v>
      </c>
      <c r="AH76" s="31">
        <f>Table21126[[#This Row],[Threes]]/($AA$67-Table21126[[#This Row],[Missed Games]])</f>
        <v>0</v>
      </c>
      <c r="AI76" s="31">
        <f>COUNTIF('0808'!V10,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</f>
        <v>0</v>
      </c>
      <c r="AB77" s="31">
        <f>'0808'!S11</f>
        <v>0</v>
      </c>
      <c r="AC77" s="31">
        <f>'0808'!T11</f>
        <v>0</v>
      </c>
      <c r="AD77" s="31">
        <f>'0808'!U11</f>
        <v>0</v>
      </c>
      <c r="AE77" s="31" t="e">
        <f>Table21126[[#This Row],[Points]]/($AA$67-Table21126[[#This Row],[Missed Games]])</f>
        <v>#DIV/0!</v>
      </c>
      <c r="AF77" s="31" t="e">
        <f>Table21126[[#This Row],[Finishes]]/($AA$67-Table21126[[#This Row],[Missed Games]])</f>
        <v>#DIV/0!</v>
      </c>
      <c r="AG77" s="31" t="e">
        <f>Table21126[[#This Row],[Midranges]]/($AA$67-Table21126[[#This Row],[Missed Games]])</f>
        <v>#DIV/0!</v>
      </c>
      <c r="AH77" s="31" t="e">
        <f>Table21126[[#This Row],[Threes]]/($AA$67-Table21126[[#This Row],[Missed Games]])</f>
        <v>#DIV/0!</v>
      </c>
      <c r="AI77" s="31">
        <f>COUNTIF('0808'!V11, TRUE)</f>
        <v>1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</f>
        <v>12</v>
      </c>
      <c r="AB78" s="31">
        <f>'0808'!S12</f>
        <v>2</v>
      </c>
      <c r="AC78" s="31">
        <f>'0808'!T12</f>
        <v>8</v>
      </c>
      <c r="AD78" s="31">
        <f>'0808'!U12</f>
        <v>1</v>
      </c>
      <c r="AE78" s="31">
        <f>Table21126[[#This Row],[Points]]/($AA$67-Table21126[[#This Row],[Missed Games]])</f>
        <v>12</v>
      </c>
      <c r="AF78" s="31">
        <f>Table21126[[#This Row],[Finishes]]/($AA$67-Table21126[[#This Row],[Missed Games]])</f>
        <v>2</v>
      </c>
      <c r="AG78" s="31">
        <f>Table21126[[#This Row],[Midranges]]/($AA$67-Table21126[[#This Row],[Missed Games]])</f>
        <v>8</v>
      </c>
      <c r="AH78" s="31">
        <f>Table21126[[#This Row],[Threes]]/($AA$67-Table21126[[#This Row],[Missed Games]])</f>
        <v>1</v>
      </c>
      <c r="AI78" s="31">
        <f>COUNTIF('0808'!V12, TRUE)</f>
        <v>0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</f>
        <v>0</v>
      </c>
      <c r="AB79" s="31">
        <f>'0808'!S13</f>
        <v>0</v>
      </c>
      <c r="AC79" s="31">
        <f>'0808'!T13</f>
        <v>0</v>
      </c>
      <c r="AD79" s="31">
        <f>'0808'!U13</f>
        <v>0</v>
      </c>
      <c r="AE79" s="31">
        <f>Table21126[[#This Row],[Points]]/($AA$67-Table21126[[#This Row],[Missed Games]])</f>
        <v>0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</v>
      </c>
      <c r="AH79" s="31">
        <f>Table21126[[#This Row],[Threes]]/($AA$67-Table21126[[#This Row],[Missed Games]])</f>
        <v>0</v>
      </c>
      <c r="AI79" s="31">
        <f>COUNTIF('0808'!V13,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</f>
        <v>0</v>
      </c>
      <c r="AB80" s="31">
        <f>'0808'!S14</f>
        <v>0</v>
      </c>
      <c r="AC80" s="31">
        <f>'0808'!T14</f>
        <v>0</v>
      </c>
      <c r="AD80" s="31">
        <f>'0808'!U14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</f>
        <v>1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</f>
        <v>0</v>
      </c>
      <c r="AB81" s="31">
        <f>'0808'!S15</f>
        <v>0</v>
      </c>
      <c r="AC81" s="31">
        <f>'0808'!T15</f>
        <v>0</v>
      </c>
      <c r="AD81" s="31">
        <f>'0808'!U15</f>
        <v>0</v>
      </c>
      <c r="AE81" s="31">
        <f>Table21126[[#This Row],[Points]]/($AA$67-Table21126[[#This Row],[Missed Games]])</f>
        <v>0</v>
      </c>
      <c r="AF81" s="31">
        <f>Table21126[[#This Row],[Finishes]]/($AA$67-Table21126[[#This Row],[Missed Games]])</f>
        <v>0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</f>
        <v>0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</f>
        <v>1</v>
      </c>
      <c r="AB82" s="31">
        <f>'0808'!S16</f>
        <v>1</v>
      </c>
      <c r="AC82" s="31">
        <f>'0808'!T16</f>
        <v>0</v>
      </c>
      <c r="AD82" s="31">
        <f>'0808'!U16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</f>
        <v>0</v>
      </c>
      <c r="AB83" s="31">
        <f>'0808'!S17</f>
        <v>0</v>
      </c>
      <c r="AC83" s="31">
        <f>'0808'!T17</f>
        <v>0</v>
      </c>
      <c r="AD83" s="31">
        <f>'0808'!U17</f>
        <v>0</v>
      </c>
      <c r="AE83" s="31">
        <f>Table21126[[#This Row],[Points]]/($AA$67-Table21126[[#This Row],[Missed Games]])</f>
        <v>0</v>
      </c>
      <c r="AF83" s="31">
        <f>Table21126[[#This Row],[Finishes]]/($AA$67-Table21126[[#This Row],[Missed Games]])</f>
        <v>0</v>
      </c>
      <c r="AG83" s="31">
        <f>Table21126[[#This Row],[Midranges]]/($AA$67-Table21126[[#This Row],[Missed Games]])</f>
        <v>0</v>
      </c>
      <c r="AH83" s="31">
        <f>Table21126[[#This Row],[Threes]]/($AA$67-Table21126[[#This Row],[Missed Games]])</f>
        <v>0</v>
      </c>
      <c r="AI83" s="31">
        <f>COUNTIF('0808'!V17,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</f>
        <v>0</v>
      </c>
      <c r="AB84" s="31">
        <f>'0808'!S18</f>
        <v>0</v>
      </c>
      <c r="AC84" s="31">
        <f>'0808'!T18</f>
        <v>0</v>
      </c>
      <c r="AD84" s="31">
        <f>'0808'!U18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</f>
        <v>0</v>
      </c>
      <c r="AB85" s="31">
        <f>'0808'!S19</f>
        <v>0</v>
      </c>
      <c r="AC85" s="31">
        <f>'0808'!T19</f>
        <v>0</v>
      </c>
      <c r="AD85" s="31">
        <f>'0808'!U19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</f>
        <v>0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/>
      <c r="S90" s="46"/>
      <c r="T90" s="16"/>
      <c r="U90" s="16"/>
      <c r="V90" s="16"/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/>
      <c r="S91" s="46"/>
      <c r="T91" s="16"/>
      <c r="U91" s="16"/>
      <c r="V91" s="16"/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1" t="s">
        <v>192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72</v>
      </c>
      <c r="I3" s="81">
        <f>SUM(C7:C40)</f>
        <v>54</v>
      </c>
      <c r="J3" s="78">
        <f>SUM(D7:D40)</f>
        <v>26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2" t="s">
        <v>4</v>
      </c>
      <c r="S3" s="103" t="s">
        <v>0</v>
      </c>
      <c r="T3" s="103" t="s">
        <v>85</v>
      </c>
      <c r="U3" s="104" t="s">
        <v>1</v>
      </c>
      <c r="V3" s="105" t="s">
        <v>80</v>
      </c>
      <c r="W3" s="105" t="s">
        <v>2</v>
      </c>
      <c r="X3" s="105" t="s">
        <v>117</v>
      </c>
      <c r="Y3" s="104" t="s">
        <v>3</v>
      </c>
      <c r="Z3" s="105" t="s">
        <v>118</v>
      </c>
      <c r="AA3" s="105" t="s">
        <v>120</v>
      </c>
      <c r="AD3" s="82"/>
    </row>
    <row r="4" spans="1:30" ht="14.35" customHeight="1" x14ac:dyDescent="0.45">
      <c r="A4" s="122" t="str">
        <f>'Stats Global'!B5</f>
        <v>11-July</v>
      </c>
      <c r="B4" s="123">
        <f>'Stats Global'!F5</f>
        <v>5</v>
      </c>
      <c r="C4" s="123">
        <f>'Stats Global'!G5+'Stats Global'!H5</f>
        <v>6</v>
      </c>
      <c r="D4" s="123">
        <f>'Stats Global'!O5</f>
        <v>2</v>
      </c>
      <c r="E4" s="124" t="s">
        <v>46</v>
      </c>
      <c r="F4" s="124" t="s">
        <v>206</v>
      </c>
      <c r="J4" s="84"/>
      <c r="L4" s="125">
        <f>'Stats Global'!J5</f>
        <v>2</v>
      </c>
      <c r="M4" s="125">
        <f>'Stats Global'!G5</f>
        <v>0</v>
      </c>
      <c r="N4" s="86"/>
      <c r="O4" s="125">
        <f>'Stats Global'!M5</f>
        <v>3</v>
      </c>
      <c r="P4" s="125">
        <f>'Stats Global'!H5</f>
        <v>6</v>
      </c>
      <c r="R4" s="106" t="s">
        <v>61</v>
      </c>
      <c r="S4" s="96">
        <f>'Stats Global'!AA22</f>
        <v>34</v>
      </c>
      <c r="T4" s="96">
        <f>'Stats Global'!AB22</f>
        <v>2.8333333333333335</v>
      </c>
      <c r="U4" s="96">
        <f>'Stats Global'!AC22</f>
        <v>17</v>
      </c>
      <c r="V4" s="96">
        <f>'Stats Global'!AD22</f>
        <v>1.4166666666666667</v>
      </c>
      <c r="W4" s="96">
        <f>'Stats Global'!AE22</f>
        <v>7</v>
      </c>
      <c r="X4" s="96">
        <f>'Stats Global'!AF22</f>
        <v>0.58333333333333337</v>
      </c>
      <c r="Y4" s="96">
        <f>'Stats Global'!AG22</f>
        <v>5</v>
      </c>
      <c r="Z4" s="96">
        <f>'Stats Global'!AH22</f>
        <v>0.41666666666666669</v>
      </c>
      <c r="AA4" s="96">
        <f>'Stats Global'!AJ22</f>
        <v>0</v>
      </c>
    </row>
    <row r="5" spans="1:30" ht="14.35" customHeight="1" x14ac:dyDescent="0.45">
      <c r="A5" s="122" t="str">
        <f>'Stats Global'!B6</f>
        <v>12-July</v>
      </c>
      <c r="B5" s="123">
        <f>'Stats Global'!F6</f>
        <v>9</v>
      </c>
      <c r="C5" s="123">
        <f>'Stats Global'!G6+'Stats Global'!H6</f>
        <v>8</v>
      </c>
      <c r="D5" s="123">
        <f>'Stats Global'!O6</f>
        <v>2</v>
      </c>
      <c r="E5" s="124" t="s">
        <v>61</v>
      </c>
      <c r="F5" s="124" t="s">
        <v>209</v>
      </c>
      <c r="I5" s="81"/>
      <c r="J5" s="84"/>
      <c r="L5" s="125">
        <f>'Stats Global'!J6</f>
        <v>4</v>
      </c>
      <c r="M5" s="125">
        <f>'Stats Global'!G6</f>
        <v>1</v>
      </c>
      <c r="N5" s="86"/>
      <c r="O5" s="125">
        <f>'Stats Global'!M6</f>
        <v>5</v>
      </c>
      <c r="P5" s="125">
        <f>'Stats Global'!H6</f>
        <v>7</v>
      </c>
      <c r="R5" s="84" t="s">
        <v>46</v>
      </c>
      <c r="S5" s="96">
        <f>'Stats Global'!AA16</f>
        <v>17</v>
      </c>
      <c r="T5" s="96">
        <f>'Stats Global'!AB16</f>
        <v>1.7</v>
      </c>
      <c r="U5" s="96">
        <f>'Stats Global'!AC16</f>
        <v>7</v>
      </c>
      <c r="V5" s="96">
        <f>'Stats Global'!AD16</f>
        <v>0.7</v>
      </c>
      <c r="W5" s="96">
        <f>'Stats Global'!AE16</f>
        <v>6</v>
      </c>
      <c r="X5" s="96">
        <f>'Stats Global'!AF16</f>
        <v>0.6</v>
      </c>
      <c r="Y5" s="96">
        <f>'Stats Global'!AG16</f>
        <v>2</v>
      </c>
      <c r="Z5" s="96">
        <f>'Stats Global'!AH16</f>
        <v>0.2</v>
      </c>
      <c r="AA5" s="96">
        <f>'Stats Global'!AJ16</f>
        <v>2</v>
      </c>
    </row>
    <row r="6" spans="1:30" ht="14.35" customHeight="1" x14ac:dyDescent="0.45">
      <c r="A6" s="122" t="str">
        <f>'Stats Global'!B7</f>
        <v>13-July</v>
      </c>
      <c r="B6" s="123">
        <f>'Stats Global'!F7</f>
        <v>8</v>
      </c>
      <c r="C6" s="123">
        <f>'Stats Global'!G7+'Stats Global'!H7</f>
        <v>2</v>
      </c>
      <c r="D6" s="123">
        <f>'Stats Global'!O7</f>
        <v>3</v>
      </c>
      <c r="E6" s="124" t="s">
        <v>61</v>
      </c>
      <c r="F6" s="124" t="s">
        <v>61</v>
      </c>
      <c r="I6" s="81"/>
      <c r="J6" s="84"/>
      <c r="L6" s="125">
        <f>'Stats Global'!J7</f>
        <v>4</v>
      </c>
      <c r="M6" s="125">
        <f>'Stats Global'!G7</f>
        <v>2</v>
      </c>
      <c r="N6" s="86"/>
      <c r="O6" s="125">
        <f>'Stats Global'!M7</f>
        <v>4</v>
      </c>
      <c r="P6" s="125">
        <f>'Stats Global'!H7</f>
        <v>0</v>
      </c>
      <c r="R6" s="84" t="s">
        <v>58</v>
      </c>
      <c r="S6" s="96">
        <f>'Stats Global'!AA21</f>
        <v>14</v>
      </c>
      <c r="T6" s="96">
        <f>'Stats Global'!AB21</f>
        <v>1.1666666666666667</v>
      </c>
      <c r="U6" s="96">
        <f>'Stats Global'!AC21</f>
        <v>9</v>
      </c>
      <c r="V6" s="96">
        <f>'Stats Global'!AD21</f>
        <v>0.75</v>
      </c>
      <c r="W6" s="96">
        <f>'Stats Global'!AE21</f>
        <v>3</v>
      </c>
      <c r="X6" s="96">
        <f>'Stats Global'!AF21</f>
        <v>0.25</v>
      </c>
      <c r="Y6" s="96">
        <f>'Stats Global'!AG21</f>
        <v>1</v>
      </c>
      <c r="Z6" s="96">
        <f>'Stats Global'!AH21</f>
        <v>8.3333333333333329E-2</v>
      </c>
      <c r="AA6" s="96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6">
        <f>'Stats Global'!AA8</f>
        <v>3</v>
      </c>
      <c r="T7" s="96">
        <f>'Stats Global'!AB8</f>
        <v>0.25</v>
      </c>
      <c r="U7" s="96">
        <f>'Stats Global'!AC8</f>
        <v>0</v>
      </c>
      <c r="V7" s="96">
        <f>'Stats Global'!AD8</f>
        <v>0</v>
      </c>
      <c r="W7" s="96">
        <f>'Stats Global'!AE8</f>
        <v>3</v>
      </c>
      <c r="X7" s="96">
        <f>'Stats Global'!AF8</f>
        <v>0.25</v>
      </c>
      <c r="Y7" s="96">
        <f>'Stats Global'!AG8</f>
        <v>0</v>
      </c>
      <c r="Z7" s="96">
        <f>'Stats Global'!AH8</f>
        <v>0</v>
      </c>
      <c r="AA7" s="96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224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6">
        <f>'Stats Global'!AA9</f>
        <v>12</v>
      </c>
      <c r="T8" s="96">
        <f>'Stats Global'!AB9</f>
        <v>1.0909090909090908</v>
      </c>
      <c r="U8" s="96">
        <f>'Stats Global'!AC9</f>
        <v>12</v>
      </c>
      <c r="V8" s="96">
        <f>'Stats Global'!AD9</f>
        <v>1.0909090909090908</v>
      </c>
      <c r="W8" s="96">
        <f>'Stats Global'!AE9</f>
        <v>0</v>
      </c>
      <c r="X8" s="96">
        <f>'Stats Global'!AF9</f>
        <v>0</v>
      </c>
      <c r="Y8" s="96">
        <f>'Stats Global'!AG9</f>
        <v>0</v>
      </c>
      <c r="Z8" s="96">
        <f>'Stats Global'!AH9</f>
        <v>0</v>
      </c>
      <c r="AA8" s="96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236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207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242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252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262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207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5" t="s">
        <v>61</v>
      </c>
      <c r="F17" s="155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3">
        <f>'Stats Global'!F19</f>
        <v>1</v>
      </c>
      <c r="C18" s="83">
        <f>'Stats Global'!G19+'Stats Global'!H19</f>
        <v>9</v>
      </c>
      <c r="D18" s="83">
        <f>'Stats Global'!O19</f>
        <v>1</v>
      </c>
      <c r="E18" s="157" t="s">
        <v>207</v>
      </c>
      <c r="F18" s="157" t="s">
        <v>58</v>
      </c>
      <c r="J18" s="84"/>
      <c r="L18" s="85">
        <f>'Stats Global'!J19</f>
        <v>0</v>
      </c>
      <c r="M18" s="85">
        <f>'Stats Global'!G19</f>
        <v>1</v>
      </c>
      <c r="N18" s="86"/>
      <c r="O18" s="85">
        <f>'Stats Global'!M19</f>
        <v>1</v>
      </c>
      <c r="P18" s="85">
        <f>'Stats Global'!H19</f>
        <v>8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7"/>
      <c r="F19" s="87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8"/>
      <c r="F20" s="88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0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89"/>
      <c r="F23" s="80"/>
      <c r="H23" s="90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89"/>
      <c r="F24" s="80"/>
      <c r="H24" s="90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89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19">
        <f>SUM(B7:B40)/SUM(B7:C40)</f>
        <v>0.5714285714285714</v>
      </c>
      <c r="J41" s="84"/>
      <c r="K41" s="81" t="s">
        <v>94</v>
      </c>
      <c r="L41" s="100">
        <f>SUM(L7:L40)</f>
        <v>38</v>
      </c>
      <c r="M41" s="100">
        <f>SUM(M7:M40)</f>
        <v>18</v>
      </c>
      <c r="N41" s="84"/>
      <c r="O41" s="100">
        <f>SUM(O7:O40)</f>
        <v>34</v>
      </c>
      <c r="P41" s="100">
        <f>SUM(P7:P40)</f>
        <v>36</v>
      </c>
    </row>
    <row r="42" spans="1:16" ht="14.25" customHeight="1" x14ac:dyDescent="0.45">
      <c r="L42" s="91">
        <f>L41/(M41+L41)</f>
        <v>0.6785714285714286</v>
      </c>
      <c r="O42" s="91">
        <f>O41/(P41+O41)</f>
        <v>0.48571428571428571</v>
      </c>
    </row>
    <row r="43" spans="1:16" ht="14.25" customHeight="1" x14ac:dyDescent="0.45">
      <c r="I43" s="92" t="str">
        <f>K43&amp;H3&amp;","&amp;I3&amp;","&amp;J3&amp;"],"</f>
        <v>"PartA":[72,54,26],</v>
      </c>
      <c r="K43" s="76" t="s">
        <v>135</v>
      </c>
      <c r="M43" s="76" t="s">
        <v>139</v>
      </c>
      <c r="O43" s="93">
        <f>ROUND((SUM('Stats Global'!AA8,'Stats Global'!AA9,'Stats Global'!AA16,'Stats Global'!AA21,'Stats Global'!AA22))/'Stats Global'!AA6,1)</f>
        <v>6.7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4">
        <f>MAX(Table1114[Points])</f>
        <v>34</v>
      </c>
      <c r="N44" s="76" t="str">
        <f>IF(M44&lt;&gt;0,IF(M44=S4,R4,IF(M44=S5,R5,IF(S6=M44,R6,IF(S7=M44,R7,R8)))),"N/A")</f>
        <v>Angus Walker</v>
      </c>
      <c r="O44" s="93">
        <f>ROUND(SUM('Stats Global'!AC8,'Stats Global'!AC9,'Stats Global'!AC16,'Stats Global'!AC21,'Stats Global'!AC22)/'Stats Global'!AA6,1)</f>
        <v>3.8</v>
      </c>
    </row>
    <row r="45" spans="1:16" ht="14.25" customHeight="1" x14ac:dyDescent="0.45">
      <c r="I45" s="76" t="str">
        <f>K45&amp;O43&amp;","&amp;O44&amp;","&amp;O45&amp;","&amp;O46&amp;","&amp;O47&amp;","&amp;O48&amp;"],"</f>
        <v>"PartC":[6.7,3.8,1.6,0.7,6,4.5],</v>
      </c>
      <c r="K45" s="76" t="s">
        <v>137</v>
      </c>
      <c r="M45" s="94">
        <f>MAX(Table1114[Finishes])</f>
        <v>17</v>
      </c>
      <c r="N45" s="101" t="str">
        <f>IF(M45&lt;&gt;0,IF(M45=U4,R4,IF(M45=U5,R5,IF(U6=M45,R6,IF(U7=M45,R7,R8)))),"N/A")</f>
        <v>Angus Walker</v>
      </c>
      <c r="O45" s="93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"PartD":[38,18,67.9,34,36,48.6],</v>
      </c>
      <c r="K46" s="76" t="s">
        <v>138</v>
      </c>
      <c r="M46" s="94">
        <f>MAX(Table1114[Midranges])</f>
        <v>7</v>
      </c>
      <c r="N46" s="101" t="str">
        <f>IF(M46&lt;&gt;0,IF(M46=W4,R4,IF(M46=W5,R5,IF(W6=M46,R6,IF(W7=M46,R7,R8)))),"N/A")</f>
        <v>Angus Walker</v>
      </c>
      <c r="O46" s="93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4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</v>
      </c>
    </row>
    <row r="48" spans="1:16" ht="14.25" customHeight="1" x14ac:dyDescent="0.45">
      <c r="O48" s="76">
        <f>ROUND(I3/'Stats Global'!AA6,1)</f>
        <v>4.5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8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101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40</v>
      </c>
      <c r="I3" s="81">
        <f>SUM(C7:C40)</f>
        <v>71</v>
      </c>
      <c r="J3" s="78">
        <f>SUM(D7:D40)</f>
        <v>20</v>
      </c>
      <c r="L3" s="81" t="s">
        <v>88</v>
      </c>
      <c r="M3" s="81" t="s">
        <v>89</v>
      </c>
      <c r="N3" s="78"/>
      <c r="O3" s="102" t="s">
        <v>4</v>
      </c>
      <c r="P3" s="103" t="s">
        <v>0</v>
      </c>
      <c r="Q3" s="103" t="s">
        <v>85</v>
      </c>
      <c r="R3" s="104" t="s">
        <v>1</v>
      </c>
      <c r="S3" s="105" t="s">
        <v>80</v>
      </c>
      <c r="T3" s="105" t="s">
        <v>2</v>
      </c>
      <c r="U3" s="105" t="s">
        <v>117</v>
      </c>
      <c r="V3" s="104" t="s">
        <v>3</v>
      </c>
      <c r="W3" s="105" t="s">
        <v>118</v>
      </c>
      <c r="X3" s="105" t="s">
        <v>120</v>
      </c>
    </row>
    <row r="4" spans="1:24" ht="14.25" customHeight="1" x14ac:dyDescent="0.45">
      <c r="A4" s="122" t="str">
        <f>'Stats Global'!B5</f>
        <v>11-July</v>
      </c>
      <c r="B4" s="123">
        <f>'Stats Global'!I5</f>
        <v>0</v>
      </c>
      <c r="C4" s="123">
        <f>'Stats Global'!J5+'Stats Global'!K5</f>
        <v>8</v>
      </c>
      <c r="D4" s="123">
        <f>'Stats Global'!P5</f>
        <v>1</v>
      </c>
      <c r="E4" s="124" t="s">
        <v>207</v>
      </c>
      <c r="F4" s="124" t="s">
        <v>207</v>
      </c>
      <c r="L4" s="125">
        <f>'Stats Global'!N5</f>
        <v>0</v>
      </c>
      <c r="M4" s="125">
        <f>'Stats Global'!K5</f>
        <v>6</v>
      </c>
      <c r="N4" s="86"/>
      <c r="O4" s="84" t="s">
        <v>35</v>
      </c>
      <c r="P4" s="96">
        <f>'Stats Global'!AA11</f>
        <v>6</v>
      </c>
      <c r="Q4" s="96">
        <f>'Stats Global'!AB11</f>
        <v>0.75</v>
      </c>
      <c r="R4" s="96">
        <f>'Stats Global'!AC11</f>
        <v>6</v>
      </c>
      <c r="S4" s="96">
        <f>'Stats Global'!AD11</f>
        <v>0.75</v>
      </c>
      <c r="T4" s="96">
        <f>'Stats Global'!AE11</f>
        <v>0</v>
      </c>
      <c r="U4" s="96">
        <f>'Stats Global'!AF11</f>
        <v>0</v>
      </c>
      <c r="V4" s="96">
        <f>'Stats Global'!AG11</f>
        <v>0</v>
      </c>
      <c r="W4" s="96">
        <f>'Stats Global'!AH11</f>
        <v>0</v>
      </c>
      <c r="X4" s="96">
        <f>'Stats Global'!AJ11</f>
        <v>4</v>
      </c>
    </row>
    <row r="5" spans="1:24" ht="14.25" customHeight="1" x14ac:dyDescent="0.45">
      <c r="A5" s="122" t="str">
        <f>'Stats Global'!B6</f>
        <v>12-July</v>
      </c>
      <c r="B5" s="123">
        <f>'Stats Global'!I6</f>
        <v>2</v>
      </c>
      <c r="C5" s="123">
        <f>'Stats Global'!J6+'Stats Global'!K6</f>
        <v>12</v>
      </c>
      <c r="D5" s="123">
        <f>'Stats Global'!P6</f>
        <v>1</v>
      </c>
      <c r="E5" s="124" t="s">
        <v>42</v>
      </c>
      <c r="F5" s="124" t="s">
        <v>52</v>
      </c>
      <c r="J5" s="84"/>
      <c r="L5" s="125">
        <f>'Stats Global'!N6</f>
        <v>1</v>
      </c>
      <c r="M5" s="125">
        <f>'Stats Global'!K6</f>
        <v>8</v>
      </c>
      <c r="N5" s="86"/>
      <c r="O5" s="84" t="s">
        <v>37</v>
      </c>
      <c r="P5" s="96">
        <f>'Stats Global'!AA12</f>
        <v>10</v>
      </c>
      <c r="Q5" s="96">
        <f>'Stats Global'!AB12</f>
        <v>1</v>
      </c>
      <c r="R5" s="96">
        <f>'Stats Global'!AC12</f>
        <v>4</v>
      </c>
      <c r="S5" s="96">
        <f>'Stats Global'!AD12</f>
        <v>0.4</v>
      </c>
      <c r="T5" s="96">
        <f>'Stats Global'!AE12</f>
        <v>4</v>
      </c>
      <c r="U5" s="96">
        <f>'Stats Global'!AF12</f>
        <v>0.4</v>
      </c>
      <c r="V5" s="96">
        <f>'Stats Global'!AG12</f>
        <v>1</v>
      </c>
      <c r="W5" s="96">
        <f>'Stats Global'!AH12</f>
        <v>0.1</v>
      </c>
      <c r="X5" s="96">
        <f>'Stats Global'!AJ12</f>
        <v>2</v>
      </c>
    </row>
    <row r="6" spans="1:24" ht="14.25" customHeight="1" x14ac:dyDescent="0.45">
      <c r="A6" s="122" t="str">
        <f>'Stats Global'!B7</f>
        <v>13-July</v>
      </c>
      <c r="B6" s="123">
        <f>'Stats Global'!I7</f>
        <v>4</v>
      </c>
      <c r="C6" s="123">
        <f>'Stats Global'!J7+'Stats Global'!K7</f>
        <v>5</v>
      </c>
      <c r="D6" s="123">
        <f>'Stats Global'!P7</f>
        <v>2</v>
      </c>
      <c r="E6" s="124" t="s">
        <v>214</v>
      </c>
      <c r="F6" s="124" t="s">
        <v>215</v>
      </c>
      <c r="I6" s="81"/>
      <c r="J6" s="84"/>
      <c r="L6" s="125">
        <f>'Stats Global'!N7</f>
        <v>2</v>
      </c>
      <c r="M6" s="125">
        <f>'Stats Global'!K7</f>
        <v>1</v>
      </c>
      <c r="N6" s="86"/>
      <c r="O6" s="84" t="s">
        <v>55</v>
      </c>
      <c r="P6" s="96">
        <f>'Stats Global'!AA20</f>
        <v>9</v>
      </c>
      <c r="Q6" s="96">
        <f>'Stats Global'!AB20</f>
        <v>0.75</v>
      </c>
      <c r="R6" s="96">
        <f>'Stats Global'!AC20</f>
        <v>8</v>
      </c>
      <c r="S6" s="96">
        <f>'Stats Global'!AD20</f>
        <v>0.66666666666666663</v>
      </c>
      <c r="T6" s="96">
        <f>'Stats Global'!AE20</f>
        <v>1</v>
      </c>
      <c r="U6" s="96">
        <f>'Stats Global'!AF20</f>
        <v>8.3333333333333329E-2</v>
      </c>
      <c r="V6" s="96">
        <f>'Stats Global'!AG20</f>
        <v>0</v>
      </c>
      <c r="W6" s="96">
        <f>'Stats Global'!AH20</f>
        <v>0</v>
      </c>
      <c r="X6" s="96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207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6">
        <f>'Stats Global'!AA18</f>
        <v>7</v>
      </c>
      <c r="Q7" s="96">
        <f>'Stats Global'!AB18</f>
        <v>0.58333333333333337</v>
      </c>
      <c r="R7" s="96">
        <f>'Stats Global'!AC18</f>
        <v>1</v>
      </c>
      <c r="S7" s="96">
        <f>'Stats Global'!AD18</f>
        <v>8.3333333333333329E-2</v>
      </c>
      <c r="T7" s="96">
        <f>'Stats Global'!AE18</f>
        <v>6</v>
      </c>
      <c r="U7" s="96">
        <f>'Stats Global'!AF18</f>
        <v>0.5</v>
      </c>
      <c r="V7" s="96">
        <f>'Stats Global'!AG18</f>
        <v>0</v>
      </c>
      <c r="W7" s="96">
        <f>'Stats Global'!AH18</f>
        <v>0</v>
      </c>
      <c r="X7" s="96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207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202</v>
      </c>
      <c r="P8" s="96">
        <f>'Stats Global'!AA23</f>
        <v>1</v>
      </c>
      <c r="Q8" s="96">
        <f>'Stats Global'!AB23</f>
        <v>8.3333333333333329E-2</v>
      </c>
      <c r="R8" s="96">
        <f>'Stats Global'!AC23</f>
        <v>0</v>
      </c>
      <c r="S8" s="96">
        <f>'Stats Global'!AD23</f>
        <v>0</v>
      </c>
      <c r="T8" s="96">
        <f>'Stats Global'!AE23</f>
        <v>1</v>
      </c>
      <c r="U8" s="96">
        <f>'Stats Global'!AF23</f>
        <v>8.3333333333333329E-2</v>
      </c>
      <c r="V8" s="96">
        <f>'Stats Global'!AG23</f>
        <v>0</v>
      </c>
      <c r="W8" s="96">
        <f>'Stats Global'!AH23</f>
        <v>0</v>
      </c>
      <c r="X8" s="96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207</v>
      </c>
      <c r="F9" s="80" t="s">
        <v>207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6">
        <f>'Stats Global'!AA15</f>
        <v>8</v>
      </c>
      <c r="Q9" s="116">
        <f>'Stats Global'!AB15</f>
        <v>1.3333333333333333</v>
      </c>
      <c r="R9" s="116">
        <f>'Stats Global'!AC15</f>
        <v>0</v>
      </c>
      <c r="S9" s="116">
        <f>'Stats Global'!AD15</f>
        <v>0</v>
      </c>
      <c r="T9" s="116">
        <f>'Stats Global'!AE15</f>
        <v>0</v>
      </c>
      <c r="U9" s="116">
        <f>'Stats Global'!AF15</f>
        <v>0</v>
      </c>
      <c r="V9" s="116">
        <f>'Stats Global'!AG15</f>
        <v>4</v>
      </c>
      <c r="W9" s="116">
        <f>'Stats Global'!AH15</f>
        <v>0.66666666666666663</v>
      </c>
      <c r="X9" s="116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237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6">
        <f>'Stats Global'!AA24</f>
        <v>4</v>
      </c>
      <c r="Q10" s="116">
        <f>'Stats Global'!AB24</f>
        <v>0.5714285714285714</v>
      </c>
      <c r="R10" s="116">
        <f>'Stats Global'!AC24</f>
        <v>4</v>
      </c>
      <c r="S10" s="116">
        <f>'Stats Global'!AD24</f>
        <v>0.5714285714285714</v>
      </c>
      <c r="T10" s="116">
        <f>'Stats Global'!AE24</f>
        <v>0</v>
      </c>
      <c r="U10" s="116">
        <f>'Stats Global'!AF24</f>
        <v>0</v>
      </c>
      <c r="V10" s="116">
        <f>'Stats Global'!AG24</f>
        <v>0</v>
      </c>
      <c r="W10" s="116">
        <f>'Stats Global'!AH24</f>
        <v>0</v>
      </c>
      <c r="X10" s="116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207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243</v>
      </c>
      <c r="F12" s="80" t="s">
        <v>202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257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5" t="s">
        <v>266</v>
      </c>
      <c r="F17" s="155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Global'!I19</f>
        <v>1</v>
      </c>
      <c r="C18" s="83">
        <f>'Stats Global'!J19+'Stats Global'!K19</f>
        <v>9</v>
      </c>
      <c r="D18" s="83">
        <f>'Stats Global'!P19</f>
        <v>2</v>
      </c>
      <c r="E18" s="157" t="s">
        <v>207</v>
      </c>
      <c r="F18" s="157" t="s">
        <v>35</v>
      </c>
      <c r="J18" s="84"/>
      <c r="L18" s="85">
        <f>'Stats Global'!N19</f>
        <v>0</v>
      </c>
      <c r="M18" s="85">
        <f>'Stats Global'!K19</f>
        <v>9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7"/>
      <c r="F19" s="87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8"/>
      <c r="F20" s="88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89"/>
      <c r="F23" s="80"/>
      <c r="H23" s="90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89"/>
      <c r="F24" s="80"/>
      <c r="H24" s="90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89"/>
      <c r="F25" s="80"/>
      <c r="H25" s="90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19">
        <f>SUM(B7:B40)/SUM(B7:C40)</f>
        <v>0.36036036036036034</v>
      </c>
      <c r="J41" s="84"/>
      <c r="K41" s="76" t="s">
        <v>94</v>
      </c>
      <c r="L41" s="100">
        <f>SUM(L7:L40)</f>
        <v>22</v>
      </c>
      <c r="M41" s="100">
        <f>SUM(M7:M40)</f>
        <v>33</v>
      </c>
      <c r="N41" s="84"/>
      <c r="O41" s="84"/>
      <c r="P41" s="56"/>
    </row>
    <row r="42" spans="1:16" ht="14.25" customHeight="1" x14ac:dyDescent="0.45">
      <c r="L42" s="91">
        <f>L41/(M41+L41)</f>
        <v>0.4</v>
      </c>
      <c r="P42" s="56"/>
    </row>
    <row r="43" spans="1:16" ht="14.25" customHeight="1" x14ac:dyDescent="0.45">
      <c r="J43" s="92" t="str">
        <f>L43&amp;H3&amp;","&amp;I3&amp;","&amp;J3&amp;"],"</f>
        <v>"PartA":[40,71,20],</v>
      </c>
      <c r="K43" s="81"/>
      <c r="L43" s="76" t="s">
        <v>135</v>
      </c>
      <c r="N43" s="76" t="s">
        <v>139</v>
      </c>
      <c r="P43" s="93">
        <f>ROUND(SUM('Stats Global'!AA11,'Stats Global'!AA12,'Stats Global'!AA20,'Stats Global'!AA15,'Stats Global'!AA19,'Stats Global'!AA18,'Stats Global'!AA23)/'Stats Global'!AA6,1)</f>
        <v>3.5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4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3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"PartC":[3.5,1.6,1.1,0.4,3.3,5.9],</v>
      </c>
      <c r="L45" s="76" t="s">
        <v>137</v>
      </c>
      <c r="N45" s="94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3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"PartD":[18,38,32.1,22,33,40],</v>
      </c>
      <c r="L46" s="76" t="s">
        <v>138</v>
      </c>
      <c r="N46" s="94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3">
        <f>ROUND(SUM('Stats Global'!AG11,'Stats Global'!AG12,'Stats Global'!AG20,'Stats Global'!AG15,'Stats Global'!AG19,'Stats Global'!AG18,'Stats Global'!AG23)/'Stats Global'!AA6,1)</f>
        <v>0.4</v>
      </c>
    </row>
    <row r="47" spans="1:16" ht="14.25" customHeight="1" x14ac:dyDescent="0.45">
      <c r="N47" s="94">
        <f>MAX(Table1113[Threes])</f>
        <v>4</v>
      </c>
      <c r="O47" s="101" t="str">
        <f>IF(N47&lt;&gt;0,IF(N47=V4,O4,IF(N47=V5,O5,IF(V6=N47,O6,IF(V7=N47,O7,IF(V8=N47,O8,IF(V9=N47,O9,O10)))))),"N/A")</f>
        <v>Clarrie Jones</v>
      </c>
      <c r="P47" s="76">
        <f>ROUND(H3/'Stats Global'!AA6,1)</f>
        <v>3.3</v>
      </c>
    </row>
    <row r="48" spans="1:16" ht="14.25" customHeight="1" x14ac:dyDescent="0.45">
      <c r="P48" s="76">
        <f>ROUND(I3/'Stats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8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69</v>
      </c>
      <c r="I3" s="81">
        <f>SUM(C7:C40)</f>
        <v>56</v>
      </c>
      <c r="J3" s="78">
        <f>SUM(D7:D40)</f>
        <v>26</v>
      </c>
      <c r="K3" s="78"/>
      <c r="L3" s="101" t="s">
        <v>192</v>
      </c>
      <c r="U3" s="56"/>
      <c r="V3" s="78"/>
      <c r="W3" s="78"/>
      <c r="X3" s="78"/>
    </row>
    <row r="4" spans="1:24" ht="14.25" customHeight="1" x14ac:dyDescent="0.45">
      <c r="A4" s="122" t="str">
        <f>'Stats Global'!B5</f>
        <v>11-July</v>
      </c>
      <c r="B4" s="123">
        <f>'Stats Global'!L5</f>
        <v>12</v>
      </c>
      <c r="C4" s="123">
        <f>'Stats Global'!M5+'Stats Global'!N5</f>
        <v>3</v>
      </c>
      <c r="D4" s="123">
        <f>'Stats Global'!Q5</f>
        <v>3</v>
      </c>
      <c r="E4" s="124" t="s">
        <v>30</v>
      </c>
      <c r="F4" s="124" t="s">
        <v>50</v>
      </c>
      <c r="K4" s="84"/>
      <c r="L4" s="102" t="s">
        <v>4</v>
      </c>
      <c r="M4" s="103" t="s">
        <v>0</v>
      </c>
      <c r="N4" s="103" t="s">
        <v>85</v>
      </c>
      <c r="O4" s="104" t="s">
        <v>1</v>
      </c>
      <c r="P4" s="105" t="s">
        <v>80</v>
      </c>
      <c r="Q4" s="105" t="s">
        <v>2</v>
      </c>
      <c r="R4" s="105" t="s">
        <v>117</v>
      </c>
      <c r="S4" s="104" t="s">
        <v>3</v>
      </c>
      <c r="T4" s="105" t="s">
        <v>118</v>
      </c>
      <c r="U4" s="105" t="s">
        <v>120</v>
      </c>
      <c r="V4" s="84"/>
      <c r="W4" s="84"/>
      <c r="X4" s="84"/>
    </row>
    <row r="5" spans="1:24" ht="14.25" customHeight="1" x14ac:dyDescent="0.45">
      <c r="A5" s="122" t="str">
        <f>'Stats Global'!B6</f>
        <v>12-July</v>
      </c>
      <c r="B5" s="123">
        <f>'Stats Global'!L6</f>
        <v>15</v>
      </c>
      <c r="C5" s="123">
        <f>'Stats Global'!M6+'Stats Global'!N6</f>
        <v>6</v>
      </c>
      <c r="D5" s="123">
        <f>'Stats Global'!Q6</f>
        <v>3</v>
      </c>
      <c r="E5" s="124" t="s">
        <v>30</v>
      </c>
      <c r="F5" s="124" t="s">
        <v>50</v>
      </c>
      <c r="K5" s="84"/>
      <c r="L5" s="84" t="s">
        <v>50</v>
      </c>
      <c r="M5" s="96">
        <f>'Stats Global'!AA17</f>
        <v>43</v>
      </c>
      <c r="N5" s="96">
        <f>'Stats Global'!AB17</f>
        <v>3.5833333333333335</v>
      </c>
      <c r="O5" s="96">
        <f>'Stats Global'!AC17</f>
        <v>7</v>
      </c>
      <c r="P5" s="96">
        <f>'Stats Global'!AD17</f>
        <v>0.58333333333333337</v>
      </c>
      <c r="Q5" s="96">
        <f>'Stats Global'!AE17</f>
        <v>26</v>
      </c>
      <c r="R5" s="96">
        <f>'Stats Global'!AF17</f>
        <v>2.1666666666666665</v>
      </c>
      <c r="S5" s="96">
        <f>'Stats Global'!AG17</f>
        <v>5</v>
      </c>
      <c r="T5" s="96">
        <f>'Stats Global'!AH17</f>
        <v>0.41666666666666669</v>
      </c>
      <c r="U5" s="96">
        <f>'Stats Global'!AJ17</f>
        <v>0</v>
      </c>
      <c r="V5" s="84"/>
      <c r="W5" s="84"/>
      <c r="X5" s="84"/>
    </row>
    <row r="6" spans="1:24" ht="14.25" customHeight="1" x14ac:dyDescent="0.45">
      <c r="A6" s="122" t="str">
        <f>'Stats Global'!B7</f>
        <v>13-July</v>
      </c>
      <c r="B6" s="123">
        <f>'Stats Global'!L7</f>
        <v>1</v>
      </c>
      <c r="C6" s="123">
        <f>'Stats Global'!M7+'Stats Global'!N7</f>
        <v>6</v>
      </c>
      <c r="D6" s="123">
        <f>'Stats Global'!Q7</f>
        <v>1</v>
      </c>
      <c r="E6" s="124" t="s">
        <v>207</v>
      </c>
      <c r="F6" s="124" t="s">
        <v>55</v>
      </c>
      <c r="H6" s="81"/>
      <c r="I6" s="95"/>
      <c r="K6" s="84"/>
      <c r="L6" s="84" t="s">
        <v>30</v>
      </c>
      <c r="M6" s="96">
        <f>'Stats Global'!AA10</f>
        <v>19</v>
      </c>
      <c r="N6" s="96">
        <f>'Stats Global'!AB10</f>
        <v>3.1666666666666665</v>
      </c>
      <c r="O6" s="96">
        <f>'Stats Global'!AC10</f>
        <v>17</v>
      </c>
      <c r="P6" s="96">
        <f>'Stats Global'!AD10</f>
        <v>2.8333333333333335</v>
      </c>
      <c r="Q6" s="96">
        <f>'Stats Global'!AE10</f>
        <v>0</v>
      </c>
      <c r="R6" s="96">
        <f>'Stats Global'!AF10</f>
        <v>0</v>
      </c>
      <c r="S6" s="96">
        <f>'Stats Global'!AG10</f>
        <v>1</v>
      </c>
      <c r="T6" s="96">
        <f>'Stats Global'!AH10</f>
        <v>0.16666666666666666</v>
      </c>
      <c r="U6" s="96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207</v>
      </c>
      <c r="H7" s="81"/>
      <c r="I7" s="95"/>
      <c r="K7" s="84"/>
      <c r="L7" s="84" t="s">
        <v>42</v>
      </c>
      <c r="M7" s="96">
        <f>'Stats Global'!AA13</f>
        <v>5</v>
      </c>
      <c r="N7" s="96">
        <f>'Stats Global'!AB13</f>
        <v>0.5</v>
      </c>
      <c r="O7" s="96">
        <f>'Stats Global'!AC13</f>
        <v>4</v>
      </c>
      <c r="P7" s="96">
        <f>'Stats Global'!AD13</f>
        <v>0.4</v>
      </c>
      <c r="Q7" s="96">
        <f>'Stats Global'!AE13</f>
        <v>1</v>
      </c>
      <c r="R7" s="96">
        <f>'Stats Global'!AF13</f>
        <v>0.1</v>
      </c>
      <c r="S7" s="96">
        <f>'Stats Global'!AG13</f>
        <v>0</v>
      </c>
      <c r="T7" s="96">
        <f>'Stats Global'!AH13</f>
        <v>0</v>
      </c>
      <c r="U7" s="96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207</v>
      </c>
      <c r="F8" s="80" t="s">
        <v>50</v>
      </c>
      <c r="H8" s="81"/>
      <c r="I8" s="95"/>
      <c r="K8" s="84"/>
      <c r="L8" s="84" t="s">
        <v>115</v>
      </c>
      <c r="M8" s="96">
        <f>'Stats Global'!AA14</f>
        <v>6</v>
      </c>
      <c r="N8" s="96">
        <f>'Stats Global'!AB14</f>
        <v>0.5</v>
      </c>
      <c r="O8" s="96">
        <f>'Stats Global'!AC14</f>
        <v>4</v>
      </c>
      <c r="P8" s="96">
        <f>'Stats Global'!AD14</f>
        <v>0.33333333333333331</v>
      </c>
      <c r="Q8" s="96">
        <f>'Stats Global'!AE14</f>
        <v>2</v>
      </c>
      <c r="R8" s="96">
        <f>'Stats Global'!AF14</f>
        <v>0.16666666666666666</v>
      </c>
      <c r="S8" s="96">
        <f>'Stats Global'!AG14</f>
        <v>0</v>
      </c>
      <c r="T8" s="96">
        <f>'Stats Global'!AH14</f>
        <v>0</v>
      </c>
      <c r="U8" s="96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207</v>
      </c>
      <c r="F9" s="80" t="s">
        <v>207</v>
      </c>
      <c r="H9" s="81"/>
      <c r="I9" s="95"/>
      <c r="K9" s="84"/>
      <c r="L9" s="84" t="s">
        <v>200</v>
      </c>
      <c r="M9" s="96">
        <f>'Stats Global'!AA19</f>
        <v>1</v>
      </c>
      <c r="N9" s="96">
        <f>'Stats Global'!AB19</f>
        <v>0.16666666666666666</v>
      </c>
      <c r="O9" s="96">
        <f>'Stats Global'!AC19</f>
        <v>0</v>
      </c>
      <c r="P9" s="96">
        <f>'Stats Global'!AD19</f>
        <v>0</v>
      </c>
      <c r="Q9" s="96">
        <f>'Stats Global'!AE19</f>
        <v>1</v>
      </c>
      <c r="R9" s="96">
        <f>'Stats Global'!AF19</f>
        <v>0.16666666666666666</v>
      </c>
      <c r="S9" s="96">
        <f>'Stats Global'!AG19</f>
        <v>0</v>
      </c>
      <c r="T9" s="96">
        <f>'Stats Global'!AH19</f>
        <v>0</v>
      </c>
      <c r="U9" s="96">
        <f>'Stats Global'!AJ19</f>
        <v>6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5"/>
      <c r="K10" s="56"/>
      <c r="L10" s="146"/>
      <c r="M10" s="146"/>
      <c r="N10" s="146"/>
      <c r="O10" s="146"/>
      <c r="Q10" s="146"/>
      <c r="R10" s="146"/>
      <c r="S10" s="146"/>
      <c r="T10" s="146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5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5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253</v>
      </c>
      <c r="F13" s="80" t="s">
        <v>30</v>
      </c>
      <c r="H13" s="81"/>
      <c r="I13" s="95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258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5" t="s">
        <v>207</v>
      </c>
      <c r="F17" s="155" t="s">
        <v>207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Global'!L19</f>
        <v>17</v>
      </c>
      <c r="C18" s="83">
        <f>'Stats Global'!M19+'Stats Global'!N19</f>
        <v>1</v>
      </c>
      <c r="D18" s="83">
        <f>'Stats Global'!Q19</f>
        <v>3</v>
      </c>
      <c r="E18" s="157" t="s">
        <v>50</v>
      </c>
      <c r="F18" s="157" t="s">
        <v>50</v>
      </c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7"/>
      <c r="F19" s="87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8"/>
      <c r="F20" s="88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89"/>
      <c r="F23" s="80"/>
      <c r="G23" s="90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89"/>
      <c r="F24" s="80"/>
      <c r="G24" s="90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89"/>
      <c r="F25" s="80"/>
      <c r="G25" s="90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1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2" t="str">
        <f>M32&amp;H3&amp;","&amp;I3&amp;","&amp;J3&amp;"],"</f>
        <v>"PartA":[69,56,26],</v>
      </c>
      <c r="L32" s="81"/>
      <c r="M32" s="76" t="s">
        <v>135</v>
      </c>
      <c r="O32" s="76" t="s">
        <v>139</v>
      </c>
      <c r="Q32" s="93">
        <f>ROUND(SUM('Stats Global'!AA10,'Stats Global'!AA14,'Stats Global'!AA17,'Stats Global'!AA13,'Stats Global'!AA24)/'Stats Global'!AA6,1)</f>
        <v>6.4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"PartB":[43,"Samuel McConaghy",17,"Alexander Galt",26,"Samuel McConaghy",5,"Samuel McConaghy"],</v>
      </c>
      <c r="M33" s="76" t="s">
        <v>136</v>
      </c>
      <c r="O33" s="94">
        <f>MAX(Table11[Points])</f>
        <v>43</v>
      </c>
      <c r="P33" s="76" t="str">
        <f>IF(O33&lt;&gt;0,IF(O33=M5,L5,IF(O33=M6,L6,IF(M7=O33,L7,IF(M8=O33,L8,L9)))),"N/A")</f>
        <v>Samuel McConaghy</v>
      </c>
      <c r="Q33" s="93">
        <f>ROUND(SUM('Stats Global'!AC10,'Stats Global'!AC14,'Stats Global'!AC17,'Stats Global'!AC13,'Stats Global'!AC24)/'Stats Global'!AA6,1)</f>
        <v>3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"PartC":[6.4,3,2.4,0.5,5.8,4.7],</v>
      </c>
      <c r="M34" s="76" t="s">
        <v>137</v>
      </c>
      <c r="O34" s="94">
        <f>MAX(Table11[Finishes])</f>
        <v>17</v>
      </c>
      <c r="P34" s="76" t="str">
        <f>IF(O34&lt;&gt;0,IF(O34=O5,L5,IF(O34=O6,L6,IF(O7=O34,L7,IF(O8=O34,L8,L9)))),"N/A")</f>
        <v>Alexander Galt</v>
      </c>
      <c r="Q34" s="93">
        <f>ROUND(SUM('Stats Global'!AE10,'Stats Global'!AE14,'Stats Global'!AE17,'Stats Global'!AE13,'Stats Global'!AE24)/'Stats Global'!AA6,1)</f>
        <v>2.4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"PartD":[36,34,51.4,33,22,60],</v>
      </c>
      <c r="M35" s="76" t="s">
        <v>138</v>
      </c>
      <c r="O35" s="94">
        <f>MAX(Table11[Midranges])</f>
        <v>26</v>
      </c>
      <c r="P35" s="76" t="str">
        <f>IF(O35&lt;&gt;0,IF(O35=Q5,L5,IF(O35=Q6,L6,IF(Q7=O35,L7,IF(Q8=O35,L8,L9)))),"N/A")</f>
        <v>Samuel McConaghy</v>
      </c>
      <c r="Q35" s="93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4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5.8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ROUND(I3/'Stats Global'!AA6,1)</f>
        <v>4.7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19">
        <f>SUM(B7:B40)/SUM(B7:C40)</f>
        <v>0.55200000000000005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E1000"/>
  <sheetViews>
    <sheetView tabSelected="1" zoomScale="79" workbookViewId="0">
      <selection activeCell="V15" sqref="V1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26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Play",0,1,0,0,0],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Play",0,1,0,0,0],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SfW</vt:lpstr>
      <vt:lpstr>Stats Global</vt:lpstr>
      <vt:lpstr>Statistics LG</vt:lpstr>
      <vt:lpstr>Statistics WW</vt:lpstr>
      <vt:lpstr>Statistics 5M</vt:lpstr>
      <vt:lpstr>Template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2023-08-08T04:27:31Z</dcterms:modified>
</cp:coreProperties>
</file>