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49D98AA-31D4-4D19-8040-402E1C1B75A5}" xr6:coauthVersionLast="47" xr6:coauthVersionMax="47" xr10:uidLastSave="{00000000-0000-0000-0000-000000000000}"/>
  <bookViews>
    <workbookView xWindow="10515" yWindow="7748" windowWidth="12323" windowHeight="6990" activeTab="1" xr2:uid="{97F38C25-8AFB-41A5-8DBE-363B3D903D4E}"/>
    <workbookView xWindow="10853" yWindow="8085" windowWidth="12322" windowHeight="6990" firstSheet="2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6" l="1"/>
  <c r="Q34" i="6"/>
  <c r="Q33" i="6"/>
  <c r="Q32" i="6"/>
  <c r="P46" i="5"/>
  <c r="P45" i="5"/>
  <c r="P44" i="5"/>
  <c r="P43" i="5"/>
  <c r="O46" i="4"/>
  <c r="O45" i="4"/>
  <c r="O44" i="4"/>
  <c r="O47" i="4"/>
  <c r="O43" i="4"/>
  <c r="F5" i="3"/>
  <c r="G5" i="3"/>
  <c r="H5" i="3"/>
  <c r="P48" i="5"/>
  <c r="P47" i="5"/>
  <c r="Q37" i="6"/>
  <c r="Q36" i="6"/>
  <c r="N47" i="4"/>
  <c r="N46" i="4"/>
  <c r="N45" i="4"/>
  <c r="L45" i="8"/>
  <c r="I45" i="8"/>
  <c r="F45" i="8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B29" i="3"/>
  <c r="AC29" i="3"/>
  <c r="AD29" i="3"/>
  <c r="AA29" i="3"/>
  <c r="D45" i="8"/>
  <c r="V6" i="3"/>
  <c r="T6" i="3"/>
  <c r="C5" i="3"/>
  <c r="D5" i="3"/>
  <c r="U6" i="3" s="1"/>
  <c r="E5" i="3"/>
  <c r="I5" i="3"/>
  <c r="J5" i="3"/>
  <c r="K5" i="3"/>
  <c r="L5" i="3"/>
  <c r="M5" i="3"/>
  <c r="N5" i="3"/>
  <c r="P5" i="3"/>
  <c r="Q5" i="3"/>
  <c r="B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U9" i="6"/>
  <c r="U8" i="6"/>
  <c r="U7" i="6"/>
  <c r="U6" i="6"/>
  <c r="U5" i="6"/>
  <c r="X8" i="5"/>
  <c r="X7" i="5"/>
  <c r="X6" i="5"/>
  <c r="X5" i="5"/>
  <c r="V10" i="5"/>
  <c r="AA8" i="4"/>
  <c r="AA7" i="4"/>
  <c r="AA6" i="4"/>
  <c r="AA5" i="4"/>
  <c r="AA4" i="4"/>
  <c r="AG19" i="3"/>
  <c r="AE19" i="3"/>
  <c r="AC19" i="3"/>
  <c r="R10" i="5" s="1"/>
  <c r="AA19" i="3"/>
  <c r="T10" i="5" l="1"/>
  <c r="P10" i="5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9" i="3"/>
  <c r="AJ10" i="3"/>
  <c r="AJ11" i="3"/>
  <c r="X4" i="5" s="1"/>
  <c r="AJ12" i="3"/>
  <c r="AJ13" i="3"/>
  <c r="AJ14" i="3"/>
  <c r="AJ15" i="3"/>
  <c r="X9" i="5" s="1"/>
  <c r="AJ16" i="3"/>
  <c r="AJ17" i="3"/>
  <c r="AJ18" i="3"/>
  <c r="AJ19" i="3"/>
  <c r="X10" i="5" s="1"/>
  <c r="AJ20" i="3"/>
  <c r="AJ21" i="3"/>
  <c r="AJ22" i="3"/>
  <c r="AJ23" i="3"/>
  <c r="AJ24" i="3"/>
  <c r="AJ8" i="3"/>
  <c r="AE13" i="3"/>
  <c r="AE14" i="3"/>
  <c r="Q8" i="6" s="1"/>
  <c r="AC13" i="3"/>
  <c r="AA10" i="3"/>
  <c r="M6" i="6" s="1"/>
  <c r="AF40" i="3"/>
  <c r="AG40" i="3"/>
  <c r="AF41" i="3"/>
  <c r="AG41" i="3"/>
  <c r="AI41" i="3"/>
  <c r="AH42" i="3"/>
  <c r="AI42" i="3"/>
  <c r="AI43" i="3"/>
  <c r="AE44" i="3"/>
  <c r="AI44" i="3"/>
  <c r="AE24" i="3"/>
  <c r="Q9" i="6" s="1"/>
  <c r="AI45" i="3"/>
  <c r="S14" i="7"/>
  <c r="S34" i="7" s="1"/>
  <c r="T14" i="7"/>
  <c r="T34" i="7" s="1"/>
  <c r="U14" i="7"/>
  <c r="R14" i="7" s="1"/>
  <c r="R34" i="7" s="1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O5" i="4"/>
  <c r="P5" i="4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O41" i="4" s="1"/>
  <c r="M4" i="4"/>
  <c r="L4" i="4"/>
  <c r="L41" i="5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J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B45" i="7"/>
  <c r="O45" i="7"/>
  <c r="B24" i="2"/>
  <c r="S3" i="7"/>
  <c r="S23" i="7" s="1"/>
  <c r="T3" i="7"/>
  <c r="T23" i="7" s="1"/>
  <c r="U3" i="7"/>
  <c r="AH29" i="3" s="1"/>
  <c r="S4" i="7"/>
  <c r="AF30" i="3" s="1"/>
  <c r="T4" i="7"/>
  <c r="AG30" i="3" s="1"/>
  <c r="U4" i="7"/>
  <c r="R4" i="7" s="1"/>
  <c r="AE30" i="3" s="1"/>
  <c r="S5" i="7"/>
  <c r="AF31" i="3" s="1"/>
  <c r="T5" i="7"/>
  <c r="AE10" i="3" s="1"/>
  <c r="Q6" i="6" s="1"/>
  <c r="U5" i="7"/>
  <c r="R5" i="7" s="1"/>
  <c r="AE31" i="3" s="1"/>
  <c r="S6" i="7"/>
  <c r="AF32" i="3" s="1"/>
  <c r="T6" i="7"/>
  <c r="T26" i="7" s="1"/>
  <c r="U6" i="7"/>
  <c r="R6" i="7" s="1"/>
  <c r="S7" i="7"/>
  <c r="S27" i="7" s="1"/>
  <c r="T7" i="7"/>
  <c r="AE12" i="3" s="1"/>
  <c r="T5" i="5" s="1"/>
  <c r="U7" i="7"/>
  <c r="R7" i="7" s="1"/>
  <c r="AA12" i="3" s="1"/>
  <c r="P5" i="5" s="1"/>
  <c r="S8" i="7"/>
  <c r="AF34" i="3" s="1"/>
  <c r="T8" i="7"/>
  <c r="AG34" i="3" s="1"/>
  <c r="U8" i="7"/>
  <c r="R8" i="7" s="1"/>
  <c r="AA13" i="3" s="1"/>
  <c r="S9" i="7"/>
  <c r="AF35" i="3" s="1"/>
  <c r="T9" i="7"/>
  <c r="AG35" i="3" s="1"/>
  <c r="U9" i="7"/>
  <c r="R9" i="7" s="1"/>
  <c r="S10" i="7"/>
  <c r="S30" i="7" s="1"/>
  <c r="T10" i="7"/>
  <c r="AG36" i="3" s="1"/>
  <c r="U10" i="7"/>
  <c r="R10" i="7" s="1"/>
  <c r="S11" i="7"/>
  <c r="AF37" i="3" s="1"/>
  <c r="T11" i="7"/>
  <c r="AG37" i="3" s="1"/>
  <c r="U11" i="7"/>
  <c r="R11" i="7" s="1"/>
  <c r="AA16" i="3" s="1"/>
  <c r="S5" i="4" s="1"/>
  <c r="S12" i="7"/>
  <c r="AF38" i="3" s="1"/>
  <c r="T12" i="7"/>
  <c r="AE17" i="3" s="1"/>
  <c r="Q5" i="6" s="1"/>
  <c r="U12" i="7"/>
  <c r="R12" i="7" s="1"/>
  <c r="R32" i="7" s="1"/>
  <c r="S13" i="7"/>
  <c r="S33" i="7" s="1"/>
  <c r="T13" i="7"/>
  <c r="T33" i="7" s="1"/>
  <c r="U13" i="7"/>
  <c r="R13" i="7" s="1"/>
  <c r="R33" i="7" s="1"/>
  <c r="S15" i="7"/>
  <c r="T15" i="7"/>
  <c r="U15" i="7"/>
  <c r="R15" i="7" s="1"/>
  <c r="S16" i="7"/>
  <c r="T16" i="7"/>
  <c r="U16" i="7"/>
  <c r="R16" i="7" s="1"/>
  <c r="R36" i="7" s="1"/>
  <c r="S17" i="7"/>
  <c r="T17" i="7"/>
  <c r="U17" i="7"/>
  <c r="R17" i="7" s="1"/>
  <c r="S18" i="7"/>
  <c r="T18" i="7"/>
  <c r="T38" i="7" s="1"/>
  <c r="U18" i="7"/>
  <c r="R18" i="7" s="1"/>
  <c r="S19" i="7"/>
  <c r="S39" i="7" s="1"/>
  <c r="T19" i="7"/>
  <c r="U19" i="7"/>
  <c r="R19" i="7" s="1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Q10" i="5" s="1"/>
  <c r="AI30" i="3"/>
  <c r="AI31" i="3"/>
  <c r="AI33" i="3"/>
  <c r="AI34" i="3"/>
  <c r="AI35" i="3"/>
  <c r="AI37" i="3"/>
  <c r="AI38" i="3"/>
  <c r="AI39" i="3"/>
  <c r="AI29" i="3"/>
  <c r="AH31" i="3"/>
  <c r="AC8" i="3"/>
  <c r="U7" i="4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Z6" i="7"/>
  <c r="Y6" i="7"/>
  <c r="X6" i="7"/>
  <c r="Z5" i="7"/>
  <c r="Y5" i="7"/>
  <c r="X5" i="7"/>
  <c r="M45" i="7" s="1"/>
  <c r="U25" i="7"/>
  <c r="M5" i="7"/>
  <c r="Z4" i="7"/>
  <c r="Y4" i="7"/>
  <c r="N45" i="7" s="1"/>
  <c r="X4" i="7"/>
  <c r="M4" i="7"/>
  <c r="M3" i="7"/>
  <c r="S90" i="3"/>
  <c r="S86" i="3"/>
  <c r="S84" i="3"/>
  <c r="W10" i="5" l="1"/>
  <c r="S10" i="5"/>
  <c r="U10" i="5"/>
  <c r="T6" i="5"/>
  <c r="Q7" i="6"/>
  <c r="O35" i="6" s="1"/>
  <c r="P35" i="6" s="1"/>
  <c r="R6" i="5"/>
  <c r="O7" i="6"/>
  <c r="P6" i="5"/>
  <c r="M7" i="6"/>
  <c r="O5" i="8"/>
  <c r="P45" i="8" s="1"/>
  <c r="T45" i="8"/>
  <c r="AA20" i="3"/>
  <c r="AE41" i="3"/>
  <c r="AE45" i="3"/>
  <c r="AA24" i="3"/>
  <c r="M9" i="6" s="1"/>
  <c r="AF43" i="3"/>
  <c r="AC22" i="3"/>
  <c r="U4" i="4" s="1"/>
  <c r="M45" i="4" s="1"/>
  <c r="AE43" i="3"/>
  <c r="AA22" i="3"/>
  <c r="S4" i="4" s="1"/>
  <c r="AF44" i="3"/>
  <c r="AC23" i="3"/>
  <c r="R8" i="5" s="1"/>
  <c r="AG43" i="3"/>
  <c r="AE22" i="3"/>
  <c r="W4" i="4" s="1"/>
  <c r="AG42" i="3"/>
  <c r="AE21" i="3"/>
  <c r="W6" i="4" s="1"/>
  <c r="AF42" i="3"/>
  <c r="AC21" i="3"/>
  <c r="U6" i="4" s="1"/>
  <c r="AA9" i="3"/>
  <c r="S8" i="4" s="1"/>
  <c r="AC11" i="3"/>
  <c r="R4" i="5" s="1"/>
  <c r="AE20" i="3"/>
  <c r="AG21" i="3"/>
  <c r="Y6" i="4" s="1"/>
  <c r="AC10" i="3"/>
  <c r="O6" i="6" s="1"/>
  <c r="AC20" i="3"/>
  <c r="AA23" i="3"/>
  <c r="P8" i="5" s="1"/>
  <c r="AC17" i="3"/>
  <c r="O5" i="6" s="1"/>
  <c r="AC9" i="3"/>
  <c r="U8" i="4" s="1"/>
  <c r="I45" i="7"/>
  <c r="G45" i="7"/>
  <c r="AC16" i="3"/>
  <c r="U5" i="4" s="1"/>
  <c r="AE9" i="3"/>
  <c r="W8" i="4" s="1"/>
  <c r="AG10" i="3"/>
  <c r="S6" i="6" s="1"/>
  <c r="L45" i="7"/>
  <c r="H45" i="7"/>
  <c r="AG45" i="3"/>
  <c r="AE16" i="3"/>
  <c r="W5" i="4" s="1"/>
  <c r="AG8" i="3"/>
  <c r="Y7" i="4" s="1"/>
  <c r="K45" i="7"/>
  <c r="AC14" i="3"/>
  <c r="O8" i="6" s="1"/>
  <c r="AE15" i="3"/>
  <c r="T9" i="5" s="1"/>
  <c r="J3" i="4"/>
  <c r="T41" i="3" s="1"/>
  <c r="I4" i="5"/>
  <c r="P41" i="4"/>
  <c r="M41" i="5"/>
  <c r="L41" i="4"/>
  <c r="M41" i="4"/>
  <c r="J4" i="6"/>
  <c r="U37" i="7"/>
  <c r="U35" i="7"/>
  <c r="U34" i="7"/>
  <c r="U33" i="7"/>
  <c r="T37" i="7"/>
  <c r="T35" i="7"/>
  <c r="S37" i="7"/>
  <c r="S35" i="7"/>
  <c r="R37" i="7"/>
  <c r="R35" i="7"/>
  <c r="U38" i="7"/>
  <c r="U36" i="7"/>
  <c r="U32" i="7"/>
  <c r="T36" i="7"/>
  <c r="T32" i="7"/>
  <c r="S38" i="7"/>
  <c r="S36" i="7"/>
  <c r="S32" i="7"/>
  <c r="R38" i="7"/>
  <c r="T25" i="7"/>
  <c r="U27" i="7"/>
  <c r="S25" i="7"/>
  <c r="AG12" i="3"/>
  <c r="V5" i="5" s="1"/>
  <c r="B42" i="2"/>
  <c r="B37" i="2"/>
  <c r="B38" i="2"/>
  <c r="B36" i="2"/>
  <c r="B40" i="2"/>
  <c r="I3" i="4"/>
  <c r="O48" i="4" s="1"/>
  <c r="H4" i="5"/>
  <c r="I4" i="6"/>
  <c r="H3" i="4"/>
  <c r="J4" i="5"/>
  <c r="T42" i="3" s="1"/>
  <c r="H4" i="6"/>
  <c r="F45" i="7"/>
  <c r="S28" i="7"/>
  <c r="AG16" i="3"/>
  <c r="Y5" i="4" s="1"/>
  <c r="T29" i="7"/>
  <c r="U29" i="7"/>
  <c r="S29" i="7"/>
  <c r="S24" i="7"/>
  <c r="T46" i="7" s="1"/>
  <c r="T27" i="7"/>
  <c r="U31" i="7"/>
  <c r="U24" i="7"/>
  <c r="T39" i="7"/>
  <c r="R3" i="7"/>
  <c r="AA8" i="3" s="1"/>
  <c r="S7" i="4" s="1"/>
  <c r="T31" i="7"/>
  <c r="AG13" i="3"/>
  <c r="S26" i="7"/>
  <c r="U28" i="7"/>
  <c r="U39" i="7"/>
  <c r="AG18" i="3"/>
  <c r="V7" i="5" s="1"/>
  <c r="AF29" i="3"/>
  <c r="U23" i="7"/>
  <c r="T48" i="7" s="1"/>
  <c r="R39" i="7"/>
  <c r="R30" i="7"/>
  <c r="AA15" i="3"/>
  <c r="P9" i="5" s="1"/>
  <c r="AG33" i="3"/>
  <c r="AG38" i="3"/>
  <c r="R29" i="7"/>
  <c r="R26" i="7"/>
  <c r="AA11" i="3"/>
  <c r="P4" i="5" s="1"/>
  <c r="T24" i="7"/>
  <c r="T47" i="7" s="1"/>
  <c r="AE18" i="3"/>
  <c r="T7" i="5" s="1"/>
  <c r="T28" i="7"/>
  <c r="AG31" i="3"/>
  <c r="AE37" i="3"/>
  <c r="AE33" i="3"/>
  <c r="AE34" i="3"/>
  <c r="B43" i="2"/>
  <c r="B25" i="2"/>
  <c r="B41" i="2"/>
  <c r="B39" i="2"/>
  <c r="B35" i="2"/>
  <c r="B34" i="2"/>
  <c r="R25" i="7"/>
  <c r="R28" i="7"/>
  <c r="U26" i="7"/>
  <c r="R24" i="7"/>
  <c r="R31" i="7"/>
  <c r="R27" i="7"/>
  <c r="V6" i="5" l="1"/>
  <c r="S7" i="6"/>
  <c r="M47" i="4"/>
  <c r="AG44" i="3"/>
  <c r="AE23" i="3"/>
  <c r="T8" i="5" s="1"/>
  <c r="AE35" i="3"/>
  <c r="AA14" i="3"/>
  <c r="M8" i="6" s="1"/>
  <c r="AG32" i="3"/>
  <c r="AE11" i="3"/>
  <c r="T4" i="5" s="1"/>
  <c r="AF33" i="3"/>
  <c r="AC12" i="3"/>
  <c r="R5" i="5" s="1"/>
  <c r="N45" i="5" s="1"/>
  <c r="O45" i="5" s="1"/>
  <c r="AH40" i="3"/>
  <c r="AG29" i="3"/>
  <c r="AE8" i="3"/>
  <c r="W7" i="4" s="1"/>
  <c r="M46" i="4" s="1"/>
  <c r="AH41" i="3"/>
  <c r="AG20" i="3"/>
  <c r="AH32" i="3"/>
  <c r="AG11" i="3"/>
  <c r="V4" i="5" s="1"/>
  <c r="AG24" i="3"/>
  <c r="S9" i="6" s="1"/>
  <c r="AH45" i="3"/>
  <c r="AE38" i="3"/>
  <c r="AA17" i="3"/>
  <c r="M5" i="6" s="1"/>
  <c r="O33" i="6" s="1"/>
  <c r="P33" i="6" s="1"/>
  <c r="AH38" i="3"/>
  <c r="AG17" i="3"/>
  <c r="S5" i="6" s="1"/>
  <c r="AF36" i="3"/>
  <c r="AC15" i="3"/>
  <c r="R9" i="5" s="1"/>
  <c r="AE40" i="3"/>
  <c r="AH36" i="3"/>
  <c r="AG15" i="3"/>
  <c r="V9" i="5" s="1"/>
  <c r="AH35" i="3"/>
  <c r="AG14" i="3"/>
  <c r="S8" i="6" s="1"/>
  <c r="AH44" i="3"/>
  <c r="AG23" i="3"/>
  <c r="V8" i="5" s="1"/>
  <c r="AH43" i="3"/>
  <c r="AG22" i="3"/>
  <c r="Y4" i="4" s="1"/>
  <c r="AE42" i="3"/>
  <c r="AA21" i="3"/>
  <c r="S6" i="4" s="1"/>
  <c r="M44" i="4" s="1"/>
  <c r="N44" i="4" s="1"/>
  <c r="AF45" i="3"/>
  <c r="AC24" i="3"/>
  <c r="O9" i="6" s="1"/>
  <c r="O34" i="6" s="1"/>
  <c r="P34" i="6" s="1"/>
  <c r="AE39" i="3"/>
  <c r="AA18" i="3"/>
  <c r="P7" i="5" s="1"/>
  <c r="N44" i="5" s="1"/>
  <c r="AH30" i="3"/>
  <c r="AG9" i="3"/>
  <c r="Y8" i="4" s="1"/>
  <c r="AF39" i="3"/>
  <c r="AC18" i="3"/>
  <c r="R7" i="5" s="1"/>
  <c r="AH33" i="3"/>
  <c r="AH34" i="3"/>
  <c r="AE29" i="3"/>
  <c r="AH37" i="3"/>
  <c r="R23" i="7"/>
  <c r="T45" i="7" s="1"/>
  <c r="AH39" i="3"/>
  <c r="AE32" i="3"/>
  <c r="AG39" i="3"/>
  <c r="AE36" i="3"/>
  <c r="N47" i="5" l="1"/>
  <c r="O47" i="5" s="1"/>
  <c r="N46" i="5"/>
  <c r="O46" i="5" s="1"/>
  <c r="O36" i="6"/>
  <c r="P36" i="6" s="1"/>
  <c r="O44" i="5"/>
  <c r="S82" i="3"/>
  <c r="S81" i="3"/>
  <c r="S80" i="3"/>
  <c r="S79" i="3"/>
  <c r="J44" i="5" l="1"/>
  <c r="G3" i="2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V77" i="3" l="1"/>
  <c r="O42" i="4"/>
  <c r="V53" i="3" s="1"/>
  <c r="T55" i="3" s="1"/>
  <c r="E7" i="2"/>
  <c r="K16" i="2"/>
  <c r="G10" i="2"/>
  <c r="K32" i="6"/>
  <c r="J43" i="5"/>
  <c r="E8" i="2"/>
  <c r="E15" i="2"/>
  <c r="E3" i="2"/>
  <c r="E4" i="2"/>
  <c r="S4" i="5"/>
  <c r="V7" i="4"/>
  <c r="V4" i="4"/>
  <c r="P6" i="6"/>
  <c r="W4" i="5"/>
  <c r="S5" i="5"/>
  <c r="P8" i="6"/>
  <c r="E14" i="2"/>
  <c r="V8" i="4"/>
  <c r="U77" i="3"/>
  <c r="T76" i="3"/>
  <c r="J14" i="2"/>
  <c r="P9" i="6"/>
  <c r="V7" i="3"/>
  <c r="T43" i="3"/>
  <c r="T7" i="3"/>
  <c r="L42" i="5"/>
  <c r="V54" i="3" s="1"/>
  <c r="U55" i="3" s="1"/>
  <c r="H15" i="2" l="1"/>
  <c r="X6" i="4"/>
  <c r="J16" i="2"/>
  <c r="Z4" i="4"/>
  <c r="H11" i="2"/>
  <c r="X5" i="4"/>
  <c r="H18" i="2"/>
  <c r="H64" i="2" s="1"/>
  <c r="R9" i="6"/>
  <c r="H7" i="2"/>
  <c r="U5" i="5"/>
  <c r="S6" i="5"/>
  <c r="P7" i="6"/>
  <c r="H10" i="2"/>
  <c r="H56" i="2" s="1"/>
  <c r="U9" i="5"/>
  <c r="H5" i="2"/>
  <c r="H51" i="2" s="1"/>
  <c r="R6" i="6"/>
  <c r="H13" i="2"/>
  <c r="H59" i="2" s="1"/>
  <c r="U7" i="5"/>
  <c r="J5" i="2"/>
  <c r="T6" i="6"/>
  <c r="H6" i="2"/>
  <c r="H52" i="2" s="1"/>
  <c r="U4" i="5"/>
  <c r="J10" i="2"/>
  <c r="J56" i="2" s="1"/>
  <c r="W9" i="5"/>
  <c r="H9" i="2"/>
  <c r="R8" i="6"/>
  <c r="J17" i="2"/>
  <c r="W8" i="5"/>
  <c r="J13" i="2"/>
  <c r="J59" i="2" s="1"/>
  <c r="W7" i="5"/>
  <c r="H16" i="2"/>
  <c r="H62" i="2" s="1"/>
  <c r="X4" i="4"/>
  <c r="T7" i="6"/>
  <c r="W6" i="5"/>
  <c r="J11" i="2"/>
  <c r="Z5" i="4"/>
  <c r="J9" i="2"/>
  <c r="T8" i="6"/>
  <c r="H17" i="2"/>
  <c r="H63" i="2" s="1"/>
  <c r="U8" i="5"/>
  <c r="H4" i="2"/>
  <c r="X8" i="4"/>
  <c r="H12" i="2"/>
  <c r="R5" i="6"/>
  <c r="J3" i="2"/>
  <c r="J49" i="2" s="1"/>
  <c r="Z7" i="4"/>
  <c r="H3" i="2"/>
  <c r="H49" i="2" s="1"/>
  <c r="X7" i="4"/>
  <c r="J6" i="2"/>
  <c r="J52" i="2" s="1"/>
  <c r="F3" i="2"/>
  <c r="F49" i="2" s="1"/>
  <c r="V6" i="4"/>
  <c r="G15" i="2"/>
  <c r="G61" i="2" s="1"/>
  <c r="F9" i="2"/>
  <c r="F55" i="2" s="1"/>
  <c r="F5" i="2"/>
  <c r="F51" i="2" s="1"/>
  <c r="F6" i="2"/>
  <c r="F52" i="2" s="1"/>
  <c r="K7" i="2"/>
  <c r="K53" i="2" s="1"/>
  <c r="G12" i="2"/>
  <c r="G58" i="2" s="1"/>
  <c r="S7" i="5"/>
  <c r="G13" i="2"/>
  <c r="G59" i="2" s="1"/>
  <c r="J8" i="2"/>
  <c r="J54" i="2" s="1"/>
  <c r="S8" i="5"/>
  <c r="G17" i="2"/>
  <c r="G63" i="2" s="1"/>
  <c r="F8" i="2"/>
  <c r="F54" i="2" s="1"/>
  <c r="F14" i="2"/>
  <c r="F60" i="2" s="1"/>
  <c r="I8" i="2"/>
  <c r="I54" i="2" s="1"/>
  <c r="K15" i="2"/>
  <c r="K61" i="2" s="1"/>
  <c r="F4" i="2"/>
  <c r="F50" i="2" s="1"/>
  <c r="H14" i="2"/>
  <c r="H60" i="2" s="1"/>
  <c r="I14" i="2"/>
  <c r="I60" i="2" s="1"/>
  <c r="V5" i="4"/>
  <c r="G11" i="2"/>
  <c r="G57" i="2" s="1"/>
  <c r="F18" i="2"/>
  <c r="F64" i="2" s="1"/>
  <c r="F7" i="2"/>
  <c r="F53" i="2" s="1"/>
  <c r="F16" i="2"/>
  <c r="F62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E16" i="2"/>
  <c r="I43" i="4"/>
  <c r="K35" i="6"/>
  <c r="L42" i="4"/>
  <c r="T54" i="3" s="1"/>
  <c r="W54" i="3" s="1"/>
  <c r="W55" i="3"/>
  <c r="E49" i="2"/>
  <c r="D14" i="2"/>
  <c r="K60" i="2"/>
  <c r="T9" i="6"/>
  <c r="T5" i="6"/>
  <c r="U46" i="3"/>
  <c r="U47" i="3"/>
  <c r="V47" i="3" s="1"/>
  <c r="U48" i="3"/>
  <c r="U7" i="3"/>
  <c r="K49" i="2"/>
  <c r="K52" i="2"/>
  <c r="K58" i="2"/>
  <c r="J62" i="2"/>
  <c r="K54" i="2"/>
  <c r="H57" i="2"/>
  <c r="I64" i="2"/>
  <c r="G64" i="2"/>
  <c r="K56" i="2"/>
  <c r="K62" i="2"/>
  <c r="J60" i="2"/>
  <c r="I57" i="2"/>
  <c r="I56" i="2"/>
  <c r="I50" i="2"/>
  <c r="H50" i="2"/>
  <c r="G50" i="2"/>
  <c r="I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J51" i="2"/>
  <c r="K51" i="2"/>
  <c r="G56" i="2"/>
  <c r="G55" i="2"/>
  <c r="I52" i="2"/>
  <c r="G51" i="2"/>
  <c r="J63" i="2"/>
  <c r="K63" i="2"/>
  <c r="J55" i="2"/>
  <c r="K55" i="2"/>
  <c r="K59" i="2"/>
  <c r="I49" i="2"/>
  <c r="I51" i="2"/>
  <c r="G54" i="2"/>
  <c r="I59" i="2"/>
  <c r="G60" i="2"/>
  <c r="J4" i="2" l="1"/>
  <c r="J50" i="2" s="1"/>
  <c r="Z8" i="4"/>
  <c r="J7" i="2"/>
  <c r="J53" i="2" s="1"/>
  <c r="W5" i="5"/>
  <c r="H8" i="2"/>
  <c r="U6" i="5"/>
  <c r="R7" i="6"/>
  <c r="D13" i="2"/>
  <c r="Q7" i="5"/>
  <c r="D17" i="2"/>
  <c r="Q8" i="5"/>
  <c r="D5" i="2"/>
  <c r="N6" i="6"/>
  <c r="D9" i="2"/>
  <c r="D55" i="2" s="1"/>
  <c r="N8" i="6"/>
  <c r="D15" i="2"/>
  <c r="T6" i="4"/>
  <c r="D7" i="2"/>
  <c r="Q5" i="5"/>
  <c r="D18" i="2"/>
  <c r="D64" i="2" s="1"/>
  <c r="N9" i="6"/>
  <c r="D12" i="2"/>
  <c r="N5" i="6"/>
  <c r="D4" i="2"/>
  <c r="T8" i="4"/>
  <c r="D8" i="2"/>
  <c r="N7" i="6"/>
  <c r="Q6" i="5"/>
  <c r="T4" i="4"/>
  <c r="J12" i="2"/>
  <c r="J58" i="2" s="1"/>
  <c r="J18" i="2"/>
  <c r="J64" i="2" s="1"/>
  <c r="J45" i="5"/>
  <c r="E6" i="2"/>
  <c r="E52" i="2" s="1"/>
  <c r="E10" i="2"/>
  <c r="E56" i="2" s="1"/>
  <c r="J15" i="2"/>
  <c r="J61" i="2" s="1"/>
  <c r="F11" i="2"/>
  <c r="F57" i="2" s="1"/>
  <c r="F10" i="2"/>
  <c r="F56" i="2" s="1"/>
  <c r="F17" i="2"/>
  <c r="F63" i="2" s="1"/>
  <c r="T5" i="4"/>
  <c r="E11" i="2"/>
  <c r="E57" i="2" s="1"/>
  <c r="F15" i="2"/>
  <c r="F61" i="2" s="1"/>
  <c r="F12" i="2"/>
  <c r="F58" i="2" s="1"/>
  <c r="F13" i="2"/>
  <c r="F59" i="2" s="1"/>
  <c r="K33" i="6"/>
  <c r="H54" i="2"/>
  <c r="I45" i="4"/>
  <c r="I46" i="4"/>
  <c r="U53" i="3"/>
  <c r="W53" i="3" s="1"/>
  <c r="J46" i="5"/>
  <c r="E53" i="2"/>
  <c r="E59" i="2"/>
  <c r="D59" i="2"/>
  <c r="E60" i="2"/>
  <c r="V48" i="3"/>
  <c r="W48" i="3"/>
  <c r="E62" i="2"/>
  <c r="V46" i="3"/>
  <c r="W46" i="3"/>
  <c r="W47" i="3"/>
  <c r="E54" i="2"/>
  <c r="B29" i="2"/>
  <c r="B31" i="2"/>
  <c r="B33" i="2"/>
  <c r="H55" i="2"/>
  <c r="E63" i="2"/>
  <c r="E51" i="2"/>
  <c r="E61" i="2"/>
  <c r="E55" i="2"/>
  <c r="E58" i="2"/>
  <c r="E50" i="2"/>
  <c r="K34" i="6" l="1"/>
  <c r="D3" i="2"/>
  <c r="D49" i="2" s="1"/>
  <c r="T7" i="4"/>
  <c r="D10" i="2"/>
  <c r="D56" i="2" s="1"/>
  <c r="Q9" i="5"/>
  <c r="D6" i="2"/>
  <c r="D52" i="2" s="1"/>
  <c r="Q4" i="5"/>
  <c r="D11" i="2"/>
  <c r="D57" i="2" s="1"/>
  <c r="D16" i="2"/>
  <c r="D62" i="2" s="1"/>
  <c r="B28" i="2"/>
  <c r="B32" i="2"/>
  <c r="I44" i="4"/>
  <c r="B30" i="2"/>
  <c r="B27" i="2"/>
  <c r="D63" i="2"/>
  <c r="D53" i="2"/>
  <c r="D50" i="2"/>
  <c r="D60" i="2"/>
  <c r="D51" i="2"/>
  <c r="D58" i="2"/>
  <c r="D61" i="2"/>
  <c r="D54" i="2"/>
  <c r="B26" i="2" l="1"/>
  <c r="L5" i="7"/>
  <c r="N5" i="7" s="1"/>
  <c r="L4" i="7"/>
  <c r="N4" i="7" s="1"/>
  <c r="L3" i="7"/>
  <c r="N3" i="7" l="1"/>
  <c r="C45" i="7"/>
  <c r="E45" i="7"/>
  <c r="O4" i="7"/>
  <c r="Q45" i="7" s="1"/>
  <c r="O5" i="7"/>
  <c r="P45" i="7" s="1"/>
  <c r="D45" i="7" l="1"/>
</calcChain>
</file>

<file path=xl/sharedStrings.xml><?xml version="1.0" encoding="utf-8"?>
<sst xmlns="http://schemas.openxmlformats.org/spreadsheetml/2006/main" count="780" uniqueCount="211">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</sst>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0" borderId="1"/>
    <xf numFmtId="9" fontId="13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15" fillId="0" borderId="0" xfId="0" applyFont="1"/>
    <xf numFmtId="0" fontId="14" fillId="0" borderId="1" xfId="0" applyFont="1" applyBorder="1"/>
    <xf numFmtId="2" fontId="14" fillId="0" borderId="0" xfId="0" applyNumberFormat="1" applyFont="1"/>
    <xf numFmtId="164" fontId="16" fillId="0" borderId="0" xfId="0" applyNumberFormat="1" applyFont="1"/>
    <xf numFmtId="0" fontId="15" fillId="0" borderId="0" xfId="0" applyFont="1" applyAlignment="1"/>
    <xf numFmtId="2" fontId="13" fillId="0" borderId="0" xfId="0" applyNumberFormat="1" applyFont="1"/>
    <xf numFmtId="1" fontId="13" fillId="0" borderId="0" xfId="0" applyNumberFormat="1" applyFont="1"/>
    <xf numFmtId="1" fontId="14" fillId="0" borderId="0" xfId="0" applyNumberFormat="1" applyFont="1"/>
    <xf numFmtId="10" fontId="14" fillId="0" borderId="0" xfId="0" applyNumberFormat="1" applyFont="1"/>
    <xf numFmtId="0" fontId="13" fillId="0" borderId="0" xfId="0" applyFont="1"/>
    <xf numFmtId="16" fontId="13" fillId="0" borderId="0" xfId="0" applyNumberFormat="1" applyFont="1" applyAlignment="1"/>
    <xf numFmtId="0" fontId="18" fillId="0" borderId="0" xfId="0" applyFont="1" applyAlignment="1"/>
    <xf numFmtId="0" fontId="2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8" fillId="0" borderId="3" xfId="0" applyFont="1" applyFill="1" applyBorder="1"/>
    <xf numFmtId="0" fontId="18" fillId="0" borderId="4" xfId="0" applyFont="1" applyFill="1" applyBorder="1"/>
    <xf numFmtId="0" fontId="18" fillId="0" borderId="4" xfId="0" applyFont="1" applyFill="1" applyBorder="1" applyAlignment="1"/>
    <xf numFmtId="0" fontId="19" fillId="0" borderId="4" xfId="0" applyFont="1" applyFill="1" applyBorder="1" applyAlignment="1"/>
    <xf numFmtId="0" fontId="15" fillId="0" borderId="5" xfId="0" applyFont="1" applyFill="1" applyBorder="1"/>
    <xf numFmtId="0" fontId="0" fillId="0" borderId="0" xfId="0"/>
    <xf numFmtId="0" fontId="24" fillId="0" borderId="0" xfId="0" applyFont="1"/>
    <xf numFmtId="9" fontId="0" fillId="0" borderId="0" xfId="2" applyFont="1" applyAlignment="1"/>
    <xf numFmtId="0" fontId="18" fillId="0" borderId="0" xfId="0" applyFont="1" applyFill="1"/>
    <xf numFmtId="0" fontId="18" fillId="0" borderId="0" xfId="0" applyFont="1" applyFill="1" applyAlignment="1"/>
    <xf numFmtId="0" fontId="19" fillId="0" borderId="0" xfId="0" applyFont="1" applyFill="1" applyAlignment="1"/>
    <xf numFmtId="1" fontId="0" fillId="0" borderId="0" xfId="0" quotePrefix="1" applyNumberFormat="1" applyFont="1" applyFill="1" applyAlignment="1"/>
    <xf numFmtId="2" fontId="14" fillId="0" borderId="0" xfId="0" applyNumberFormat="1" applyFont="1" applyFill="1"/>
    <xf numFmtId="1" fontId="13" fillId="0" borderId="0" xfId="0" applyNumberFormat="1" applyFont="1" applyFill="1" applyAlignment="1"/>
    <xf numFmtId="0" fontId="13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9" fillId="0" borderId="5" xfId="0" applyFont="1" applyFill="1" applyBorder="1" applyAlignment="1"/>
    <xf numFmtId="9" fontId="0" fillId="0" borderId="0" xfId="0" applyNumberFormat="1" applyFont="1" applyAlignment="1"/>
    <xf numFmtId="0" fontId="14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2" fillId="0" borderId="0" xfId="0" applyFont="1" applyAlignment="1"/>
    <xf numFmtId="165" fontId="24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0" fillId="0" borderId="0" xfId="0" applyFont="1" applyAlignment="1"/>
    <xf numFmtId="16" fontId="11" fillId="0" borderId="0" xfId="0" applyNumberFormat="1" applyFont="1" applyAlignment="1"/>
    <xf numFmtId="0" fontId="13" fillId="0" borderId="0" xfId="0" applyFont="1" applyFill="1" applyAlignment="1"/>
    <xf numFmtId="0" fontId="22" fillId="0" borderId="1" xfId="1" applyNumberFormat="1"/>
    <xf numFmtId="0" fontId="23" fillId="0" borderId="1" xfId="0" applyFont="1" applyBorder="1" applyAlignment="1">
      <alignment horizontal="center"/>
    </xf>
    <xf numFmtId="49" fontId="14" fillId="0" borderId="0" xfId="0" applyNumberFormat="1" applyFont="1"/>
    <xf numFmtId="0" fontId="15" fillId="3" borderId="0" xfId="0" applyFont="1" applyFill="1"/>
    <xf numFmtId="0" fontId="13" fillId="3" borderId="0" xfId="0" applyFont="1" applyFill="1"/>
    <xf numFmtId="0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5" fillId="0" borderId="1" xfId="0" applyFont="1" applyFill="1" applyBorder="1"/>
    <xf numFmtId="0" fontId="9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3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4" fillId="0" borderId="2" xfId="0" applyNumberFormat="1" applyFont="1" applyFill="1" applyBorder="1"/>
    <xf numFmtId="1" fontId="13" fillId="0" borderId="2" xfId="0" applyNumberFormat="1" applyFont="1" applyFill="1" applyBorder="1" applyAlignment="1"/>
    <xf numFmtId="0" fontId="13" fillId="0" borderId="2" xfId="0" applyFont="1" applyFill="1" applyBorder="1"/>
    <xf numFmtId="1" fontId="14" fillId="0" borderId="6" xfId="0" applyNumberFormat="1" applyFont="1" applyFill="1" applyBorder="1"/>
    <xf numFmtId="0" fontId="4" fillId="0" borderId="0" xfId="0" applyFont="1" applyAlignment="1"/>
    <xf numFmtId="0" fontId="15" fillId="0" borderId="0" xfId="0" applyFont="1" applyFill="1"/>
    <xf numFmtId="0" fontId="14" fillId="0" borderId="0" xfId="0" applyFont="1" applyFill="1" applyAlignment="1">
      <alignment horizontal="center"/>
    </xf>
    <xf numFmtId="0" fontId="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4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9" fontId="14" fillId="0" borderId="1" xfId="2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14" fillId="0" borderId="0" xfId="0" applyNumberFormat="1" applyFont="1" applyAlignment="1">
      <alignment vertical="center"/>
    </xf>
    <xf numFmtId="0" fontId="13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4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/>
    <xf numFmtId="0" fontId="3" fillId="0" borderId="0" xfId="0" applyFont="1" applyAlignment="1"/>
    <xf numFmtId="0" fontId="3" fillId="0" borderId="0" xfId="0" applyFont="1"/>
    <xf numFmtId="0" fontId="14" fillId="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1" xfId="0" applyFont="1" applyFill="1" applyBorder="1"/>
    <xf numFmtId="0" fontId="26" fillId="0" borderId="1" xfId="0" applyFont="1" applyFill="1" applyBorder="1" applyAlignment="1"/>
    <xf numFmtId="0" fontId="27" fillId="0" borderId="1" xfId="0" applyFont="1" applyFill="1" applyBorder="1" applyAlignment="1"/>
    <xf numFmtId="0" fontId="24" fillId="0" borderId="1" xfId="0" applyFont="1" applyFill="1" applyBorder="1" applyAlignment="1">
      <alignment vertical="center"/>
    </xf>
    <xf numFmtId="0" fontId="18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3" fillId="3" borderId="2" xfId="0" applyFont="1" applyFill="1" applyBorder="1" applyAlignment="1"/>
    <xf numFmtId="0" fontId="0" fillId="3" borderId="2" xfId="0" applyFont="1" applyFill="1" applyBorder="1" applyAlignment="1"/>
    <xf numFmtId="16" fontId="14" fillId="3" borderId="2" xfId="0" applyNumberFormat="1" applyFont="1" applyFill="1" applyBorder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4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4" fillId="0" borderId="0" xfId="0" applyNumberFormat="1" applyFont="1" applyFill="1" applyAlignment="1">
      <alignment vertical="center"/>
    </xf>
    <xf numFmtId="0" fontId="23" fillId="0" borderId="1" xfId="0" applyFont="1" applyBorder="1" applyAlignment="1">
      <alignment horizontal="center"/>
    </xf>
    <xf numFmtId="49" fontId="0" fillId="3" borderId="2" xfId="0" applyNumberFormat="1" applyFont="1" applyFill="1" applyBorder="1" applyAlignment="1"/>
    <xf numFmtId="49" fontId="13" fillId="0" borderId="0" xfId="0" applyNumberFormat="1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1</c:v>
                </c:pt>
                <c:pt idx="1">
                  <c:v>0.41666666666666669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3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0">
      <calculatedColumnFormula>SUM(AB29,AM29,AB49,AM49,AB69,AM69,AB89,AM89)</calculatedColumnFormula>
    </tableColumn>
    <tableColumn id="5" xr3:uid="{5F324C66-956D-4EDC-870F-8EDE96C328C8}" name="Averages" dataDxfId="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9">
      <calculatedColumnFormula>SUM(AC29,AN29,AC49,AN49,AC69,AN69,AC89,AN89)</calculatedColumnFormula>
    </tableColumn>
    <tableColumn id="7" xr3:uid="{8E7E6B37-23A0-4556-8839-B9D7834E3E68}" name="Averages2" dataDxfId="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8">
      <calculatedColumnFormula>SUM(AD29,AO29,AD49,AO49,AD69,AO69,AD89,AO89)</calculatedColumnFormula>
    </tableColumn>
    <tableColumn id="9" xr3:uid="{E0C0BF1C-40E8-4137-8E0F-BB238D651DAE}" name="Averages3" dataDxfId="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7">
      <calculatedColumnFormula>SfW!C3</calculatedColumnFormula>
    </tableColumn>
    <tableColumn id="11" xr3:uid="{E167D7FA-56F9-4571-B292-FF3869585F59}" name="Missed Games" dataDxfId="136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0" dataDxfId="39">
  <autoFilter ref="R3:AA8" xr:uid="{744FF78C-74B5-4798-AD3D-741E3ACB43CF}"/>
  <tableColumns count="10">
    <tableColumn id="1" xr3:uid="{B3B5C08C-655A-460A-A171-B3B0C826FF04}" name="Name" dataDxfId="38"/>
    <tableColumn id="2" xr3:uid="{427944B0-44CA-4325-A406-29F83026BA5E}" name="Points" dataDxfId="37">
      <calculatedColumnFormula>'Stats Global'!AA22</calculatedColumnFormula>
    </tableColumn>
    <tableColumn id="3" xr3:uid="{5E06D173-4DBE-4045-9072-0A0A77D19C84}" name="Average" dataDxfId="36"/>
    <tableColumn id="4" xr3:uid="{E74131A4-1DCA-4A89-8989-A4CF80175582}" name="Finishes" dataDxfId="35"/>
    <tableColumn id="5" xr3:uid="{FC3336D4-2CB5-4673-A345-7C9CCED7ADEE}" name="Averages" dataDxfId="34"/>
    <tableColumn id="6" xr3:uid="{BD6313A7-5D92-4B66-9B85-7ABC12DE9691}" name="Midranges" dataDxfId="33"/>
    <tableColumn id="7" xr3:uid="{6D0293BC-7E06-45CE-9D4B-FE4769DF9D9F}" name="Averages2" dataDxfId="32"/>
    <tableColumn id="8" xr3:uid="{89C1C64B-DD66-482C-BCDE-8B912D2676EF}" name="Threes" dataDxfId="31"/>
    <tableColumn id="9" xr3:uid="{7748B87C-1833-4BD6-9162-76373407E655}" name="Averages3" dataDxfId="30"/>
    <tableColumn id="10" xr3:uid="{D870E191-A52F-442E-AA52-A42CFAD05573}" name="Missed Games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8" dataDxfId="27">
  <autoFilter ref="O3:X10" xr:uid="{54759C84-3153-4DC9-9240-E2749AA0D92B}"/>
  <tableColumns count="10">
    <tableColumn id="1" xr3:uid="{7790729E-C8E5-45C1-8784-25212A2654AA}" name="Name" dataDxfId="26"/>
    <tableColumn id="2" xr3:uid="{52A67B2B-967C-4970-8D83-8F8E9CC61522}" name="Points" dataDxfId="25"/>
    <tableColumn id="3" xr3:uid="{BA1FA2C8-AEC0-4644-83DB-5097750D7188}" name="Average" dataDxfId="24"/>
    <tableColumn id="4" xr3:uid="{4CF66F5D-BF10-4CBD-88FF-CCD38730E1CD}" name="Finishes" dataDxfId="23"/>
    <tableColumn id="5" xr3:uid="{BC246D5B-7E78-41A6-B796-C93ED8E53DF9}" name="Averages" dataDxfId="22"/>
    <tableColumn id="6" xr3:uid="{AB819419-CC06-4A40-8DED-E231125129C0}" name="Midranges" dataDxfId="21"/>
    <tableColumn id="7" xr3:uid="{064AA562-C451-4362-805E-D12DC76C3530}" name="Averages2" dataDxfId="20"/>
    <tableColumn id="8" xr3:uid="{BD0D8BAE-15E4-4B38-87FE-B682D7BAEE75}" name="Threes" dataDxfId="19"/>
    <tableColumn id="9" xr3:uid="{541E391B-4B08-4E98-A63F-753C11193269}" name="Averages3" dataDxfId="18"/>
    <tableColumn id="10" xr3:uid="{999BB5D2-D6FB-4EB9-A268-D62EA72F939D}" name="Missed Games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6" dataDxfId="15">
  <autoFilter ref="L4:U9" xr:uid="{C12CFC3F-7D59-4C0F-8D43-3F8ACD58C2BD}"/>
  <tableColumns count="10">
    <tableColumn id="1" xr3:uid="{CE15C23D-9493-4B21-9D40-1A25D210C18E}" name="Name" dataDxfId="14"/>
    <tableColumn id="2" xr3:uid="{6BB170B1-AA38-4699-9B96-400D2947EE9C}" name="Points" dataDxfId="13"/>
    <tableColumn id="3" xr3:uid="{EC8B6CBB-FCC9-416C-AEA6-738419DFE531}" name="Average" dataDxfId="12"/>
    <tableColumn id="4" xr3:uid="{315DA055-9A43-468A-A501-1092626F523F}" name="Finishes" dataDxfId="11"/>
    <tableColumn id="5" xr3:uid="{56B6FF4D-95D4-4550-88E4-C781ABDA83A6}" name="Averages" dataDxfId="10"/>
    <tableColumn id="6" xr3:uid="{F7B5C0B8-FBE2-44B0-A372-112C7776FCCF}" name="Midranges" dataDxfId="9"/>
    <tableColumn id="7" xr3:uid="{1A1C2126-FEB1-408F-8523-049E53028B4E}" name="Averages2" dataDxfId="8"/>
    <tableColumn id="8" xr3:uid="{AE94036B-3777-4C1B-97D5-7BFA1037C0BF}" name="Threes" dataDxfId="7"/>
    <tableColumn id="9" xr3:uid="{448B0903-7F66-40BA-809F-74ADBF397B45}" name="Averages3" dataDxfId="6"/>
    <tableColumn id="10" xr3:uid="{E0CAC55D-8398-4928-A219-C01706996D48}" name="Missed Game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5" dataDxfId="134">
  <autoFilter ref="Z28:AI45" xr:uid="{84D0C431-52CF-4ABD-AA3E-D31975A289B1}"/>
  <tableColumns count="10">
    <tableColumn id="1" xr3:uid="{4DB7A2B8-7BD8-4BD7-8F53-2A7873A4EAAE}" name="Scoring" dataDxfId="133"/>
    <tableColumn id="2" xr3:uid="{BE8EBD49-660A-4C9F-970E-230EBB942EF1}" name="Points" dataDxfId="4">
      <calculatedColumnFormula>'Preseason 1'!R3</calculatedColumnFormula>
    </tableColumn>
    <tableColumn id="3" xr3:uid="{C2C49EF0-4D8C-4F8C-8D19-CDD1481D9568}" name="Finishes" dataDxfId="132">
      <calculatedColumnFormula>'Preseason 1'!S3</calculatedColumnFormula>
    </tableColumn>
    <tableColumn id="4" xr3:uid="{7E789F8C-B8F3-4D6E-AB6C-C9454835B062}" name="Midranges" dataDxfId="131">
      <calculatedColumnFormula>'Preseason 1'!T3</calculatedColumnFormula>
    </tableColumn>
    <tableColumn id="5" xr3:uid="{18C990F2-A6D0-4F57-B96A-D00066DCC8D8}" name="Threes" dataDxfId="130">
      <calculatedColumnFormula>'Preseason 1'!U3</calculatedColumnFormula>
    </tableColumn>
    <tableColumn id="6" xr3:uid="{40526534-76CA-42BA-A8B6-AB092D9CE18F}" name="Avg P" dataDxfId="129">
      <calculatedColumnFormula>AA29/$AA$27</calculatedColumnFormula>
    </tableColumn>
    <tableColumn id="7" xr3:uid="{693AF117-21F6-4887-B78D-D59235BABA44}" name="Avg F" dataDxfId="128">
      <calculatedColumnFormula>AB29/$AA$27</calculatedColumnFormula>
    </tableColumn>
    <tableColumn id="8" xr3:uid="{02AC8FBF-EBB3-4AFC-BAC5-B773E33B7279}" name="Avg M" dataDxfId="127">
      <calculatedColumnFormula>AC29/$AA$27</calculatedColumnFormula>
    </tableColumn>
    <tableColumn id="9" xr3:uid="{CCF75EB4-34C4-4D47-9D51-E8D85C07E38B}" name="Avg T" dataDxfId="126">
      <calculatedColumnFormula>AD29/$AA$27</calculatedColumnFormula>
    </tableColumn>
    <tableColumn id="10" xr3:uid="{1A786A5C-D0C2-4ABC-904C-983180542D5F}" name="Missed Games" dataDxfId="125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4" dataDxfId="123">
  <autoFilter ref="AK28:AT45" xr:uid="{46F39EBA-1E74-46F4-A6E5-473672128124}"/>
  <tableColumns count="10">
    <tableColumn id="1" xr3:uid="{5D003608-C1C2-4694-9447-8632FB8D7348}" name="Scoring" dataDxfId="122"/>
    <tableColumn id="2" xr3:uid="{D15F4085-CED5-4CDD-B43B-BF7EB59B45A3}" name="Points" dataDxfId="121">
      <calculatedColumnFormula>Template!AC3</calculatedColumnFormula>
    </tableColumn>
    <tableColumn id="3" xr3:uid="{2D436F37-54B6-4820-9145-F48B4EF9B294}" name="Finishes" dataDxfId="120">
      <calculatedColumnFormula>Template!AD3</calculatedColumnFormula>
    </tableColumn>
    <tableColumn id="4" xr3:uid="{1D9B6A22-B682-47F3-B738-7C138F317A41}" name="Midranges" dataDxfId="119">
      <calculatedColumnFormula>Template!AE3</calculatedColumnFormula>
    </tableColumn>
    <tableColumn id="5" xr3:uid="{9966C9A0-3872-44E9-BB39-05DE197EAA68}" name="Threes" dataDxfId="118">
      <calculatedColumnFormula>Template!AF3</calculatedColumnFormula>
    </tableColumn>
    <tableColumn id="6" xr3:uid="{CC4AB646-735F-425F-8528-C5EFE7FE11DC}" name="Avg P" dataDxfId="117">
      <calculatedColumnFormula>AL29/$AA$27</calculatedColumnFormula>
    </tableColumn>
    <tableColumn id="7" xr3:uid="{F8D0247E-C6F7-467A-9F38-46084D44F8AB}" name="Avg F" dataDxfId="116">
      <calculatedColumnFormula>AM29/$AA$27</calculatedColumnFormula>
    </tableColumn>
    <tableColumn id="8" xr3:uid="{7CCF1C77-9DB0-4EB2-B7D0-FD0BDBEBFA0E}" name="Avg M" dataDxfId="115">
      <calculatedColumnFormula>AN29/$AA$27</calculatedColumnFormula>
    </tableColumn>
    <tableColumn id="9" xr3:uid="{582A1A4E-5383-4383-A480-735408867046}" name="Avg T" dataDxfId="114">
      <calculatedColumnFormula>AO29/$AA$27</calculatedColumnFormula>
    </tableColumn>
    <tableColumn id="10" xr3:uid="{E547AEB5-F9BA-4C5F-8DCE-34B6A8FF303A}" name="Missed Games" dataDxfId="113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2" dataDxfId="111">
  <autoFilter ref="Z48:AI65" xr:uid="{D27C125F-71B2-44D9-9F7A-9BED67755DD3}"/>
  <tableColumns count="10">
    <tableColumn id="1" xr3:uid="{0B0344E8-2677-4FAB-9B03-4745991FB5AE}" name="Scoring" dataDxfId="110"/>
    <tableColumn id="2" xr3:uid="{58CA1107-8BB4-4A5D-BA00-31619C8D3973}" name="Points" dataDxfId="109">
      <calculatedColumnFormula>Template!R23</calculatedColumnFormula>
    </tableColumn>
    <tableColumn id="3" xr3:uid="{8090861E-1FDF-44F4-9DB6-BB814E32C754}" name="Finishes" dataDxfId="108">
      <calculatedColumnFormula>Template!S23</calculatedColumnFormula>
    </tableColumn>
    <tableColumn id="4" xr3:uid="{972D0347-DAB3-4985-A738-E5D78740D498}" name="Midranges" dataDxfId="107">
      <calculatedColumnFormula>Template!T23</calculatedColumnFormula>
    </tableColumn>
    <tableColumn id="5" xr3:uid="{48F5F884-1753-4988-9056-632B5EB6BBCB}" name="Threes" dataDxfId="106">
      <calculatedColumnFormula>Template!U23</calculatedColumnFormula>
    </tableColumn>
    <tableColumn id="6" xr3:uid="{6953B627-EA05-418F-A758-FD59263EA60D}" name="Avg P" dataDxfId="105">
      <calculatedColumnFormula>AA49/$AA$27</calculatedColumnFormula>
    </tableColumn>
    <tableColumn id="7" xr3:uid="{BE057C9C-5ECD-4AC2-A9C0-18C89CFB52BC}" name="Avg F" dataDxfId="104">
      <calculatedColumnFormula>AB49/$AA$27</calculatedColumnFormula>
    </tableColumn>
    <tableColumn id="8" xr3:uid="{0FDEBEE7-CD5E-4A44-A0AE-74F044F1FF46}" name="Avg M" dataDxfId="103">
      <calculatedColumnFormula>AC49/$AA$27</calculatedColumnFormula>
    </tableColumn>
    <tableColumn id="9" xr3:uid="{76975BB6-3677-41A8-BC24-7536B1D876D3}" name="Avg T" dataDxfId="102">
      <calculatedColumnFormula>AD49/$AA$27</calculatedColumnFormula>
    </tableColumn>
    <tableColumn id="10" xr3:uid="{E5ADB69B-3BA2-4019-8C83-8B02221F187E}" name="Missed Games" dataDxfId="101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0" dataDxfId="99">
  <autoFilter ref="AK48:AT65" xr:uid="{22B89D2C-1B74-4036-A4ED-A5E61F1B3AAC}"/>
  <tableColumns count="10">
    <tableColumn id="1" xr3:uid="{3D35891E-3654-497A-8DB2-BF0BD916CA29}" name="Scoring" dataDxfId="98"/>
    <tableColumn id="2" xr3:uid="{54B5B6AF-372A-4E07-B4D6-DFC66F7E20C5}" name="Points" dataDxfId="97">
      <calculatedColumnFormula>Template!AC23</calculatedColumnFormula>
    </tableColumn>
    <tableColumn id="3" xr3:uid="{6CA15B41-F560-4B43-8836-163F5BB5689C}" name="Finishes" dataDxfId="96">
      <calculatedColumnFormula>Template!AD23</calculatedColumnFormula>
    </tableColumn>
    <tableColumn id="4" xr3:uid="{8FF05262-0051-44F7-966E-8D405318BA69}" name="Midranges" dataDxfId="95">
      <calculatedColumnFormula>Template!AE23</calculatedColumnFormula>
    </tableColumn>
    <tableColumn id="5" xr3:uid="{F0D843FC-7A93-4C9A-BCCF-E789F7811B3B}" name="Threes" dataDxfId="94">
      <calculatedColumnFormula>Template!AF23</calculatedColumnFormula>
    </tableColumn>
    <tableColumn id="6" xr3:uid="{F0498F8A-F646-4C1F-A3CF-E89E73750FC1}" name="Avg P" dataDxfId="93">
      <calculatedColumnFormula>AL49/$AA$27</calculatedColumnFormula>
    </tableColumn>
    <tableColumn id="7" xr3:uid="{A387BC88-F45C-4386-8503-EFEA33BDAC38}" name="Avg F" dataDxfId="92">
      <calculatedColumnFormula>AM49/$AA$27</calculatedColumnFormula>
    </tableColumn>
    <tableColumn id="8" xr3:uid="{BEA82919-0828-4351-A01A-D72E13E63FAB}" name="Avg M" dataDxfId="91">
      <calculatedColumnFormula>AN49/$AA$27</calculatedColumnFormula>
    </tableColumn>
    <tableColumn id="9" xr3:uid="{ABEBCE01-BCA4-4342-966C-27301889B607}" name="Avg T" dataDxfId="90">
      <calculatedColumnFormula>AO49/$AA$27</calculatedColumnFormula>
    </tableColumn>
    <tableColumn id="10" xr3:uid="{65E7A8E7-4C51-42E4-AB0F-B7FF6099D70A}" name="Missed Games" dataDxfId="89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8" dataDxfId="87">
  <autoFilter ref="AK68:AT85" xr:uid="{18C7D514-96DE-4BA6-B019-3E860ED143EC}"/>
  <tableColumns count="10">
    <tableColumn id="1" xr3:uid="{D144EF14-69FD-4E71-90C7-56F49F45FAE5}" name="Scoring" dataDxfId="86"/>
    <tableColumn id="2" xr3:uid="{34D1D392-F3E0-4C36-9EED-849D5B1149E6}" name="Points" dataDxfId="85">
      <calculatedColumnFormula>Template!AC43</calculatedColumnFormula>
    </tableColumn>
    <tableColumn id="3" xr3:uid="{E91D98A2-80BD-4E5C-9036-2FCC8185369F}" name="Finishes" dataDxfId="84">
      <calculatedColumnFormula>Template!AD43</calculatedColumnFormula>
    </tableColumn>
    <tableColumn id="4" xr3:uid="{D2E5029E-4811-4E9B-9A2D-5F5F8F322B0D}" name="Midranges" dataDxfId="83">
      <calculatedColumnFormula>Template!AE43</calculatedColumnFormula>
    </tableColumn>
    <tableColumn id="5" xr3:uid="{B3E76CEE-33DA-4B18-8DCE-8EBC7EE592D7}" name="Threes" dataDxfId="82">
      <calculatedColumnFormula>Template!AF43</calculatedColumnFormula>
    </tableColumn>
    <tableColumn id="6" xr3:uid="{6ABE1879-8018-4498-A9A1-22CF831F0364}" name="Avg P" dataDxfId="81">
      <calculatedColumnFormula>AL69/$AA$27</calculatedColumnFormula>
    </tableColumn>
    <tableColumn id="7" xr3:uid="{8DA4DD79-8A2A-49E4-996F-C1ACCED3C565}" name="Avg F" dataDxfId="80">
      <calculatedColumnFormula>AM69/$AA$27</calculatedColumnFormula>
    </tableColumn>
    <tableColumn id="8" xr3:uid="{256EA4BC-BA61-49E2-969F-0786AA9AA6EA}" name="Avg M" dataDxfId="79">
      <calculatedColumnFormula>AN69/$AA$27</calculatedColumnFormula>
    </tableColumn>
    <tableColumn id="9" xr3:uid="{0E5566B2-99EC-4B03-A074-8705C4EDA484}" name="Avg T" dataDxfId="78">
      <calculatedColumnFormula>AO69/$AA$27</calculatedColumnFormula>
    </tableColumn>
    <tableColumn id="10" xr3:uid="{3E2357F0-493E-401D-AC75-9AAB260F684E}" name="Missed Games" dataDxfId="77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6" dataDxfId="75">
  <autoFilter ref="Z68:AI85" xr:uid="{F118BED8-7AAF-4E55-A61F-C75C69A64AAE}"/>
  <tableColumns count="10">
    <tableColumn id="1" xr3:uid="{7723929D-65B3-40BB-8FDD-C4533243706C}" name="Scoring" dataDxfId="74"/>
    <tableColumn id="2" xr3:uid="{EC28DE3D-619E-4930-A3AF-7AD1BE1D4843}" name="Points" dataDxfId="73">
      <calculatedColumnFormula>Template!R43</calculatedColumnFormula>
    </tableColumn>
    <tableColumn id="3" xr3:uid="{9537269D-8C1D-42B5-866F-D03CE61A8512}" name="Finishes" dataDxfId="72">
      <calculatedColumnFormula>Template!S43</calculatedColumnFormula>
    </tableColumn>
    <tableColumn id="4" xr3:uid="{AC590DDB-BE19-4A14-8B98-1E5E2430AA45}" name="Midranges" dataDxfId="71">
      <calculatedColumnFormula>Template!T43</calculatedColumnFormula>
    </tableColumn>
    <tableColumn id="5" xr3:uid="{C96D3ACD-F34D-477E-86DE-4650EE56BC94}" name="Threes" dataDxfId="70">
      <calculatedColumnFormula>Template!U43</calculatedColumnFormula>
    </tableColumn>
    <tableColumn id="6" xr3:uid="{A43DE5E9-BB01-49FA-A204-66EE7BAA2E9F}" name="Avg P" dataDxfId="69">
      <calculatedColumnFormula>AA69/$AA$27</calculatedColumnFormula>
    </tableColumn>
    <tableColumn id="7" xr3:uid="{C75A19FF-6041-45C2-BACB-E347F06B6329}" name="Avg F" dataDxfId="68">
      <calculatedColumnFormula>AB69/$AA$27</calculatedColumnFormula>
    </tableColumn>
    <tableColumn id="8" xr3:uid="{00D3FCFC-C9C5-4C96-BE0E-8E1FDC95D07C}" name="Avg M" dataDxfId="67">
      <calculatedColumnFormula>AC69/$AA$27</calculatedColumnFormula>
    </tableColumn>
    <tableColumn id="9" xr3:uid="{0448FF4E-9D2D-47F6-89B7-F17D36B05E8A}" name="Avg T" dataDxfId="66">
      <calculatedColumnFormula>AD69/$AA$27</calculatedColumnFormula>
    </tableColumn>
    <tableColumn id="10" xr3:uid="{D5BDFA2D-095B-44F8-8567-15B3B1520E5A}" name="Missed Games" dataDxfId="65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4" dataDxfId="63">
  <autoFilter ref="Z88:AI105" xr:uid="{BDD2E472-3925-41A7-BECD-3315E6E71ECC}"/>
  <tableColumns count="10">
    <tableColumn id="1" xr3:uid="{9DBD966D-620C-4B97-A502-29D00ABE150B}" name="Scoring" dataDxfId="62"/>
    <tableColumn id="2" xr3:uid="{F8F81F0E-16B3-4472-9D90-A92149C763E4}" name="Points" dataDxfId="61">
      <calculatedColumnFormula>Template!R63</calculatedColumnFormula>
    </tableColumn>
    <tableColumn id="3" xr3:uid="{09859CE1-290D-4977-B02C-46F4E5A6FDC2}" name="Finishes" dataDxfId="60">
      <calculatedColumnFormula>Template!S63</calculatedColumnFormula>
    </tableColumn>
    <tableColumn id="4" xr3:uid="{7D751A0E-2895-46DF-B5E2-5A8AA5531CD2}" name="Midranges" dataDxfId="59">
      <calculatedColumnFormula>Template!T63</calculatedColumnFormula>
    </tableColumn>
    <tableColumn id="5" xr3:uid="{591CDC71-B0EA-413B-B6C1-77884E7E50D4}" name="Threes" dataDxfId="58">
      <calculatedColumnFormula>Template!U63</calculatedColumnFormula>
    </tableColumn>
    <tableColumn id="6" xr3:uid="{52ED768C-5557-42DC-9824-7A4D9B547153}" name="Avg P" dataDxfId="57">
      <calculatedColumnFormula>AA89/$AA$27</calculatedColumnFormula>
    </tableColumn>
    <tableColumn id="7" xr3:uid="{FC79BE87-72E2-4F5E-83D6-CDCE645EB943}" name="Avg F" dataDxfId="56">
      <calculatedColumnFormula>AB89/$AA$27</calculatedColumnFormula>
    </tableColumn>
    <tableColumn id="8" xr3:uid="{BA012C22-0D65-4C11-98A7-4F958703D04B}" name="Avg M" dataDxfId="55">
      <calculatedColumnFormula>AC89/$AA$27</calculatedColumnFormula>
    </tableColumn>
    <tableColumn id="9" xr3:uid="{63344F2B-5D94-417D-85E2-C2BFBACE3E7E}" name="Avg T" dataDxfId="54">
      <calculatedColumnFormula>AD89/$AA$27</calculatedColumnFormula>
    </tableColumn>
    <tableColumn id="10" xr3:uid="{1AD5A604-8909-45B3-8E43-11D407451CEA}" name="Missed Games" dataDxfId="53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2" dataDxfId="51">
  <autoFilter ref="AK88:AT105" xr:uid="{F9183685-60DE-4163-AA62-BE4F563EE570}"/>
  <tableColumns count="10">
    <tableColumn id="1" xr3:uid="{E62FBAA0-D6F6-4997-96C9-B6B13FAA9B6E}" name="Scoring" dataDxfId="50"/>
    <tableColumn id="2" xr3:uid="{0A655F6F-9A21-4167-85B6-B9F7DC2070CA}" name="Points" dataDxfId="49">
      <calculatedColumnFormula>Template!AC63</calculatedColumnFormula>
    </tableColumn>
    <tableColumn id="3" xr3:uid="{460771D3-3BD8-4DA3-AF1B-1A0F98EF1499}" name="Finishes" dataDxfId="48">
      <calculatedColumnFormula>Template!AD63</calculatedColumnFormula>
    </tableColumn>
    <tableColumn id="4" xr3:uid="{3C08B2D7-823D-49C3-A627-A5848E664B2F}" name="Midranges" dataDxfId="47">
      <calculatedColumnFormula>Template!AE63</calculatedColumnFormula>
    </tableColumn>
    <tableColumn id="5" xr3:uid="{E88F45FB-4C46-4674-86D5-74808E7E5368}" name="Threes" dataDxfId="46">
      <calculatedColumnFormula>Template!AF63</calculatedColumnFormula>
    </tableColumn>
    <tableColumn id="6" xr3:uid="{0C0E8016-1E6E-4F25-9675-4EE061FFD0F7}" name="Avg P" dataDxfId="45">
      <calculatedColumnFormula>AL89/$AA$27</calculatedColumnFormula>
    </tableColumn>
    <tableColumn id="7" xr3:uid="{F7AC350B-AE4B-4912-B21D-16D99E2AE8BF}" name="Avg F" dataDxfId="44">
      <calculatedColumnFormula>AM89/$AA$27</calculatedColumnFormula>
    </tableColumn>
    <tableColumn id="8" xr3:uid="{F451E5CA-B9C4-4EFA-A647-CEDB2FB39550}" name="Avg M" dataDxfId="43">
      <calculatedColumnFormula>AN89/$AA$27</calculatedColumnFormula>
    </tableColumn>
    <tableColumn id="9" xr3:uid="{ED1D92B5-05F1-40CE-A89F-E6627FAB4A59}" name="Avg T" dataDxfId="42">
      <calculatedColumnFormula>AO89/$AA$27</calculatedColumnFormula>
    </tableColumn>
    <tableColumn id="10" xr3:uid="{48A4808A-3DE6-4644-83F5-C2AEDDFC3E5E}" name="Missed Games" dataDxfId="4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>
      <selection activeCell="E34" sqref="E34"/>
    </sheetView>
    <sheetView workbookViewId="1"/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199</v>
      </c>
      <c r="U3" s="1" t="str">
        <f>IF(C3="5 Musketeers", $X$3, IF(C3="Loose Gooses", $X$4, IF(C3="Wet Willies", $X$5, $X$6)))</f>
        <v>../Images/LG_Final.png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2</v>
      </c>
      <c r="E4" s="12">
        <f>'Stats Global'!AA9</f>
        <v>2</v>
      </c>
      <c r="F4" s="8">
        <f>'Stats Global'!AD9</f>
        <v>1</v>
      </c>
      <c r="G4" s="12">
        <f>'Stats Global'!AC9</f>
        <v>1</v>
      </c>
      <c r="H4" s="8">
        <f>'Stats Global'!AF9</f>
        <v>1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199</v>
      </c>
      <c r="U4" s="12" t="str">
        <f t="shared" ref="U4:U18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5</v>
      </c>
      <c r="E5" s="12">
        <f>'Stats Global'!AA10</f>
        <v>5</v>
      </c>
      <c r="F5" s="8">
        <f>'Stats Global'!AD10</f>
        <v>3</v>
      </c>
      <c r="G5" s="12">
        <f>'Stats Global'!AC10</f>
        <v>3</v>
      </c>
      <c r="H5" s="8">
        <f>'Stats Global'!AF10</f>
        <v>0</v>
      </c>
      <c r="I5" s="12">
        <f>'Stats Global'!AE10</f>
        <v>0</v>
      </c>
      <c r="J5" s="8">
        <f>'Stats Global'!AH10</f>
        <v>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196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192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164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197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200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2</v>
      </c>
      <c r="E9" s="12">
        <f>'Stats Global'!AA14</f>
        <v>2</v>
      </c>
      <c r="F9" s="8">
        <f>'Stats Global'!AD14</f>
        <v>1</v>
      </c>
      <c r="G9" s="12">
        <f>'Stats Global'!AC14</f>
        <v>1</v>
      </c>
      <c r="H9" s="8">
        <f>'Stats Global'!AF14</f>
        <v>1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158</v>
      </c>
      <c r="T9" s="120" t="s">
        <v>202</v>
      </c>
      <c r="U9" s="12" t="str">
        <f t="shared" si="1"/>
        <v>../Images/5M_Final.png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162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201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3</v>
      </c>
      <c r="E11" s="12">
        <f>'Stats Global'!AA16</f>
        <v>3</v>
      </c>
      <c r="F11" s="8">
        <f>'Stats Global'!AD16</f>
        <v>1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1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198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6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4</v>
      </c>
      <c r="I12" s="12">
        <f>'Stats Global'!AE17</f>
        <v>4</v>
      </c>
      <c r="J12" s="8">
        <f>'Stats Global'!AH17</f>
        <v>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193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</v>
      </c>
      <c r="E13" s="12">
        <f>'Stats Global'!AA18</f>
        <v>0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200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120" t="s">
        <v>26</v>
      </c>
      <c r="D14" s="8">
        <f>'Stats Global'!AB20</f>
        <v>2</v>
      </c>
      <c r="E14" s="12">
        <f>'Stats Global'!AA20</f>
        <v>2</v>
      </c>
      <c r="F14" s="8">
        <f>'Stats Global'!AD20</f>
        <v>0</v>
      </c>
      <c r="G14" s="12">
        <f>'Stats Global'!AC20</f>
        <v>0</v>
      </c>
      <c r="H14" s="8">
        <f>'Stats Global'!AF20</f>
        <v>0</v>
      </c>
      <c r="I14" s="12">
        <f>'Stats Global'!AE20</f>
        <v>0</v>
      </c>
      <c r="J14" s="8">
        <f>'Stats Global'!AH20</f>
        <v>1</v>
      </c>
      <c r="K14" s="12">
        <f>'Stats Global'!AG20</f>
        <v>1</v>
      </c>
      <c r="L14" s="2" t="s">
        <v>56</v>
      </c>
      <c r="M14" s="2" t="s">
        <v>33</v>
      </c>
      <c r="N14" s="17" t="s">
        <v>150</v>
      </c>
      <c r="O14" s="17" t="s">
        <v>151</v>
      </c>
      <c r="P14" s="17" t="s">
        <v>156</v>
      </c>
      <c r="Q14" s="17" t="s">
        <v>155</v>
      </c>
      <c r="T14" s="121" t="s">
        <v>202</v>
      </c>
      <c r="U14" s="12" t="str">
        <f t="shared" si="1"/>
        <v>../Images/5M_Final.png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120" t="s">
        <v>47</v>
      </c>
      <c r="D15" s="8">
        <f>'Stats Global'!AB21</f>
        <v>1</v>
      </c>
      <c r="E15" s="12">
        <f>'Stats Global'!AA21</f>
        <v>1</v>
      </c>
      <c r="F15" s="8">
        <f>'Stats Global'!AD21</f>
        <v>0</v>
      </c>
      <c r="G15" s="12">
        <f>'Stats Global'!AC21</f>
        <v>0</v>
      </c>
      <c r="H15" s="8">
        <f>'Stats Global'!AF21</f>
        <v>1</v>
      </c>
      <c r="I15" s="12">
        <f>'Stats Global'!AE21</f>
        <v>1</v>
      </c>
      <c r="J15" s="8">
        <f>'Stats Global'!AH21</f>
        <v>0</v>
      </c>
      <c r="K15" s="12">
        <f>'Stats Global'!AG21</f>
        <v>0</v>
      </c>
      <c r="L15" s="2" t="s">
        <v>59</v>
      </c>
      <c r="M15" s="17" t="s">
        <v>147</v>
      </c>
      <c r="N15" s="17" t="s">
        <v>148</v>
      </c>
      <c r="O15" s="17" t="s">
        <v>156</v>
      </c>
      <c r="P15" s="17" t="s">
        <v>155</v>
      </c>
      <c r="Q15" s="17" t="s">
        <v>158</v>
      </c>
      <c r="T15" s="121" t="s">
        <v>199</v>
      </c>
      <c r="U15" s="12" t="str">
        <f t="shared" si="1"/>
        <v>../Images/LG_Final.png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>
        <f>'Stats Global'!AB22</f>
        <v>0</v>
      </c>
      <c r="E16" s="12">
        <f>'Stats Global'!AA22</f>
        <v>0</v>
      </c>
      <c r="F16" s="8">
        <f>'Stats Global'!AD22</f>
        <v>0</v>
      </c>
      <c r="G16" s="12">
        <f>'Stats Global'!AC22</f>
        <v>0</v>
      </c>
      <c r="H16" s="8">
        <f>'Stats Global'!AF22</f>
        <v>0</v>
      </c>
      <c r="I16" s="12">
        <f>'Stats Global'!AE22</f>
        <v>0</v>
      </c>
      <c r="J16" s="8">
        <f>'Stats Global'!AH22</f>
        <v>0</v>
      </c>
      <c r="K16" s="12">
        <f>'Stats Global'!AG22</f>
        <v>0</v>
      </c>
      <c r="L16" s="2" t="s">
        <v>163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153</v>
      </c>
      <c r="R16" s="17" t="s">
        <v>154</v>
      </c>
      <c r="S16" s="17" t="s">
        <v>158</v>
      </c>
      <c r="T16" s="105" t="s">
        <v>194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165</v>
      </c>
    </row>
    <row r="17" spans="2:24" ht="14.25" customHeight="1" x14ac:dyDescent="0.45">
      <c r="B17" s="2" t="s">
        <v>64</v>
      </c>
      <c r="C17" s="120" t="s">
        <v>31</v>
      </c>
      <c r="D17" s="8">
        <f>'Stats Global'!AB23</f>
        <v>0</v>
      </c>
      <c r="E17" s="12">
        <f>'Stats Global'!AA23</f>
        <v>0</v>
      </c>
      <c r="F17" s="8">
        <f>'Stats Global'!AD23</f>
        <v>0</v>
      </c>
      <c r="G17" s="12">
        <f>'Stats Global'!AC23</f>
        <v>0</v>
      </c>
      <c r="H17" s="8">
        <f>'Stats Global'!AF23</f>
        <v>0</v>
      </c>
      <c r="I17" s="12">
        <f>'Stats Global'!AE23</f>
        <v>0</v>
      </c>
      <c r="J17" s="8">
        <f>'Stats Global'!AH23</f>
        <v>0</v>
      </c>
      <c r="K17" s="12">
        <f>'Stats Global'!AG23</f>
        <v>0</v>
      </c>
      <c r="L17" s="2" t="s">
        <v>65</v>
      </c>
      <c r="M17" s="2" t="s">
        <v>33</v>
      </c>
      <c r="N17" s="17" t="s">
        <v>149</v>
      </c>
      <c r="T17" s="120" t="s">
        <v>200</v>
      </c>
      <c r="U17" s="12" t="str">
        <f t="shared" si="1"/>
        <v>../Images/WW_Final.png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120" t="s">
        <v>26</v>
      </c>
      <c r="D18" s="8">
        <f>'Stats Global'!AB24</f>
        <v>0</v>
      </c>
      <c r="E18" s="12">
        <f>'Stats Global'!AA24</f>
        <v>0</v>
      </c>
      <c r="F18" s="8">
        <f>'Stats Global'!AD24</f>
        <v>0</v>
      </c>
      <c r="G18" s="12">
        <f>'Stats Global'!AC24</f>
        <v>0</v>
      </c>
      <c r="H18" s="8">
        <f>'Stats Global'!AF24</f>
        <v>0</v>
      </c>
      <c r="I18" s="12">
        <f>'Stats Global'!AE24</f>
        <v>0</v>
      </c>
      <c r="J18" s="8">
        <f>'Stats Global'!AH24</f>
        <v>0</v>
      </c>
      <c r="K18" s="12">
        <f>'Stats Global'!AG24</f>
        <v>0</v>
      </c>
      <c r="L18" s="17" t="s">
        <v>155</v>
      </c>
      <c r="M18" s="17" t="s">
        <v>158</v>
      </c>
      <c r="T18" s="120" t="s">
        <v>202</v>
      </c>
      <c r="U18" s="12" t="str">
        <f t="shared" si="1"/>
        <v>../Images/5M_Final.png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28" t="s">
        <v>119</v>
      </c>
      <c r="C21" s="128"/>
      <c r="D21" s="128"/>
      <c r="X21" s="2" t="s">
        <v>70</v>
      </c>
    </row>
    <row r="22" spans="2:24" ht="14.25" customHeight="1" x14ac:dyDescent="0.45">
      <c r="B22" s="128"/>
      <c r="C22" s="128"/>
      <c r="D22" s="128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"Team":["Loose Gooses","Loose Gooses","5 Musketeers","Wet Willies","Wet Willies","Wet Willies","5 Musketeers","Wet Willies","Loose Gooses","5 Musketeers","Wet Willies","5 Musketeers","Loose Gooses","Loose Gooses","Wet Willies","5 Musketeers"],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str">
        <f>D48&amp;":["&amp;D49&amp;D50&amp;D51&amp;D52&amp;D53&amp;D54&amp;D55&amp;D56&amp;D57&amp;D58&amp;D59&amp;D60&amp;D61&amp;D62&amp;D63&amp;D64&amp;"],"</f>
        <v>"PPG":[0,2,5,0,0,0,2,0,3,6,0,2,1,0,0,0],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"TP":[0,2,5,0,0,0,2,0,3,6,0,2,1,0,0,0],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F48&amp;":["&amp;F49&amp;F50&amp;F51&amp;F52&amp;F53&amp;F54&amp;F55&amp;F56&amp;F57&amp;F58&amp;F59&amp;F60&amp;F61&amp;F62&amp;F63&amp;F64&amp;"],"</f>
        <v>"FPG":[0,1,3,0,0,0,1,0,1,0,0,0,0,0,0,0],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"TF":[0,1,3,0,0,0,1,0,1,0,0,0,0,0,0,0],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H48&amp;":["&amp;H49&amp;H50&amp;H51&amp;H52&amp;H53&amp;H54&amp;H55&amp;H56&amp;H57&amp;H58&amp;H59&amp;H60&amp;H61&amp;H62&amp;H63&amp;H64&amp;"],"</f>
        <v>"MPG":[0,1,0,0,0,0,1,0,0,4,0,0,1,0,0,0],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"TM":[0,1,0,0,0,0,1,0,0,4,0,0,1,0,0,0],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J48&amp;":["&amp;J49&amp;J50&amp;J51&amp;J52&amp;J53&amp;J54&amp;J55&amp;J56&amp;J57&amp;J58&amp;J59&amp;J60&amp;J61&amp;J62&amp;J63&amp;J64&amp;"],"</f>
        <v>"TPG":[0,0,1,0,0,0,0,0,1,1,0,1,0,0,0,0],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"TT":[0,0,1,0,0,0,0,0,1,1,0,1,0,0,0,0],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5 Musketeers","Drafted by Loose Gooses","GM of Loose Gooses","Drafted by Wet Willies","Drafted by 5 Musketeers"],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LG_Final.png","../Images/LG_Final.png","../Images/WW_Final.png","../Images/5M_Final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"Loose Gooses",</v>
      </c>
      <c r="D49" s="18" t="str">
        <f t="shared" ref="D49:D63" si="4">ROUND(D3,2)&amp;","</f>
        <v>0,</v>
      </c>
      <c r="E49" s="18" t="str">
        <f t="shared" ref="E49:E63" si="5">E3&amp;","</f>
        <v>0,</v>
      </c>
      <c r="F49" s="18" t="str">
        <f t="shared" ref="F49:F63" si="6">ROUND(F3,2)&amp;","</f>
        <v>0,</v>
      </c>
      <c r="G49" s="18" t="str">
        <f t="shared" ref="G49:G63" si="7">G3&amp;","</f>
        <v>0,</v>
      </c>
      <c r="H49" s="18" t="str">
        <f t="shared" ref="H49:H63" si="8">ROUND(H3,2)&amp;","</f>
        <v>0,</v>
      </c>
      <c r="I49" s="18" t="str">
        <f t="shared" ref="I49:I63" si="9">I3&amp;","</f>
        <v>0,</v>
      </c>
      <c r="J49" s="18" t="str">
        <f t="shared" ref="J49:J63" si="10">ROUND(J3,2)&amp;","</f>
        <v>0,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"Drafted by Loose Gooses",</v>
      </c>
      <c r="U49" s="18" t="str">
        <f t="shared" si="13"/>
        <v>"../Images/LG_Final.png",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"Loose Gooses",</v>
      </c>
      <c r="D50" s="18" t="str">
        <f t="shared" si="4"/>
        <v>2,</v>
      </c>
      <c r="E50" s="18" t="str">
        <f t="shared" si="5"/>
        <v>2,</v>
      </c>
      <c r="F50" s="18" t="str">
        <f t="shared" si="6"/>
        <v>1,</v>
      </c>
      <c r="G50" s="18" t="str">
        <f t="shared" si="7"/>
        <v>1,</v>
      </c>
      <c r="H50" s="18" t="str">
        <f t="shared" si="8"/>
        <v>1,</v>
      </c>
      <c r="I50" s="18" t="str">
        <f t="shared" si="9"/>
        <v>1,</v>
      </c>
      <c r="J50" s="18" t="str">
        <f t="shared" si="10"/>
        <v>0,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"Drafted by Loose Gooses",</v>
      </c>
      <c r="U50" s="18" t="str">
        <f t="shared" si="15"/>
        <v>"../Images/LG_Final.png",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"5 Musketeers",</v>
      </c>
      <c r="D51" s="18" t="str">
        <f t="shared" si="4"/>
        <v>5,</v>
      </c>
      <c r="E51" s="18" t="str">
        <f t="shared" si="5"/>
        <v>5,</v>
      </c>
      <c r="F51" s="18" t="str">
        <f t="shared" si="6"/>
        <v>3,</v>
      </c>
      <c r="G51" s="18" t="str">
        <f t="shared" si="7"/>
        <v>3,</v>
      </c>
      <c r="H51" s="18" t="str">
        <f t="shared" si="8"/>
        <v>0,</v>
      </c>
      <c r="I51" s="18" t="str">
        <f t="shared" si="9"/>
        <v>0,</v>
      </c>
      <c r="J51" s="18" t="str">
        <f t="shared" si="10"/>
        <v>1,</v>
      </c>
      <c r="K51" s="18" t="str">
        <f t="shared" si="11"/>
        <v>1,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"Retained by 5 Musketeers",</v>
      </c>
      <c r="U51" s="18" t="str">
        <f t="shared" si="16"/>
        <v>"../Images/5M_Final.png",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str">
        <f t="shared" si="4"/>
        <v>0,</v>
      </c>
      <c r="E52" s="18" t="str">
        <f t="shared" si="5"/>
        <v>0,</v>
      </c>
      <c r="F52" s="18" t="str">
        <f t="shared" si="6"/>
        <v>0,</v>
      </c>
      <c r="G52" s="18" t="str">
        <f t="shared" si="7"/>
        <v>0,</v>
      </c>
      <c r="H52" s="18" t="str">
        <f t="shared" si="8"/>
        <v>0,</v>
      </c>
      <c r="I52" s="18" t="str">
        <f t="shared" si="9"/>
        <v>0,</v>
      </c>
      <c r="J52" s="18" t="str">
        <f t="shared" si="10"/>
        <v>0,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"Wet Willies",</v>
      </c>
      <c r="D53" s="18" t="str">
        <f t="shared" si="4"/>
        <v>0,</v>
      </c>
      <c r="E53" s="18" t="str">
        <f t="shared" si="5"/>
        <v>0,</v>
      </c>
      <c r="F53" s="18" t="str">
        <f t="shared" si="6"/>
        <v>0,</v>
      </c>
      <c r="G53" s="18" t="str">
        <f t="shared" si="7"/>
        <v>0,</v>
      </c>
      <c r="H53" s="18" t="str">
        <f t="shared" si="8"/>
        <v>0,</v>
      </c>
      <c r="I53" s="18" t="str">
        <f t="shared" si="9"/>
        <v>0,</v>
      </c>
      <c r="J53" s="18" t="str">
        <f t="shared" si="10"/>
        <v>0,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"Retained by Wet Willies",</v>
      </c>
      <c r="U53" s="18" t="str">
        <f t="shared" si="18"/>
        <v>"../Images/WW_Final.png",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"Wet Willies",</v>
      </c>
      <c r="D54" s="18" t="str">
        <f t="shared" si="4"/>
        <v>0,</v>
      </c>
      <c r="E54" s="18" t="str">
        <f t="shared" si="5"/>
        <v>0,</v>
      </c>
      <c r="F54" s="18" t="str">
        <f t="shared" si="6"/>
        <v>0,</v>
      </c>
      <c r="G54" s="18" t="str">
        <f t="shared" si="7"/>
        <v>0,</v>
      </c>
      <c r="H54" s="18" t="str">
        <f t="shared" si="8"/>
        <v>0,</v>
      </c>
      <c r="I54" s="18" t="str">
        <f t="shared" si="9"/>
        <v>0,</v>
      </c>
      <c r="J54" s="18" t="str">
        <f t="shared" si="10"/>
        <v>0,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"Drafted by Wet Willies",</v>
      </c>
      <c r="U54" s="18" t="str">
        <f t="shared" si="19"/>
        <v>"../Images/WW_Final.png",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"5 Musketeers",</v>
      </c>
      <c r="D55" s="18" t="str">
        <f t="shared" si="4"/>
        <v>2,</v>
      </c>
      <c r="E55" s="18" t="str">
        <f t="shared" si="5"/>
        <v>2,</v>
      </c>
      <c r="F55" s="18" t="str">
        <f t="shared" si="6"/>
        <v>1,</v>
      </c>
      <c r="G55" s="18" t="str">
        <f t="shared" si="7"/>
        <v>1,</v>
      </c>
      <c r="H55" s="18" t="str">
        <f t="shared" si="8"/>
        <v>1,</v>
      </c>
      <c r="I55" s="18" t="str">
        <f t="shared" si="9"/>
        <v>1,</v>
      </c>
      <c r="J55" s="18" t="str">
        <f t="shared" si="10"/>
        <v>0,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"Drafted by 5 Musketeers",</v>
      </c>
      <c r="U55" s="18" t="str">
        <f t="shared" si="20"/>
        <v>"../Images/5M_Final.png",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"Wet Willies",</v>
      </c>
      <c r="D56" s="18" t="str">
        <f t="shared" si="4"/>
        <v>0,</v>
      </c>
      <c r="E56" s="18" t="str">
        <f t="shared" si="5"/>
        <v>0,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0,</v>
      </c>
      <c r="K56" s="18" t="str">
        <f t="shared" si="11"/>
        <v>0,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"Out due to injury. Signed by Wet Willies",</v>
      </c>
      <c r="U56" s="18" t="str">
        <f t="shared" si="21"/>
        <v>"../Images/WW_Final.png",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"Loose Gooses",</v>
      </c>
      <c r="D57" s="18" t="str">
        <f t="shared" si="4"/>
        <v>3,</v>
      </c>
      <c r="E57" s="18" t="str">
        <f t="shared" si="5"/>
        <v>3,</v>
      </c>
      <c r="F57" s="18" t="str">
        <f t="shared" si="6"/>
        <v>1,</v>
      </c>
      <c r="G57" s="18" t="str">
        <f t="shared" si="7"/>
        <v>1,</v>
      </c>
      <c r="H57" s="18" t="str">
        <f t="shared" si="8"/>
        <v>0,</v>
      </c>
      <c r="I57" s="18" t="str">
        <f t="shared" si="9"/>
        <v>0,</v>
      </c>
      <c r="J57" s="18" t="str">
        <f t="shared" si="10"/>
        <v>1,</v>
      </c>
      <c r="K57" s="18" t="str">
        <f t="shared" si="11"/>
        <v>1,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"Retained by Loose Gooses",</v>
      </c>
      <c r="U57" s="18" t="str">
        <f t="shared" si="22"/>
        <v>"../Images/LG_Final.png",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str">
        <f t="shared" si="4"/>
        <v>6,</v>
      </c>
      <c r="E58" s="18" t="str">
        <f t="shared" si="5"/>
        <v>6,</v>
      </c>
      <c r="F58" s="18" t="str">
        <f t="shared" si="6"/>
        <v>0,</v>
      </c>
      <c r="G58" s="18" t="str">
        <f t="shared" si="7"/>
        <v>0,</v>
      </c>
      <c r="H58" s="18" t="str">
        <f t="shared" si="8"/>
        <v>4,</v>
      </c>
      <c r="I58" s="18" t="str">
        <f t="shared" si="9"/>
        <v>4,</v>
      </c>
      <c r="J58" s="18" t="str">
        <f t="shared" si="10"/>
        <v>1,</v>
      </c>
      <c r="K58" s="18" t="str">
        <f t="shared" si="11"/>
        <v>1,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"Wet Willies",</v>
      </c>
      <c r="D59" s="18" t="str">
        <f t="shared" si="4"/>
        <v>0,</v>
      </c>
      <c r="E59" s="18" t="str">
        <f t="shared" si="5"/>
        <v>0,</v>
      </c>
      <c r="F59" s="18" t="str">
        <f t="shared" si="6"/>
        <v>0,</v>
      </c>
      <c r="G59" s="18" t="str">
        <f t="shared" si="7"/>
        <v>0,</v>
      </c>
      <c r="H59" s="18" t="str">
        <f t="shared" si="8"/>
        <v>0,</v>
      </c>
      <c r="I59" s="18" t="str">
        <f t="shared" si="9"/>
        <v>0,</v>
      </c>
      <c r="J59" s="18" t="str">
        <f t="shared" si="10"/>
        <v>0,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"Drafted by Wet Willies",</v>
      </c>
      <c r="U59" s="18" t="str">
        <f t="shared" si="24"/>
        <v>"../Images/WW_Final.png",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"5 Musketeers",</v>
      </c>
      <c r="D60" s="18" t="str">
        <f t="shared" si="4"/>
        <v>2,</v>
      </c>
      <c r="E60" s="18" t="str">
        <f t="shared" si="5"/>
        <v>2,</v>
      </c>
      <c r="F60" s="18" t="str">
        <f t="shared" si="6"/>
        <v>0,</v>
      </c>
      <c r="G60" s="18" t="str">
        <f t="shared" si="7"/>
        <v>0,</v>
      </c>
      <c r="H60" s="18" t="str">
        <f t="shared" si="8"/>
        <v>0,</v>
      </c>
      <c r="I60" s="18" t="str">
        <f t="shared" si="9"/>
        <v>0,</v>
      </c>
      <c r="J60" s="18" t="str">
        <f t="shared" si="10"/>
        <v>1,</v>
      </c>
      <c r="K60" s="18" t="str">
        <f t="shared" si="11"/>
        <v>1,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"Drafted by 5 Musketeers",</v>
      </c>
      <c r="U60" s="18" t="str">
        <f t="shared" si="25"/>
        <v>"../Images/5M_Final.png",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"Loose Gooses",</v>
      </c>
      <c r="D61" s="18" t="str">
        <f t="shared" si="4"/>
        <v>1,</v>
      </c>
      <c r="E61" s="18" t="str">
        <f t="shared" si="5"/>
        <v>1,</v>
      </c>
      <c r="F61" s="18" t="str">
        <f t="shared" si="6"/>
        <v>0,</v>
      </c>
      <c r="G61" s="18" t="str">
        <f t="shared" si="7"/>
        <v>0,</v>
      </c>
      <c r="H61" s="18" t="str">
        <f t="shared" si="8"/>
        <v>1,</v>
      </c>
      <c r="I61" s="18" t="str">
        <f t="shared" si="9"/>
        <v>1,</v>
      </c>
      <c r="J61" s="18" t="str">
        <f t="shared" si="10"/>
        <v>0,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"Drafted by Loose Gooses",</v>
      </c>
      <c r="U61" s="18" t="str">
        <f t="shared" si="26"/>
        <v>"../Images/LG_Final.png",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str">
        <f t="shared" si="4"/>
        <v>0,</v>
      </c>
      <c r="E62" s="18" t="str">
        <f t="shared" si="5"/>
        <v>0,</v>
      </c>
      <c r="F62" s="18" t="str">
        <f t="shared" si="6"/>
        <v>0,</v>
      </c>
      <c r="G62" s="18" t="str">
        <f t="shared" si="7"/>
        <v>0,</v>
      </c>
      <c r="H62" s="18" t="str">
        <f t="shared" si="8"/>
        <v>0,</v>
      </c>
      <c r="I62" s="18" t="str">
        <f t="shared" si="9"/>
        <v>0,</v>
      </c>
      <c r="J62" s="18" t="str">
        <f t="shared" si="10"/>
        <v>0,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"Wet Willies",</v>
      </c>
      <c r="D63" s="18" t="str">
        <f t="shared" si="4"/>
        <v>0,</v>
      </c>
      <c r="E63" s="18" t="str">
        <f t="shared" si="5"/>
        <v>0,</v>
      </c>
      <c r="F63" s="18" t="str">
        <f t="shared" si="6"/>
        <v>0,</v>
      </c>
      <c r="G63" s="18" t="str">
        <f t="shared" si="7"/>
        <v>0,</v>
      </c>
      <c r="H63" s="18" t="str">
        <f t="shared" si="8"/>
        <v>0,</v>
      </c>
      <c r="I63" s="18" t="str">
        <f t="shared" si="9"/>
        <v>0,</v>
      </c>
      <c r="J63" s="18" t="str">
        <f t="shared" si="10"/>
        <v>0,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"Drafted by Wet Willies",</v>
      </c>
      <c r="U63" s="18" t="str">
        <f t="shared" si="28"/>
        <v>"../Images/WW_Final.png",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"5 Musketeers"</v>
      </c>
      <c r="D64" s="18">
        <f>ROUND(D18,2)</f>
        <v>0</v>
      </c>
      <c r="E64" s="18">
        <f>E18</f>
        <v>0</v>
      </c>
      <c r="F64" s="18">
        <f>ROUND(F18,2)</f>
        <v>0</v>
      </c>
      <c r="G64" s="18">
        <f>G18</f>
        <v>0</v>
      </c>
      <c r="H64" s="18">
        <f>ROUND(H18,2)</f>
        <v>0</v>
      </c>
      <c r="I64" s="18">
        <f>I18</f>
        <v>0</v>
      </c>
      <c r="J64" s="18">
        <f>ROUND(J18,2)</f>
        <v>0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"Drafted by 5 Musketeers"</v>
      </c>
      <c r="U64" s="18" t="str">
        <f t="shared" si="30"/>
        <v>"../Images/5M_Final.png"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Y1" zoomScale="55" zoomScaleNormal="55" workbookViewId="0">
      <selection activeCell="F5" sqref="F5"/>
    </sheetView>
    <sheetView workbookViewId="1"/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173</v>
      </c>
      <c r="G4" s="114" t="s">
        <v>179</v>
      </c>
      <c r="H4" s="114" t="s">
        <v>180</v>
      </c>
      <c r="I4" s="114" t="s">
        <v>174</v>
      </c>
      <c r="J4" s="114" t="s">
        <v>181</v>
      </c>
      <c r="K4" s="114" t="s">
        <v>182</v>
      </c>
      <c r="L4" s="114" t="s">
        <v>175</v>
      </c>
      <c r="M4" s="114" t="s">
        <v>183</v>
      </c>
      <c r="N4" s="114" t="s">
        <v>184</v>
      </c>
      <c r="O4" s="114" t="s">
        <v>176</v>
      </c>
      <c r="P4" s="114" t="s">
        <v>177</v>
      </c>
      <c r="Q4" s="114" t="s">
        <v>178</v>
      </c>
      <c r="S4" s="3" t="s">
        <v>80</v>
      </c>
    </row>
    <row r="5" spans="2:46" ht="14.25" customHeight="1" x14ac:dyDescent="0.45">
      <c r="B5" s="129" t="str">
        <f>'Preseason 1'!B45</f>
        <v>11-July</v>
      </c>
      <c r="C5" s="129">
        <f>'Preseason 1'!C45</f>
        <v>12</v>
      </c>
      <c r="D5" s="129">
        <f>'Preseason 1'!D45</f>
        <v>5</v>
      </c>
      <c r="E5" s="129">
        <f>'Preseason 1'!E45</f>
        <v>0</v>
      </c>
      <c r="F5" s="129">
        <f>'Preseason 1'!F45</f>
        <v>5</v>
      </c>
      <c r="G5" s="129">
        <f>'Preseason 1'!G45</f>
        <v>0</v>
      </c>
      <c r="H5" s="129">
        <f>'Preseason 1'!H45</f>
        <v>6</v>
      </c>
      <c r="I5" s="129">
        <f>'Preseason 1'!I45</f>
        <v>0</v>
      </c>
      <c r="J5" s="129">
        <f>'Preseason 1'!J45</f>
        <v>2</v>
      </c>
      <c r="K5" s="129">
        <f>'Preseason 1'!K45</f>
        <v>6</v>
      </c>
      <c r="L5" s="129">
        <f>'Preseason 1'!L45</f>
        <v>12</v>
      </c>
      <c r="M5" s="129">
        <f>'Preseason 1'!M45</f>
        <v>3</v>
      </c>
      <c r="N5" s="129">
        <f>'Preseason 1'!N45</f>
        <v>0</v>
      </c>
      <c r="O5" s="129">
        <f>'Preseason 1'!O45</f>
        <v>2</v>
      </c>
      <c r="P5" s="129">
        <f>'Preseason 1'!P45</f>
        <v>1</v>
      </c>
      <c r="Q5" s="129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15"/>
      <c r="C6" s="116"/>
      <c r="D6" s="116"/>
      <c r="E6" s="116"/>
      <c r="F6" s="116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S6" s="5">
        <f>AVERAGE(C5:C30)</f>
        <v>12</v>
      </c>
      <c r="T6" s="130">
        <f>AVERAGE(C5:C30)</f>
        <v>12</v>
      </c>
      <c r="U6" s="130">
        <f>AVERAGE(D5:D30)</f>
        <v>5</v>
      </c>
      <c r="V6" s="130">
        <f>AVERAGE(E5:E30)</f>
        <v>0</v>
      </c>
      <c r="Z6" s="74" t="s">
        <v>169</v>
      </c>
      <c r="AA6" s="1">
        <f>AA27+AA46+AA65+AL27+AL46+AL65+AA84+AL84</f>
        <v>1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5"/>
      <c r="C7" s="116"/>
      <c r="D7" s="116"/>
      <c r="E7" s="116"/>
      <c r="F7" s="11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S7" s="3" t="s">
        <v>83</v>
      </c>
      <c r="T7" s="6">
        <f>T6/$S$6</f>
        <v>1</v>
      </c>
      <c r="U7" s="6">
        <f>U6/$S$6</f>
        <v>0.41666666666666669</v>
      </c>
      <c r="V7" s="6">
        <f>V6/$S$6</f>
        <v>0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2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1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1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5</v>
      </c>
      <c r="AB10" s="70">
        <f>IF($AA$6-Table1[[#This Row],[Missed Games]]=0, 0,Table1[[#This Row],[Points]]/($AA$6-Table1[[#This Row],[Missed Games]]))</f>
        <v>5</v>
      </c>
      <c r="AC10" s="71">
        <f t="shared" si="1"/>
        <v>3</v>
      </c>
      <c r="AD10" s="72">
        <f>IF($AA$6-Table1[[#This Row],[Missed Games]]=0, 0,Table1[[#This Row],[Finishes]]/($AA$6-Table1[[#This Row],[Missed Games]]))</f>
        <v>3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1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1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>
        <f>IF($AA$6-Table1[[#This Row],[Missed Games]]=0, 0,Table1[[#This Row],[Points]]/($AA$6-Table1[[#This Row],[Missed Games]]))</f>
        <v>0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0</v>
      </c>
      <c r="AF12" s="72">
        <f>IF($AA$6-Table1[[#This Row],[Missed Games]]=0, 0,Table1[[#This Row],[Midranges]]/($AA$6-Table1[[#This Row],[Missed Games]]))</f>
        <v>0</v>
      </c>
      <c r="AG12" s="71">
        <f t="shared" si="3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0</v>
      </c>
      <c r="AB13" s="70">
        <f>IF($AA$6-Table1[[#This Row],[Missed Games]]=0, 0,Table1[[#This Row],[Points]]/($AA$6-Table1[[#This Row],[Missed Games]]))</f>
        <v>0</v>
      </c>
      <c r="AC13" s="71">
        <f t="shared" si="1"/>
        <v>0</v>
      </c>
      <c r="AD13" s="72">
        <f>IF($AA$6-Table1[[#This Row],[Missed Games]]=0, 0,Table1[[#This Row],[Finishes]]/($AA$6-Table1[[#This Row],[Missed Games]]))</f>
        <v>0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2</v>
      </c>
      <c r="AC14" s="71">
        <f t="shared" si="1"/>
        <v>1</v>
      </c>
      <c r="AD14" s="72">
        <f>IF($AA$6-Table1[[#This Row],[Missed Games]]=0, 0,Table1[[#This Row],[Finishes]]/($AA$6-Table1[[#This Row],[Missed Games]]))</f>
        <v>1</v>
      </c>
      <c r="AE14" s="71">
        <f t="shared" si="2"/>
        <v>1</v>
      </c>
      <c r="AF14" s="72">
        <f>IF($AA$6-Table1[[#This Row],[Missed Games]]=0, 0,Table1[[#This Row],[Midranges]]/($AA$6-Table1[[#This Row],[Missed Games]]))</f>
        <v>1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IF($AA$6-Table1[[#This Row],[Missed Games]]=0, 0,Table1[[#This Row],[Points]]/($AA$6-Table1[[#This Row],[Missed Games]]))</f>
        <v>0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4"/>
        <v>0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3</v>
      </c>
      <c r="AB16" s="70">
        <f>IF($AA$6-Table1[[#This Row],[Missed Games]]=0, 0,Table1[[#This Row],[Points]]/($AA$6-Table1[[#This Row],[Missed Games]]))</f>
        <v>3</v>
      </c>
      <c r="AC16" s="71">
        <f t="shared" si="1"/>
        <v>1</v>
      </c>
      <c r="AD16" s="72">
        <f>IF($AA$6-Table1[[#This Row],[Missed Games]]=0, 0,Table1[[#This Row],[Finishes]]/($AA$6-Table1[[#This Row],[Missed Games]]))</f>
        <v>1</v>
      </c>
      <c r="AE16" s="71">
        <f t="shared" si="2"/>
        <v>0</v>
      </c>
      <c r="AF16" s="72">
        <f>IF($AA$6-Table1[[#This Row],[Missed Games]]=0, 0,Table1[[#This Row],[Midranges]]/($AA$6-Table1[[#This Row],[Missed Games]]))</f>
        <v>0</v>
      </c>
      <c r="AG16" s="71">
        <f t="shared" si="3"/>
        <v>1</v>
      </c>
      <c r="AH16" s="72">
        <f>IF($AA$6-Table1[[#This Row],[Missed Games]]=0, 0,Table1[[#This Row],[Threes]]/($AA$6-Table1[[#This Row],[Missed Games]]))</f>
        <v>1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6</v>
      </c>
      <c r="AB17" s="70">
        <f>IF($AA$6-Table1[[#This Row],[Missed Games]]=0, 0,Table1[[#This Row],[Points]]/($AA$6-Table1[[#This Row],[Missed Games]]))</f>
        <v>6</v>
      </c>
      <c r="AC17" s="71">
        <f t="shared" si="1"/>
        <v>0</v>
      </c>
      <c r="AD17" s="72">
        <f>IF($AA$6-Table1[[#This Row],[Missed Games]]=0, 0,Table1[[#This Row],[Finishes]]/($AA$6-Table1[[#This Row],[Missed Games]]))</f>
        <v>0</v>
      </c>
      <c r="AE17" s="71">
        <f t="shared" si="2"/>
        <v>4</v>
      </c>
      <c r="AF17" s="72">
        <f>IF($AA$6-Table1[[#This Row],[Missed Games]]=0, 0,Table1[[#This Row],[Midranges]]/($AA$6-Table1[[#This Row],[Missed Games]]))</f>
        <v>4</v>
      </c>
      <c r="AG17" s="71">
        <f t="shared" si="3"/>
        <v>1</v>
      </c>
      <c r="AH17" s="72">
        <f>IF($AA$6-Table1[[#This Row],[Missed Games]]=0, 0,Table1[[#This Row],[Threes]]/($AA$6-Table1[[#This Row],[Missed Games]]))</f>
        <v>1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0</v>
      </c>
      <c r="AB18" s="70">
        <f>IF($AA$6-Table1[[#This Row],[Missed Games]]=0, 0,Table1[[#This Row],[Points]]/($AA$6-Table1[[#This Row],[Missed Games]]))</f>
        <v>0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203</v>
      </c>
      <c r="AA19" s="69">
        <f t="shared" ref="AA19" si="5">SUM(AA40,AL40,AA60,AL60,AA80,AL80,AA100,AL100)</f>
        <v>0</v>
      </c>
      <c r="AB19" s="70">
        <f>IF($AA$6-Table1[[#This Row],[Missed Games]]=0, 0,Table1[[#This Row],[Points]]/($AA$6-Table1[[#This Row],[Missed Games]]))</f>
        <v>0</v>
      </c>
      <c r="AC19" s="71">
        <f t="shared" ref="AC19" si="6">SUM(AB40,AM40,AB60,AM60,AB80,AM80,AB100,AM100)</f>
        <v>0</v>
      </c>
      <c r="AD19" s="72">
        <f>IF($AA$6-Table1[[#This Row],[Missed Games]]=0, 0,Table1[[#This Row],[Finishes]]/($AA$6-Table1[[#This Row],[Missed Games]]))</f>
        <v>0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2</v>
      </c>
      <c r="AB20" s="70">
        <f>IF($AA$6-Table1[[#This Row],[Missed Games]]=0, 0,Table1[[#This Row],[Points]]/($AA$6-Table1[[#This Row],[Missed Games]]))</f>
        <v>2</v>
      </c>
      <c r="AC20" s="71">
        <f t="shared" si="1"/>
        <v>0</v>
      </c>
      <c r="AD20" s="125">
        <f>IF($AA$6-Table1[[#This Row],[Missed Games]]=0, 0,Table1[[#This Row],[Finishes]]/($AA$6-Table1[[#This Row],[Missed Games]]))</f>
        <v>0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1</v>
      </c>
      <c r="AI20" s="122" t="str">
        <f>SfW!C14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1</v>
      </c>
      <c r="AB21" s="70">
        <f>IF($AA$6-Table1[[#This Row],[Missed Games]]=0, 0,Table1[[#This Row],[Points]]/($AA$6-Table1[[#This Row],[Missed Games]]))</f>
        <v>1</v>
      </c>
      <c r="AC21" s="71">
        <f t="shared" si="1"/>
        <v>0</v>
      </c>
      <c r="AD21" s="125">
        <f>IF($AA$6-Table1[[#This Row],[Missed Games]]=0, 0,Table1[[#This Row],[Finishes]]/($AA$6-Table1[[#This Row],[Missed Games]]))</f>
        <v>0</v>
      </c>
      <c r="AE21" s="71">
        <f t="shared" si="2"/>
        <v>1</v>
      </c>
      <c r="AF21" s="125">
        <f>IF($AA$6-Table1[[#This Row],[Missed Games]]=0, 0,Table1[[#This Row],[Midranges]]/($AA$6-Table1[[#This Row],[Missed Games]]))</f>
        <v>1</v>
      </c>
      <c r="AG21" s="71">
        <f t="shared" si="3"/>
        <v>0</v>
      </c>
      <c r="AH21" s="125">
        <f>IF($AA$6-Table1[[#This Row],[Missed Games]]=0, 0,Table1[[#This Row],[Threes]]/($AA$6-Table1[[#This Row],[Missed Games]]))</f>
        <v>0</v>
      </c>
      <c r="AI21" s="122" t="str">
        <f>SfW!C15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0</v>
      </c>
      <c r="AB22" s="70">
        <f>IF($AA$6-Table1[[#This Row],[Missed Games]]=0, 0,Table1[[#This Row],[Points]]/($AA$6-Table1[[#This Row],[Missed Games]]))</f>
        <v>0</v>
      </c>
      <c r="AC22" s="71">
        <f t="shared" si="1"/>
        <v>0</v>
      </c>
      <c r="AD22" s="125">
        <f>IF($AA$6-Table1[[#This Row],[Missed Games]]=0, 0,Table1[[#This Row],[Finishes]]/($AA$6-Table1[[#This Row],[Missed Games]]))</f>
        <v>0</v>
      </c>
      <c r="AE22" s="71">
        <f t="shared" si="2"/>
        <v>0</v>
      </c>
      <c r="AF22" s="125">
        <f>IF($AA$6-Table1[[#This Row],[Missed Games]]=0, 0,Table1[[#This Row],[Midranges]]/($AA$6-Table1[[#This Row],[Missed Games]]))</f>
        <v>0</v>
      </c>
      <c r="AG22" s="71">
        <f t="shared" si="3"/>
        <v>0</v>
      </c>
      <c r="AH22" s="125">
        <f>IF($AA$6-Table1[[#This Row],[Missed Games]]=0, 0,Table1[[#This Row],[Threes]]/($AA$6-Table1[[#This Row],[Missed Games]]))</f>
        <v>0</v>
      </c>
      <c r="AI22" s="122" t="str">
        <f>SfW!C16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SfW!C17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SfW!C18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167</v>
      </c>
      <c r="AA27" s="1">
        <v>1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166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166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</f>
        <v>0</v>
      </c>
      <c r="AB29" s="32">
        <f>'Preseason 1'!S3</f>
        <v>0</v>
      </c>
      <c r="AC29" s="32">
        <f>'Preseason 1'!T3</f>
        <v>0</v>
      </c>
      <c r="AD29" s="32">
        <f>'Preseason 1'!U3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COUNTIF(Template!V3,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185</v>
      </c>
      <c r="Z30" s="49" t="s">
        <v>49</v>
      </c>
      <c r="AA30" s="32">
        <f>'Preseason 1'!R4</f>
        <v>2</v>
      </c>
      <c r="AB30" s="32">
        <f>'Preseason 1'!S4</f>
        <v>1</v>
      </c>
      <c r="AC30" s="32">
        <f>'Preseason 1'!T4</f>
        <v>1</v>
      </c>
      <c r="AD30" s="32">
        <f>'Preseason 1'!U4</f>
        <v>0</v>
      </c>
      <c r="AE30" s="34">
        <f t="shared" si="9"/>
        <v>2</v>
      </c>
      <c r="AF30" s="35">
        <f t="shared" si="10"/>
        <v>1</v>
      </c>
      <c r="AG30" s="34">
        <f t="shared" si="11"/>
        <v>1</v>
      </c>
      <c r="AH30" s="35">
        <f t="shared" si="12"/>
        <v>0</v>
      </c>
      <c r="AI30" s="36">
        <f>COUNTIF(Template!V4,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186</v>
      </c>
      <c r="Z31" s="49" t="s">
        <v>51</v>
      </c>
      <c r="AA31" s="32">
        <f>'Preseason 1'!R5</f>
        <v>5</v>
      </c>
      <c r="AB31" s="32">
        <f>'Preseason 1'!S5</f>
        <v>3</v>
      </c>
      <c r="AC31" s="32">
        <f>'Preseason 1'!T5</f>
        <v>0</v>
      </c>
      <c r="AD31" s="32">
        <f>'Preseason 1'!U5</f>
        <v>1</v>
      </c>
      <c r="AE31" s="34">
        <f t="shared" si="9"/>
        <v>5</v>
      </c>
      <c r="AF31" s="35">
        <f t="shared" si="10"/>
        <v>3</v>
      </c>
      <c r="AG31" s="34">
        <f t="shared" si="11"/>
        <v>0</v>
      </c>
      <c r="AH31" s="35">
        <f t="shared" si="12"/>
        <v>1</v>
      </c>
      <c r="AI31" s="36">
        <f>COUNTIF(Template!V5,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187</v>
      </c>
      <c r="X32" s="19"/>
      <c r="Z32" s="49" t="s">
        <v>54</v>
      </c>
      <c r="AA32" s="32">
        <f>'Preseason 1'!R6</f>
        <v>0</v>
      </c>
      <c r="AB32" s="32">
        <f>'Preseason 1'!S6</f>
        <v>0</v>
      </c>
      <c r="AC32" s="32">
        <f>'Preseason 1'!T6</f>
        <v>0</v>
      </c>
      <c r="AD32" s="32">
        <f>'Preseason 1'!U6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v>1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188</v>
      </c>
      <c r="Z33" s="49" t="s">
        <v>57</v>
      </c>
      <c r="AA33" s="32">
        <f>'Preseason 1'!R7</f>
        <v>0</v>
      </c>
      <c r="AB33" s="32">
        <f>'Preseason 1'!S7</f>
        <v>0</v>
      </c>
      <c r="AC33" s="32">
        <f>'Preseason 1'!T7</f>
        <v>0</v>
      </c>
      <c r="AD33" s="32">
        <f>'Preseason 1'!U7</f>
        <v>0</v>
      </c>
      <c r="AE33" s="34">
        <f t="shared" si="9"/>
        <v>0</v>
      </c>
      <c r="AF33" s="35">
        <f t="shared" si="10"/>
        <v>0</v>
      </c>
      <c r="AG33" s="34">
        <f t="shared" si="11"/>
        <v>0</v>
      </c>
      <c r="AH33" s="35">
        <f t="shared" si="12"/>
        <v>0</v>
      </c>
      <c r="AI33" s="36">
        <f>COUNTIF(Template!V7,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189</v>
      </c>
      <c r="Z34" s="49" t="s">
        <v>60</v>
      </c>
      <c r="AA34" s="32">
        <f>'Preseason 1'!R8</f>
        <v>0</v>
      </c>
      <c r="AB34" s="32">
        <f>'Preseason 1'!S8</f>
        <v>0</v>
      </c>
      <c r="AC34" s="32">
        <f>'Preseason 1'!T8</f>
        <v>0</v>
      </c>
      <c r="AD34" s="32">
        <f>'Preseason 1'!U8</f>
        <v>0</v>
      </c>
      <c r="AE34" s="34">
        <f t="shared" si="9"/>
        <v>0</v>
      </c>
      <c r="AF34" s="35">
        <f t="shared" si="10"/>
        <v>0</v>
      </c>
      <c r="AG34" s="34">
        <f t="shared" si="11"/>
        <v>0</v>
      </c>
      <c r="AH34" s="35">
        <f t="shared" si="12"/>
        <v>0</v>
      </c>
      <c r="AI34" s="36">
        <f>COUNTIF(Template!V8,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190</v>
      </c>
      <c r="Z35" s="36" t="s">
        <v>93</v>
      </c>
      <c r="AA35" s="32">
        <f>'Preseason 1'!R9</f>
        <v>2</v>
      </c>
      <c r="AB35" s="32">
        <f>'Preseason 1'!S9</f>
        <v>1</v>
      </c>
      <c r="AC35" s="32">
        <f>'Preseason 1'!T9</f>
        <v>1</v>
      </c>
      <c r="AD35" s="32">
        <f>'Preseason 1'!U9</f>
        <v>0</v>
      </c>
      <c r="AE35" s="34">
        <f t="shared" si="9"/>
        <v>2</v>
      </c>
      <c r="AF35" s="35">
        <f t="shared" si="10"/>
        <v>1</v>
      </c>
      <c r="AG35" s="34">
        <f t="shared" si="11"/>
        <v>1</v>
      </c>
      <c r="AH35" s="35">
        <f t="shared" si="12"/>
        <v>0</v>
      </c>
      <c r="AI35" s="36">
        <f>COUNTIF(Template!V9,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191</v>
      </c>
      <c r="Z36" s="49" t="s">
        <v>63</v>
      </c>
      <c r="AA36" s="32">
        <f>'Preseason 1'!R10</f>
        <v>0</v>
      </c>
      <c r="AB36" s="32">
        <f>'Preseason 1'!S10</f>
        <v>0</v>
      </c>
      <c r="AC36" s="32">
        <f>'Preseason 1'!T10</f>
        <v>0</v>
      </c>
      <c r="AD36" s="32">
        <f>'Preseason 1'!U10</f>
        <v>0</v>
      </c>
      <c r="AE36" s="34">
        <f t="shared" si="9"/>
        <v>0</v>
      </c>
      <c r="AF36" s="35">
        <f t="shared" si="10"/>
        <v>0</v>
      </c>
      <c r="AG36" s="34">
        <f t="shared" si="11"/>
        <v>0</v>
      </c>
      <c r="AH36" s="35">
        <f t="shared" si="12"/>
        <v>0</v>
      </c>
      <c r="AI36" s="36">
        <v>0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</f>
        <v>3</v>
      </c>
      <c r="AB37" s="32">
        <f>'Preseason 1'!S11</f>
        <v>1</v>
      </c>
      <c r="AC37" s="32">
        <f>'Preseason 1'!T11</f>
        <v>0</v>
      </c>
      <c r="AD37" s="32">
        <f>'Preseason 1'!U11</f>
        <v>1</v>
      </c>
      <c r="AE37" s="34">
        <f t="shared" si="9"/>
        <v>3</v>
      </c>
      <c r="AF37" s="35">
        <f t="shared" si="10"/>
        <v>1</v>
      </c>
      <c r="AG37" s="34">
        <f t="shared" si="11"/>
        <v>0</v>
      </c>
      <c r="AH37" s="35">
        <f t="shared" si="12"/>
        <v>1</v>
      </c>
      <c r="AI37" s="36">
        <f>COUNTIF(Template!V11,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</f>
        <v>6</v>
      </c>
      <c r="AB38" s="32">
        <f>'Preseason 1'!S12</f>
        <v>0</v>
      </c>
      <c r="AC38" s="32">
        <f>'Preseason 1'!T12</f>
        <v>4</v>
      </c>
      <c r="AD38" s="32">
        <f>'Preseason 1'!U12</f>
        <v>1</v>
      </c>
      <c r="AE38" s="34">
        <f t="shared" si="9"/>
        <v>6</v>
      </c>
      <c r="AF38" s="35">
        <f t="shared" si="10"/>
        <v>0</v>
      </c>
      <c r="AG38" s="34">
        <f t="shared" si="11"/>
        <v>4</v>
      </c>
      <c r="AH38" s="35">
        <f t="shared" si="12"/>
        <v>1</v>
      </c>
      <c r="AI38" s="36">
        <f>COUNTIF(Template!V12,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</f>
        <v>0</v>
      </c>
      <c r="AB39" s="32">
        <f>'Preseason 1'!S13</f>
        <v>0</v>
      </c>
      <c r="AC39" s="32">
        <f>'Preseason 1'!T13</f>
        <v>0</v>
      </c>
      <c r="AD39" s="32">
        <f>'Preseason 1'!U13</f>
        <v>0</v>
      </c>
      <c r="AE39" s="34">
        <f t="shared" si="9"/>
        <v>0</v>
      </c>
      <c r="AF39" s="35">
        <f t="shared" si="10"/>
        <v>0</v>
      </c>
      <c r="AG39" s="34">
        <f t="shared" si="11"/>
        <v>0</v>
      </c>
      <c r="AH39" s="35">
        <f t="shared" si="12"/>
        <v>0</v>
      </c>
      <c r="AI39" s="36">
        <f>COUNTIF(Template!V13,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203</v>
      </c>
      <c r="AA40" s="32">
        <f>'Preseason 1'!R14</f>
        <v>0</v>
      </c>
      <c r="AB40" s="32">
        <f>'Preseason 1'!S14</f>
        <v>0</v>
      </c>
      <c r="AC40" s="32">
        <f>'Preseason 1'!T14</f>
        <v>0</v>
      </c>
      <c r="AD40" s="32">
        <f>'Preseason 1'!U14</f>
        <v>0</v>
      </c>
      <c r="AE40" s="34">
        <f t="shared" ref="AE40:AE45" si="13">AA40/$AA$27</f>
        <v>0</v>
      </c>
      <c r="AF40" s="35">
        <f t="shared" ref="AF40:AF45" si="14">AB40/$AA$27</f>
        <v>0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v>1</v>
      </c>
      <c r="AJ40" s="36"/>
      <c r="AK40" s="36" t="s">
        <v>203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2</v>
      </c>
      <c r="V41" s="28"/>
      <c r="Z41" s="36" t="s">
        <v>128</v>
      </c>
      <c r="AA41" s="32">
        <f>'Preseason 1'!R15</f>
        <v>2</v>
      </c>
      <c r="AB41" s="32">
        <f>'Preseason 1'!S15</f>
        <v>0</v>
      </c>
      <c r="AC41" s="32">
        <f>'Preseason 1'!T15</f>
        <v>0</v>
      </c>
      <c r="AD41" s="32">
        <f>'Preseason 1'!U15</f>
        <v>1</v>
      </c>
      <c r="AE41" s="34">
        <f t="shared" si="13"/>
        <v>2</v>
      </c>
      <c r="AF41" s="35">
        <f t="shared" si="14"/>
        <v>0</v>
      </c>
      <c r="AG41" s="34">
        <f t="shared" si="15"/>
        <v>0</v>
      </c>
      <c r="AH41" s="35">
        <f t="shared" si="16"/>
        <v>1</v>
      </c>
      <c r="AI41" s="36">
        <f>COUNTIF(Template!V15,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1</v>
      </c>
      <c r="V42" s="28"/>
      <c r="Z42" s="36" t="s">
        <v>127</v>
      </c>
      <c r="AA42" s="32">
        <f>'Preseason 1'!R16</f>
        <v>1</v>
      </c>
      <c r="AB42" s="32">
        <f>'Preseason 1'!S16</f>
        <v>0</v>
      </c>
      <c r="AC42" s="32">
        <f>'Preseason 1'!T16</f>
        <v>1</v>
      </c>
      <c r="AD42" s="32">
        <f>'Preseason 1'!U16</f>
        <v>0</v>
      </c>
      <c r="AE42" s="34">
        <f t="shared" si="13"/>
        <v>1</v>
      </c>
      <c r="AF42" s="35">
        <f t="shared" si="14"/>
        <v>0</v>
      </c>
      <c r="AG42" s="34">
        <f t="shared" si="15"/>
        <v>1</v>
      </c>
      <c r="AH42" s="35">
        <f t="shared" si="16"/>
        <v>0</v>
      </c>
      <c r="AI42" s="36">
        <f>COUNTIF(Template!V16,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3</v>
      </c>
      <c r="V43" s="28"/>
      <c r="Z43" s="36" t="s">
        <v>73</v>
      </c>
      <c r="AA43" s="32">
        <f>'Preseason 1'!R17</f>
        <v>0</v>
      </c>
      <c r="AB43" s="32">
        <f>'Preseason 1'!S17</f>
        <v>0</v>
      </c>
      <c r="AC43" s="32">
        <f>'Preseason 1'!T17</f>
        <v>0</v>
      </c>
      <c r="AD43" s="32">
        <f>'Preseason 1'!U17</f>
        <v>0</v>
      </c>
      <c r="AE43" s="34">
        <f t="shared" si="13"/>
        <v>0</v>
      </c>
      <c r="AF43" s="35">
        <f t="shared" si="14"/>
        <v>0</v>
      </c>
      <c r="AG43" s="34">
        <f t="shared" si="15"/>
        <v>0</v>
      </c>
      <c r="AH43" s="35">
        <f t="shared" si="16"/>
        <v>0</v>
      </c>
      <c r="AI43" s="36">
        <f>COUNTIF(Template!V17,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</f>
        <v>0</v>
      </c>
      <c r="AB44" s="32">
        <f>'Preseason 1'!S18</f>
        <v>0</v>
      </c>
      <c r="AC44" s="32">
        <f>'Preseason 1'!T18</f>
        <v>0</v>
      </c>
      <c r="AD44" s="32">
        <f>'Preseason 1'!U18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COUNTIF(Template!V18,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</f>
        <v>0</v>
      </c>
      <c r="AB45" s="32">
        <f>'Preseason 1'!S19</f>
        <v>0</v>
      </c>
      <c r="AC45" s="32">
        <f>'Preseason 1'!T19</f>
        <v>0</v>
      </c>
      <c r="AD45" s="32">
        <f>'Preseason 1'!U19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COUNTIF(Template!V19,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6</v>
      </c>
      <c r="V46" s="18">
        <f>U46/AA6</f>
        <v>6</v>
      </c>
      <c r="W46" s="28">
        <f>U46/SUM($U$46:$U$48)</f>
        <v>0.35294117647058826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7</v>
      </c>
      <c r="V47" s="18">
        <f>U47/AA6</f>
        <v>7</v>
      </c>
      <c r="W47" s="28">
        <f>U47/SUM($U$46:$U$48)</f>
        <v>0.41176470588235292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4</v>
      </c>
      <c r="V48" s="18">
        <f>U48/AA6</f>
        <v>4</v>
      </c>
      <c r="W48" s="28">
        <f>U48/SUM($U$46:$U$48)</f>
        <v>0.23529411764705882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166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166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1</v>
      </c>
      <c r="V53" s="39">
        <f>'Statistics LG'!O42</f>
        <v>0.33333333333333331</v>
      </c>
      <c r="W53" s="39">
        <f>AVERAGE(U53:V53)</f>
        <v>0.66666666666666663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</v>
      </c>
      <c r="U54" s="42" t="s">
        <v>131</v>
      </c>
      <c r="V54" s="39">
        <f>'Statistics WW'!L42</f>
        <v>0</v>
      </c>
      <c r="W54" s="39">
        <f>AVERAGE(T54:V54)</f>
        <v>0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0.66666666666666674</v>
      </c>
      <c r="U55" s="39">
        <f>1-V54</f>
        <v>1</v>
      </c>
      <c r="V55" s="42" t="s">
        <v>131</v>
      </c>
      <c r="W55" s="39">
        <f>AVERAGE(T55:V55)</f>
        <v>0.83333333333333337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203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203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166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166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>
        <f>'Statistics LG'!A5</f>
        <v>0</v>
      </c>
      <c r="T77">
        <f>T76+'Statistics LG'!D5</f>
        <v>2</v>
      </c>
      <c r="U77">
        <f>U76+'Statistics WW'!D5</f>
        <v>1</v>
      </c>
      <c r="V77">
        <f>V76+'Statistics 5M'!D5</f>
        <v>3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2</v>
      </c>
      <c r="U78" s="17">
        <f>U77+'Statistics WW'!D6</f>
        <v>1</v>
      </c>
      <c r="V78" s="17">
        <f>V77+'Statistics 5M'!D6</f>
        <v>3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2</v>
      </c>
      <c r="U79" s="17">
        <f>U78+'Statistics WW'!D7</f>
        <v>1</v>
      </c>
      <c r="V79" s="17">
        <f>V78+'Statistics 5M'!D7</f>
        <v>3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2</v>
      </c>
      <c r="U80" s="17">
        <f>U79+'Statistics WW'!D8</f>
        <v>1</v>
      </c>
      <c r="V80" s="17">
        <f>V79+'Statistics 5M'!D8</f>
        <v>3</v>
      </c>
      <c r="Z80" s="36" t="s">
        <v>203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203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2</v>
      </c>
      <c r="U81" s="17">
        <f>U80+'Statistics WW'!D9</f>
        <v>1</v>
      </c>
      <c r="V81" s="17">
        <f>V80+'Statistics 5M'!D9</f>
        <v>3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2</v>
      </c>
      <c r="U82" s="17">
        <f>U81+'Statistics WW'!D10</f>
        <v>1</v>
      </c>
      <c r="V82" s="17">
        <f>V81+'Statistics 5M'!D10</f>
        <v>3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2</v>
      </c>
      <c r="U83" s="17">
        <f>U82+'Statistics WW'!D11</f>
        <v>1</v>
      </c>
      <c r="V83" s="17">
        <f>V82+'Statistics 5M'!D11</f>
        <v>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2</v>
      </c>
      <c r="U84" s="17">
        <f>U83+'Statistics WW'!D12</f>
        <v>1</v>
      </c>
      <c r="V84" s="17">
        <f>V83+'Statistics 5M'!D12</f>
        <v>3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2</v>
      </c>
      <c r="U85" s="17">
        <f>U84+'Statistics WW'!D13</f>
        <v>1</v>
      </c>
      <c r="V85" s="17">
        <f>V84+'Statistics 5M'!D13</f>
        <v>3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2</v>
      </c>
      <c r="U86" s="17">
        <f>U85+'Statistics WW'!D14</f>
        <v>1</v>
      </c>
      <c r="V86" s="17">
        <f>V85+'Statistics 5M'!D14</f>
        <v>3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2</v>
      </c>
      <c r="U87" s="17">
        <f>U86+'Statistics WW'!D15</f>
        <v>1</v>
      </c>
      <c r="V87" s="17">
        <f>V86+'Statistics 5M'!D15</f>
        <v>3</v>
      </c>
      <c r="Z87" s="49" t="s">
        <v>168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204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2</v>
      </c>
      <c r="U88" s="17">
        <f>U87+'Statistics WW'!D16</f>
        <v>1</v>
      </c>
      <c r="V88" s="17">
        <f>V87+'Statistics 5M'!D16</f>
        <v>3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166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166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2</v>
      </c>
      <c r="U89" s="17">
        <f>U88+'Statistics WW'!D17</f>
        <v>1</v>
      </c>
      <c r="V89" s="17">
        <f>V88+'Statistics 5M'!D17</f>
        <v>3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2</v>
      </c>
      <c r="U90" s="17">
        <f>U89+'Statistics WW'!D18</f>
        <v>1</v>
      </c>
      <c r="V90" s="17">
        <f>V89+'Statistics 5M'!D18</f>
        <v>3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203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203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1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  <sheetView topLeftCell="D25" workbookViewId="1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195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5</v>
      </c>
      <c r="I3" s="86">
        <f>SUM(C4:C40)</f>
        <v>6</v>
      </c>
      <c r="J3" s="83">
        <f>SUM(D4:D40)</f>
        <v>2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209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0</v>
      </c>
      <c r="T4" s="103">
        <f>'Stats Global'!AB22</f>
        <v>0</v>
      </c>
      <c r="U4" s="103">
        <f>'Stats Global'!AC22</f>
        <v>0</v>
      </c>
      <c r="V4" s="103">
        <f>'Stats Global'!AD22</f>
        <v>0</v>
      </c>
      <c r="W4" s="103">
        <f>'Stats Global'!AE22</f>
        <v>0</v>
      </c>
      <c r="X4" s="103">
        <f>'Stats Global'!AF22</f>
        <v>0</v>
      </c>
      <c r="Y4" s="103">
        <f>'Stats Global'!AG22</f>
        <v>0</v>
      </c>
      <c r="Z4" s="103">
        <f>'Stats Global'!AH22</f>
        <v>0</v>
      </c>
      <c r="AA4" s="103">
        <f>'Stats Global'!AJ22</f>
        <v>0</v>
      </c>
    </row>
    <row r="5" spans="1:30" ht="14.35" customHeight="1" x14ac:dyDescent="0.45">
      <c r="A5" s="80">
        <f>'Stats Global'!B6</f>
        <v>0</v>
      </c>
      <c r="B5" s="88">
        <f>'Stats Global'!F6</f>
        <v>0</v>
      </c>
      <c r="C5" s="88">
        <f>'Stats Global'!G6+'Stats Global'!H6</f>
        <v>0</v>
      </c>
      <c r="D5" s="88">
        <f>'Stats Global'!O6</f>
        <v>0</v>
      </c>
      <c r="E5" s="85"/>
      <c r="F5" s="85"/>
      <c r="I5" s="86"/>
      <c r="J5" s="89"/>
      <c r="L5" s="90">
        <f>'Stats Global'!J6</f>
        <v>0</v>
      </c>
      <c r="M5" s="90">
        <f>'Stats Global'!G6</f>
        <v>0</v>
      </c>
      <c r="N5" s="91"/>
      <c r="O5" s="90">
        <f>'Stats Global'!M6</f>
        <v>0</v>
      </c>
      <c r="P5" s="90">
        <f>'Stats Global'!H6</f>
        <v>0</v>
      </c>
      <c r="R5" s="89" t="s">
        <v>46</v>
      </c>
      <c r="S5" s="103">
        <f>'Stats Global'!AA16</f>
        <v>3</v>
      </c>
      <c r="T5" s="103">
        <f>'Stats Global'!AB16</f>
        <v>3</v>
      </c>
      <c r="U5" s="103">
        <f>'Stats Global'!AC16</f>
        <v>1</v>
      </c>
      <c r="V5" s="103">
        <f>'Stats Global'!AD16</f>
        <v>1</v>
      </c>
      <c r="W5" s="103">
        <f>'Stats Global'!AE16</f>
        <v>0</v>
      </c>
      <c r="X5" s="103">
        <f>'Stats Global'!AF16</f>
        <v>0</v>
      </c>
      <c r="Y5" s="103">
        <f>'Stats Global'!AG16</f>
        <v>1</v>
      </c>
      <c r="Z5" s="103">
        <f>'Stats Global'!AH16</f>
        <v>1</v>
      </c>
      <c r="AA5" s="103">
        <f>'Stats Global'!AJ16</f>
        <v>0</v>
      </c>
    </row>
    <row r="6" spans="1:30" ht="14.35" customHeight="1" x14ac:dyDescent="0.45">
      <c r="A6" s="80">
        <f>'Stats Global'!B7</f>
        <v>0</v>
      </c>
      <c r="B6" s="88">
        <f>'Stats Global'!F7</f>
        <v>0</v>
      </c>
      <c r="C6" s="88">
        <f>'Stats Global'!G7+'Stats Global'!H7</f>
        <v>0</v>
      </c>
      <c r="D6" s="88">
        <f>'Stats Global'!O7</f>
        <v>0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1</v>
      </c>
      <c r="T6" s="103">
        <f>'Stats Global'!AB21</f>
        <v>1</v>
      </c>
      <c r="U6" s="103">
        <f>'Stats Global'!AC21</f>
        <v>0</v>
      </c>
      <c r="V6" s="103">
        <f>'Stats Global'!AD21</f>
        <v>0</v>
      </c>
      <c r="W6" s="103">
        <f>'Stats Global'!AE21</f>
        <v>1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2</v>
      </c>
      <c r="U8" s="103">
        <f>'Stats Global'!AC9</f>
        <v>1</v>
      </c>
      <c r="V8" s="103">
        <f>'Stats Global'!AD9</f>
        <v>1</v>
      </c>
      <c r="W8" s="103">
        <f>'Stats Global'!AE9</f>
        <v>1</v>
      </c>
      <c r="X8" s="103">
        <f>'Stats Global'!AF9</f>
        <v>1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2</v>
      </c>
      <c r="M41" s="107">
        <f>SUM(M4:M40)</f>
        <v>0</v>
      </c>
      <c r="N41" s="89"/>
      <c r="O41" s="107">
        <f>SUM(O4:O40)</f>
        <v>3</v>
      </c>
      <c r="P41" s="107">
        <f>SUM(P4:P40)</f>
        <v>6</v>
      </c>
    </row>
    <row r="42" spans="1:16" ht="14.25" customHeight="1" x14ac:dyDescent="0.45">
      <c r="L42" s="98">
        <f>L41/(M41+L41)</f>
        <v>1</v>
      </c>
      <c r="O42" s="98">
        <f>O41/(P41+O41)</f>
        <v>0.33333333333333331</v>
      </c>
    </row>
    <row r="43" spans="1:16" ht="14.25" customHeight="1" x14ac:dyDescent="0.45">
      <c r="I43" s="99" t="str">
        <f>K43&amp;H3&amp;","&amp;I3&amp;"],"</f>
        <v>"PartA":[5,6],</v>
      </c>
      <c r="K43" s="81" t="s">
        <v>135</v>
      </c>
      <c r="M43" s="81" t="s">
        <v>139</v>
      </c>
      <c r="O43" s="100">
        <f>ROUND(SUM('Stats Global'!AA8,'Stats Global'!AA9,'Stats Global'!AA16,'Stats Global'!AA21,'Stats Global'!AA22),1)</f>
        <v>6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"PartB":[3,"William Kim",1,"William Kim",1,"Christopher Tomkinson",1,"William Kim"],</v>
      </c>
      <c r="K44" s="81" t="s">
        <v>136</v>
      </c>
      <c r="M44" s="101">
        <f>MAX(Table1114[Points])</f>
        <v>3</v>
      </c>
      <c r="N44" s="81" t="str">
        <f>IF(M44&lt;&gt;0,IF(M44=S4,R4,IF(M44=S5,R5,IF(S6=M44,R6,IF(S7=M44,R7,R8)))),"N/A")</f>
        <v>William Kim</v>
      </c>
      <c r="O44" s="100">
        <f>ROUND(SUM('Stats Global'!AC8,'Stats Global'!AC9,'Stats Global'!AC16,'Stats Global'!AC21,'Stats Global'!AC22),1)</f>
        <v>2</v>
      </c>
    </row>
    <row r="45" spans="1:16" ht="14.25" customHeight="1" x14ac:dyDescent="0.45">
      <c r="I45" s="81" t="str">
        <f>K45&amp;O43&amp;","&amp;O44&amp;","&amp;O45&amp;","&amp;O46&amp;","&amp;O47&amp;","&amp;O48&amp;"],"</f>
        <v>"PartC":[6,2,2,1,5,6],</v>
      </c>
      <c r="K45" s="81" t="s">
        <v>137</v>
      </c>
      <c r="M45" s="101">
        <f>MAX(Table1114[Finishes])</f>
        <v>1</v>
      </c>
      <c r="N45" s="108" t="str">
        <f>IF(M45&lt;&gt;0,IF(M45=U4,R4,IF(M45=U5,R5,IF(U6=M45,R6,IF(U7=M45,R7,R8)))),"N/A")</f>
        <v>William Kim</v>
      </c>
      <c r="O45" s="100">
        <f>ROUND(SUM('Stats Global'!AE8,'Stats Global'!AE9,'Stats Global'!AE16,'Stats Global'!AE21,'Stats Global'!AE22),1)</f>
        <v>2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"PartD":[2,0,100,3,6,33.3],</v>
      </c>
      <c r="K46" s="81" t="s">
        <v>138</v>
      </c>
      <c r="M46" s="101">
        <f>MAX(Table1114[Midranges])</f>
        <v>1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William Kim</v>
      </c>
      <c r="O47" s="81">
        <f>ROUND(H3/'Stats Global'!AA6,1)</f>
        <v>5</v>
      </c>
    </row>
    <row r="48" spans="1:16" ht="14.25" customHeight="1" x14ac:dyDescent="0.45">
      <c r="O48" s="81">
        <f>ROUND(I3/'Stats Global'!AA6,1)</f>
        <v>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0" zoomScaleNormal="70" workbookViewId="0">
      <selection activeCell="P43" sqref="P43"/>
    </sheetView>
    <sheetView topLeftCell="G30" workbookViewId="1">
      <selection activeCell="J43" sqref="J43:J46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195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210</v>
      </c>
      <c r="F4" s="85" t="s">
        <v>210</v>
      </c>
      <c r="H4" s="86">
        <f>SUM(B4:B40)</f>
        <v>0</v>
      </c>
      <c r="I4" s="86">
        <f>SUM(C4:C40)</f>
        <v>8</v>
      </c>
      <c r="J4" s="83">
        <f>SUM(D4:D40)</f>
        <v>1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1</v>
      </c>
    </row>
    <row r="5" spans="1:24" ht="14.25" customHeight="1" x14ac:dyDescent="0.45">
      <c r="A5" s="80">
        <f>'Stats Global'!B6</f>
        <v>0</v>
      </c>
      <c r="B5" s="88">
        <f>'Stats Global'!I6</f>
        <v>0</v>
      </c>
      <c r="C5" s="88">
        <f>'Stats Global'!J6+'Stats Global'!K6</f>
        <v>0</v>
      </c>
      <c r="D5" s="88">
        <f>'Stats Global'!P6</f>
        <v>0</v>
      </c>
      <c r="E5" s="85"/>
      <c r="F5" s="85"/>
      <c r="J5" s="89"/>
      <c r="L5" s="90">
        <f>'Stats Global'!N6</f>
        <v>0</v>
      </c>
      <c r="M5" s="90">
        <f>'Stats Global'!K6</f>
        <v>0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80">
        <f>'Stats Global'!B7</f>
        <v>0</v>
      </c>
      <c r="B6" s="88">
        <f>'Stats Global'!I7</f>
        <v>0</v>
      </c>
      <c r="C6" s="88">
        <f>'Stats Global'!J7+'Stats Global'!K7</f>
        <v>0</v>
      </c>
      <c r="D6" s="88">
        <f>'Stats Global'!P7</f>
        <v>0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0</v>
      </c>
      <c r="Q7" s="103">
        <f>'Stats Global'!AB18</f>
        <v>0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205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0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203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6</v>
      </c>
      <c r="N41" s="89"/>
      <c r="O41" s="89"/>
      <c r="P41" s="58"/>
    </row>
    <row r="42" spans="1:16" ht="14.25" customHeight="1" x14ac:dyDescent="0.45">
      <c r="L42" s="98">
        <f>L41/(M41+L41)</f>
        <v>0</v>
      </c>
      <c r="P42" s="58"/>
    </row>
    <row r="43" spans="1:16" ht="14.25" customHeight="1" x14ac:dyDescent="0.45">
      <c r="J43" s="99" t="str">
        <f>L43&amp;H4&amp;","&amp;I4&amp;"],"</f>
        <v>"PartA":[0,8],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Global'!AA23),1)</f>
        <v>0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1" t="s">
        <v>136</v>
      </c>
      <c r="N44" s="101">
        <f>MAX(Table1113[Points])</f>
        <v>0</v>
      </c>
      <c r="O44" s="81" t="str">
        <f>IF(N44&lt;&gt;0,IF(N44=P4,O4,IF(N44=P5,O5,IF(P6=N44,O6,IF(P7=N44,O7,IF(P8=N44,O8,IF(P9=N44,O9,O10)))))),"N/A")</f>
        <v>N/A</v>
      </c>
      <c r="P44" s="100">
        <f>ROUND(SUM('Stats Global'!AC11,'Stats Global'!AC12,'Stats Global'!AC13,'Stats Global'!AC15,'Stats Global'!AC19,'Stats Global'!AC18,'Stats Global'!AC23),1)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"PartC":[0,0,0,0,0,8],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Global'!AE23),1)</f>
        <v>0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"PartD":[0,2,0,0,6,0],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0</v>
      </c>
    </row>
    <row r="48" spans="1:16" ht="14.25" customHeight="1" x14ac:dyDescent="0.45">
      <c r="P48" s="81">
        <f>ROUND(I4/'Stats Global'!AA6,1)</f>
        <v>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55" zoomScaleNormal="55" workbookViewId="0">
      <selection activeCell="K32" sqref="K32:K35"/>
    </sheetView>
    <sheetView tabSelected="1" topLeftCell="E22" workbookViewId="1">
      <selection activeCell="K32" sqref="K32:K35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195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12</v>
      </c>
      <c r="I4" s="86">
        <f>SUM(C4:C40)</f>
        <v>3</v>
      </c>
      <c r="J4" s="83">
        <f>SUM(D4:D40)</f>
        <v>3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>
        <f>'Stats Global'!B6</f>
        <v>0</v>
      </c>
      <c r="B5" s="88">
        <f>'Stats Global'!L6</f>
        <v>0</v>
      </c>
      <c r="C5" s="88">
        <f>'Stats Global'!M6+'Stats Global'!N6</f>
        <v>0</v>
      </c>
      <c r="D5" s="88">
        <f>'Stats Global'!Q6</f>
        <v>0</v>
      </c>
      <c r="E5" s="85"/>
      <c r="F5" s="85"/>
      <c r="K5" s="89"/>
      <c r="L5" s="89" t="s">
        <v>50</v>
      </c>
      <c r="M5" s="103">
        <f>'Stats Global'!AA17</f>
        <v>6</v>
      </c>
      <c r="N5" s="103">
        <f>'Stats Global'!AB17</f>
        <v>6</v>
      </c>
      <c r="O5" s="103">
        <f>'Stats Global'!AC17</f>
        <v>0</v>
      </c>
      <c r="P5" s="103">
        <f>'Stats Global'!AD17</f>
        <v>0</v>
      </c>
      <c r="Q5" s="103">
        <f>'Stats Global'!AE17</f>
        <v>4</v>
      </c>
      <c r="R5" s="103">
        <f>'Stats Global'!AF17</f>
        <v>4</v>
      </c>
      <c r="S5" s="103">
        <f>'Stats Global'!AG17</f>
        <v>1</v>
      </c>
      <c r="T5" s="103">
        <f>'Stats Global'!AH17</f>
        <v>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>
        <f>'Stats Global'!B7</f>
        <v>0</v>
      </c>
      <c r="B6" s="88">
        <f>'Stats Global'!L7</f>
        <v>0</v>
      </c>
      <c r="C6" s="88">
        <f>'Stats Global'!M7+'Stats Global'!N7</f>
        <v>0</v>
      </c>
      <c r="D6" s="88">
        <f>'Stats Global'!Q7</f>
        <v>0</v>
      </c>
      <c r="E6" s="85"/>
      <c r="F6" s="85"/>
      <c r="H6" s="86"/>
      <c r="I6" s="102"/>
      <c r="K6" s="89"/>
      <c r="L6" s="89" t="s">
        <v>30</v>
      </c>
      <c r="M6" s="103">
        <f>'Stats Global'!AA10</f>
        <v>5</v>
      </c>
      <c r="N6" s="103">
        <f>'Stats Global'!AB10</f>
        <v>5</v>
      </c>
      <c r="O6" s="103">
        <f>'Stats Global'!AC10</f>
        <v>3</v>
      </c>
      <c r="P6" s="103">
        <f>'Stats Global'!AD10</f>
        <v>3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1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42</v>
      </c>
      <c r="M7" s="103">
        <f>'Stats Global'!AA13</f>
        <v>0</v>
      </c>
      <c r="N7" s="103">
        <f>'Stats Global'!AB13</f>
        <v>0</v>
      </c>
      <c r="O7" s="103">
        <f>'Stats Global'!AC13</f>
        <v>0</v>
      </c>
      <c r="P7" s="103">
        <f>'Stats Global'!AD13</f>
        <v>0</v>
      </c>
      <c r="Q7" s="103">
        <f>'Stats Global'!AE13</f>
        <v>0</v>
      </c>
      <c r="R7" s="103">
        <f>'Stats Global'!AF13</f>
        <v>0</v>
      </c>
      <c r="S7" s="103">
        <f>'Stats Global'!AG13</f>
        <v>0</v>
      </c>
      <c r="T7" s="103">
        <f>'Stats Global'!AH13</f>
        <v>0</v>
      </c>
      <c r="U7" s="103">
        <f>'Stats Global'!AJ13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2</v>
      </c>
      <c r="O8" s="103">
        <f>'Stats Global'!AC14</f>
        <v>1</v>
      </c>
      <c r="P8" s="103">
        <f>'Stats Global'!AD14</f>
        <v>1</v>
      </c>
      <c r="Q8" s="103">
        <f>'Stats Global'!AE14</f>
        <v>1</v>
      </c>
      <c r="R8" s="103">
        <f>'Stats Global'!AF14</f>
        <v>1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"PartA":[12,3],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Global'!AA24),1)</f>
        <v>15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McConaghy",3,"Alexander Galt",4,"Samuel McConaghy",1,"Samuel McConaghy"],</v>
      </c>
      <c r="M33" s="81" t="s">
        <v>136</v>
      </c>
      <c r="O33" s="101">
        <f>MAX(Table11[Points])</f>
        <v>6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Global'!AC24),1)</f>
        <v>4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"PartC":[15,4,5,3,12,3],</v>
      </c>
      <c r="M34" s="81" t="s">
        <v>137</v>
      </c>
      <c r="O34" s="101">
        <f>MAX(Table11[Finishes])</f>
        <v>3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Global'!AE24),1)</f>
        <v>5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"PartD":[6,3,66.7,6,0,100],</v>
      </c>
      <c r="M35" s="81" t="s">
        <v>138</v>
      </c>
      <c r="O35" s="101">
        <f>MAX(Table11[Midranges])</f>
        <v>4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Global'!AG24),1)</f>
        <v>3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12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3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workbookViewId="0">
      <selection activeCell="D27" sqref="A1:XFD1048576"/>
    </sheetView>
    <sheetView workbookViewId="1"/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>
        <v>3</v>
      </c>
      <c r="Q3" s="2" t="s">
        <v>25</v>
      </c>
      <c r="R3" s="9">
        <f t="shared" ref="R3:R13" si="0">COUNTIF($E$3:$E$40, Q3)+U3</f>
        <v>0</v>
      </c>
      <c r="S3" s="10">
        <f t="shared" ref="S3:S13" si="1">COUNTIFS($E$3:$E$40, $Q3,$F$3:$F$40,"Finish")</f>
        <v>0</v>
      </c>
      <c r="T3" s="10">
        <f t="shared" ref="T3:T13" si="2">COUNTIFS($E$3:$E$40, $Q3,$F$3:$F$40,"Midrange")</f>
        <v>0</v>
      </c>
      <c r="U3" s="10">
        <f t="shared" ref="U3:U13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203</v>
      </c>
      <c r="R14" s="9">
        <f t="shared" ref="R14:R19" si="8">COUNTIF($E$3:$E$40, Q14)+U14</f>
        <v>0</v>
      </c>
      <c r="S14" s="10">
        <f t="shared" ref="S14:S19" si="9">COUNTIFS($E$3:$E$40, $Q14,$F$3:$F$40,"Finish")</f>
        <v>0</v>
      </c>
      <c r="T14" s="10">
        <f t="shared" ref="T14:T19" si="10">COUNTIFS($E$3:$E$40, $Q14,$F$3:$F$40,"Midrange")</f>
        <v>0</v>
      </c>
      <c r="U14" s="10">
        <f t="shared" ref="U14:U19" si="11">COUNTIFS($E$3:$E$40, $Q14,$F$3:$F$40,"Three Pointer")</f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8"/>
        <v>0</v>
      </c>
      <c r="S18" s="10">
        <f t="shared" si="9"/>
        <v>0</v>
      </c>
      <c r="T18" s="10">
        <f t="shared" si="10"/>
        <v>0</v>
      </c>
      <c r="U18" s="10">
        <f t="shared" si="11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8"/>
        <v>0</v>
      </c>
      <c r="S19" s="10">
        <f t="shared" si="9"/>
        <v>0</v>
      </c>
      <c r="T19" s="10">
        <f t="shared" si="10"/>
        <v>0</v>
      </c>
      <c r="U19" s="10">
        <f t="shared" si="11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2">IF($V3, CHAR(34)&amp;"Did not Play"&amp;CHAR(34), S3)&amp;","</f>
        <v>0,</v>
      </c>
      <c r="T23" s="17" t="str">
        <f t="shared" si="12"/>
        <v>0,</v>
      </c>
      <c r="U23" s="17" t="str">
        <f t="shared" si="12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13">IF($V4, CHAR(34)&amp;"Did not Play"&amp;CHAR(34), R4)&amp;","</f>
        <v>0,</v>
      </c>
      <c r="S24" s="17" t="str">
        <f t="shared" si="13"/>
        <v>0,</v>
      </c>
      <c r="T24" s="17" t="str">
        <f t="shared" si="13"/>
        <v>0,</v>
      </c>
      <c r="U24" s="17" t="str">
        <f t="shared" si="13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3"/>
        <v>0,</v>
      </c>
      <c r="S25" s="17" t="str">
        <f t="shared" si="13"/>
        <v>0,</v>
      </c>
      <c r="T25" s="17" t="str">
        <f t="shared" si="13"/>
        <v>0,</v>
      </c>
      <c r="U25" s="17" t="str">
        <f t="shared" si="13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3"/>
        <v>0,</v>
      </c>
      <c r="S26" s="17" t="str">
        <f t="shared" si="13"/>
        <v>0,</v>
      </c>
      <c r="T26" s="17" t="str">
        <f t="shared" si="13"/>
        <v>0,</v>
      </c>
      <c r="U26" s="17" t="str">
        <f t="shared" si="13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3"/>
        <v>0,</v>
      </c>
      <c r="S27" s="17" t="str">
        <f t="shared" si="13"/>
        <v>0,</v>
      </c>
      <c r="T27" s="17" t="str">
        <f t="shared" si="13"/>
        <v>0,</v>
      </c>
      <c r="U27" s="17" t="str">
        <f t="shared" si="13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3"/>
        <v>0,</v>
      </c>
      <c r="S28" s="17" t="str">
        <f t="shared" si="13"/>
        <v>0,</v>
      </c>
      <c r="T28" s="17" t="str">
        <f t="shared" si="13"/>
        <v>0,</v>
      </c>
      <c r="U28" s="17" t="str">
        <f t="shared" si="13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3"/>
        <v>0,</v>
      </c>
      <c r="S29" s="17" t="str">
        <f t="shared" si="13"/>
        <v>0,</v>
      </c>
      <c r="T29" s="17" t="str">
        <f t="shared" si="13"/>
        <v>0,</v>
      </c>
      <c r="U29" s="17" t="str">
        <f t="shared" si="13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1" si="14">IF($V10, CHAR(34)&amp;"Did not Play"&amp;CHAR(34), R10)&amp;","</f>
        <v>"Did not Play",</v>
      </c>
      <c r="S30" s="17" t="str">
        <f t="shared" si="14"/>
        <v>"Did not Play",</v>
      </c>
      <c r="T30" s="17" t="str">
        <f t="shared" si="14"/>
        <v>"Did not Play",</v>
      </c>
      <c r="U30" s="17" t="str">
        <f t="shared" si="14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4"/>
        <v>0,</v>
      </c>
      <c r="S31" s="17" t="str">
        <f t="shared" si="14"/>
        <v>0,</v>
      </c>
      <c r="T31" s="17" t="str">
        <f t="shared" si="14"/>
        <v>0,</v>
      </c>
      <c r="U31" s="17" t="str">
        <f t="shared" si="14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ref="R32:U32" si="15">IF($V12, CHAR(34)&amp;"Did not Play"&amp;CHAR(34), R12)&amp;","</f>
        <v>0,</v>
      </c>
      <c r="S32" s="17" t="str">
        <f t="shared" si="15"/>
        <v>0,</v>
      </c>
      <c r="T32" s="17" t="str">
        <f t="shared" si="15"/>
        <v>0,</v>
      </c>
      <c r="U32" s="17" t="str">
        <f t="shared" si="15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ref="R33:U33" si="16">IF($V13, CHAR(34)&amp;"Did not Play"&amp;CHAR(34), R13)&amp;","</f>
        <v>0,</v>
      </c>
      <c r="S33" s="17" t="str">
        <f t="shared" si="16"/>
        <v>0,</v>
      </c>
      <c r="T33" s="17" t="str">
        <f t="shared" si="16"/>
        <v>0,</v>
      </c>
      <c r="U33" s="17" t="str">
        <f t="shared" si="16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ref="R34:U34" si="17">IF($V14, CHAR(34)&amp;"Did not Play"&amp;CHAR(34), R14)&amp;","</f>
        <v>0,</v>
      </c>
      <c r="S34" s="17" t="str">
        <f t="shared" si="17"/>
        <v>0,</v>
      </c>
      <c r="T34" s="17" t="str">
        <f t="shared" si="17"/>
        <v>0,</v>
      </c>
      <c r="U34" s="17" t="str">
        <f t="shared" si="17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ref="R35:U35" si="18">IF($V15, CHAR(34)&amp;"Did not Play"&amp;CHAR(34), R15)&amp;","</f>
        <v>0,</v>
      </c>
      <c r="S35" s="17" t="str">
        <f t="shared" si="18"/>
        <v>0,</v>
      </c>
      <c r="T35" s="17" t="str">
        <f t="shared" si="18"/>
        <v>0,</v>
      </c>
      <c r="U35" s="17" t="str">
        <f t="shared" si="18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ref="R36:U36" si="19">IF($V16, CHAR(34)&amp;"Did not Play"&amp;CHAR(34), R16)&amp;","</f>
        <v>0,</v>
      </c>
      <c r="S36" s="17" t="str">
        <f t="shared" si="19"/>
        <v>0,</v>
      </c>
      <c r="T36" s="17" t="str">
        <f t="shared" si="19"/>
        <v>0,</v>
      </c>
      <c r="U36" s="17" t="str">
        <f t="shared" si="1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ref="R37:U37" si="20">IF($V17, CHAR(34)&amp;"Did not Play"&amp;CHAR(34), R17)&amp;","</f>
        <v>0,</v>
      </c>
      <c r="S37" s="17" t="str">
        <f t="shared" si="20"/>
        <v>0,</v>
      </c>
      <c r="T37" s="17" t="str">
        <f t="shared" si="20"/>
        <v>0,</v>
      </c>
      <c r="U37" s="17" t="str">
        <f t="shared" si="2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ref="R38:U38" si="21">IF($V18, CHAR(34)&amp;"Did not Play"&amp;CHAR(34), R18)&amp;","</f>
        <v>0,</v>
      </c>
      <c r="S38" s="17" t="str">
        <f t="shared" si="21"/>
        <v>0,</v>
      </c>
      <c r="T38" s="17" t="str">
        <f t="shared" si="21"/>
        <v>0,</v>
      </c>
      <c r="U38" s="17" t="str">
        <f t="shared" si="21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28" t="s">
        <v>119</v>
      </c>
      <c r="U41" s="128"/>
      <c r="V41" s="128"/>
    </row>
    <row r="42" spans="2:26" ht="14.25" customHeight="1" x14ac:dyDescent="0.9">
      <c r="R42" s="104"/>
      <c r="S42" s="104"/>
      <c r="T42" s="128"/>
      <c r="U42" s="128"/>
      <c r="V42" s="128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79" t="str">
        <f>C2</f>
        <v>24-May</v>
      </c>
      <c r="C45" s="17">
        <f>MAX(L3:L5)</f>
        <v>0</v>
      </c>
      <c r="D45" s="17">
        <f>C45-E45</f>
        <v>0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0</v>
      </c>
      <c r="I45" s="17">
        <f>COUNT(Y4:Y39)</f>
        <v>0</v>
      </c>
      <c r="J45" s="17">
        <f>COUNTIF(X4:X39, "LG/WW")</f>
        <v>0</v>
      </c>
      <c r="K45" s="17">
        <f>COUNTIF(Z4:Z39, "5M/WW")</f>
        <v>0</v>
      </c>
      <c r="L45" s="17">
        <f>COUNT(Z4:Z39)</f>
        <v>0</v>
      </c>
      <c r="M45" s="17">
        <f>COUNTIF(X4:X39, "LG/5M")</f>
        <v>0</v>
      </c>
      <c r="N45" s="17">
        <f>COUNTIF(Y4:Y39, "WW/5M")</f>
        <v>0</v>
      </c>
      <c r="O45" s="17">
        <f>O3</f>
        <v>3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zoomScale="70" zoomScaleNormal="70" workbookViewId="0">
      <selection activeCell="L46" sqref="L46"/>
    </sheetView>
    <sheetView workbookViewId="1"/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207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208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207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207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208</v>
      </c>
      <c r="G14" s="26">
        <v>9</v>
      </c>
      <c r="H14" s="26">
        <v>5</v>
      </c>
      <c r="I14" s="26">
        <v>1</v>
      </c>
      <c r="Q14" s="2" t="s">
        <v>203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207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207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208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208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207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28" t="s">
        <v>119</v>
      </c>
      <c r="U41" s="128"/>
      <c r="V41" s="128"/>
    </row>
    <row r="42" spans="2:26" ht="14.25" customHeight="1" x14ac:dyDescent="0.9">
      <c r="R42" s="104"/>
      <c r="S42" s="104"/>
      <c r="T42" s="128"/>
      <c r="U42" s="128"/>
      <c r="V42" s="128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LG</vt:lpstr>
      <vt:lpstr>Statistics WW</vt:lpstr>
      <vt:lpstr>Statistics 5M</vt:lpstr>
      <vt:lpstr>Template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2023-07-11T04:41:09Z</dcterms:modified>
</cp:coreProperties>
</file>