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7004C1C3-35B0-4506-BF1C-CEBCDEC04092}" xr6:coauthVersionLast="47" xr6:coauthVersionMax="47" xr10:uidLastSave="{00000000-0000-0000-0000-000000000000}"/>
  <bookViews>
    <workbookView xWindow="-98" yWindow="-98" windowWidth="22695" windowHeight="14595" firstSheet="1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T29" i="3"/>
  <c r="AJ8" i="3" s="1"/>
  <c r="AT30" i="3"/>
  <c r="AJ9" i="3" s="1"/>
  <c r="AT31" i="3"/>
  <c r="AJ10" i="3" s="1"/>
  <c r="AT32" i="3"/>
  <c r="AT33" i="3"/>
  <c r="AT34" i="3"/>
  <c r="AJ13" i="3" s="1"/>
  <c r="AT35" i="3"/>
  <c r="AJ14" i="3" s="1"/>
  <c r="AT36" i="3"/>
  <c r="AJ15" i="3" s="1"/>
  <c r="AT37" i="3"/>
  <c r="AT38" i="3"/>
  <c r="AT39" i="3"/>
  <c r="AT40" i="3"/>
  <c r="AT41" i="3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1" i="3"/>
  <c r="AJ12" i="3"/>
  <c r="AJ16" i="3"/>
  <c r="AJ17" i="3"/>
  <c r="AJ18" i="3"/>
  <c r="AJ19" i="3"/>
  <c r="AJ20" i="3"/>
  <c r="AJ24" i="3"/>
  <c r="C4" i="5"/>
  <c r="R16" i="12" l="1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M41" i="3"/>
  <c r="AM33" i="3"/>
  <c r="AN42" i="3"/>
  <c r="AN34" i="3"/>
  <c r="AO43" i="3"/>
  <c r="AO35" i="3"/>
  <c r="AM40" i="3"/>
  <c r="AM32" i="3"/>
  <c r="AN41" i="3"/>
  <c r="AN33" i="3"/>
  <c r="AO42" i="3"/>
  <c r="AO34" i="3"/>
  <c r="AM39" i="3"/>
  <c r="AM31" i="3"/>
  <c r="AN40" i="3"/>
  <c r="AN32" i="3"/>
  <c r="AO41" i="3"/>
  <c r="AO33" i="3"/>
  <c r="AM38" i="3"/>
  <c r="AC17" i="3" s="1"/>
  <c r="AM30" i="3"/>
  <c r="AC9" i="3" s="1"/>
  <c r="AN39" i="3"/>
  <c r="AN31" i="3"/>
  <c r="AO40" i="3"/>
  <c r="AG19" i="3" s="1"/>
  <c r="AO32" i="3"/>
  <c r="AG11" i="3" s="1"/>
  <c r="AM45" i="3"/>
  <c r="AM37" i="3"/>
  <c r="AM29" i="3"/>
  <c r="AQ29" i="3" s="1"/>
  <c r="AN38" i="3"/>
  <c r="AN30" i="3"/>
  <c r="AO39" i="3"/>
  <c r="AO31" i="3"/>
  <c r="AM44" i="3"/>
  <c r="AM36" i="3"/>
  <c r="AN45" i="3"/>
  <c r="AN37" i="3"/>
  <c r="AN29" i="3"/>
  <c r="AO38" i="3"/>
  <c r="AO30" i="3"/>
  <c r="AM43" i="3"/>
  <c r="AM35" i="3"/>
  <c r="AN44" i="3"/>
  <c r="AE23" i="3" s="1"/>
  <c r="AN36" i="3"/>
  <c r="AO45" i="3"/>
  <c r="AO37" i="3"/>
  <c r="AO29" i="3"/>
  <c r="AM42" i="3"/>
  <c r="AM34" i="3"/>
  <c r="AN43" i="3"/>
  <c r="AE22" i="3" s="1"/>
  <c r="AN35" i="3"/>
  <c r="AE14" i="3" s="1"/>
  <c r="AO44" i="3"/>
  <c r="AO36" i="3"/>
  <c r="AR4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AR35" i="3"/>
  <c r="AC8" i="3"/>
  <c r="AQ38" i="3"/>
  <c r="AF29" i="3"/>
  <c r="AG29" i="3"/>
  <c r="AH29" i="3"/>
  <c r="R14" i="11"/>
  <c r="AL40" i="3" s="1"/>
  <c r="R9" i="11"/>
  <c r="AL35" i="3" s="1"/>
  <c r="R8" i="11"/>
  <c r="AL34" i="3" s="1"/>
  <c r="R3" i="11"/>
  <c r="AL29" i="3" s="1"/>
  <c r="G45" i="11"/>
  <c r="G8" i="3" s="1"/>
  <c r="M45" i="11"/>
  <c r="M8" i="3" s="1"/>
  <c r="K45" i="11"/>
  <c r="K8" i="3" s="1"/>
  <c r="T48" i="11"/>
  <c r="R6" i="11"/>
  <c r="R12" i="11"/>
  <c r="AL38" i="3" s="1"/>
  <c r="R18" i="11"/>
  <c r="AL44" i="3" s="1"/>
  <c r="E45" i="11"/>
  <c r="E8" i="3" s="1"/>
  <c r="V6" i="3" s="1"/>
  <c r="R4" i="11"/>
  <c r="AL30" i="3" s="1"/>
  <c r="R17" i="11"/>
  <c r="AL43" i="3" s="1"/>
  <c r="R16" i="11"/>
  <c r="AL42" i="3" s="1"/>
  <c r="R10" i="11"/>
  <c r="AL36" i="3" s="1"/>
  <c r="T46" i="11"/>
  <c r="T47" i="11"/>
  <c r="N5" i="11"/>
  <c r="R7" i="11"/>
  <c r="AL33" i="3" s="1"/>
  <c r="R15" i="11"/>
  <c r="AL41" i="3" s="1"/>
  <c r="F45" i="11"/>
  <c r="F8" i="3" s="1"/>
  <c r="N45" i="11"/>
  <c r="N8" i="3" s="1"/>
  <c r="R5" i="11"/>
  <c r="AL31" i="3" s="1"/>
  <c r="R13" i="11"/>
  <c r="H45" i="11"/>
  <c r="H8" i="3" s="1"/>
  <c r="R11" i="11"/>
  <c r="AL37" i="3" s="1"/>
  <c r="R19" i="11"/>
  <c r="AL45" i="3" s="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L39" i="3" l="1"/>
  <c r="AL32" i="3"/>
  <c r="O4" i="12"/>
  <c r="Q45" i="12" s="1"/>
  <c r="T45" i="12"/>
  <c r="T48" i="12"/>
  <c r="AS32" i="3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N9" i="3" s="1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M9" i="3" s="1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P41" i="4" s="1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I4" i="5" s="1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M41" i="4" l="1"/>
  <c r="I3" i="4"/>
  <c r="M41" i="5"/>
  <c r="I4" i="6"/>
  <c r="L41" i="5"/>
  <c r="O41" i="4"/>
  <c r="J4" i="6"/>
  <c r="L41" i="4"/>
  <c r="J3" i="4"/>
  <c r="T6" i="3"/>
  <c r="S6" i="3"/>
  <c r="T45" i="11"/>
  <c r="AN10" i="3"/>
  <c r="AM10" i="3"/>
  <c r="AN11" i="3"/>
  <c r="AM11" i="3"/>
  <c r="AA21" i="3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E18" i="2" s="1"/>
  <c r="AA12" i="3"/>
  <c r="AB12" i="3" s="1"/>
  <c r="AP33" i="3"/>
  <c r="AA13" i="3"/>
  <c r="AP34" i="3"/>
  <c r="AA11" i="3"/>
  <c r="AP32" i="3"/>
  <c r="AA17" i="3"/>
  <c r="AB17" i="3" s="1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T41" i="3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AN8" i="3" l="1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<sst xmlns="http://schemas.openxmlformats.org/spreadsheetml/2006/main" count="1352" uniqueCount="225">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</sst>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5" fillId="0" borderId="1"/>
    <xf numFmtId="9" fontId="16" fillId="0" borderId="0" applyFont="0" applyFill="0" applyBorder="0" applyAlignment="0" applyProtection="0"/>
  </cellStyleXfs>
  <cellXfs count="145">
    <xf numFmtId="0" fontId="0" fillId="0" borderId="0" xfId="0" applyFont="1" applyAlignment="1"/>
    <xf numFmtId="0" fontId="16" fillId="0" borderId="0" xfId="0" applyFont="1"/>
    <xf numFmtId="0" fontId="16" fillId="0" borderId="0" xfId="0" applyFont="1" applyAlignment="1"/>
    <xf numFmtId="0" fontId="18" fillId="0" borderId="0" xfId="0" applyFont="1"/>
    <xf numFmtId="0" fontId="17" fillId="0" borderId="1" xfId="0" applyFont="1" applyBorder="1"/>
    <xf numFmtId="2" fontId="17" fillId="0" borderId="0" xfId="0" applyNumberFormat="1" applyFont="1"/>
    <xf numFmtId="164" fontId="19" fillId="0" borderId="0" xfId="0" applyNumberFormat="1" applyFont="1"/>
    <xf numFmtId="0" fontId="18" fillId="0" borderId="0" xfId="0" applyFont="1" applyAlignment="1"/>
    <xf numFmtId="2" fontId="16" fillId="0" borderId="0" xfId="0" applyNumberFormat="1" applyFont="1"/>
    <xf numFmtId="1" fontId="16" fillId="0" borderId="0" xfId="0" applyNumberFormat="1" applyFont="1"/>
    <xf numFmtId="1" fontId="17" fillId="0" borderId="0" xfId="0" applyNumberFormat="1" applyFont="1"/>
    <xf numFmtId="10" fontId="17" fillId="0" borderId="0" xfId="0" applyNumberFormat="1" applyFont="1"/>
    <xf numFmtId="0" fontId="16" fillId="0" borderId="0" xfId="0" applyFont="1"/>
    <xf numFmtId="16" fontId="16" fillId="0" borderId="0" xfId="0" applyNumberFormat="1" applyFont="1" applyAlignment="1"/>
    <xf numFmtId="0" fontId="21" fillId="0" borderId="0" xfId="0" applyFont="1" applyAlignment="1"/>
    <xf numFmtId="0" fontId="2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1" fillId="0" borderId="3" xfId="0" applyFont="1" applyFill="1" applyBorder="1"/>
    <xf numFmtId="0" fontId="21" fillId="0" borderId="4" xfId="0" applyFont="1" applyFill="1" applyBorder="1"/>
    <xf numFmtId="0" fontId="21" fillId="0" borderId="4" xfId="0" applyFont="1" applyFill="1" applyBorder="1" applyAlignment="1"/>
    <xf numFmtId="0" fontId="22" fillId="0" borderId="4" xfId="0" applyFont="1" applyFill="1" applyBorder="1" applyAlignment="1"/>
    <xf numFmtId="0" fontId="18" fillId="0" borderId="5" xfId="0" applyFont="1" applyFill="1" applyBorder="1"/>
    <xf numFmtId="0" fontId="0" fillId="0" borderId="0" xfId="0"/>
    <xf numFmtId="0" fontId="27" fillId="0" borderId="0" xfId="0" applyFont="1"/>
    <xf numFmtId="9" fontId="0" fillId="0" borderId="0" xfId="2" applyFont="1" applyAlignment="1"/>
    <xf numFmtId="0" fontId="21" fillId="0" borderId="0" xfId="0" applyFont="1" applyFill="1"/>
    <xf numFmtId="0" fontId="21" fillId="0" borderId="0" xfId="0" applyFont="1" applyFill="1" applyAlignment="1"/>
    <xf numFmtId="0" fontId="22" fillId="0" borderId="0" xfId="0" applyFont="1" applyFill="1" applyAlignment="1"/>
    <xf numFmtId="1" fontId="0" fillId="0" borderId="0" xfId="0" quotePrefix="1" applyNumberFormat="1" applyFont="1" applyFill="1" applyAlignment="1"/>
    <xf numFmtId="2" fontId="17" fillId="0" borderId="0" xfId="0" applyNumberFormat="1" applyFont="1" applyFill="1"/>
    <xf numFmtId="1" fontId="16" fillId="0" borderId="0" xfId="0" applyNumberFormat="1" applyFont="1" applyFill="1" applyAlignment="1"/>
    <xf numFmtId="0" fontId="1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2" fillId="0" borderId="5" xfId="0" applyFont="1" applyFill="1" applyBorder="1" applyAlignment="1"/>
    <xf numFmtId="9" fontId="0" fillId="0" borderId="0" xfId="0" applyNumberFormat="1" applyFont="1" applyAlignment="1"/>
    <xf numFmtId="0" fontId="17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15" fillId="0" borderId="0" xfId="0" applyFont="1" applyAlignment="1"/>
    <xf numFmtId="165" fontId="2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3" fillId="0" borderId="0" xfId="0" applyFont="1" applyAlignment="1"/>
    <xf numFmtId="16" fontId="14" fillId="0" borderId="0" xfId="0" applyNumberFormat="1" applyFont="1" applyAlignment="1"/>
    <xf numFmtId="0" fontId="16" fillId="0" borderId="0" xfId="0" applyFont="1" applyFill="1" applyAlignment="1"/>
    <xf numFmtId="0" fontId="25" fillId="0" borderId="1" xfId="1" applyNumberFormat="1"/>
    <xf numFmtId="0" fontId="26" fillId="0" borderId="1" xfId="0" applyFont="1" applyBorder="1" applyAlignment="1">
      <alignment horizontal="center"/>
    </xf>
    <xf numFmtId="49" fontId="17" fillId="0" borderId="0" xfId="0" applyNumberFormat="1" applyFont="1"/>
    <xf numFmtId="0" fontId="18" fillId="3" borderId="0" xfId="0" applyFont="1" applyFill="1"/>
    <xf numFmtId="0" fontId="16" fillId="3" borderId="0" xfId="0" applyFont="1" applyFill="1"/>
    <xf numFmtId="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8" fillId="0" borderId="1" xfId="0" applyFont="1" applyFill="1" applyBorder="1"/>
    <xf numFmtId="0" fontId="12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8" fillId="0" borderId="1" xfId="0" applyFont="1" applyFill="1" applyBorder="1" applyAlignment="1">
      <alignment vertical="center"/>
    </xf>
    <xf numFmtId="0" fontId="2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7" fillId="0" borderId="2" xfId="0" applyNumberFormat="1" applyFont="1" applyFill="1" applyBorder="1"/>
    <xf numFmtId="1" fontId="16" fillId="0" borderId="2" xfId="0" applyNumberFormat="1" applyFont="1" applyFill="1" applyBorder="1" applyAlignment="1"/>
    <xf numFmtId="0" fontId="16" fillId="0" borderId="2" xfId="0" applyFont="1" applyFill="1" applyBorder="1"/>
    <xf numFmtId="1" fontId="17" fillId="0" borderId="6" xfId="0" applyNumberFormat="1" applyFont="1" applyFill="1" applyBorder="1"/>
    <xf numFmtId="0" fontId="7" fillId="0" borderId="0" xfId="0" applyFont="1" applyAlignment="1"/>
    <xf numFmtId="0" fontId="18" fillId="0" borderId="0" xfId="0" applyFont="1" applyFill="1"/>
    <xf numFmtId="0" fontId="17" fillId="0" borderId="0" xfId="0" applyFont="1" applyFill="1" applyAlignment="1">
      <alignment horizontal="center"/>
    </xf>
    <xf numFmtId="0" fontId="7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9" fontId="17" fillId="0" borderId="1" xfId="2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17" fillId="0" borderId="0" xfId="0" applyNumberFormat="1" applyFont="1" applyAlignment="1">
      <alignment vertical="center"/>
    </xf>
    <xf numFmtId="0" fontId="1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1" fontId="17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/>
    <xf numFmtId="0" fontId="6" fillId="0" borderId="0" xfId="0" applyFont="1" applyAlignment="1"/>
    <xf numFmtId="0" fontId="6" fillId="0" borderId="0" xfId="0" applyFont="1"/>
    <xf numFmtId="0" fontId="17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" xfId="0" applyFont="1" applyFill="1" applyBorder="1"/>
    <xf numFmtId="0" fontId="29" fillId="0" borderId="1" xfId="0" applyFont="1" applyFill="1" applyBorder="1" applyAlignment="1"/>
    <xf numFmtId="0" fontId="30" fillId="0" borderId="1" xfId="0" applyFont="1" applyFill="1" applyBorder="1" applyAlignment="1"/>
    <xf numFmtId="0" fontId="27" fillId="0" borderId="1" xfId="0" applyFont="1" applyFill="1" applyBorder="1" applyAlignment="1">
      <alignment vertical="center"/>
    </xf>
    <xf numFmtId="0" fontId="21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6" fillId="3" borderId="2" xfId="0" applyFont="1" applyFill="1" applyBorder="1" applyAlignment="1"/>
    <xf numFmtId="0" fontId="0" fillId="3" borderId="2" xfId="0" applyFont="1" applyFill="1" applyBorder="1" applyAlignment="1"/>
    <xf numFmtId="16" fontId="17" fillId="3" borderId="2" xfId="0" applyNumberFormat="1" applyFont="1" applyFill="1" applyBorder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7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9" fontId="1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2" fillId="0" borderId="0" xfId="0" applyNumberFormat="1" applyFont="1"/>
    <xf numFmtId="16" fontId="17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7" fillId="6" borderId="1" xfId="0" applyFont="1" applyFill="1" applyBorder="1" applyAlignment="1">
      <alignment vertical="center"/>
    </xf>
    <xf numFmtId="1" fontId="16" fillId="0" borderId="0" xfId="0" applyNumberFormat="1" applyFont="1" applyFill="1"/>
    <xf numFmtId="0" fontId="0" fillId="0" borderId="1" xfId="2" applyNumberFormat="1" applyFont="1" applyFill="1" applyBorder="1" applyAlignment="1"/>
    <xf numFmtId="10" fontId="21" fillId="0" borderId="1" xfId="2" applyNumberFormat="1" applyFont="1" applyFill="1" applyBorder="1" applyAlignment="1"/>
    <xf numFmtId="0" fontId="1" fillId="0" borderId="0" xfId="0" applyFont="1" applyAlignment="1"/>
    <xf numFmtId="0" fontId="2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0.7407407407407407</c:v>
                </c:pt>
                <c:pt idx="1">
                  <c:v>0.14814814814814814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</calculatedColumnFormula>
    </tableColumn>
    <tableColumn id="3" xr3:uid="{2D436F37-54B6-4820-9145-F48B4EF9B294}" name="Finishes" dataDxfId="115">
      <calculatedColumnFormula>'1707'!S3+'1807'!S3</calculatedColumnFormula>
    </tableColumn>
    <tableColumn id="4" xr3:uid="{1D9B6A22-B682-47F3-B738-7C138F317A41}" name="Midranges" dataDxfId="114">
      <calculatedColumnFormula>'1707'!T3+'1807'!T3</calculatedColumnFormula>
    </tableColumn>
    <tableColumn id="5" xr3:uid="{9966C9A0-3872-44E9-BB39-05DE197EAA68}" name="Threes" dataDxfId="113">
      <calculatedColumnFormula>'1707'!U3+'1807'!U3</calculatedColumnFormula>
    </tableColumn>
    <tableColumn id="6" xr3:uid="{CC4AB646-735F-425F-8528-C5EFE7FE11DC}" name="Avg P" dataDxfId="112">
      <calculatedColumnFormula>AL29/($AA$27-Table211[[#This Row],[Missed Games]])</calculatedColumnFormula>
    </tableColumn>
    <tableColumn id="7" xr3:uid="{F8D0247E-C6F7-467A-9F38-46084D44F8AB}" name="Avg F" dataDxfId="111">
      <calculatedColumnFormula>AM29/($AA$27-Table211[[#This Row],[Missed Games]])</calculatedColumnFormula>
    </tableColumn>
    <tableColumn id="8" xr3:uid="{7CCF1C77-9DB0-4EB2-B7D0-FD0BDBEBFA0E}" name="Avg M" dataDxfId="110">
      <calculatedColumnFormula>AN29/($AA$27-Table211[[#This Row],[Missed Games]])</calculatedColumnFormula>
    </tableColumn>
    <tableColumn id="9" xr3:uid="{582A1A4E-5383-4383-A480-735408867046}" name="Avg T" dataDxfId="109">
      <calculatedColumnFormula>AO29/($AA$27-Table211[[#This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0.5</v>
      </c>
      <c r="E3" s="1">
        <f>'Stats Global'!AA8</f>
        <v>1</v>
      </c>
      <c r="F3" s="8">
        <f>'Stats Global'!AD8</f>
        <v>0</v>
      </c>
      <c r="G3" s="12">
        <f>'Stats Global'!AC8</f>
        <v>0</v>
      </c>
      <c r="H3" s="8">
        <f>'Stats Global'!AF8</f>
        <v>0.5</v>
      </c>
      <c r="I3" s="12">
        <f>'Stats Global'!AE8</f>
        <v>1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1.5</v>
      </c>
      <c r="E4" s="12">
        <f>'Stats Global'!AA9</f>
        <v>3</v>
      </c>
      <c r="F4" s="8">
        <f>'Stats Global'!AD9</f>
        <v>1.5</v>
      </c>
      <c r="G4" s="12">
        <f>'Stats Global'!AC9</f>
        <v>3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2</v>
      </c>
      <c r="E11" s="12">
        <f>'Stats Global'!AA16</f>
        <v>4</v>
      </c>
      <c r="F11" s="8">
        <f>'Stats Global'!AD16</f>
        <v>0.5</v>
      </c>
      <c r="G11" s="12">
        <f>'Stats Global'!AC16</f>
        <v>1</v>
      </c>
      <c r="H11" s="8">
        <f>'Stats Global'!AF16</f>
        <v>0.5</v>
      </c>
      <c r="I11" s="12">
        <f>'Stats Global'!AE16</f>
        <v>1</v>
      </c>
      <c r="J11" s="8">
        <f>'Stats Global'!AH16</f>
        <v>0.5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4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2</v>
      </c>
      <c r="J12" s="8">
        <f>'Stats Global'!AH17</f>
        <v>0.5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1.5</v>
      </c>
      <c r="E13" s="12">
        <f>'Stats Global'!AA18</f>
        <v>3</v>
      </c>
      <c r="F13" s="8">
        <f>'Stats Global'!AD18</f>
        <v>0</v>
      </c>
      <c r="G13" s="12">
        <f>'Stats Global'!AC18</f>
        <v>0</v>
      </c>
      <c r="H13" s="8">
        <f>'Stats Global'!AF18</f>
        <v>1.5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0.5</v>
      </c>
      <c r="E15" s="12">
        <f>'Stats Global'!AA20</f>
        <v>1</v>
      </c>
      <c r="F15" s="8">
        <f>'Stats Global'!AD20</f>
        <v>0.5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</v>
      </c>
      <c r="E16" s="12">
        <f>'Stats Global'!AA21</f>
        <v>4</v>
      </c>
      <c r="F16" s="8">
        <f>'Stats Global'!AD21</f>
        <v>1</v>
      </c>
      <c r="G16" s="12">
        <f>'Stats Global'!AC21</f>
        <v>2</v>
      </c>
      <c r="H16" s="8">
        <f>'Stats Global'!AF21</f>
        <v>1</v>
      </c>
      <c r="I16" s="12">
        <f>'Stats Global'!AE21</f>
        <v>2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5.5</v>
      </c>
      <c r="E17" s="12">
        <f>'Stats Global'!AA22</f>
        <v>11</v>
      </c>
      <c r="F17" s="8">
        <f>'Stats Global'!AD22</f>
        <v>2.5</v>
      </c>
      <c r="G17" s="12">
        <f>'Stats Global'!AC22</f>
        <v>5</v>
      </c>
      <c r="H17" s="8">
        <f>'Stats Global'!AF22</f>
        <v>1</v>
      </c>
      <c r="I17" s="12">
        <f>'Stats Global'!AE22</f>
        <v>2</v>
      </c>
      <c r="J17" s="8">
        <f>'Stats Global'!AH22</f>
        <v>1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3" t="s">
        <v>119</v>
      </c>
      <c r="C22" s="143"/>
      <c r="D22" s="104"/>
      <c r="X22" s="2" t="s">
        <v>70</v>
      </c>
    </row>
    <row r="23" spans="2:24" ht="14.25" customHeight="1" x14ac:dyDescent="0.9">
      <c r="B23" s="143"/>
      <c r="C23" s="143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"PPG":[0.5,1.5,0,0,0,0,0,0,2,2,1.5,0,0.5,2,5.5,0,0],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"TP":[1,3,0,0,0,0,0,0,4,4,3,0,1,4,11,0,0],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"FPG":[0,1.5,0,0,0,0,0,0,0.5,0,0,0,0.5,1,2.5,0,0],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"TF":[0,3,0,0,0,0,0,0,1,0,0,0,1,2,5,0,0],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"MPG":[0.5,0,0,0,0,0,0,0,0.5,1,1.5,0,0,1,1,0,0],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"TM":[1,0,0,0,0,0,0,0,1,2,3,0,0,2,2,0,0],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"TPG":[0,0,0,0,0,0,0,0,0.5,0.5,0,0,0,0,1,0,0],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"TT":[0,0,0,0,0,0,0,0,1,1,0,0,0,0,2,0,0],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0.5,</v>
      </c>
      <c r="E50" s="18" t="str">
        <f t="shared" ref="E50:E65" si="7">E3&amp;","</f>
        <v>1,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0.5,</v>
      </c>
      <c r="I50" s="18" t="str">
        <f t="shared" ref="I50:I65" si="11">I3&amp;","</f>
        <v>1,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3,</v>
      </c>
      <c r="F51" s="18" t="str">
        <f t="shared" si="8"/>
        <v>1.5,</v>
      </c>
      <c r="G51" s="18" t="str">
        <f t="shared" si="9"/>
        <v>3,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2,</v>
      </c>
      <c r="E58" s="18" t="str">
        <f t="shared" si="7"/>
        <v>4,</v>
      </c>
      <c r="F58" s="18" t="str">
        <f t="shared" si="8"/>
        <v>0.5,</v>
      </c>
      <c r="G58" s="18" t="str">
        <f t="shared" si="9"/>
        <v>1,</v>
      </c>
      <c r="H58" s="18" t="str">
        <f t="shared" si="10"/>
        <v>0.5,</v>
      </c>
      <c r="I58" s="18" t="str">
        <f t="shared" si="11"/>
        <v>1,</v>
      </c>
      <c r="J58" s="18" t="str">
        <f t="shared" si="12"/>
        <v>0.5,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4,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2,</v>
      </c>
      <c r="J59" s="18" t="str">
        <f t="shared" si="12"/>
        <v>0.5,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1.5,</v>
      </c>
      <c r="E60" s="18" t="str">
        <f t="shared" si="7"/>
        <v>3,</v>
      </c>
      <c r="F60" s="18" t="str">
        <f t="shared" si="8"/>
        <v>0,</v>
      </c>
      <c r="G60" s="18" t="str">
        <f t="shared" si="9"/>
        <v>0,</v>
      </c>
      <c r="H60" s="18" t="str">
        <f t="shared" si="10"/>
        <v>1.5,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0.5,</v>
      </c>
      <c r="E62" s="18" t="str">
        <f t="shared" si="7"/>
        <v>1,</v>
      </c>
      <c r="F62" s="18" t="str">
        <f t="shared" si="8"/>
        <v>0.5,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4,</v>
      </c>
      <c r="F63" s="18" t="str">
        <f t="shared" si="8"/>
        <v>1,</v>
      </c>
      <c r="G63" s="18" t="str">
        <f t="shared" si="9"/>
        <v>2,</v>
      </c>
      <c r="H63" s="18" t="str">
        <f t="shared" si="10"/>
        <v>1,</v>
      </c>
      <c r="I63" s="18" t="str">
        <f t="shared" si="11"/>
        <v>2,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5.5,</v>
      </c>
      <c r="E64" s="18" t="str">
        <f t="shared" si="7"/>
        <v>11,</v>
      </c>
      <c r="F64" s="18" t="str">
        <f t="shared" si="8"/>
        <v>2.5,</v>
      </c>
      <c r="G64" s="18" t="str">
        <f t="shared" si="9"/>
        <v>5,</v>
      </c>
      <c r="H64" s="18" t="str">
        <f t="shared" si="10"/>
        <v>1,</v>
      </c>
      <c r="I64" s="18" t="str">
        <f t="shared" si="11"/>
        <v>2,</v>
      </c>
      <c r="J64" s="18" t="str">
        <f t="shared" si="12"/>
        <v>1,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S1" zoomScale="70" zoomScaleNormal="70" workbookViewId="0">
      <selection activeCell="AL28" sqref="AL2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SUM(C8:E40)/COUNT(C8:C40)</f>
        <v>13.5</v>
      </c>
      <c r="T6" s="134">
        <f>AVERAGE(C8:C40)</f>
        <v>10</v>
      </c>
      <c r="U6" s="134">
        <f t="shared" ref="U6:V6" si="0">AVERAGE(D8:D40)</f>
        <v>2</v>
      </c>
      <c r="V6" s="134">
        <f t="shared" si="0"/>
        <v>1.5</v>
      </c>
      <c r="Z6" s="74" t="s">
        <v>167</v>
      </c>
      <c r="AA6" s="9">
        <f>AA46+AA65+AL27+AL46+AL65+AA84+AL84</f>
        <v>2</v>
      </c>
      <c r="AK6" s="30"/>
      <c r="AL6" s="30"/>
      <c r="AM6" s="30" t="s">
        <v>221</v>
      </c>
      <c r="AO6" s="44"/>
      <c r="AP6" s="28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>
        <f>T6/$S$6</f>
        <v>0.7407407407407407</v>
      </c>
      <c r="U7" s="6">
        <f>U6/$S$6</f>
        <v>0.14814814814814814</v>
      </c>
      <c r="V7" s="6">
        <f>V6/$S$6</f>
        <v>0.1111111111111111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8</v>
      </c>
      <c r="D8" s="128">
        <f>'1707'!D45</f>
        <v>3</v>
      </c>
      <c r="E8" s="128">
        <f>'1707'!E45</f>
        <v>2</v>
      </c>
      <c r="F8" s="128">
        <f>'1707'!F45</f>
        <v>8</v>
      </c>
      <c r="G8" s="128">
        <f>'1707'!G45</f>
        <v>0</v>
      </c>
      <c r="H8" s="128">
        <f>'1707'!H45</f>
        <v>3</v>
      </c>
      <c r="I8" s="128">
        <f>'1707'!I45</f>
        <v>2</v>
      </c>
      <c r="J8" s="128">
        <f>'1707'!J45</f>
        <v>5</v>
      </c>
      <c r="K8" s="128">
        <f>'1707'!K45</f>
        <v>0</v>
      </c>
      <c r="L8" s="128">
        <f>'1707'!L45</f>
        <v>3</v>
      </c>
      <c r="M8" s="128">
        <f>'1707'!M45</f>
        <v>3</v>
      </c>
      <c r="N8" s="128">
        <f>'1707'!N45</f>
        <v>2</v>
      </c>
      <c r="O8" s="128">
        <f>'1707'!O45</f>
        <v>3</v>
      </c>
      <c r="P8" s="128">
        <f>'1707'!P45</f>
        <v>1</v>
      </c>
      <c r="Q8" s="128">
        <f>'1707'!Q45</f>
        <v>2</v>
      </c>
      <c r="Z8" s="68" t="s">
        <v>45</v>
      </c>
      <c r="AA8" s="69">
        <f t="shared" ref="AA8:AA24" si="1">SUM(AL29,AA49,AL49,AA69,AL69,AA89,AL89)</f>
        <v>1</v>
      </c>
      <c r="AB8" s="70">
        <f>IF($AA$6-Table1[[#This Row],[Missed Games]]=0, 0,Table1[[#This Row],[Points]]/($AA$6-Table1[[#This Row],[Missed Games]]))</f>
        <v>0.5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1</v>
      </c>
      <c r="AF8" s="72">
        <f>IF($AA$6-Table1[[#This Row],[Missed Games]]=0, 0,Table1[[#This Row],[Midranges]]/($AA$6-Table1[[#This Row],[Missed Games]]))</f>
        <v>0.5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1" t="s">
        <v>0</v>
      </c>
      <c r="AM8" s="140">
        <f>AVERAGE(Table1[Average])</f>
        <v>0.91176470588235292</v>
      </c>
      <c r="AN8" s="140">
        <f>MEDIAN(Table1[Average])</f>
        <v>0</v>
      </c>
      <c r="AO8" s="37"/>
      <c r="AP8" s="18"/>
      <c r="AR8" s="62"/>
      <c r="AS8" s="63"/>
      <c r="AT8" s="40"/>
    </row>
    <row r="9" spans="2:46" ht="14.25" customHeight="1" x14ac:dyDescent="0.45">
      <c r="B9" s="128" t="str">
        <f>'1807'!B45</f>
        <v>18-July</v>
      </c>
      <c r="C9" s="128">
        <f>'1807'!C45</f>
        <v>12</v>
      </c>
      <c r="D9" s="128">
        <f>'1807'!D45</f>
        <v>1</v>
      </c>
      <c r="E9" s="128">
        <f>'1807'!E45</f>
        <v>1</v>
      </c>
      <c r="F9" s="128">
        <f>'1807'!F45</f>
        <v>12</v>
      </c>
      <c r="G9" s="128">
        <f>'1807'!G45</f>
        <v>1</v>
      </c>
      <c r="H9" s="128">
        <f>'1807'!H45</f>
        <v>0</v>
      </c>
      <c r="I9" s="128">
        <f>'1807'!I45</f>
        <v>1</v>
      </c>
      <c r="J9" s="128">
        <f>'1807'!J45</f>
        <v>6</v>
      </c>
      <c r="K9" s="128">
        <f>'1807'!K45</f>
        <v>1</v>
      </c>
      <c r="L9" s="128">
        <f>'1807'!L45</f>
        <v>1</v>
      </c>
      <c r="M9" s="128">
        <f>'1807'!M45</f>
        <v>6</v>
      </c>
      <c r="N9" s="128">
        <f>'1807'!N45</f>
        <v>0</v>
      </c>
      <c r="O9" s="128">
        <f>'1807'!O45</f>
        <v>3</v>
      </c>
      <c r="P9" s="128">
        <f>'1807'!P45</f>
        <v>1</v>
      </c>
      <c r="Q9" s="128">
        <f>'1807'!Q45</f>
        <v>2</v>
      </c>
      <c r="Z9" s="68" t="s">
        <v>49</v>
      </c>
      <c r="AA9" s="69">
        <f t="shared" si="1"/>
        <v>3</v>
      </c>
      <c r="AB9" s="70">
        <f>IF($AA$6-Table1[[#This Row],[Missed Games]]=0, 0,Table1[[#This Row],[Points]]/($AA$6-Table1[[#This Row],[Missed Games]]))</f>
        <v>1.5</v>
      </c>
      <c r="AC9" s="71">
        <f t="shared" si="2"/>
        <v>3</v>
      </c>
      <c r="AD9" s="72">
        <f>IF($AA$6-Table1[[#This Row],[Missed Games]]=0, 0,Table1[[#This Row],[Finishes]]/($AA$6-Table1[[#This Row],[Missed Games]]))</f>
        <v>1.5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1" t="s">
        <v>1</v>
      </c>
      <c r="AM9" s="140">
        <f>AVERAGE(Table1[Finishes])</f>
        <v>0.70588235294117652</v>
      </c>
      <c r="AN9" s="140">
        <f>MEDIAN(Table1[Finishes])</f>
        <v>0</v>
      </c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2</v>
      </c>
      <c r="AK10" s="67"/>
      <c r="AL10" s="141" t="s">
        <v>220</v>
      </c>
      <c r="AM10" s="140">
        <f>AVERAGE(Table1[Midranges])</f>
        <v>0.6470588235294118</v>
      </c>
      <c r="AN10" s="140">
        <f>MEDIAN(Table1[Midranges])</f>
        <v>0</v>
      </c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2</v>
      </c>
      <c r="AK11" s="67"/>
      <c r="AL11" s="141" t="s">
        <v>3</v>
      </c>
      <c r="AM11" s="140">
        <f>AVERAGE(Table1[Threes])</f>
        <v>0.23529411764705882</v>
      </c>
      <c r="AN11" s="140">
        <f>MEDIAN(Table1[Threes])</f>
        <v>0</v>
      </c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2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4</v>
      </c>
      <c r="AB16" s="70">
        <f>IF($AA$6-Table1[[#This Row],[Missed Games]]=0, 0,Table1[[#This Row],[Points]]/($AA$6-Table1[[#This Row],[Missed Games]]))</f>
        <v>2</v>
      </c>
      <c r="AC16" s="71">
        <f t="shared" si="2"/>
        <v>1</v>
      </c>
      <c r="AD16" s="72">
        <f>IF($AA$6-Table1[[#This Row],[Missed Games]]=0, 0,Table1[[#This Row],[Finishes]]/($AA$6-Table1[[#This Row],[Missed Games]]))</f>
        <v>0.5</v>
      </c>
      <c r="AE16" s="71">
        <f t="shared" si="3"/>
        <v>1</v>
      </c>
      <c r="AF16" s="72">
        <f>IF($AA$6-Table1[[#This Row],[Missed Games]]=0, 0,Table1[[#This Row],[Midranges]]/($AA$6-Table1[[#This Row],[Missed Games]]))</f>
        <v>0.5</v>
      </c>
      <c r="AG16" s="71">
        <f t="shared" si="4"/>
        <v>1</v>
      </c>
      <c r="AH16" s="72">
        <f>IF($AA$6-Table1[[#This Row],[Missed Games]]=0, 0,Table1[[#This Row],[Threes]]/($AA$6-Table1[[#This Row],[Missed Games]]))</f>
        <v>0.5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4</v>
      </c>
      <c r="AB17" s="70">
        <f>IF($AA$6-Table1[[#This Row],[Missed Games]]=0, 0,Table1[[#This Row],[Points]]/($AA$6-Table1[[#This Row],[Missed Games]]))</f>
        <v>2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2</v>
      </c>
      <c r="AF17" s="72">
        <f>IF($AA$6-Table1[[#This Row],[Missed Games]]=0, 0,Table1[[#This Row],[Midranges]]/($AA$6-Table1[[#This Row],[Missed Games]]))</f>
        <v>1</v>
      </c>
      <c r="AG17" s="71">
        <f t="shared" si="4"/>
        <v>1</v>
      </c>
      <c r="AH17" s="72">
        <f>IF($AA$6-Table1[[#This Row],[Missed Games]]=0, 0,Table1[[#This Row],[Threes]]/($AA$6-Table1[[#This Row],[Missed Games]]))</f>
        <v>0.5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3</v>
      </c>
      <c r="AB18" s="70">
        <f>IF($AA$6-Table1[[#This Row],[Missed Games]]=0, 0,Table1[[#This Row],[Points]]/($AA$6-Table1[[#This Row],[Missed Games]]))</f>
        <v>1.5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3</v>
      </c>
      <c r="AF18" s="72">
        <f>IF($AA$6-Table1[[#This Row],[Missed Games]]=0, 0,Table1[[#This Row],[Midranges]]/($AA$6-Table1[[#This Row],[Missed Games]]))</f>
        <v>1.5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0.5</v>
      </c>
      <c r="AC20" s="71">
        <f t="shared" si="2"/>
        <v>1</v>
      </c>
      <c r="AD20" s="125">
        <f>IF($AA$6-Table1[[#This Row],[Missed Games]]=0, 0,Table1[[#This Row],[Finishes]]/($AA$6-Table1[[#This Row],[Missed Games]]))</f>
        <v>0.5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4</v>
      </c>
      <c r="AB21" s="70">
        <f>IF($AA$6-Table1[[#This Row],[Missed Games]]=0, 0,Table1[[#This Row],[Points]]/($AA$6-Table1[[#This Row],[Missed Games]]))</f>
        <v>2</v>
      </c>
      <c r="AC21" s="71">
        <f t="shared" si="2"/>
        <v>2</v>
      </c>
      <c r="AD21" s="125">
        <f>IF($AA$6-Table1[[#This Row],[Missed Games]]=0, 0,Table1[[#This Row],[Finishes]]/($AA$6-Table1[[#This Row],[Missed Games]]))</f>
        <v>1</v>
      </c>
      <c r="AE21" s="71">
        <f t="shared" si="3"/>
        <v>2</v>
      </c>
      <c r="AF21" s="125">
        <f>IF($AA$6-Table1[[#This Row],[Missed Games]]=0, 0,Table1[[#This Row],[Midranges]]/($AA$6-Table1[[#This Row],[Missed Games]]))</f>
        <v>1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11</v>
      </c>
      <c r="AB22" s="70">
        <f>IF($AA$6-Table1[[#This Row],[Missed Games]]=0, 0,Table1[[#This Row],[Points]]/($AA$6-Table1[[#This Row],[Missed Games]]))</f>
        <v>5.5</v>
      </c>
      <c r="AC22" s="71">
        <f t="shared" si="2"/>
        <v>5</v>
      </c>
      <c r="AD22" s="125">
        <f>IF($AA$6-Table1[[#This Row],[Missed Games]]=0, 0,Table1[[#This Row],[Finishes]]/($AA$6-Table1[[#This Row],[Missed Games]]))</f>
        <v>2.5</v>
      </c>
      <c r="AE22" s="71">
        <f t="shared" si="3"/>
        <v>2</v>
      </c>
      <c r="AF22" s="125">
        <f>IF($AA$6-Table1[[#This Row],[Missed Games]]=0, 0,Table1[[#This Row],[Midranges]]/($AA$6-Table1[[#This Row],[Missed Games]]))</f>
        <v>1</v>
      </c>
      <c r="AG22" s="71">
        <f t="shared" si="4"/>
        <v>2</v>
      </c>
      <c r="AH22" s="125">
        <f>IF($AA$6-Table1[[#This Row],[Missed Games]]=0, 0,Table1[[#This Row],[Threes]]/($AA$6-Table1[[#This Row],[Missed Games]]))</f>
        <v>1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2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2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1</v>
      </c>
      <c r="AM29" s="32">
        <f>'1707'!S3+'1807'!S3</f>
        <v>0</v>
      </c>
      <c r="AN29" s="32">
        <f>'1707'!T3+'1807'!T3</f>
        <v>1</v>
      </c>
      <c r="AO29" s="32">
        <f>'1707'!U3+'1807'!U3</f>
        <v>0</v>
      </c>
      <c r="AP29" s="34">
        <f>AL29/($AA$27-Table211[[#This Row],[Missed Games]])</f>
        <v>0.33333333333333331</v>
      </c>
      <c r="AQ29" s="34">
        <f>AM29/($AA$27-Table211[[#This Row],[Missed Games]])</f>
        <v>0</v>
      </c>
      <c r="AR29" s="34">
        <f>AN29/($AA$27-Table211[[#This Row],[Missed Games]])</f>
        <v>0.33333333333333331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3</v>
      </c>
      <c r="AM30" s="32">
        <f>'1707'!S4+'1807'!S4</f>
        <v>3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1</v>
      </c>
      <c r="AQ30" s="32">
        <f>AM30/($AA$27-Table211[[#This Row],[Missed Games]])</f>
        <v>1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2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2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2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4</v>
      </c>
      <c r="AM37" s="32">
        <f>'1707'!S11+'1807'!S11</f>
        <v>1</v>
      </c>
      <c r="AN37" s="32">
        <f>'1707'!T11+'1807'!T11</f>
        <v>1</v>
      </c>
      <c r="AO37" s="32">
        <f>'1707'!U11+'1807'!U11</f>
        <v>1</v>
      </c>
      <c r="AP37" s="32">
        <f>AL37/($AA$27-Table211[[#This Row],[Missed Games]])</f>
        <v>1.3333333333333333</v>
      </c>
      <c r="AQ37" s="32">
        <f>AM37/($AA$27-Table211[[#This Row],[Missed Games]])</f>
        <v>0.33333333333333331</v>
      </c>
      <c r="AR37" s="32">
        <f>AN37/($AA$27-Table211[[#This Row],[Missed Games]])</f>
        <v>0.33333333333333331</v>
      </c>
      <c r="AS37" s="32">
        <f>AO37/($AA$27-Table211[[#This Row],[Missed Games]])</f>
        <v>0.33333333333333331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4</v>
      </c>
      <c r="AM38" s="32">
        <f>'1707'!S12+'1807'!S12</f>
        <v>0</v>
      </c>
      <c r="AN38" s="32">
        <f>'1707'!T12+'1807'!T12</f>
        <v>2</v>
      </c>
      <c r="AO38" s="32">
        <f>'1707'!U12+'1807'!U12</f>
        <v>1</v>
      </c>
      <c r="AP38" s="32">
        <f>AL38/($AA$27-Table211[[#This Row],[Missed Games]])</f>
        <v>1.3333333333333333</v>
      </c>
      <c r="AQ38" s="32">
        <f>AM38/($AA$27-Table211[[#This Row],[Missed Games]])</f>
        <v>0</v>
      </c>
      <c r="AR38" s="32">
        <f>AN38/($AA$27-Table211[[#This Row],[Missed Games]])</f>
        <v>0.66666666666666663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3</v>
      </c>
      <c r="AM39" s="32">
        <f>'1707'!S13+'1807'!S13</f>
        <v>0</v>
      </c>
      <c r="AN39" s="32">
        <f>'1707'!T13+'1807'!T13</f>
        <v>3</v>
      </c>
      <c r="AO39" s="32">
        <f>'1707'!U13+'1807'!U13</f>
        <v>0</v>
      </c>
      <c r="AP39" s="32">
        <f>AL39/($AA$27-Table211[[#This Row],[Missed Games]])</f>
        <v>1</v>
      </c>
      <c r="AQ39" s="32">
        <f>AM39/($AA$27-Table211[[#This Row],[Missed Games]])</f>
        <v>0</v>
      </c>
      <c r="AR39" s="32">
        <f>AN39/($AA$27-Table211[[#This Row],[Missed Games]])</f>
        <v>1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1</v>
      </c>
    </row>
    <row r="41" spans="2:46" ht="14.25" customHeight="1" x14ac:dyDescent="0.45">
      <c r="S41" s="14" t="s">
        <v>108</v>
      </c>
      <c r="T41">
        <f>'Statistics LG'!J3</f>
        <v>6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1</v>
      </c>
      <c r="AM41" s="32">
        <f>'1707'!S15+'1807'!S15</f>
        <v>1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2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4</v>
      </c>
      <c r="AM42" s="32">
        <f>'1707'!S16+'1807'!S16</f>
        <v>2</v>
      </c>
      <c r="AN42" s="32">
        <f>'1707'!T16+'1807'!T16</f>
        <v>2</v>
      </c>
      <c r="AO42" s="32">
        <f>'1707'!U16+'1807'!U16</f>
        <v>0</v>
      </c>
      <c r="AP42" s="32">
        <f>AL42/($AA$27-Table211[[#This Row],[Missed Games]])</f>
        <v>1.3333333333333333</v>
      </c>
      <c r="AQ42" s="32">
        <f>AM42/($AA$27-Table211[[#This Row],[Missed Games]])</f>
        <v>0.66666666666666663</v>
      </c>
      <c r="AR42" s="32">
        <f>AN42/($AA$27-Table211[[#This Row],[Missed Games]])</f>
        <v>0.66666666666666663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4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11</v>
      </c>
      <c r="AM43" s="32">
        <f>'1707'!S17+'1807'!S17</f>
        <v>5</v>
      </c>
      <c r="AN43" s="32">
        <f>'1707'!T17+'1807'!T17</f>
        <v>2</v>
      </c>
      <c r="AO43" s="32">
        <f>'1707'!U17+'1807'!U17</f>
        <v>2</v>
      </c>
      <c r="AP43" s="32">
        <f>AL43/($AA$27-Table211[[#This Row],[Missed Games]])</f>
        <v>3.6666666666666665</v>
      </c>
      <c r="AQ43" s="32">
        <f>AM43/($AA$27-Table211[[#This Row],[Missed Games]])</f>
        <v>1.6666666666666667</v>
      </c>
      <c r="AR43" s="32">
        <f>AN43/($AA$27-Table211[[#This Row],[Missed Games]])</f>
        <v>0.66666666666666663</v>
      </c>
      <c r="AS43" s="32">
        <f>AO43/($AA$27-Table211[[#This Row],[Missed Games]])</f>
        <v>0.66666666666666663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2</v>
      </c>
    </row>
    <row r="46" spans="2:46" ht="14.25" customHeight="1" x14ac:dyDescent="0.45">
      <c r="T46" s="14" t="s">
        <v>1</v>
      </c>
      <c r="U46" s="19">
        <f>SUM(Table1[Finishes])</f>
        <v>12</v>
      </c>
      <c r="V46" s="18">
        <f>U46/AA6</f>
        <v>6</v>
      </c>
      <c r="W46" s="28">
        <f>U46/SUM($U$46:$U$48)</f>
        <v>0.44444444444444442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11</v>
      </c>
      <c r="V47" s="18">
        <f>U47/AA6</f>
        <v>5.5</v>
      </c>
      <c r="W47" s="28">
        <f>U47/SUM($U$46:$U$48)</f>
        <v>0.40740740740740738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4</v>
      </c>
      <c r="V48" s="18">
        <f>U48/AA6</f>
        <v>2</v>
      </c>
      <c r="W48" s="28">
        <f>U48/SUM($U$46:$U$48)</f>
        <v>0.14814814814814814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0.91666666666666663</v>
      </c>
      <c r="V53" s="39">
        <f>'Statistics LG'!O42</f>
        <v>0.75</v>
      </c>
      <c r="W53" s="39">
        <f>AVERAGE(U53:V53)</f>
        <v>0.83333333333333326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8.333333333333337E-2</v>
      </c>
      <c r="U54" s="42" t="s">
        <v>131</v>
      </c>
      <c r="V54" s="39">
        <f>'Statistics WW'!L42</f>
        <v>0.66666666666666663</v>
      </c>
      <c r="W54" s="39">
        <f>AVERAGE(T54:V54)</f>
        <v>0.375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0.25</v>
      </c>
      <c r="U55" s="39">
        <f>1-V54</f>
        <v>0.33333333333333337</v>
      </c>
      <c r="V55" s="42" t="s">
        <v>131</v>
      </c>
      <c r="W55" s="39">
        <f>AVERAGE(T55:V55)</f>
        <v>0.29166666666666669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 t="str">
        <f>'Statistics LG'!A8</f>
        <v>18-July</v>
      </c>
      <c r="T80" s="17">
        <f>T79+'Statistics LG'!D8</f>
        <v>13</v>
      </c>
      <c r="U80" s="17">
        <f>U79+'Statistics WW'!D8</f>
        <v>6</v>
      </c>
      <c r="V80" s="17">
        <f>V79+'Statistics 5M'!D8</f>
        <v>11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13</v>
      </c>
      <c r="U81" s="17">
        <f>U80+'Statistics WW'!D9</f>
        <v>6</v>
      </c>
      <c r="V81" s="17">
        <f>V80+'Statistics 5M'!D9</f>
        <v>11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13</v>
      </c>
      <c r="U82" s="17">
        <f>U81+'Statistics WW'!D10</f>
        <v>6</v>
      </c>
      <c r="V82" s="17">
        <f>V81+'Statistics 5M'!D10</f>
        <v>11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13</v>
      </c>
      <c r="U83" s="17">
        <f>U82+'Statistics WW'!D11</f>
        <v>6</v>
      </c>
      <c r="V83" s="17">
        <f>V82+'Statistics 5M'!D11</f>
        <v>11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13</v>
      </c>
      <c r="U84" s="17">
        <f>U83+'Statistics WW'!D12</f>
        <v>6</v>
      </c>
      <c r="V84" s="17">
        <f>V83+'Statistics 5M'!D12</f>
        <v>11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13</v>
      </c>
      <c r="U85" s="17">
        <f>U84+'Statistics WW'!D13</f>
        <v>6</v>
      </c>
      <c r="V85" s="17">
        <f>V84+'Statistics 5M'!D13</f>
        <v>11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13</v>
      </c>
      <c r="U86" s="17">
        <f>U85+'Statistics WW'!D14</f>
        <v>6</v>
      </c>
      <c r="V86" s="17">
        <f>V85+'Statistics 5M'!D14</f>
        <v>11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13</v>
      </c>
      <c r="U87" s="17">
        <f>U86+'Statistics WW'!D15</f>
        <v>6</v>
      </c>
      <c r="V87" s="17">
        <f>V86+'Statistics 5M'!D15</f>
        <v>11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13</v>
      </c>
      <c r="U88" s="17">
        <f>U87+'Statistics WW'!D16</f>
        <v>6</v>
      </c>
      <c r="V88" s="17">
        <f>V87+'Statistics 5M'!D16</f>
        <v>11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13</v>
      </c>
      <c r="U89" s="17">
        <f>U88+'Statistics WW'!D17</f>
        <v>6</v>
      </c>
      <c r="V89" s="17">
        <f>V88+'Statistics 5M'!D17</f>
        <v>11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13</v>
      </c>
      <c r="U90" s="17">
        <f>U89+'Statistics WW'!D18</f>
        <v>6</v>
      </c>
      <c r="V90" s="17">
        <f>V89+'Statistics 5M'!D18</f>
        <v>11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4" type="noConversion"/>
  <conditionalFormatting sqref="U109:U118 W103:W108">
    <cfRule type="cellIs" dxfId="149" priority="4" operator="greaterThan">
      <formula>0</formula>
    </cfRule>
  </conditionalFormatting>
  <conditionalFormatting sqref="U109:U118 W103:W108">
    <cfRule type="cellIs" dxfId="148" priority="3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F8" sqref="F8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20</v>
      </c>
      <c r="I3" s="86">
        <f>SUM(C7:C40)</f>
        <v>4</v>
      </c>
      <c r="J3" s="83">
        <f>SUM(D7:D40)</f>
        <v>6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11</v>
      </c>
      <c r="T4" s="103">
        <f>'Stats Global'!AB22</f>
        <v>5.5</v>
      </c>
      <c r="U4" s="103">
        <f>'Stats Global'!AC22</f>
        <v>5</v>
      </c>
      <c r="V4" s="103">
        <f>'Stats Global'!AD22</f>
        <v>2.5</v>
      </c>
      <c r="W4" s="103">
        <f>'Stats Global'!AE22</f>
        <v>2</v>
      </c>
      <c r="X4" s="103">
        <f>'Stats Global'!AF22</f>
        <v>1</v>
      </c>
      <c r="Y4" s="103">
        <f>'Stats Global'!AG22</f>
        <v>2</v>
      </c>
      <c r="Z4" s="103">
        <f>'Stats Global'!AH22</f>
        <v>1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4</v>
      </c>
      <c r="T5" s="103">
        <f>'Stats Global'!AB16</f>
        <v>2</v>
      </c>
      <c r="U5" s="103">
        <f>'Stats Global'!AC16</f>
        <v>1</v>
      </c>
      <c r="V5" s="103">
        <f>'Stats Global'!AD16</f>
        <v>0.5</v>
      </c>
      <c r="W5" s="103">
        <f>'Stats Global'!AE16</f>
        <v>1</v>
      </c>
      <c r="X5" s="103">
        <f>'Stats Global'!AF16</f>
        <v>0.5</v>
      </c>
      <c r="Y5" s="103">
        <f>'Stats Global'!AG16</f>
        <v>1</v>
      </c>
      <c r="Z5" s="103">
        <f>'Stats Global'!AH16</f>
        <v>0.5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4</v>
      </c>
      <c r="T6" s="103">
        <f>'Stats Global'!AB21</f>
        <v>2</v>
      </c>
      <c r="U6" s="103">
        <f>'Stats Global'!AC21</f>
        <v>2</v>
      </c>
      <c r="V6" s="103">
        <f>'Stats Global'!AD21</f>
        <v>1</v>
      </c>
      <c r="W6" s="103">
        <f>'Stats Global'!AE21</f>
        <v>2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1</v>
      </c>
      <c r="T7" s="103">
        <f>'Stats Global'!AB8</f>
        <v>0.5</v>
      </c>
      <c r="U7" s="103">
        <f>'Stats Global'!AC8</f>
        <v>0</v>
      </c>
      <c r="V7" s="103">
        <f>'Stats Global'!AD8</f>
        <v>0</v>
      </c>
      <c r="W7" s="103">
        <f>'Stats Global'!AE8</f>
        <v>1</v>
      </c>
      <c r="X7" s="103">
        <f>'Stats Global'!AF8</f>
        <v>0.5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 t="str">
        <f>'Stats Global'!B9</f>
        <v>18-July</v>
      </c>
      <c r="B8" s="88">
        <f>'Stats Global'!F9</f>
        <v>12</v>
      </c>
      <c r="C8" s="88">
        <f>'Stats Global'!G9+'Stats Global'!H9</f>
        <v>1</v>
      </c>
      <c r="D8" s="88">
        <f>'Stats Global'!O9</f>
        <v>3</v>
      </c>
      <c r="E8" s="85"/>
      <c r="F8" s="85"/>
      <c r="I8" s="86"/>
      <c r="J8" s="89"/>
      <c r="L8" s="90">
        <f>'Stats Global'!J9</f>
        <v>6</v>
      </c>
      <c r="M8" s="90">
        <f>'Stats Global'!G9</f>
        <v>1</v>
      </c>
      <c r="N8" s="91"/>
      <c r="O8" s="90">
        <f>'Stats Global'!M9</f>
        <v>6</v>
      </c>
      <c r="P8" s="90">
        <f>'Stats Global'!H9</f>
        <v>0</v>
      </c>
      <c r="R8" s="89" t="s">
        <v>28</v>
      </c>
      <c r="S8" s="103">
        <f>'Stats Global'!AA9</f>
        <v>3</v>
      </c>
      <c r="T8" s="103">
        <f>'Stats Global'!AB9</f>
        <v>1.5</v>
      </c>
      <c r="U8" s="103">
        <f>'Stats Global'!AC9</f>
        <v>3</v>
      </c>
      <c r="V8" s="103">
        <f>'Stats Global'!AD9</f>
        <v>1.5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>
        <f>SUM(B7:B40)/SUM(B7:C40)</f>
        <v>0.83333333333333337</v>
      </c>
      <c r="J41" s="89"/>
      <c r="K41" s="86" t="s">
        <v>94</v>
      </c>
      <c r="L41" s="107">
        <f>SUM(L7:L40)</f>
        <v>11</v>
      </c>
      <c r="M41" s="107">
        <f>SUM(M7:M40)</f>
        <v>1</v>
      </c>
      <c r="N41" s="89"/>
      <c r="O41" s="107">
        <f>SUM(O7:O40)</f>
        <v>9</v>
      </c>
      <c r="P41" s="107">
        <f>SUM(P7:P40)</f>
        <v>3</v>
      </c>
    </row>
    <row r="42" spans="1:16" ht="14.25" customHeight="1" x14ac:dyDescent="0.45">
      <c r="L42" s="98">
        <f>L41/(M41+L41)</f>
        <v>0.91666666666666663</v>
      </c>
      <c r="O42" s="98">
        <f>O41/(P41+O41)</f>
        <v>0.75</v>
      </c>
    </row>
    <row r="43" spans="1:16" ht="14.25" customHeight="1" x14ac:dyDescent="0.45">
      <c r="I43" s="99" t="str">
        <f>K43&amp;H3&amp;","&amp;I3&amp;"],"</f>
        <v>"PartA":[20,4],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11.5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"PartB":[11,"Angus Walker",5,"Angus Walker",2,"Angus Walker",2,"Angus Walker"],</v>
      </c>
      <c r="K44" s="81" t="s">
        <v>136</v>
      </c>
      <c r="M44" s="101">
        <f>MAX(Table1114[Points])</f>
        <v>11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5.5</v>
      </c>
    </row>
    <row r="45" spans="1:16" ht="14.25" customHeight="1" x14ac:dyDescent="0.45">
      <c r="I45" s="81" t="str">
        <f>K45&amp;O43&amp;","&amp;O44&amp;","&amp;O45&amp;","&amp;O46&amp;","&amp;O47&amp;","&amp;O48&amp;"],"</f>
        <v>"PartC":[11.5,5.5,3,1.5,10,2],</v>
      </c>
      <c r="K45" s="81" t="s">
        <v>137</v>
      </c>
      <c r="M45" s="101">
        <f>MAX(Table1114[Finishes])</f>
        <v>5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3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"PartD":[11,1,91.7,9,3,75],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1.5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10</v>
      </c>
    </row>
    <row r="48" spans="1:16" ht="14.25" customHeight="1" x14ac:dyDescent="0.45">
      <c r="O48" s="81">
        <f>ROUND(I3/'Stats Global'!AA6,1)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E8" sqref="E8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3</v>
      </c>
      <c r="I4" s="86">
        <f>SUM(C7:C40)</f>
        <v>12</v>
      </c>
      <c r="J4" s="83">
        <f>SUM(D7:D40)</f>
        <v>2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3</v>
      </c>
      <c r="Q7" s="103">
        <f>'Stats Global'!AB18</f>
        <v>1.5</v>
      </c>
      <c r="R7" s="103">
        <f>'Stats Global'!AC18</f>
        <v>0</v>
      </c>
      <c r="S7" s="103">
        <f>'Stats Global'!AD18</f>
        <v>0</v>
      </c>
      <c r="T7" s="103">
        <f>'Stats Global'!AE18</f>
        <v>3</v>
      </c>
      <c r="U7" s="103">
        <f>'Stats Global'!AF18</f>
        <v>1.5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 t="str">
        <f>'Stats Global'!B9</f>
        <v>18-July</v>
      </c>
      <c r="B8" s="88">
        <f>'Stats Global'!I9</f>
        <v>1</v>
      </c>
      <c r="C8" s="88">
        <f>'Stats Global'!J9+'Stats Global'!K9</f>
        <v>7</v>
      </c>
      <c r="D8" s="88">
        <f>'Stats Global'!P9</f>
        <v>1</v>
      </c>
      <c r="E8" s="85"/>
      <c r="F8" s="85"/>
      <c r="I8" s="86"/>
      <c r="J8" s="89"/>
      <c r="L8" s="90">
        <f>'Stats Global'!N9</f>
        <v>0</v>
      </c>
      <c r="M8" s="90">
        <f>'Stats Global'!K9</f>
        <v>1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2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>
        <f>SUM(B7:B40)/SUM(B7:C40)</f>
        <v>0.2</v>
      </c>
      <c r="J41" s="89"/>
      <c r="K41" s="81" t="s">
        <v>94</v>
      </c>
      <c r="L41" s="107">
        <f>SUM(L7:L40)</f>
        <v>2</v>
      </c>
      <c r="M41" s="107">
        <f>SUM(M7:M40)</f>
        <v>1</v>
      </c>
      <c r="N41" s="89"/>
      <c r="O41" s="89"/>
      <c r="P41" s="58"/>
    </row>
    <row r="42" spans="1:16" ht="14.25" customHeight="1" x14ac:dyDescent="0.45">
      <c r="L42" s="98">
        <f>L41/(M41+L41)</f>
        <v>0.66666666666666663</v>
      </c>
      <c r="P42" s="58"/>
    </row>
    <row r="43" spans="1:16" ht="14.25" customHeight="1" x14ac:dyDescent="0.45">
      <c r="J43" s="99" t="str">
        <f>L43&amp;H4&amp;","&amp;I4&amp;"],"</f>
        <v>"PartA":[3,12],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1.5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"PartB":[3,"Ryan Pattemore",0,"N/A",3,"Ryan Pattemore",0,"N/A"],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"PartC":[1.5,0,1.5,0,1.5,6],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1.5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"PartD":[1,11,8.3,2,1,66.7],</v>
      </c>
      <c r="L46" s="81" t="s">
        <v>138</v>
      </c>
      <c r="N46" s="101">
        <f>MAX(Table1113[Midranges])</f>
        <v>3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1.5</v>
      </c>
    </row>
    <row r="48" spans="1:16" ht="14.25" customHeight="1" x14ac:dyDescent="0.45">
      <c r="P48" s="81">
        <f>ROUND(I4/'Stats Global'!AA6,1)</f>
        <v>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F8" sqref="F8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4</v>
      </c>
      <c r="I4" s="86">
        <f>SUM(C7:C40)</f>
        <v>11</v>
      </c>
      <c r="J4" s="83">
        <f>SUM(D7:D40)</f>
        <v>4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4</v>
      </c>
      <c r="N5" s="103">
        <f>'Stats Global'!AB17</f>
        <v>2</v>
      </c>
      <c r="O5" s="103">
        <f>'Stats Global'!AC17</f>
        <v>0</v>
      </c>
      <c r="P5" s="103">
        <f>'Stats Global'!AD17</f>
        <v>0</v>
      </c>
      <c r="Q5" s="103">
        <f>'Stats Global'!AE17</f>
        <v>2</v>
      </c>
      <c r="R5" s="103">
        <f>'Stats Global'!AF17</f>
        <v>1</v>
      </c>
      <c r="S5" s="103">
        <f>'Stats Global'!AG17</f>
        <v>1</v>
      </c>
      <c r="T5" s="103">
        <f>'Stats Global'!AH17</f>
        <v>0.5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2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0.5</v>
      </c>
      <c r="O7" s="103">
        <f>'Stats Global'!AC20</f>
        <v>1</v>
      </c>
      <c r="P7" s="103">
        <f>'Stats Global'!AD20</f>
        <v>0.5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 t="str">
        <f>'Stats Global'!B9</f>
        <v>18-July</v>
      </c>
      <c r="B8" s="88">
        <f>'Stats Global'!L9</f>
        <v>1</v>
      </c>
      <c r="C8" s="88">
        <f>'Stats Global'!M9+'Stats Global'!N9</f>
        <v>6</v>
      </c>
      <c r="D8" s="88">
        <f>'Stats Global'!Q9</f>
        <v>2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2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"PartA":[4,11],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2.5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"PartB":[4,"Samuel McConaghy",1,"Nicholas Szogi",2,"Samuel McConaghy",1,"Samuel McConaghy"],</v>
      </c>
      <c r="M33" s="81" t="s">
        <v>136</v>
      </c>
      <c r="O33" s="101">
        <f>MAX(Table11[Points])</f>
        <v>4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0.5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"PartC":[2.5,0.5,1,0.5,2,5.5],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"PartD":[3,9,25,1,2,33.3],</v>
      </c>
      <c r="M35" s="81" t="s">
        <v>138</v>
      </c>
      <c r="O35" s="101">
        <f>MAX(Table11[Midranges])</f>
        <v>2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0.5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2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5.5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>
        <f>SUM(B7:B40)/SUM(B7:C40)</f>
        <v>0.26666666666666666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N37" sqref="N37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26" ht="14.25" customHeight="1" x14ac:dyDescent="0.45">
      <c r="B45" s="79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85" zoomScaleNormal="85" workbookViewId="0">
      <selection activeCell="AE15" sqref="AE1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4" t="s">
        <v>219</v>
      </c>
      <c r="Y2" s="144"/>
      <c r="Z2" s="144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42" t="s">
        <v>222</v>
      </c>
      <c r="AD3" s="142" t="s">
        <v>223</v>
      </c>
      <c r="AE3" s="142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3" t="s">
        <v>119</v>
      </c>
      <c r="U41" s="143"/>
      <c r="V41" s="143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2023-07-18T04:11:50Z</dcterms:modified>
</cp:coreProperties>
</file>