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LTBO\Other Files\"/>
    </mc:Choice>
  </mc:AlternateContent>
  <xr:revisionPtr revIDLastSave="0" documentId="13_ncr:1_{0C907EF1-9568-4644-B7E6-79F7FA2A70F5}" xr6:coauthVersionLast="47" xr6:coauthVersionMax="47" xr10:uidLastSave="{00000000-0000-0000-0000-000000000000}"/>
  <bookViews>
    <workbookView xWindow="-98" yWindow="-98" windowWidth="22695" windowHeight="14595" xr2:uid="{1E3275F7-0219-46B7-B9B0-3246E28631A6}"/>
  </bookViews>
  <sheets>
    <sheet name="Awards" sheetId="31" r:id="rId1"/>
    <sheet name="SfW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Finals 3" sheetId="30" r:id="rId8"/>
    <sheet name="Finals 2" sheetId="29" r:id="rId9"/>
    <sheet name="Finals 1" sheetId="28" r:id="rId10"/>
    <sheet name="1708" sheetId="27" r:id="rId11"/>
    <sheet name="1508" sheetId="26" r:id="rId12"/>
    <sheet name="1408" sheetId="25" r:id="rId13"/>
    <sheet name="1008" sheetId="24" r:id="rId14"/>
    <sheet name="0908" sheetId="23" r:id="rId15"/>
    <sheet name="0808" sheetId="22" r:id="rId16"/>
    <sheet name="0308" sheetId="21" r:id="rId17"/>
    <sheet name="0208" sheetId="20" r:id="rId18"/>
    <sheet name="0108" sheetId="19" r:id="rId19"/>
    <sheet name="3107" sheetId="18" r:id="rId20"/>
    <sheet name="2707" sheetId="17" r:id="rId21"/>
    <sheet name="2607" sheetId="16" r:id="rId22"/>
    <sheet name="2407" sheetId="15" r:id="rId23"/>
    <sheet name="2007" sheetId="14" r:id="rId24"/>
    <sheet name="1907" sheetId="13" r:id="rId25"/>
    <sheet name="1807" sheetId="12" r:id="rId26"/>
    <sheet name="1707" sheetId="11" r:id="rId27"/>
    <sheet name="Preseason 3" sheetId="10" r:id="rId28"/>
    <sheet name="Preseason 2" sheetId="9" r:id="rId29"/>
    <sheet name="Preseason 1" sheetId="8" r:id="rId30"/>
  </sheets>
  <externalReferences>
    <externalReference r:id="rId3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5" i="30" l="1"/>
  <c r="P45" i="30"/>
  <c r="O45" i="30"/>
  <c r="B45" i="30"/>
  <c r="T44" i="30"/>
  <c r="AA39" i="30"/>
  <c r="Z39" i="30"/>
  <c r="Y39" i="30"/>
  <c r="V39" i="30"/>
  <c r="U39" i="30"/>
  <c r="T39" i="30"/>
  <c r="S39" i="30"/>
  <c r="AA38" i="30"/>
  <c r="Z38" i="30"/>
  <c r="Y38" i="30"/>
  <c r="AA37" i="30"/>
  <c r="Z37" i="30"/>
  <c r="Y37" i="30"/>
  <c r="AA36" i="30"/>
  <c r="Z36" i="30"/>
  <c r="Y36" i="30"/>
  <c r="AG35" i="30"/>
  <c r="AF35" i="30"/>
  <c r="AE35" i="30"/>
  <c r="AA35" i="30"/>
  <c r="Z35" i="30"/>
  <c r="Y35" i="30"/>
  <c r="AG34" i="30"/>
  <c r="AF34" i="30"/>
  <c r="AE34" i="30"/>
  <c r="AD34" i="30" s="1"/>
  <c r="AA34" i="30"/>
  <c r="Z34" i="30"/>
  <c r="Y34" i="30"/>
  <c r="V34" i="30"/>
  <c r="U34" i="30"/>
  <c r="T34" i="30"/>
  <c r="S34" i="30"/>
  <c r="AG33" i="30"/>
  <c r="AF33" i="30"/>
  <c r="AE33" i="30"/>
  <c r="AA33" i="30"/>
  <c r="Z33" i="30"/>
  <c r="Y33" i="30"/>
  <c r="AG32" i="30"/>
  <c r="AF32" i="30"/>
  <c r="AE32" i="30"/>
  <c r="AD32" i="30"/>
  <c r="AA32" i="30"/>
  <c r="Z32" i="30"/>
  <c r="Y32" i="30"/>
  <c r="AG31" i="30"/>
  <c r="AF31" i="30"/>
  <c r="AE31" i="30"/>
  <c r="AA31" i="30"/>
  <c r="Z31" i="30"/>
  <c r="Y31" i="30"/>
  <c r="AG30" i="30"/>
  <c r="AF30" i="30"/>
  <c r="AE30" i="30"/>
  <c r="AA30" i="30"/>
  <c r="Z30" i="30"/>
  <c r="Y30" i="30"/>
  <c r="AG29" i="30"/>
  <c r="AF29" i="30"/>
  <c r="AE29" i="30"/>
  <c r="AA29" i="30"/>
  <c r="Z29" i="30"/>
  <c r="Y29" i="30"/>
  <c r="AG28" i="30"/>
  <c r="AF28" i="30"/>
  <c r="AE28" i="30"/>
  <c r="AA28" i="30"/>
  <c r="Z28" i="30"/>
  <c r="Y28" i="30"/>
  <c r="AG27" i="30"/>
  <c r="AF27" i="30"/>
  <c r="AE27" i="30"/>
  <c r="AA27" i="30"/>
  <c r="Z27" i="30"/>
  <c r="Y27" i="30"/>
  <c r="AG26" i="30"/>
  <c r="AF26" i="30"/>
  <c r="AE26" i="30"/>
  <c r="AD26" i="30"/>
  <c r="AA26" i="30"/>
  <c r="Z26" i="30"/>
  <c r="Y26" i="30"/>
  <c r="AG25" i="30"/>
  <c r="AF25" i="30"/>
  <c r="AE25" i="30"/>
  <c r="AA25" i="30"/>
  <c r="Z25" i="30"/>
  <c r="Y25" i="30"/>
  <c r="AG24" i="30"/>
  <c r="AF24" i="30"/>
  <c r="AE24" i="30"/>
  <c r="AD24" i="30"/>
  <c r="AA24" i="30"/>
  <c r="Z24" i="30"/>
  <c r="Y24" i="30"/>
  <c r="AA23" i="30"/>
  <c r="Z23" i="30"/>
  <c r="Y23" i="30"/>
  <c r="AA22" i="30"/>
  <c r="Z22" i="30"/>
  <c r="Y22" i="30"/>
  <c r="AA21" i="30"/>
  <c r="Z21" i="30"/>
  <c r="Y21" i="30"/>
  <c r="AA20" i="30"/>
  <c r="Z20" i="30"/>
  <c r="Y20" i="30"/>
  <c r="AA19" i="30"/>
  <c r="Z19" i="30"/>
  <c r="Y19" i="30"/>
  <c r="V19" i="30"/>
  <c r="S19" i="30" s="1"/>
  <c r="U19" i="30"/>
  <c r="T19" i="30"/>
  <c r="AA18" i="30"/>
  <c r="Z18" i="30"/>
  <c r="Y18" i="30"/>
  <c r="V18" i="30"/>
  <c r="V38" i="30" s="1"/>
  <c r="U18" i="30"/>
  <c r="U38" i="30" s="1"/>
  <c r="T18" i="30"/>
  <c r="T38" i="30" s="1"/>
  <c r="AA17" i="30"/>
  <c r="Z17" i="30"/>
  <c r="Y17" i="30"/>
  <c r="V17" i="30"/>
  <c r="S17" i="30" s="1"/>
  <c r="S37" i="30" s="1"/>
  <c r="U17" i="30"/>
  <c r="U37" i="30" s="1"/>
  <c r="T17" i="30"/>
  <c r="T37" i="30" s="1"/>
  <c r="AA16" i="30"/>
  <c r="Z16" i="30"/>
  <c r="Y16" i="30"/>
  <c r="V16" i="30"/>
  <c r="S16" i="30" s="1"/>
  <c r="S36" i="30" s="1"/>
  <c r="U16" i="30"/>
  <c r="U36" i="30" s="1"/>
  <c r="T16" i="30"/>
  <c r="T36" i="30" s="1"/>
  <c r="AA15" i="30"/>
  <c r="Z15" i="30"/>
  <c r="Y15" i="30"/>
  <c r="V15" i="30"/>
  <c r="V35" i="30" s="1"/>
  <c r="U15" i="30"/>
  <c r="U35" i="30" s="1"/>
  <c r="T15" i="30"/>
  <c r="T35" i="30" s="1"/>
  <c r="AA14" i="30"/>
  <c r="Z14" i="30"/>
  <c r="Y14" i="30"/>
  <c r="V14" i="30"/>
  <c r="S14" i="30" s="1"/>
  <c r="U14" i="30"/>
  <c r="T14" i="30"/>
  <c r="AA13" i="30"/>
  <c r="Z13" i="30"/>
  <c r="Y13" i="30"/>
  <c r="V13" i="30"/>
  <c r="AD99" i="3" s="1"/>
  <c r="U13" i="30"/>
  <c r="U33" i="30" s="1"/>
  <c r="T13" i="30"/>
  <c r="T33" i="30" s="1"/>
  <c r="AA12" i="30"/>
  <c r="Z12" i="30"/>
  <c r="Y12" i="30"/>
  <c r="V12" i="30"/>
  <c r="V32" i="30" s="1"/>
  <c r="U12" i="30"/>
  <c r="U32" i="30" s="1"/>
  <c r="T12" i="30"/>
  <c r="T32" i="30" s="1"/>
  <c r="AA11" i="30"/>
  <c r="Z11" i="30"/>
  <c r="Y11" i="30"/>
  <c r="V11" i="30"/>
  <c r="S11" i="30" s="1"/>
  <c r="S31" i="30" s="1"/>
  <c r="U11" i="30"/>
  <c r="U31" i="30" s="1"/>
  <c r="T11" i="30"/>
  <c r="T31" i="30" s="1"/>
  <c r="AA10" i="30"/>
  <c r="Z10" i="30"/>
  <c r="Y10" i="30"/>
  <c r="V10" i="30"/>
  <c r="V30" i="30" s="1"/>
  <c r="U10" i="30"/>
  <c r="U30" i="30" s="1"/>
  <c r="T10" i="30"/>
  <c r="T30" i="30" s="1"/>
  <c r="AA9" i="30"/>
  <c r="Z9" i="30"/>
  <c r="Y9" i="30"/>
  <c r="V9" i="30"/>
  <c r="S9" i="30" s="1"/>
  <c r="S29" i="30" s="1"/>
  <c r="U9" i="30"/>
  <c r="U29" i="30" s="1"/>
  <c r="T9" i="30"/>
  <c r="T29" i="30" s="1"/>
  <c r="AA8" i="30"/>
  <c r="Z8" i="30"/>
  <c r="Y8" i="30"/>
  <c r="V8" i="30"/>
  <c r="S8" i="30" s="1"/>
  <c r="S28" i="30" s="1"/>
  <c r="U8" i="30"/>
  <c r="U28" i="30" s="1"/>
  <c r="T8" i="30"/>
  <c r="T28" i="30" s="1"/>
  <c r="AA7" i="30"/>
  <c r="Z7" i="30"/>
  <c r="Y7" i="30"/>
  <c r="V7" i="30"/>
  <c r="V27" i="30" s="1"/>
  <c r="U7" i="30"/>
  <c r="U27" i="30" s="1"/>
  <c r="T7" i="30"/>
  <c r="T27" i="30" s="1"/>
  <c r="AA6" i="30"/>
  <c r="Z6" i="30"/>
  <c r="Y6" i="30"/>
  <c r="V6" i="30"/>
  <c r="V26" i="30" s="1"/>
  <c r="U6" i="30"/>
  <c r="U26" i="30" s="1"/>
  <c r="T6" i="30"/>
  <c r="T26" i="30" s="1"/>
  <c r="AA5" i="30"/>
  <c r="Z5" i="30"/>
  <c r="Y5" i="30"/>
  <c r="V5" i="30"/>
  <c r="V25" i="30" s="1"/>
  <c r="U5" i="30"/>
  <c r="U25" i="30" s="1"/>
  <c r="T5" i="30"/>
  <c r="T25" i="30" s="1"/>
  <c r="N5" i="30"/>
  <c r="O5" i="30" s="1"/>
  <c r="M5" i="30"/>
  <c r="I45" i="30" s="1"/>
  <c r="I27" i="3" s="1"/>
  <c r="AA4" i="30"/>
  <c r="Z4" i="30"/>
  <c r="Y4" i="30"/>
  <c r="V4" i="30"/>
  <c r="V24" i="30" s="1"/>
  <c r="U4" i="30"/>
  <c r="U24" i="30" s="1"/>
  <c r="T4" i="30"/>
  <c r="T24" i="30" s="1"/>
  <c r="N4" i="30"/>
  <c r="M4" i="30"/>
  <c r="O4" i="30" s="1"/>
  <c r="V3" i="30"/>
  <c r="V23" i="30" s="1"/>
  <c r="U3" i="30"/>
  <c r="U23" i="30" s="1"/>
  <c r="T3" i="30"/>
  <c r="T23" i="30" s="1"/>
  <c r="N3" i="30"/>
  <c r="M3" i="30"/>
  <c r="F45" i="30" s="1"/>
  <c r="T81" i="31"/>
  <c r="U81" i="31"/>
  <c r="V81" i="31"/>
  <c r="W81" i="31"/>
  <c r="X81" i="31"/>
  <c r="Y81" i="31"/>
  <c r="Z81" i="31"/>
  <c r="AA81" i="31"/>
  <c r="AI81" i="31" s="1"/>
  <c r="AB81" i="31"/>
  <c r="AC81" i="31"/>
  <c r="AD81" i="31"/>
  <c r="AE81" i="31"/>
  <c r="AF81" i="31"/>
  <c r="AG81" i="31"/>
  <c r="AH81" i="31"/>
  <c r="T82" i="31"/>
  <c r="AI82" i="31" s="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T83" i="31"/>
  <c r="AI83" i="31" s="1"/>
  <c r="U83" i="31"/>
  <c r="V83" i="31"/>
  <c r="W83" i="31"/>
  <c r="X83" i="31"/>
  <c r="Y83" i="31"/>
  <c r="Z83" i="31"/>
  <c r="AA83" i="31"/>
  <c r="AB83" i="31"/>
  <c r="AC83" i="31"/>
  <c r="AD83" i="31"/>
  <c r="AE83" i="31"/>
  <c r="AF83" i="31"/>
  <c r="AG83" i="31"/>
  <c r="AH83" i="31"/>
  <c r="T84" i="31"/>
  <c r="AI84" i="31" s="1"/>
  <c r="U84" i="31"/>
  <c r="V84" i="31"/>
  <c r="W84" i="31"/>
  <c r="X84" i="31"/>
  <c r="Y84" i="31"/>
  <c r="Z84" i="31"/>
  <c r="AA84" i="31"/>
  <c r="AB84" i="31"/>
  <c r="AC84" i="31"/>
  <c r="AD84" i="31"/>
  <c r="AE84" i="31"/>
  <c r="AF84" i="31"/>
  <c r="AG84" i="31"/>
  <c r="AH84" i="31"/>
  <c r="T85" i="31"/>
  <c r="U85" i="31"/>
  <c r="V85" i="31"/>
  <c r="W85" i="31"/>
  <c r="X85" i="31"/>
  <c r="Y85" i="31"/>
  <c r="Z85" i="31"/>
  <c r="AA85" i="31"/>
  <c r="AB85" i="31"/>
  <c r="AC85" i="31"/>
  <c r="AD85" i="31"/>
  <c r="AE85" i="31"/>
  <c r="AF85" i="31"/>
  <c r="AG85" i="31"/>
  <c r="AH85" i="31"/>
  <c r="T86" i="31"/>
  <c r="U86" i="31"/>
  <c r="V86" i="31"/>
  <c r="W86" i="31"/>
  <c r="X86" i="31"/>
  <c r="Y86" i="31"/>
  <c r="Z86" i="31"/>
  <c r="AA86" i="31"/>
  <c r="AB86" i="31"/>
  <c r="AC86" i="31"/>
  <c r="AD86" i="31"/>
  <c r="AE86" i="31"/>
  <c r="AF86" i="31"/>
  <c r="AG86" i="31"/>
  <c r="AH86" i="31"/>
  <c r="T87" i="31"/>
  <c r="U87" i="31"/>
  <c r="V87" i="31"/>
  <c r="W87" i="31"/>
  <c r="X87" i="31"/>
  <c r="Y87" i="31"/>
  <c r="Z87" i="31"/>
  <c r="AA87" i="31"/>
  <c r="AB87" i="31"/>
  <c r="AC87" i="31"/>
  <c r="AD87" i="31"/>
  <c r="AE87" i="31"/>
  <c r="AF87" i="31"/>
  <c r="AG87" i="31"/>
  <c r="AH87" i="31"/>
  <c r="T88" i="31"/>
  <c r="U88" i="31"/>
  <c r="V88" i="31"/>
  <c r="W88" i="31"/>
  <c r="X88" i="31"/>
  <c r="Y88" i="31"/>
  <c r="Z88" i="31"/>
  <c r="AA88" i="31"/>
  <c r="AB88" i="31"/>
  <c r="AC88" i="31"/>
  <c r="AD88" i="31"/>
  <c r="AE88" i="31"/>
  <c r="AF88" i="31"/>
  <c r="AG88" i="31"/>
  <c r="AH88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T90" i="31"/>
  <c r="AI90" i="31" s="1"/>
  <c r="U90" i="31"/>
  <c r="V90" i="31"/>
  <c r="W90" i="31"/>
  <c r="X90" i="31"/>
  <c r="Y90" i="31"/>
  <c r="Z90" i="31"/>
  <c r="AA90" i="31"/>
  <c r="AB90" i="31"/>
  <c r="AC90" i="31"/>
  <c r="AD90" i="31"/>
  <c r="AE90" i="31"/>
  <c r="AF90" i="31"/>
  <c r="AG90" i="31"/>
  <c r="AH90" i="31"/>
  <c r="T91" i="31"/>
  <c r="AI91" i="31" s="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T92" i="31"/>
  <c r="AI92" i="31" s="1"/>
  <c r="U92" i="31"/>
  <c r="V92" i="31"/>
  <c r="W92" i="31"/>
  <c r="X92" i="31"/>
  <c r="Y92" i="31"/>
  <c r="Z92" i="31"/>
  <c r="AA92" i="31"/>
  <c r="AB92" i="31"/>
  <c r="AC92" i="31"/>
  <c r="AD92" i="31"/>
  <c r="AE92" i="31"/>
  <c r="AF92" i="31"/>
  <c r="AG92" i="31"/>
  <c r="AH92" i="31"/>
  <c r="T93" i="31"/>
  <c r="U93" i="31"/>
  <c r="V93" i="31"/>
  <c r="W93" i="31"/>
  <c r="X93" i="31"/>
  <c r="Y93" i="31"/>
  <c r="Z93" i="31"/>
  <c r="AA93" i="31"/>
  <c r="AB93" i="31"/>
  <c r="AC93" i="31"/>
  <c r="AD93" i="31"/>
  <c r="AE93" i="31"/>
  <c r="AF93" i="31"/>
  <c r="AG93" i="31"/>
  <c r="AH93" i="31"/>
  <c r="T94" i="31"/>
  <c r="U94" i="31"/>
  <c r="V94" i="31"/>
  <c r="W94" i="31"/>
  <c r="X94" i="31"/>
  <c r="Y94" i="31"/>
  <c r="Z94" i="31"/>
  <c r="AA94" i="31"/>
  <c r="AB94" i="31"/>
  <c r="AC94" i="31"/>
  <c r="AD94" i="31"/>
  <c r="AE94" i="31"/>
  <c r="AF94" i="31"/>
  <c r="AG94" i="31"/>
  <c r="AH94" i="31"/>
  <c r="T95" i="31"/>
  <c r="U95" i="31"/>
  <c r="V95" i="31"/>
  <c r="W95" i="31"/>
  <c r="X95" i="31"/>
  <c r="Y95" i="31"/>
  <c r="Z95" i="31"/>
  <c r="AA95" i="31"/>
  <c r="AB95" i="31"/>
  <c r="AC95" i="31"/>
  <c r="AD95" i="31"/>
  <c r="AE95" i="31"/>
  <c r="AF95" i="31"/>
  <c r="AG95" i="31"/>
  <c r="AH95" i="31"/>
  <c r="T96" i="31"/>
  <c r="U96" i="31"/>
  <c r="V96" i="31"/>
  <c r="W96" i="31"/>
  <c r="X96" i="31"/>
  <c r="Y96" i="31"/>
  <c r="Z96" i="31"/>
  <c r="AA96" i="31"/>
  <c r="AB96" i="31"/>
  <c r="AC96" i="31"/>
  <c r="AD96" i="31"/>
  <c r="AE96" i="31"/>
  <c r="AF96" i="31"/>
  <c r="AG96" i="31"/>
  <c r="AH96" i="31"/>
  <c r="T97" i="31"/>
  <c r="U97" i="31"/>
  <c r="V97" i="31"/>
  <c r="W97" i="31"/>
  <c r="X97" i="31"/>
  <c r="Y97" i="31"/>
  <c r="Z97" i="31"/>
  <c r="AA97" i="31"/>
  <c r="AB97" i="31"/>
  <c r="AC97" i="31"/>
  <c r="AD97" i="31"/>
  <c r="AE97" i="31"/>
  <c r="AF97" i="31"/>
  <c r="AG97" i="31"/>
  <c r="AH97" i="31"/>
  <c r="S82" i="31"/>
  <c r="S83" i="31"/>
  <c r="S84" i="31"/>
  <c r="S85" i="31"/>
  <c r="S86" i="31"/>
  <c r="S87" i="31"/>
  <c r="S88" i="31"/>
  <c r="S89" i="31"/>
  <c r="S90" i="31"/>
  <c r="S91" i="31"/>
  <c r="S92" i="31"/>
  <c r="S93" i="31"/>
  <c r="S94" i="31"/>
  <c r="S95" i="31"/>
  <c r="S96" i="31"/>
  <c r="S97" i="31"/>
  <c r="S81" i="31"/>
  <c r="AI62" i="31"/>
  <c r="AI63" i="31"/>
  <c r="AI64" i="31"/>
  <c r="AI65" i="31"/>
  <c r="AI66" i="31"/>
  <c r="AI67" i="31"/>
  <c r="AI68" i="31"/>
  <c r="AI69" i="31"/>
  <c r="AI70" i="31"/>
  <c r="AI71" i="31"/>
  <c r="AI72" i="31"/>
  <c r="AI73" i="31"/>
  <c r="AI74" i="31"/>
  <c r="AI75" i="31"/>
  <c r="AI77" i="31"/>
  <c r="AI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T62" i="31"/>
  <c r="U62" i="31"/>
  <c r="V62" i="31"/>
  <c r="W62" i="31"/>
  <c r="X62" i="31"/>
  <c r="Y62" i="31"/>
  <c r="Z62" i="31"/>
  <c r="AA62" i="31"/>
  <c r="AB62" i="31"/>
  <c r="AC62" i="31"/>
  <c r="AD62" i="31"/>
  <c r="AE62" i="31"/>
  <c r="AF62" i="31"/>
  <c r="AG62" i="31"/>
  <c r="AH62" i="31"/>
  <c r="T63" i="31"/>
  <c r="U63" i="31"/>
  <c r="V63" i="31"/>
  <c r="W63" i="31"/>
  <c r="X63" i="31"/>
  <c r="Y63" i="31"/>
  <c r="Z63" i="31"/>
  <c r="AA63" i="31"/>
  <c r="AB63" i="31"/>
  <c r="AC63" i="31"/>
  <c r="AD63" i="31"/>
  <c r="AE63" i="31"/>
  <c r="AF63" i="31"/>
  <c r="AG63" i="31"/>
  <c r="AH63" i="31"/>
  <c r="T64" i="31"/>
  <c r="U64" i="31"/>
  <c r="V64" i="31"/>
  <c r="W64" i="31"/>
  <c r="X64" i="31"/>
  <c r="Y64" i="31"/>
  <c r="Z64" i="31"/>
  <c r="AA64" i="31"/>
  <c r="AB64" i="31"/>
  <c r="AC64" i="31"/>
  <c r="AD64" i="31"/>
  <c r="AE64" i="31"/>
  <c r="AF64" i="31"/>
  <c r="AG64" i="31"/>
  <c r="AH64" i="31"/>
  <c r="T65" i="31"/>
  <c r="U65" i="31"/>
  <c r="V65" i="31"/>
  <c r="W65" i="31"/>
  <c r="X65" i="31"/>
  <c r="Y65" i="31"/>
  <c r="Z65" i="31"/>
  <c r="AA65" i="31"/>
  <c r="AB65" i="31"/>
  <c r="AC65" i="31"/>
  <c r="AD65" i="31"/>
  <c r="AE65" i="31"/>
  <c r="AF65" i="31"/>
  <c r="AG65" i="31"/>
  <c r="AH65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T67" i="31"/>
  <c r="U67" i="31"/>
  <c r="V67" i="31"/>
  <c r="W67" i="31"/>
  <c r="X67" i="31"/>
  <c r="Y67" i="31"/>
  <c r="Z67" i="31"/>
  <c r="AA67" i="31"/>
  <c r="AB67" i="31"/>
  <c r="AC67" i="31"/>
  <c r="AD67" i="31"/>
  <c r="AE67" i="31"/>
  <c r="AF67" i="31"/>
  <c r="AG67" i="31"/>
  <c r="AH67" i="31"/>
  <c r="T68" i="31"/>
  <c r="U68" i="31"/>
  <c r="V68" i="31"/>
  <c r="W68" i="31"/>
  <c r="X68" i="31"/>
  <c r="Y68" i="31"/>
  <c r="Z68" i="31"/>
  <c r="AA68" i="31"/>
  <c r="AB68" i="31"/>
  <c r="AC68" i="31"/>
  <c r="AD68" i="31"/>
  <c r="AE68" i="31"/>
  <c r="AF68" i="31"/>
  <c r="AG68" i="31"/>
  <c r="AH68" i="31"/>
  <c r="T69" i="31"/>
  <c r="U69" i="31"/>
  <c r="V69" i="31"/>
  <c r="W69" i="31"/>
  <c r="X69" i="31"/>
  <c r="Y69" i="31"/>
  <c r="Z69" i="31"/>
  <c r="AA69" i="31"/>
  <c r="AB69" i="31"/>
  <c r="AC69" i="31"/>
  <c r="AD69" i="31"/>
  <c r="AE69" i="31"/>
  <c r="AF69" i="31"/>
  <c r="AG69" i="31"/>
  <c r="AH69" i="31"/>
  <c r="T70" i="31"/>
  <c r="U70" i="31"/>
  <c r="V70" i="31"/>
  <c r="W70" i="31"/>
  <c r="X70" i="31"/>
  <c r="Y70" i="31"/>
  <c r="Z70" i="31"/>
  <c r="AA70" i="31"/>
  <c r="AB70" i="31"/>
  <c r="AC70" i="31"/>
  <c r="AD70" i="31"/>
  <c r="AE70" i="31"/>
  <c r="AF70" i="31"/>
  <c r="AG70" i="31"/>
  <c r="AH70" i="31"/>
  <c r="T71" i="31"/>
  <c r="U71" i="31"/>
  <c r="V71" i="31"/>
  <c r="W71" i="31"/>
  <c r="X71" i="31"/>
  <c r="Y71" i="31"/>
  <c r="Z71" i="31"/>
  <c r="AA71" i="31"/>
  <c r="AB71" i="31"/>
  <c r="AC71" i="31"/>
  <c r="AD71" i="31"/>
  <c r="AE71" i="31"/>
  <c r="AF71" i="31"/>
  <c r="AG71" i="31"/>
  <c r="AH71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T73" i="31"/>
  <c r="U73" i="31"/>
  <c r="V73" i="31"/>
  <c r="W73" i="31"/>
  <c r="X73" i="31"/>
  <c r="Y73" i="31"/>
  <c r="Z73" i="31"/>
  <c r="AA73" i="31"/>
  <c r="AB73" i="31"/>
  <c r="AC73" i="31"/>
  <c r="AD73" i="31"/>
  <c r="AE73" i="31"/>
  <c r="AF73" i="31"/>
  <c r="AG73" i="31"/>
  <c r="AH73" i="31"/>
  <c r="T74" i="31"/>
  <c r="U74" i="31"/>
  <c r="V74" i="31"/>
  <c r="W74" i="31"/>
  <c r="X74" i="31"/>
  <c r="Y74" i="31"/>
  <c r="Z74" i="31"/>
  <c r="AA74" i="31"/>
  <c r="AB74" i="31"/>
  <c r="AC74" i="31"/>
  <c r="AD74" i="31"/>
  <c r="AE74" i="31"/>
  <c r="AF74" i="31"/>
  <c r="AG74" i="31"/>
  <c r="AH74" i="31"/>
  <c r="T75" i="31"/>
  <c r="U75" i="31"/>
  <c r="V75" i="31"/>
  <c r="W75" i="31"/>
  <c r="X75" i="31"/>
  <c r="Y75" i="31"/>
  <c r="Z75" i="31"/>
  <c r="AA75" i="31"/>
  <c r="AB75" i="31"/>
  <c r="AC75" i="31"/>
  <c r="AD75" i="31"/>
  <c r="AE75" i="31"/>
  <c r="AF75" i="31"/>
  <c r="AG75" i="31"/>
  <c r="AH75" i="31"/>
  <c r="T76" i="31"/>
  <c r="U76" i="31"/>
  <c r="V76" i="31"/>
  <c r="W76" i="31"/>
  <c r="X76" i="31"/>
  <c r="Y76" i="31"/>
  <c r="Z76" i="31"/>
  <c r="AA76" i="31"/>
  <c r="AB76" i="31"/>
  <c r="AC76" i="31"/>
  <c r="AD76" i="31"/>
  <c r="AE76" i="31"/>
  <c r="AF76" i="31"/>
  <c r="AG76" i="31"/>
  <c r="AH76" i="31"/>
  <c r="T77" i="31"/>
  <c r="U77" i="31"/>
  <c r="V77" i="31"/>
  <c r="W77" i="31"/>
  <c r="X77" i="31"/>
  <c r="Y77" i="31"/>
  <c r="Z77" i="31"/>
  <c r="AA77" i="31"/>
  <c r="AB77" i="31"/>
  <c r="AC77" i="31"/>
  <c r="AD77" i="31"/>
  <c r="AE77" i="31"/>
  <c r="AF77" i="31"/>
  <c r="AG77" i="31"/>
  <c r="AH77" i="31"/>
  <c r="S62" i="31"/>
  <c r="S63" i="31"/>
  <c r="S64" i="31"/>
  <c r="S65" i="31"/>
  <c r="S66" i="31"/>
  <c r="S67" i="31"/>
  <c r="S68" i="31"/>
  <c r="S69" i="31"/>
  <c r="S70" i="31"/>
  <c r="S71" i="31"/>
  <c r="S72" i="31"/>
  <c r="S73" i="31"/>
  <c r="S74" i="31"/>
  <c r="S75" i="31"/>
  <c r="S76" i="31"/>
  <c r="AI76" i="31" s="1"/>
  <c r="S77" i="31"/>
  <c r="S61" i="31"/>
  <c r="T101" i="31"/>
  <c r="U101" i="31"/>
  <c r="T102" i="31"/>
  <c r="U102" i="31"/>
  <c r="T103" i="31"/>
  <c r="V103" i="31" s="1"/>
  <c r="U103" i="31"/>
  <c r="T104" i="31"/>
  <c r="U104" i="31"/>
  <c r="T105" i="31"/>
  <c r="U105" i="31"/>
  <c r="T106" i="31"/>
  <c r="U106" i="31"/>
  <c r="T107" i="31"/>
  <c r="U107" i="31"/>
  <c r="T108" i="31"/>
  <c r="U108" i="31"/>
  <c r="T109" i="31"/>
  <c r="U109" i="31"/>
  <c r="T110" i="31"/>
  <c r="U110" i="31"/>
  <c r="T111" i="31"/>
  <c r="U111" i="31"/>
  <c r="T112" i="31"/>
  <c r="U112" i="31"/>
  <c r="T113" i="31"/>
  <c r="U113" i="31"/>
  <c r="T114" i="31"/>
  <c r="V114" i="31" s="1"/>
  <c r="U114" i="31"/>
  <c r="T115" i="31"/>
  <c r="U115" i="31"/>
  <c r="T116" i="31"/>
  <c r="U116" i="31"/>
  <c r="T117" i="31"/>
  <c r="U117" i="31"/>
  <c r="S102" i="31"/>
  <c r="S103" i="31"/>
  <c r="S104" i="31"/>
  <c r="S105" i="31"/>
  <c r="V105" i="31" s="1"/>
  <c r="S106" i="31"/>
  <c r="S107" i="31"/>
  <c r="S108" i="31"/>
  <c r="S109" i="31"/>
  <c r="S110" i="31"/>
  <c r="S111" i="31"/>
  <c r="S112" i="31"/>
  <c r="S113" i="31"/>
  <c r="S114" i="31"/>
  <c r="S115" i="31"/>
  <c r="S116" i="31"/>
  <c r="S117" i="31"/>
  <c r="S101" i="31"/>
  <c r="V101" i="31" s="1"/>
  <c r="V108" i="31"/>
  <c r="V104" i="31"/>
  <c r="T41" i="31"/>
  <c r="U41" i="31"/>
  <c r="T42" i="31"/>
  <c r="U42" i="31"/>
  <c r="T43" i="31"/>
  <c r="U43" i="31"/>
  <c r="T44" i="31"/>
  <c r="V44" i="31" s="1"/>
  <c r="U44" i="31"/>
  <c r="T45" i="31"/>
  <c r="U45" i="31"/>
  <c r="T46" i="31"/>
  <c r="U46" i="31"/>
  <c r="T47" i="31"/>
  <c r="U47" i="31"/>
  <c r="T48" i="31"/>
  <c r="U48" i="31"/>
  <c r="T49" i="31"/>
  <c r="U49" i="31"/>
  <c r="T50" i="31"/>
  <c r="U50" i="31"/>
  <c r="T51" i="31"/>
  <c r="U51" i="31"/>
  <c r="T52" i="31"/>
  <c r="V52" i="31" s="1"/>
  <c r="U52" i="31"/>
  <c r="T53" i="31"/>
  <c r="V53" i="31" s="1"/>
  <c r="U53" i="31"/>
  <c r="T54" i="31"/>
  <c r="U54" i="31"/>
  <c r="T55" i="31"/>
  <c r="U55" i="31"/>
  <c r="T56" i="31"/>
  <c r="U56" i="31"/>
  <c r="T57" i="31"/>
  <c r="U57" i="31"/>
  <c r="S42" i="31"/>
  <c r="S43" i="31"/>
  <c r="S44" i="31"/>
  <c r="S45" i="31"/>
  <c r="S46" i="31"/>
  <c r="S47" i="31"/>
  <c r="S48" i="31"/>
  <c r="S49" i="31"/>
  <c r="S50" i="31"/>
  <c r="V50" i="31" s="1"/>
  <c r="S51" i="31"/>
  <c r="S52" i="31"/>
  <c r="S53" i="31"/>
  <c r="S54" i="31"/>
  <c r="S55" i="31"/>
  <c r="S56" i="31"/>
  <c r="S57" i="31"/>
  <c r="S41" i="31"/>
  <c r="V41" i="31" s="1"/>
  <c r="V45" i="31"/>
  <c r="V42" i="31"/>
  <c r="T21" i="31"/>
  <c r="U21" i="31"/>
  <c r="T22" i="31"/>
  <c r="U22" i="31"/>
  <c r="T23" i="31"/>
  <c r="U23" i="31"/>
  <c r="T24" i="31"/>
  <c r="U24" i="31"/>
  <c r="T25" i="31"/>
  <c r="U25" i="31"/>
  <c r="T26" i="31"/>
  <c r="U26" i="31"/>
  <c r="T27" i="31"/>
  <c r="U27" i="31"/>
  <c r="T28" i="31"/>
  <c r="U28" i="31"/>
  <c r="T29" i="31"/>
  <c r="U29" i="31"/>
  <c r="T30" i="31"/>
  <c r="U30" i="31"/>
  <c r="T31" i="31"/>
  <c r="U31" i="31"/>
  <c r="T32" i="31"/>
  <c r="U32" i="31"/>
  <c r="T33" i="31"/>
  <c r="U33" i="31"/>
  <c r="T34" i="31"/>
  <c r="U34" i="31"/>
  <c r="T35" i="31"/>
  <c r="U35" i="31"/>
  <c r="T36" i="31"/>
  <c r="U36" i="31"/>
  <c r="T37" i="31"/>
  <c r="U37" i="31"/>
  <c r="S22" i="31"/>
  <c r="S23" i="31"/>
  <c r="S24" i="31"/>
  <c r="S25" i="31"/>
  <c r="S26" i="31"/>
  <c r="S27" i="31"/>
  <c r="V27" i="31" s="1"/>
  <c r="S28" i="31"/>
  <c r="S29" i="31"/>
  <c r="S30" i="31"/>
  <c r="S31" i="31"/>
  <c r="S32" i="31"/>
  <c r="S33" i="31"/>
  <c r="V33" i="31" s="1"/>
  <c r="S34" i="31"/>
  <c r="S35" i="31"/>
  <c r="V35" i="31" s="1"/>
  <c r="S36" i="31"/>
  <c r="S37" i="31"/>
  <c r="S21" i="31"/>
  <c r="T2" i="31"/>
  <c r="U2" i="31"/>
  <c r="V2" i="31"/>
  <c r="W2" i="31"/>
  <c r="X2" i="31"/>
  <c r="Y2" i="31"/>
  <c r="Z2" i="31"/>
  <c r="AA2" i="31"/>
  <c r="AB2" i="31"/>
  <c r="T3" i="31"/>
  <c r="U3" i="31"/>
  <c r="V3" i="31"/>
  <c r="W3" i="31"/>
  <c r="X3" i="31"/>
  <c r="Y3" i="31"/>
  <c r="Z3" i="31"/>
  <c r="AA3" i="31"/>
  <c r="AB3" i="31"/>
  <c r="T4" i="31"/>
  <c r="U4" i="31"/>
  <c r="V4" i="31"/>
  <c r="W4" i="31"/>
  <c r="X4" i="31"/>
  <c r="Y4" i="31"/>
  <c r="AC4" i="31" s="1"/>
  <c r="Z4" i="31"/>
  <c r="AA4" i="31"/>
  <c r="AB4" i="31"/>
  <c r="T5" i="31"/>
  <c r="U5" i="31"/>
  <c r="V5" i="31"/>
  <c r="W5" i="31"/>
  <c r="X5" i="31"/>
  <c r="Y5" i="31"/>
  <c r="Z5" i="31"/>
  <c r="AC5" i="31" s="1"/>
  <c r="AA5" i="31"/>
  <c r="AB5" i="31"/>
  <c r="T6" i="31"/>
  <c r="U6" i="31"/>
  <c r="V6" i="31"/>
  <c r="W6" i="31"/>
  <c r="X6" i="31"/>
  <c r="Y6" i="31"/>
  <c r="Z6" i="31"/>
  <c r="AA6" i="31"/>
  <c r="AB6" i="31"/>
  <c r="T7" i="31"/>
  <c r="U7" i="31"/>
  <c r="V7" i="31"/>
  <c r="W7" i="31"/>
  <c r="X7" i="31"/>
  <c r="Y7" i="31"/>
  <c r="Z7" i="31"/>
  <c r="AA7" i="31"/>
  <c r="AB7" i="31"/>
  <c r="T8" i="31"/>
  <c r="U8" i="31"/>
  <c r="V8" i="31"/>
  <c r="W8" i="31"/>
  <c r="X8" i="31"/>
  <c r="Y8" i="31"/>
  <c r="Z8" i="31"/>
  <c r="AA8" i="31"/>
  <c r="AB8" i="31"/>
  <c r="T9" i="31"/>
  <c r="U9" i="31"/>
  <c r="V9" i="31"/>
  <c r="W9" i="31"/>
  <c r="X9" i="31"/>
  <c r="Y9" i="31"/>
  <c r="Z9" i="31"/>
  <c r="AA9" i="31"/>
  <c r="AB9" i="31"/>
  <c r="T10" i="31"/>
  <c r="U10" i="31"/>
  <c r="V10" i="31"/>
  <c r="W10" i="31"/>
  <c r="X10" i="31"/>
  <c r="Y10" i="31"/>
  <c r="Z10" i="31"/>
  <c r="AA10" i="31"/>
  <c r="AB10" i="31"/>
  <c r="T11" i="31"/>
  <c r="U11" i="31"/>
  <c r="V11" i="31"/>
  <c r="W11" i="31"/>
  <c r="X11" i="31"/>
  <c r="Y11" i="31"/>
  <c r="Z11" i="31"/>
  <c r="AA11" i="31"/>
  <c r="AB11" i="31"/>
  <c r="T12" i="31"/>
  <c r="U12" i="31"/>
  <c r="V12" i="31"/>
  <c r="W12" i="31"/>
  <c r="X12" i="31"/>
  <c r="AC12" i="31" s="1"/>
  <c r="Y12" i="31"/>
  <c r="Z12" i="31"/>
  <c r="AA12" i="31"/>
  <c r="AB12" i="31"/>
  <c r="T13" i="31"/>
  <c r="U13" i="31"/>
  <c r="V13" i="31"/>
  <c r="W13" i="31"/>
  <c r="X13" i="31"/>
  <c r="Y13" i="31"/>
  <c r="Z13" i="31"/>
  <c r="AC13" i="31" s="1"/>
  <c r="AA13" i="31"/>
  <c r="AB13" i="31"/>
  <c r="T14" i="31"/>
  <c r="U14" i="31"/>
  <c r="V14" i="31"/>
  <c r="W14" i="31"/>
  <c r="X14" i="31"/>
  <c r="Y14" i="31"/>
  <c r="Z14" i="31"/>
  <c r="AA14" i="31"/>
  <c r="AB14" i="31"/>
  <c r="T15" i="31"/>
  <c r="U15" i="31"/>
  <c r="V15" i="31"/>
  <c r="W15" i="31"/>
  <c r="X15" i="31"/>
  <c r="Y15" i="31"/>
  <c r="Z15" i="31"/>
  <c r="AA15" i="31"/>
  <c r="AB15" i="31"/>
  <c r="T16" i="31"/>
  <c r="U16" i="31"/>
  <c r="V16" i="31"/>
  <c r="W16" i="31"/>
  <c r="X16" i="31"/>
  <c r="Y16" i="31"/>
  <c r="Z16" i="31"/>
  <c r="AA16" i="31"/>
  <c r="AB16" i="31"/>
  <c r="T17" i="31"/>
  <c r="U17" i="31"/>
  <c r="V17" i="31"/>
  <c r="W17" i="31"/>
  <c r="X17" i="31"/>
  <c r="Y17" i="31"/>
  <c r="Z17" i="31"/>
  <c r="AA17" i="31"/>
  <c r="AB17" i="31"/>
  <c r="T18" i="31"/>
  <c r="U18" i="31"/>
  <c r="V18" i="31"/>
  <c r="W18" i="31"/>
  <c r="X18" i="31"/>
  <c r="Y18" i="31"/>
  <c r="Z18" i="31"/>
  <c r="AA18" i="31"/>
  <c r="AB18" i="31"/>
  <c r="S3" i="31"/>
  <c r="AC3" i="31" s="1"/>
  <c r="S4" i="31"/>
  <c r="S5" i="31"/>
  <c r="S6" i="31"/>
  <c r="AC6" i="31" s="1"/>
  <c r="S7" i="31"/>
  <c r="AC7" i="31" s="1"/>
  <c r="S8" i="31"/>
  <c r="AC8" i="31" s="1"/>
  <c r="S9" i="31"/>
  <c r="AC9" i="31" s="1"/>
  <c r="S10" i="31"/>
  <c r="AC10" i="31" s="1"/>
  <c r="S11" i="31"/>
  <c r="AC11" i="31" s="1"/>
  <c r="S12" i="31"/>
  <c r="S13" i="31"/>
  <c r="S14" i="31"/>
  <c r="AC14" i="31" s="1"/>
  <c r="S15" i="31"/>
  <c r="AC15" i="31" s="1"/>
  <c r="S16" i="31"/>
  <c r="AC16" i="31" s="1"/>
  <c r="S17" i="31"/>
  <c r="S18" i="31"/>
  <c r="AC18" i="31" s="1"/>
  <c r="S2" i="31"/>
  <c r="AC2" i="31" s="1"/>
  <c r="S92" i="3"/>
  <c r="T92" i="3"/>
  <c r="U92" i="3"/>
  <c r="V92" i="3"/>
  <c r="V93" i="3" s="1"/>
  <c r="V94" i="3" s="1"/>
  <c r="V95" i="3" s="1"/>
  <c r="V96" i="3" s="1"/>
  <c r="S93" i="3"/>
  <c r="T93" i="3"/>
  <c r="T94" i="3" s="1"/>
  <c r="T95" i="3" s="1"/>
  <c r="T96" i="3" s="1"/>
  <c r="U93" i="3"/>
  <c r="U94" i="3" s="1"/>
  <c r="U95" i="3" s="1"/>
  <c r="U96" i="3" s="1"/>
  <c r="S94" i="3"/>
  <c r="S95" i="3"/>
  <c r="S96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D93" i="3"/>
  <c r="AD97" i="3"/>
  <c r="B27" i="3"/>
  <c r="N5" i="28"/>
  <c r="M5" i="28"/>
  <c r="N4" i="28"/>
  <c r="M4" i="28"/>
  <c r="N3" i="28"/>
  <c r="M3" i="28"/>
  <c r="E45" i="28" s="1"/>
  <c r="E25" i="3" s="1"/>
  <c r="N5" i="29"/>
  <c r="N4" i="29"/>
  <c r="N3" i="29"/>
  <c r="M5" i="29"/>
  <c r="I45" i="29" s="1"/>
  <c r="I26" i="3" s="1"/>
  <c r="M4" i="29"/>
  <c r="M3" i="29"/>
  <c r="F45" i="29"/>
  <c r="F26" i="3" s="1"/>
  <c r="L45" i="28"/>
  <c r="L25" i="3" s="1"/>
  <c r="Q26" i="3"/>
  <c r="B26" i="3"/>
  <c r="Q45" i="29"/>
  <c r="P45" i="29"/>
  <c r="P26" i="3" s="1"/>
  <c r="O45" i="29"/>
  <c r="O26" i="3" s="1"/>
  <c r="B45" i="29"/>
  <c r="T44" i="29"/>
  <c r="AA39" i="29"/>
  <c r="Z39" i="29"/>
  <c r="Y39" i="29"/>
  <c r="AA38" i="29"/>
  <c r="Z38" i="29"/>
  <c r="Y38" i="29"/>
  <c r="AA37" i="29"/>
  <c r="Z37" i="29"/>
  <c r="Y37" i="29"/>
  <c r="AA36" i="29"/>
  <c r="Z36" i="29"/>
  <c r="Y36" i="29"/>
  <c r="AG35" i="29"/>
  <c r="AF35" i="29"/>
  <c r="AE35" i="29"/>
  <c r="AA35" i="29"/>
  <c r="Z35" i="29"/>
  <c r="Y35" i="29"/>
  <c r="AG34" i="29"/>
  <c r="AF34" i="29"/>
  <c r="AE34" i="29"/>
  <c r="AA34" i="29"/>
  <c r="Z34" i="29"/>
  <c r="Y34" i="29"/>
  <c r="V34" i="29"/>
  <c r="U34" i="29"/>
  <c r="T34" i="29"/>
  <c r="S34" i="29"/>
  <c r="AG33" i="29"/>
  <c r="AF33" i="29"/>
  <c r="AE33" i="29"/>
  <c r="AA33" i="29"/>
  <c r="Z33" i="29"/>
  <c r="Y33" i="29"/>
  <c r="AG32" i="29"/>
  <c r="AF32" i="29"/>
  <c r="AD32" i="29" s="1"/>
  <c r="AE32" i="29"/>
  <c r="AA32" i="29"/>
  <c r="Z32" i="29"/>
  <c r="Y32" i="29"/>
  <c r="AG31" i="29"/>
  <c r="AF31" i="29"/>
  <c r="AE31" i="29"/>
  <c r="AA31" i="29"/>
  <c r="Z31" i="29"/>
  <c r="Y31" i="29"/>
  <c r="AG30" i="29"/>
  <c r="AF30" i="29"/>
  <c r="AE30" i="29"/>
  <c r="AA30" i="29"/>
  <c r="Z30" i="29"/>
  <c r="Y30" i="29"/>
  <c r="AG29" i="29"/>
  <c r="AF29" i="29"/>
  <c r="AE29" i="29"/>
  <c r="AA29" i="29"/>
  <c r="Z29" i="29"/>
  <c r="Y29" i="29"/>
  <c r="AG28" i="29"/>
  <c r="AF28" i="29"/>
  <c r="AE28" i="29"/>
  <c r="AA28" i="29"/>
  <c r="Z28" i="29"/>
  <c r="Y28" i="29"/>
  <c r="AG27" i="29"/>
  <c r="AF27" i="29"/>
  <c r="AE27" i="29"/>
  <c r="AA27" i="29"/>
  <c r="Z27" i="29"/>
  <c r="Y27" i="29"/>
  <c r="AG26" i="29"/>
  <c r="AF26" i="29"/>
  <c r="AE26" i="29"/>
  <c r="AA26" i="29"/>
  <c r="Z26" i="29"/>
  <c r="Y26" i="29"/>
  <c r="AG25" i="29"/>
  <c r="AF25" i="29"/>
  <c r="AE25" i="29"/>
  <c r="AA25" i="29"/>
  <c r="Z25" i="29"/>
  <c r="Y25" i="29"/>
  <c r="AG24" i="29"/>
  <c r="AF24" i="29"/>
  <c r="AE24" i="29"/>
  <c r="AA24" i="29"/>
  <c r="Z24" i="29"/>
  <c r="Y24" i="29"/>
  <c r="AA23" i="29"/>
  <c r="Z23" i="29"/>
  <c r="Y23" i="29"/>
  <c r="AA22" i="29"/>
  <c r="Z22" i="29"/>
  <c r="Y22" i="29"/>
  <c r="AA21" i="29"/>
  <c r="Z21" i="29"/>
  <c r="Y21" i="29"/>
  <c r="AA20" i="29"/>
  <c r="Z20" i="29"/>
  <c r="Y20" i="29"/>
  <c r="AA19" i="29"/>
  <c r="Z19" i="29"/>
  <c r="Y19" i="29"/>
  <c r="V19" i="29"/>
  <c r="V39" i="29" s="1"/>
  <c r="U19" i="29"/>
  <c r="U39" i="29" s="1"/>
  <c r="T19" i="29"/>
  <c r="T39" i="29" s="1"/>
  <c r="AA18" i="29"/>
  <c r="Z18" i="29"/>
  <c r="Y18" i="29"/>
  <c r="V18" i="29"/>
  <c r="S18" i="29" s="1"/>
  <c r="S38" i="29" s="1"/>
  <c r="U18" i="29"/>
  <c r="U38" i="29" s="1"/>
  <c r="T18" i="29"/>
  <c r="T38" i="29" s="1"/>
  <c r="AA17" i="29"/>
  <c r="Z17" i="29"/>
  <c r="Y17" i="29"/>
  <c r="V17" i="29"/>
  <c r="V37" i="29" s="1"/>
  <c r="U17" i="29"/>
  <c r="U37" i="29" s="1"/>
  <c r="T17" i="29"/>
  <c r="T37" i="29" s="1"/>
  <c r="S17" i="29"/>
  <c r="S37" i="29" s="1"/>
  <c r="AA16" i="29"/>
  <c r="Z16" i="29"/>
  <c r="Y16" i="29"/>
  <c r="V16" i="29"/>
  <c r="S16" i="29" s="1"/>
  <c r="S36" i="29" s="1"/>
  <c r="U16" i="29"/>
  <c r="U36" i="29" s="1"/>
  <c r="T16" i="29"/>
  <c r="T36" i="29" s="1"/>
  <c r="AA15" i="29"/>
  <c r="Z15" i="29"/>
  <c r="Y15" i="29"/>
  <c r="V15" i="29"/>
  <c r="V35" i="29" s="1"/>
  <c r="U15" i="29"/>
  <c r="U35" i="29" s="1"/>
  <c r="T15" i="29"/>
  <c r="T35" i="29" s="1"/>
  <c r="AA14" i="29"/>
  <c r="Z14" i="29"/>
  <c r="Y14" i="29"/>
  <c r="V14" i="29"/>
  <c r="S14" i="29" s="1"/>
  <c r="U14" i="29"/>
  <c r="T14" i="29"/>
  <c r="AA13" i="29"/>
  <c r="Z13" i="29"/>
  <c r="Y13" i="29"/>
  <c r="V13" i="29"/>
  <c r="V33" i="29" s="1"/>
  <c r="U13" i="29"/>
  <c r="U33" i="29" s="1"/>
  <c r="T13" i="29"/>
  <c r="T33" i="29" s="1"/>
  <c r="AA12" i="29"/>
  <c r="Z12" i="29"/>
  <c r="Y12" i="29"/>
  <c r="V12" i="29"/>
  <c r="V32" i="29" s="1"/>
  <c r="U12" i="29"/>
  <c r="U32" i="29" s="1"/>
  <c r="T12" i="29"/>
  <c r="T32" i="29" s="1"/>
  <c r="AA11" i="29"/>
  <c r="Z11" i="29"/>
  <c r="Y11" i="29"/>
  <c r="V11" i="29"/>
  <c r="V31" i="29" s="1"/>
  <c r="U11" i="29"/>
  <c r="U31" i="29" s="1"/>
  <c r="T11" i="29"/>
  <c r="T31" i="29" s="1"/>
  <c r="AA10" i="29"/>
  <c r="Z10" i="29"/>
  <c r="Y10" i="29"/>
  <c r="V10" i="29"/>
  <c r="S10" i="29" s="1"/>
  <c r="S30" i="29" s="1"/>
  <c r="U10" i="29"/>
  <c r="U30" i="29" s="1"/>
  <c r="T10" i="29"/>
  <c r="T30" i="29" s="1"/>
  <c r="AA9" i="29"/>
  <c r="Z9" i="29"/>
  <c r="Y9" i="29"/>
  <c r="V9" i="29"/>
  <c r="V29" i="29" s="1"/>
  <c r="U9" i="29"/>
  <c r="U29" i="29" s="1"/>
  <c r="T9" i="29"/>
  <c r="T29" i="29" s="1"/>
  <c r="AA8" i="29"/>
  <c r="Z8" i="29"/>
  <c r="Y8" i="29"/>
  <c r="V8" i="29"/>
  <c r="S8" i="29" s="1"/>
  <c r="S28" i="29" s="1"/>
  <c r="U8" i="29"/>
  <c r="U28" i="29" s="1"/>
  <c r="T8" i="29"/>
  <c r="T28" i="29" s="1"/>
  <c r="AA7" i="29"/>
  <c r="Z7" i="29"/>
  <c r="Y7" i="29"/>
  <c r="V7" i="29"/>
  <c r="V27" i="29" s="1"/>
  <c r="U7" i="29"/>
  <c r="U27" i="29" s="1"/>
  <c r="T7" i="29"/>
  <c r="T27" i="29" s="1"/>
  <c r="AA6" i="29"/>
  <c r="Z6" i="29"/>
  <c r="Y6" i="29"/>
  <c r="V6" i="29"/>
  <c r="V26" i="29" s="1"/>
  <c r="U6" i="29"/>
  <c r="U26" i="29" s="1"/>
  <c r="T6" i="29"/>
  <c r="T26" i="29" s="1"/>
  <c r="AA5" i="29"/>
  <c r="Z5" i="29"/>
  <c r="Y5" i="29"/>
  <c r="V5" i="29"/>
  <c r="V25" i="29" s="1"/>
  <c r="U5" i="29"/>
  <c r="U25" i="29" s="1"/>
  <c r="T5" i="29"/>
  <c r="T25" i="29" s="1"/>
  <c r="AA4" i="29"/>
  <c r="Z4" i="29"/>
  <c r="Y4" i="29"/>
  <c r="V4" i="29"/>
  <c r="S4" i="29" s="1"/>
  <c r="S24" i="29" s="1"/>
  <c r="U4" i="29"/>
  <c r="U24" i="29" s="1"/>
  <c r="T4" i="29"/>
  <c r="T24" i="29" s="1"/>
  <c r="V3" i="29"/>
  <c r="V23" i="29" s="1"/>
  <c r="U3" i="29"/>
  <c r="U23" i="29" s="1"/>
  <c r="T3" i="29"/>
  <c r="T23" i="29" s="1"/>
  <c r="T4" i="28"/>
  <c r="U4" i="28"/>
  <c r="V4" i="28"/>
  <c r="S4" i="28" s="1"/>
  <c r="S24" i="28" s="1"/>
  <c r="T5" i="28"/>
  <c r="U5" i="28"/>
  <c r="V5" i="28"/>
  <c r="V25" i="28" s="1"/>
  <c r="T6" i="28"/>
  <c r="U6" i="28"/>
  <c r="U26" i="28" s="1"/>
  <c r="V6" i="28"/>
  <c r="S6" i="28" s="1"/>
  <c r="T7" i="28"/>
  <c r="U7" i="28"/>
  <c r="V7" i="28"/>
  <c r="S7" i="28" s="1"/>
  <c r="T8" i="28"/>
  <c r="U8" i="28"/>
  <c r="U28" i="28" s="1"/>
  <c r="V8" i="28"/>
  <c r="S8" i="28" s="1"/>
  <c r="T9" i="28"/>
  <c r="U9" i="28"/>
  <c r="V9" i="28"/>
  <c r="V29" i="28" s="1"/>
  <c r="T10" i="28"/>
  <c r="U10" i="28"/>
  <c r="U30" i="28" s="1"/>
  <c r="V10" i="28"/>
  <c r="S10" i="28" s="1"/>
  <c r="S30" i="28" s="1"/>
  <c r="T11" i="28"/>
  <c r="U11" i="28"/>
  <c r="V11" i="28"/>
  <c r="S11" i="28" s="1"/>
  <c r="S31" i="28" s="1"/>
  <c r="T12" i="28"/>
  <c r="T32" i="28" s="1"/>
  <c r="U12" i="28"/>
  <c r="V12" i="28"/>
  <c r="S12" i="28" s="1"/>
  <c r="S32" i="28" s="1"/>
  <c r="T13" i="28"/>
  <c r="U13" i="28"/>
  <c r="V13" i="28"/>
  <c r="V33" i="28" s="1"/>
  <c r="T14" i="28"/>
  <c r="T34" i="28" s="1"/>
  <c r="U14" i="28"/>
  <c r="U34" i="28" s="1"/>
  <c r="V14" i="28"/>
  <c r="S14" i="28" s="1"/>
  <c r="T15" i="28"/>
  <c r="U15" i="28"/>
  <c r="V15" i="28"/>
  <c r="S15" i="28" s="1"/>
  <c r="T16" i="28"/>
  <c r="T36" i="28" s="1"/>
  <c r="U16" i="28"/>
  <c r="V16" i="28"/>
  <c r="S16" i="28" s="1"/>
  <c r="T17" i="28"/>
  <c r="U17" i="28"/>
  <c r="V17" i="28"/>
  <c r="V37" i="28" s="1"/>
  <c r="T18" i="28"/>
  <c r="T38" i="28" s="1"/>
  <c r="U18" i="28"/>
  <c r="U38" i="28" s="1"/>
  <c r="V18" i="28"/>
  <c r="S18" i="28" s="1"/>
  <c r="S38" i="28" s="1"/>
  <c r="T19" i="28"/>
  <c r="U19" i="28"/>
  <c r="V19" i="28"/>
  <c r="S19" i="28" s="1"/>
  <c r="V3" i="28"/>
  <c r="U3" i="28"/>
  <c r="T3" i="28"/>
  <c r="T23" i="28" s="1"/>
  <c r="S3" i="28"/>
  <c r="B45" i="28"/>
  <c r="B25" i="3" s="1"/>
  <c r="T44" i="28"/>
  <c r="AA39" i="28"/>
  <c r="Z39" i="28"/>
  <c r="Y39" i="28"/>
  <c r="AA38" i="28"/>
  <c r="Z38" i="28"/>
  <c r="Y38" i="28"/>
  <c r="AA37" i="28"/>
  <c r="Z37" i="28"/>
  <c r="Y37" i="28"/>
  <c r="AA36" i="28"/>
  <c r="Z36" i="28"/>
  <c r="Y36" i="28"/>
  <c r="AG35" i="28"/>
  <c r="AF35" i="28"/>
  <c r="AE35" i="28"/>
  <c r="AA35" i="28"/>
  <c r="Z35" i="28"/>
  <c r="Y35" i="28"/>
  <c r="AG34" i="28"/>
  <c r="AF34" i="28"/>
  <c r="AE34" i="28"/>
  <c r="AA34" i="28"/>
  <c r="Z34" i="28"/>
  <c r="Y34" i="28"/>
  <c r="AG33" i="28"/>
  <c r="AF33" i="28"/>
  <c r="AD33" i="28" s="1"/>
  <c r="AE33" i="28"/>
  <c r="AA33" i="28"/>
  <c r="Z33" i="28"/>
  <c r="Y33" i="28"/>
  <c r="AG32" i="28"/>
  <c r="AF32" i="28"/>
  <c r="AE32" i="28"/>
  <c r="AA32" i="28"/>
  <c r="Z32" i="28"/>
  <c r="Y32" i="28"/>
  <c r="AG31" i="28"/>
  <c r="AF31" i="28"/>
  <c r="AE31" i="28"/>
  <c r="AA31" i="28"/>
  <c r="Z31" i="28"/>
  <c r="Y31" i="28"/>
  <c r="AG30" i="28"/>
  <c r="AF30" i="28"/>
  <c r="AE30" i="28"/>
  <c r="AA30" i="28"/>
  <c r="Z30" i="28"/>
  <c r="Y30" i="28"/>
  <c r="AG29" i="28"/>
  <c r="AF29" i="28"/>
  <c r="AE29" i="28"/>
  <c r="AA29" i="28"/>
  <c r="Z29" i="28"/>
  <c r="Y29" i="28"/>
  <c r="AG28" i="28"/>
  <c r="AF28" i="28"/>
  <c r="AE28" i="28"/>
  <c r="AA28" i="28"/>
  <c r="Z28" i="28"/>
  <c r="Y28" i="28"/>
  <c r="AG27" i="28"/>
  <c r="AF27" i="28"/>
  <c r="AE27" i="28"/>
  <c r="AA27" i="28"/>
  <c r="Z27" i="28"/>
  <c r="Y27" i="28"/>
  <c r="AG26" i="28"/>
  <c r="AF26" i="28"/>
  <c r="AE26" i="28"/>
  <c r="AA26" i="28"/>
  <c r="Z26" i="28"/>
  <c r="Y26" i="28"/>
  <c r="AG25" i="28"/>
  <c r="AF25" i="28"/>
  <c r="AE25" i="28"/>
  <c r="AD25" i="28"/>
  <c r="AA25" i="28"/>
  <c r="Z25" i="28"/>
  <c r="Y25" i="28"/>
  <c r="AG24" i="28"/>
  <c r="AF24" i="28"/>
  <c r="AE24" i="28"/>
  <c r="AA24" i="28"/>
  <c r="Z24" i="28"/>
  <c r="Y24" i="28"/>
  <c r="AA23" i="28"/>
  <c r="Z23" i="28"/>
  <c r="Y23" i="28"/>
  <c r="AA22" i="28"/>
  <c r="Z22" i="28"/>
  <c r="Y22" i="28"/>
  <c r="AA21" i="28"/>
  <c r="Z21" i="28"/>
  <c r="Y21" i="28"/>
  <c r="AA20" i="28"/>
  <c r="Z20" i="28"/>
  <c r="Y20" i="28"/>
  <c r="AA19" i="28"/>
  <c r="Z19" i="28"/>
  <c r="Y19" i="28"/>
  <c r="U39" i="28"/>
  <c r="T39" i="28"/>
  <c r="AA18" i="28"/>
  <c r="Z18" i="28"/>
  <c r="Y18" i="28"/>
  <c r="AA17" i="28"/>
  <c r="Z17" i="28"/>
  <c r="Y17" i="28"/>
  <c r="U37" i="28"/>
  <c r="T37" i="28"/>
  <c r="AA16" i="28"/>
  <c r="Z16" i="28"/>
  <c r="Y16" i="28"/>
  <c r="V36" i="28"/>
  <c r="U36" i="28"/>
  <c r="AA15" i="28"/>
  <c r="Z15" i="28"/>
  <c r="Y15" i="28"/>
  <c r="U35" i="28"/>
  <c r="T35" i="28"/>
  <c r="AA14" i="28"/>
  <c r="Z14" i="28"/>
  <c r="Y14" i="28"/>
  <c r="V34" i="28"/>
  <c r="AA13" i="28"/>
  <c r="Z13" i="28"/>
  <c r="Y13" i="28"/>
  <c r="U33" i="28"/>
  <c r="T33" i="28"/>
  <c r="AA12" i="28"/>
  <c r="Z12" i="28"/>
  <c r="Y12" i="28"/>
  <c r="V32" i="28"/>
  <c r="U32" i="28"/>
  <c r="AA11" i="28"/>
  <c r="Z11" i="28"/>
  <c r="Y11" i="28"/>
  <c r="U31" i="28"/>
  <c r="T31" i="28"/>
  <c r="AA10" i="28"/>
  <c r="Z10" i="28"/>
  <c r="Y10" i="28"/>
  <c r="T30" i="28"/>
  <c r="AA9" i="28"/>
  <c r="Z9" i="28"/>
  <c r="Y9" i="28"/>
  <c r="U29" i="28"/>
  <c r="T29" i="28"/>
  <c r="AA8" i="28"/>
  <c r="Z8" i="28"/>
  <c r="Y8" i="28"/>
  <c r="V28" i="28"/>
  <c r="T28" i="28"/>
  <c r="AA7" i="28"/>
  <c r="Z7" i="28"/>
  <c r="Y7" i="28"/>
  <c r="U27" i="28"/>
  <c r="T27" i="28"/>
  <c r="AA6" i="28"/>
  <c r="Z6" i="28"/>
  <c r="Y6" i="28"/>
  <c r="V26" i="28"/>
  <c r="T26" i="28"/>
  <c r="AA5" i="28"/>
  <c r="Z5" i="28"/>
  <c r="Y5" i="28"/>
  <c r="U25" i="28"/>
  <c r="T25" i="28"/>
  <c r="I45" i="28"/>
  <c r="I25" i="3" s="1"/>
  <c r="AA4" i="28"/>
  <c r="K45" i="28" s="1"/>
  <c r="K25" i="3" s="1"/>
  <c r="Z4" i="28"/>
  <c r="G45" i="28" s="1"/>
  <c r="G25" i="3" s="1"/>
  <c r="Y4" i="28"/>
  <c r="U24" i="28"/>
  <c r="T24" i="28"/>
  <c r="V23" i="28"/>
  <c r="U23" i="28"/>
  <c r="L49" i="2"/>
  <c r="AT69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B24" i="3"/>
  <c r="B45" i="27"/>
  <c r="T44" i="27"/>
  <c r="Z39" i="27"/>
  <c r="Y39" i="27"/>
  <c r="X39" i="27"/>
  <c r="Z38" i="27"/>
  <c r="Y38" i="27"/>
  <c r="X38" i="27"/>
  <c r="Z37" i="27"/>
  <c r="Y37" i="27"/>
  <c r="X37" i="27"/>
  <c r="Z36" i="27"/>
  <c r="Y36" i="27"/>
  <c r="X36" i="27"/>
  <c r="AF35" i="27"/>
  <c r="AE35" i="27"/>
  <c r="AD35" i="27"/>
  <c r="AC35" i="27" s="1"/>
  <c r="Z35" i="27"/>
  <c r="Y35" i="27"/>
  <c r="X35" i="27"/>
  <c r="AF34" i="27"/>
  <c r="AE34" i="27"/>
  <c r="AD34" i="27"/>
  <c r="AC34" i="27" s="1"/>
  <c r="Z34" i="27"/>
  <c r="Y34" i="27"/>
  <c r="X34" i="27"/>
  <c r="AF33" i="27"/>
  <c r="AC33" i="27" s="1"/>
  <c r="AE33" i="27"/>
  <c r="AD33" i="27"/>
  <c r="Z33" i="27"/>
  <c r="Y33" i="27"/>
  <c r="X33" i="27"/>
  <c r="AF32" i="27"/>
  <c r="AE32" i="27"/>
  <c r="AD32" i="27"/>
  <c r="AC32" i="27" s="1"/>
  <c r="Z32" i="27"/>
  <c r="Y32" i="27"/>
  <c r="X32" i="27"/>
  <c r="AF31" i="27"/>
  <c r="AE31" i="27"/>
  <c r="AD31" i="27"/>
  <c r="Z31" i="27"/>
  <c r="Y31" i="27"/>
  <c r="X31" i="27"/>
  <c r="AF30" i="27"/>
  <c r="AE30" i="27"/>
  <c r="AD30" i="27"/>
  <c r="AC30" i="27" s="1"/>
  <c r="Z30" i="27"/>
  <c r="Y30" i="27"/>
  <c r="X30" i="27"/>
  <c r="AF29" i="27"/>
  <c r="AE29" i="27"/>
  <c r="AD29" i="27"/>
  <c r="Z29" i="27"/>
  <c r="Y29" i="27"/>
  <c r="X29" i="27"/>
  <c r="AF28" i="27"/>
  <c r="AE28" i="27"/>
  <c r="AD28" i="27"/>
  <c r="AC28" i="27" s="1"/>
  <c r="Z28" i="27"/>
  <c r="Y28" i="27"/>
  <c r="X28" i="27"/>
  <c r="AF27" i="27"/>
  <c r="AE27" i="27"/>
  <c r="AD27" i="27"/>
  <c r="Z27" i="27"/>
  <c r="Y27" i="27"/>
  <c r="X27" i="27"/>
  <c r="AF26" i="27"/>
  <c r="AE26" i="27"/>
  <c r="AD26" i="27"/>
  <c r="Z26" i="27"/>
  <c r="Y26" i="27"/>
  <c r="X26" i="27"/>
  <c r="AF25" i="27"/>
  <c r="AC25" i="27" s="1"/>
  <c r="AE25" i="27"/>
  <c r="AD25" i="27"/>
  <c r="Z25" i="27"/>
  <c r="Y25" i="27"/>
  <c r="X25" i="27"/>
  <c r="AF24" i="27"/>
  <c r="AE24" i="27"/>
  <c r="AD24" i="27"/>
  <c r="AC24" i="27" s="1"/>
  <c r="Z24" i="27"/>
  <c r="Y24" i="27"/>
  <c r="X24" i="27"/>
  <c r="Z23" i="27"/>
  <c r="Y23" i="27"/>
  <c r="X23" i="27"/>
  <c r="Z22" i="27"/>
  <c r="Y22" i="27"/>
  <c r="X22" i="27"/>
  <c r="Z21" i="27"/>
  <c r="Y21" i="27"/>
  <c r="X21" i="27"/>
  <c r="Z20" i="27"/>
  <c r="Y20" i="27"/>
  <c r="X20" i="27"/>
  <c r="Z19" i="27"/>
  <c r="Y19" i="27"/>
  <c r="X19" i="27"/>
  <c r="U19" i="27"/>
  <c r="U39" i="27" s="1"/>
  <c r="T19" i="27"/>
  <c r="T39" i="27" s="1"/>
  <c r="S19" i="27"/>
  <c r="S39" i="27" s="1"/>
  <c r="Z18" i="27"/>
  <c r="Y18" i="27"/>
  <c r="X18" i="27"/>
  <c r="U18" i="27"/>
  <c r="U38" i="27" s="1"/>
  <c r="T18" i="27"/>
  <c r="T38" i="27" s="1"/>
  <c r="S18" i="27"/>
  <c r="S38" i="27" s="1"/>
  <c r="R18" i="27"/>
  <c r="R38" i="27" s="1"/>
  <c r="Z17" i="27"/>
  <c r="Y17" i="27"/>
  <c r="X17" i="27"/>
  <c r="U17" i="27"/>
  <c r="R17" i="27" s="1"/>
  <c r="R37" i="27" s="1"/>
  <c r="T17" i="27"/>
  <c r="T37" i="27" s="1"/>
  <c r="S17" i="27"/>
  <c r="S37" i="27" s="1"/>
  <c r="Z16" i="27"/>
  <c r="Y16" i="27"/>
  <c r="X16" i="27"/>
  <c r="U16" i="27"/>
  <c r="U36" i="27" s="1"/>
  <c r="T16" i="27"/>
  <c r="T36" i="27" s="1"/>
  <c r="S16" i="27"/>
  <c r="S36" i="27" s="1"/>
  <c r="R16" i="27"/>
  <c r="R36" i="27" s="1"/>
  <c r="Z15" i="27"/>
  <c r="Y15" i="27"/>
  <c r="X15" i="27"/>
  <c r="U15" i="27"/>
  <c r="U35" i="27" s="1"/>
  <c r="T15" i="27"/>
  <c r="T35" i="27" s="1"/>
  <c r="S15" i="27"/>
  <c r="S35" i="27" s="1"/>
  <c r="Z14" i="27"/>
  <c r="Y14" i="27"/>
  <c r="X14" i="27"/>
  <c r="U14" i="27"/>
  <c r="U34" i="27" s="1"/>
  <c r="T14" i="27"/>
  <c r="T34" i="27" s="1"/>
  <c r="S14" i="27"/>
  <c r="S34" i="27" s="1"/>
  <c r="R14" i="27"/>
  <c r="R34" i="27" s="1"/>
  <c r="Z13" i="27"/>
  <c r="Y13" i="27"/>
  <c r="X13" i="27"/>
  <c r="U13" i="27"/>
  <c r="R13" i="27" s="1"/>
  <c r="R33" i="27" s="1"/>
  <c r="T13" i="27"/>
  <c r="T33" i="27" s="1"/>
  <c r="S13" i="27"/>
  <c r="S33" i="27" s="1"/>
  <c r="Z12" i="27"/>
  <c r="Y12" i="27"/>
  <c r="X12" i="27"/>
  <c r="U12" i="27"/>
  <c r="U32" i="27" s="1"/>
  <c r="T12" i="27"/>
  <c r="T32" i="27" s="1"/>
  <c r="S12" i="27"/>
  <c r="S32" i="27" s="1"/>
  <c r="Z11" i="27"/>
  <c r="Y11" i="27"/>
  <c r="X11" i="27"/>
  <c r="U11" i="27"/>
  <c r="R11" i="27" s="1"/>
  <c r="R31" i="27" s="1"/>
  <c r="T11" i="27"/>
  <c r="T31" i="27" s="1"/>
  <c r="S11" i="27"/>
  <c r="S31" i="27" s="1"/>
  <c r="Z10" i="27"/>
  <c r="Y10" i="27"/>
  <c r="X10" i="27"/>
  <c r="U10" i="27"/>
  <c r="U30" i="27" s="1"/>
  <c r="T10" i="27"/>
  <c r="T30" i="27" s="1"/>
  <c r="S10" i="27"/>
  <c r="S30" i="27" s="1"/>
  <c r="Z9" i="27"/>
  <c r="Y9" i="27"/>
  <c r="X9" i="27"/>
  <c r="U9" i="27"/>
  <c r="R9" i="27" s="1"/>
  <c r="R29" i="27" s="1"/>
  <c r="T9" i="27"/>
  <c r="T29" i="27" s="1"/>
  <c r="S9" i="27"/>
  <c r="S29" i="27" s="1"/>
  <c r="Z8" i="27"/>
  <c r="Y8" i="27"/>
  <c r="X8" i="27"/>
  <c r="U8" i="27"/>
  <c r="U28" i="27" s="1"/>
  <c r="T8" i="27"/>
  <c r="T28" i="27" s="1"/>
  <c r="S8" i="27"/>
  <c r="S28" i="27" s="1"/>
  <c r="R8" i="27"/>
  <c r="R28" i="27" s="1"/>
  <c r="Z7" i="27"/>
  <c r="Y7" i="27"/>
  <c r="X7" i="27"/>
  <c r="U7" i="27"/>
  <c r="U27" i="27" s="1"/>
  <c r="T7" i="27"/>
  <c r="T27" i="27" s="1"/>
  <c r="S7" i="27"/>
  <c r="S27" i="27" s="1"/>
  <c r="R7" i="27"/>
  <c r="R27" i="27" s="1"/>
  <c r="Z6" i="27"/>
  <c r="Y6" i="27"/>
  <c r="X6" i="27"/>
  <c r="U6" i="27"/>
  <c r="U26" i="27" s="1"/>
  <c r="T6" i="27"/>
  <c r="T26" i="27" s="1"/>
  <c r="S6" i="27"/>
  <c r="S26" i="27" s="1"/>
  <c r="R6" i="27"/>
  <c r="R26" i="27" s="1"/>
  <c r="Z5" i="27"/>
  <c r="Y5" i="27"/>
  <c r="X5" i="27"/>
  <c r="U5" i="27"/>
  <c r="R5" i="27" s="1"/>
  <c r="R25" i="27" s="1"/>
  <c r="T5" i="27"/>
  <c r="T25" i="27" s="1"/>
  <c r="S5" i="27"/>
  <c r="S25" i="27" s="1"/>
  <c r="M5" i="27"/>
  <c r="N5" i="27" s="1"/>
  <c r="L5" i="27"/>
  <c r="I45" i="27" s="1"/>
  <c r="I24" i="3" s="1"/>
  <c r="Z4" i="27"/>
  <c r="Y4" i="27"/>
  <c r="X4" i="27"/>
  <c r="M45" i="27" s="1"/>
  <c r="M24" i="3" s="1"/>
  <c r="U4" i="27"/>
  <c r="U24" i="27" s="1"/>
  <c r="T4" i="27"/>
  <c r="T24" i="27" s="1"/>
  <c r="S4" i="27"/>
  <c r="S24" i="27" s="1"/>
  <c r="R4" i="27"/>
  <c r="R24" i="27" s="1"/>
  <c r="M4" i="27"/>
  <c r="L4" i="27"/>
  <c r="L45" i="27" s="1"/>
  <c r="L24" i="3" s="1"/>
  <c r="U3" i="27"/>
  <c r="U23" i="27" s="1"/>
  <c r="T3" i="27"/>
  <c r="T23" i="27" s="1"/>
  <c r="S3" i="27"/>
  <c r="S23" i="27" s="1"/>
  <c r="M3" i="27"/>
  <c r="L3" i="27"/>
  <c r="E45" i="27" s="1"/>
  <c r="E24" i="3" s="1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B23" i="3"/>
  <c r="B45" i="26"/>
  <c r="T44" i="26"/>
  <c r="Z39" i="26"/>
  <c r="Y39" i="26"/>
  <c r="X39" i="26"/>
  <c r="Z38" i="26"/>
  <c r="Y38" i="26"/>
  <c r="X38" i="26"/>
  <c r="Z37" i="26"/>
  <c r="Y37" i="26"/>
  <c r="X37" i="26"/>
  <c r="Z36" i="26"/>
  <c r="Y36" i="26"/>
  <c r="X36" i="26"/>
  <c r="AF35" i="26"/>
  <c r="AE35" i="26"/>
  <c r="AD35" i="26"/>
  <c r="Z35" i="26"/>
  <c r="Y35" i="26"/>
  <c r="X35" i="26"/>
  <c r="AF34" i="26"/>
  <c r="AE34" i="26"/>
  <c r="AD34" i="26"/>
  <c r="Z34" i="26"/>
  <c r="Y34" i="26"/>
  <c r="X34" i="26"/>
  <c r="AF33" i="26"/>
  <c r="AE33" i="26"/>
  <c r="AD33" i="26"/>
  <c r="AC33" i="26"/>
  <c r="Z33" i="26"/>
  <c r="Y33" i="26"/>
  <c r="X33" i="26"/>
  <c r="AF32" i="26"/>
  <c r="AE32" i="26"/>
  <c r="AD32" i="26"/>
  <c r="AC32" i="26" s="1"/>
  <c r="Z32" i="26"/>
  <c r="Y32" i="26"/>
  <c r="X32" i="26"/>
  <c r="AF31" i="26"/>
  <c r="AE31" i="26"/>
  <c r="AD31" i="26"/>
  <c r="Z31" i="26"/>
  <c r="Y31" i="26"/>
  <c r="X31" i="26"/>
  <c r="AF30" i="26"/>
  <c r="AE30" i="26"/>
  <c r="AD30" i="26"/>
  <c r="AC30" i="26" s="1"/>
  <c r="Z30" i="26"/>
  <c r="Y30" i="26"/>
  <c r="X30" i="26"/>
  <c r="AF29" i="26"/>
  <c r="AE29" i="26"/>
  <c r="AD29" i="26"/>
  <c r="Z29" i="26"/>
  <c r="Y29" i="26"/>
  <c r="X29" i="26"/>
  <c r="AF28" i="26"/>
  <c r="AE28" i="26"/>
  <c r="AD28" i="26"/>
  <c r="AC28" i="26" s="1"/>
  <c r="Z28" i="26"/>
  <c r="Y28" i="26"/>
  <c r="X28" i="26"/>
  <c r="AF27" i="26"/>
  <c r="AE27" i="26"/>
  <c r="AD27" i="26"/>
  <c r="Z27" i="26"/>
  <c r="Y27" i="26"/>
  <c r="X27" i="26"/>
  <c r="AF26" i="26"/>
  <c r="AE26" i="26"/>
  <c r="AD26" i="26"/>
  <c r="Z26" i="26"/>
  <c r="Y26" i="26"/>
  <c r="X26" i="26"/>
  <c r="AF25" i="26"/>
  <c r="AE25" i="26"/>
  <c r="AC25" i="26" s="1"/>
  <c r="AD25" i="26"/>
  <c r="Z25" i="26"/>
  <c r="Y25" i="26"/>
  <c r="X25" i="26"/>
  <c r="AF24" i="26"/>
  <c r="AE24" i="26"/>
  <c r="AD24" i="26"/>
  <c r="AC24" i="26" s="1"/>
  <c r="Z24" i="26"/>
  <c r="Y24" i="26"/>
  <c r="X24" i="26"/>
  <c r="Z23" i="26"/>
  <c r="Y23" i="26"/>
  <c r="X23" i="26"/>
  <c r="Z22" i="26"/>
  <c r="Y22" i="26"/>
  <c r="X22" i="26"/>
  <c r="Z21" i="26"/>
  <c r="Y21" i="26"/>
  <c r="X21" i="26"/>
  <c r="Z20" i="26"/>
  <c r="Y20" i="26"/>
  <c r="X20" i="26"/>
  <c r="Z19" i="26"/>
  <c r="Y19" i="26"/>
  <c r="X19" i="26"/>
  <c r="U19" i="26"/>
  <c r="U39" i="26" s="1"/>
  <c r="T19" i="26"/>
  <c r="T39" i="26" s="1"/>
  <c r="S19" i="26"/>
  <c r="S39" i="26" s="1"/>
  <c r="Z18" i="26"/>
  <c r="Y18" i="26"/>
  <c r="X18" i="26"/>
  <c r="U18" i="26"/>
  <c r="R18" i="26" s="1"/>
  <c r="R38" i="26" s="1"/>
  <c r="T18" i="26"/>
  <c r="T38" i="26" s="1"/>
  <c r="S18" i="26"/>
  <c r="S38" i="26" s="1"/>
  <c r="Z17" i="26"/>
  <c r="Y17" i="26"/>
  <c r="X17" i="26"/>
  <c r="U17" i="26"/>
  <c r="U37" i="26" s="1"/>
  <c r="T17" i="26"/>
  <c r="T37" i="26" s="1"/>
  <c r="S17" i="26"/>
  <c r="S37" i="26" s="1"/>
  <c r="R17" i="26"/>
  <c r="R37" i="26" s="1"/>
  <c r="Z16" i="26"/>
  <c r="Y16" i="26"/>
  <c r="X16" i="26"/>
  <c r="U16" i="26"/>
  <c r="U36" i="26" s="1"/>
  <c r="T16" i="26"/>
  <c r="T36" i="26" s="1"/>
  <c r="S16" i="26"/>
  <c r="S36" i="26" s="1"/>
  <c r="R16" i="26"/>
  <c r="R36" i="26" s="1"/>
  <c r="Z15" i="26"/>
  <c r="Y15" i="26"/>
  <c r="X15" i="26"/>
  <c r="U15" i="26"/>
  <c r="U35" i="26" s="1"/>
  <c r="T15" i="26"/>
  <c r="T35" i="26" s="1"/>
  <c r="S15" i="26"/>
  <c r="S35" i="26" s="1"/>
  <c r="R15" i="26"/>
  <c r="R35" i="26" s="1"/>
  <c r="Z14" i="26"/>
  <c r="Y14" i="26"/>
  <c r="X14" i="26"/>
  <c r="U14" i="26"/>
  <c r="U34" i="26" s="1"/>
  <c r="T14" i="26"/>
  <c r="T34" i="26" s="1"/>
  <c r="S14" i="26"/>
  <c r="S34" i="26" s="1"/>
  <c r="R14" i="26"/>
  <c r="R34" i="26" s="1"/>
  <c r="Z13" i="26"/>
  <c r="Y13" i="26"/>
  <c r="X13" i="26"/>
  <c r="U13" i="26"/>
  <c r="R13" i="26" s="1"/>
  <c r="R33" i="26" s="1"/>
  <c r="T13" i="26"/>
  <c r="T33" i="26" s="1"/>
  <c r="S13" i="26"/>
  <c r="S33" i="26" s="1"/>
  <c r="Z12" i="26"/>
  <c r="Y12" i="26"/>
  <c r="X12" i="26"/>
  <c r="U12" i="26"/>
  <c r="U32" i="26" s="1"/>
  <c r="T12" i="26"/>
  <c r="T32" i="26" s="1"/>
  <c r="S12" i="26"/>
  <c r="S32" i="26" s="1"/>
  <c r="Z11" i="26"/>
  <c r="Y11" i="26"/>
  <c r="X11" i="26"/>
  <c r="U11" i="26"/>
  <c r="R11" i="26" s="1"/>
  <c r="R31" i="26" s="1"/>
  <c r="T11" i="26"/>
  <c r="T31" i="26" s="1"/>
  <c r="S11" i="26"/>
  <c r="S31" i="26" s="1"/>
  <c r="Z10" i="26"/>
  <c r="Y10" i="26"/>
  <c r="X10" i="26"/>
  <c r="U10" i="26"/>
  <c r="R10" i="26" s="1"/>
  <c r="R30" i="26" s="1"/>
  <c r="T10" i="26"/>
  <c r="T30" i="26" s="1"/>
  <c r="S10" i="26"/>
  <c r="S30" i="26" s="1"/>
  <c r="Z9" i="26"/>
  <c r="Y9" i="26"/>
  <c r="X9" i="26"/>
  <c r="U9" i="26"/>
  <c r="U29" i="26" s="1"/>
  <c r="T9" i="26"/>
  <c r="T29" i="26" s="1"/>
  <c r="S9" i="26"/>
  <c r="S29" i="26" s="1"/>
  <c r="Z8" i="26"/>
  <c r="Y8" i="26"/>
  <c r="X8" i="26"/>
  <c r="U8" i="26"/>
  <c r="U28" i="26" s="1"/>
  <c r="T8" i="26"/>
  <c r="T28" i="26" s="1"/>
  <c r="S8" i="26"/>
  <c r="S28" i="26" s="1"/>
  <c r="Z7" i="26"/>
  <c r="Y7" i="26"/>
  <c r="X7" i="26"/>
  <c r="U7" i="26"/>
  <c r="U27" i="26" s="1"/>
  <c r="T7" i="26"/>
  <c r="T27" i="26" s="1"/>
  <c r="S7" i="26"/>
  <c r="S27" i="26" s="1"/>
  <c r="Z6" i="26"/>
  <c r="Y6" i="26"/>
  <c r="X6" i="26"/>
  <c r="U6" i="26"/>
  <c r="U26" i="26" s="1"/>
  <c r="T6" i="26"/>
  <c r="T26" i="26" s="1"/>
  <c r="S6" i="26"/>
  <c r="S26" i="26" s="1"/>
  <c r="Z5" i="26"/>
  <c r="Y5" i="26"/>
  <c r="X5" i="26"/>
  <c r="U5" i="26"/>
  <c r="U25" i="26" s="1"/>
  <c r="T5" i="26"/>
  <c r="T25" i="26" s="1"/>
  <c r="S5" i="26"/>
  <c r="S25" i="26" s="1"/>
  <c r="R5" i="26"/>
  <c r="R25" i="26" s="1"/>
  <c r="M5" i="26"/>
  <c r="L5" i="26"/>
  <c r="I45" i="26" s="1"/>
  <c r="Z4" i="26"/>
  <c r="Y4" i="26"/>
  <c r="X4" i="26"/>
  <c r="U4" i="26"/>
  <c r="R4" i="26" s="1"/>
  <c r="R24" i="26" s="1"/>
  <c r="T4" i="26"/>
  <c r="T24" i="26" s="1"/>
  <c r="S4" i="26"/>
  <c r="S24" i="26" s="1"/>
  <c r="M4" i="26"/>
  <c r="L4" i="26"/>
  <c r="L45" i="26" s="1"/>
  <c r="U3" i="26"/>
  <c r="U23" i="26" s="1"/>
  <c r="T3" i="26"/>
  <c r="T23" i="26" s="1"/>
  <c r="S3" i="26"/>
  <c r="S23" i="26" s="1"/>
  <c r="M3" i="26"/>
  <c r="L3" i="26"/>
  <c r="B22" i="3"/>
  <c r="B45" i="25"/>
  <c r="T44" i="25"/>
  <c r="Z39" i="25"/>
  <c r="Y39" i="25"/>
  <c r="X39" i="25"/>
  <c r="Z38" i="25"/>
  <c r="Y38" i="25"/>
  <c r="X38" i="25"/>
  <c r="Z37" i="25"/>
  <c r="Y37" i="25"/>
  <c r="X37" i="25"/>
  <c r="Z36" i="25"/>
  <c r="Y36" i="25"/>
  <c r="X36" i="25"/>
  <c r="AF35" i="25"/>
  <c r="AE35" i="25"/>
  <c r="AD35" i="25"/>
  <c r="Z35" i="25"/>
  <c r="Y35" i="25"/>
  <c r="X35" i="25"/>
  <c r="AF34" i="25"/>
  <c r="AE34" i="25"/>
  <c r="AD34" i="25"/>
  <c r="AC34" i="25"/>
  <c r="Z34" i="25"/>
  <c r="Y34" i="25"/>
  <c r="X34" i="25"/>
  <c r="AF33" i="25"/>
  <c r="AC33" i="25" s="1"/>
  <c r="AE33" i="25"/>
  <c r="AD33" i="25"/>
  <c r="Z33" i="25"/>
  <c r="Y33" i="25"/>
  <c r="X33" i="25"/>
  <c r="AF32" i="25"/>
  <c r="AE32" i="25"/>
  <c r="AD32" i="25"/>
  <c r="AC32" i="25" s="1"/>
  <c r="Z32" i="25"/>
  <c r="Y32" i="25"/>
  <c r="X32" i="25"/>
  <c r="AF31" i="25"/>
  <c r="AE31" i="25"/>
  <c r="AD31" i="25"/>
  <c r="Z31" i="25"/>
  <c r="Y31" i="25"/>
  <c r="X31" i="25"/>
  <c r="AF30" i="25"/>
  <c r="AE30" i="25"/>
  <c r="AD30" i="25"/>
  <c r="AC30" i="25" s="1"/>
  <c r="Z30" i="25"/>
  <c r="Y30" i="25"/>
  <c r="X30" i="25"/>
  <c r="AF29" i="25"/>
  <c r="AE29" i="25"/>
  <c r="AD29" i="25"/>
  <c r="AC29" i="25" s="1"/>
  <c r="Z29" i="25"/>
  <c r="Y29" i="25"/>
  <c r="X29" i="25"/>
  <c r="AF28" i="25"/>
  <c r="AE28" i="25"/>
  <c r="AD28" i="25"/>
  <c r="Z28" i="25"/>
  <c r="Y28" i="25"/>
  <c r="X28" i="25"/>
  <c r="AF27" i="25"/>
  <c r="AE27" i="25"/>
  <c r="AD27" i="25"/>
  <c r="Z27" i="25"/>
  <c r="Y27" i="25"/>
  <c r="X27" i="25"/>
  <c r="AF26" i="25"/>
  <c r="AE26" i="25"/>
  <c r="AD26" i="25"/>
  <c r="AC26" i="25" s="1"/>
  <c r="Z26" i="25"/>
  <c r="Y26" i="25"/>
  <c r="X26" i="25"/>
  <c r="AF25" i="25"/>
  <c r="AE25" i="25"/>
  <c r="AD25" i="25"/>
  <c r="AC25" i="25" s="1"/>
  <c r="Z25" i="25"/>
  <c r="Y25" i="25"/>
  <c r="X25" i="25"/>
  <c r="AF24" i="25"/>
  <c r="AE24" i="25"/>
  <c r="AD24" i="25"/>
  <c r="AC24" i="25" s="1"/>
  <c r="Z24" i="25"/>
  <c r="Y24" i="25"/>
  <c r="X24" i="25"/>
  <c r="Z23" i="25"/>
  <c r="Y23" i="25"/>
  <c r="X23" i="25"/>
  <c r="Z22" i="25"/>
  <c r="Y22" i="25"/>
  <c r="X22" i="25"/>
  <c r="Z21" i="25"/>
  <c r="Y21" i="25"/>
  <c r="X21" i="25"/>
  <c r="Z20" i="25"/>
  <c r="Y20" i="25"/>
  <c r="X20" i="25"/>
  <c r="Z19" i="25"/>
  <c r="Y19" i="25"/>
  <c r="X19" i="25"/>
  <c r="U19" i="25"/>
  <c r="U39" i="25" s="1"/>
  <c r="T19" i="25"/>
  <c r="T39" i="25" s="1"/>
  <c r="S19" i="25"/>
  <c r="S39" i="25" s="1"/>
  <c r="Z18" i="25"/>
  <c r="Y18" i="25"/>
  <c r="X18" i="25"/>
  <c r="U18" i="25"/>
  <c r="U38" i="25" s="1"/>
  <c r="T18" i="25"/>
  <c r="T38" i="25" s="1"/>
  <c r="S18" i="25"/>
  <c r="S38" i="25" s="1"/>
  <c r="Z17" i="25"/>
  <c r="Y17" i="25"/>
  <c r="X17" i="25"/>
  <c r="U17" i="25"/>
  <c r="R17" i="25" s="1"/>
  <c r="R37" i="25" s="1"/>
  <c r="T17" i="25"/>
  <c r="T37" i="25" s="1"/>
  <c r="S17" i="25"/>
  <c r="S37" i="25" s="1"/>
  <c r="Z16" i="25"/>
  <c r="Y16" i="25"/>
  <c r="X16" i="25"/>
  <c r="U16" i="25"/>
  <c r="U36" i="25" s="1"/>
  <c r="T16" i="25"/>
  <c r="T36" i="25" s="1"/>
  <c r="S16" i="25"/>
  <c r="S36" i="25" s="1"/>
  <c r="R16" i="25"/>
  <c r="R36" i="25" s="1"/>
  <c r="Z15" i="25"/>
  <c r="Y15" i="25"/>
  <c r="X15" i="25"/>
  <c r="U15" i="25"/>
  <c r="U35" i="25" s="1"/>
  <c r="T15" i="25"/>
  <c r="T35" i="25" s="1"/>
  <c r="S15" i="25"/>
  <c r="S35" i="25" s="1"/>
  <c r="Z14" i="25"/>
  <c r="Y14" i="25"/>
  <c r="X14" i="25"/>
  <c r="U14" i="25"/>
  <c r="U34" i="25" s="1"/>
  <c r="T14" i="25"/>
  <c r="T34" i="25" s="1"/>
  <c r="S14" i="25"/>
  <c r="S34" i="25" s="1"/>
  <c r="Z13" i="25"/>
  <c r="Y13" i="25"/>
  <c r="X13" i="25"/>
  <c r="U13" i="25"/>
  <c r="R13" i="25" s="1"/>
  <c r="R33" i="25" s="1"/>
  <c r="T13" i="25"/>
  <c r="T33" i="25" s="1"/>
  <c r="S13" i="25"/>
  <c r="S33" i="25" s="1"/>
  <c r="Z12" i="25"/>
  <c r="Y12" i="25"/>
  <c r="X12" i="25"/>
  <c r="U12" i="25"/>
  <c r="U32" i="25" s="1"/>
  <c r="T12" i="25"/>
  <c r="T32" i="25" s="1"/>
  <c r="S12" i="25"/>
  <c r="S32" i="25" s="1"/>
  <c r="Z11" i="25"/>
  <c r="Y11" i="25"/>
  <c r="X11" i="25"/>
  <c r="U11" i="25"/>
  <c r="R11" i="25" s="1"/>
  <c r="R31" i="25" s="1"/>
  <c r="T11" i="25"/>
  <c r="T31" i="25" s="1"/>
  <c r="S11" i="25"/>
  <c r="S31" i="25" s="1"/>
  <c r="Z10" i="25"/>
  <c r="Y10" i="25"/>
  <c r="X10" i="25"/>
  <c r="U10" i="25"/>
  <c r="U30" i="25" s="1"/>
  <c r="T10" i="25"/>
  <c r="T30" i="25" s="1"/>
  <c r="S10" i="25"/>
  <c r="S30" i="25" s="1"/>
  <c r="Z9" i="25"/>
  <c r="Y9" i="25"/>
  <c r="X9" i="25"/>
  <c r="U9" i="25"/>
  <c r="R9" i="25" s="1"/>
  <c r="R29" i="25" s="1"/>
  <c r="T9" i="25"/>
  <c r="T29" i="25" s="1"/>
  <c r="S9" i="25"/>
  <c r="S29" i="25" s="1"/>
  <c r="Z8" i="25"/>
  <c r="Y8" i="25"/>
  <c r="X8" i="25"/>
  <c r="U8" i="25"/>
  <c r="U28" i="25" s="1"/>
  <c r="T8" i="25"/>
  <c r="T28" i="25" s="1"/>
  <c r="S8" i="25"/>
  <c r="S28" i="25" s="1"/>
  <c r="Z7" i="25"/>
  <c r="Y7" i="25"/>
  <c r="X7" i="25"/>
  <c r="U7" i="25"/>
  <c r="U27" i="25" s="1"/>
  <c r="T7" i="25"/>
  <c r="T27" i="25" s="1"/>
  <c r="S7" i="25"/>
  <c r="S27" i="25" s="1"/>
  <c r="R7" i="25"/>
  <c r="R27" i="25" s="1"/>
  <c r="Z6" i="25"/>
  <c r="Y6" i="25"/>
  <c r="X6" i="25"/>
  <c r="U6" i="25"/>
  <c r="U26" i="25" s="1"/>
  <c r="T6" i="25"/>
  <c r="T26" i="25" s="1"/>
  <c r="S6" i="25"/>
  <c r="S26" i="25" s="1"/>
  <c r="R6" i="25"/>
  <c r="R26" i="25" s="1"/>
  <c r="Z5" i="25"/>
  <c r="Y5" i="25"/>
  <c r="X5" i="25"/>
  <c r="U5" i="25"/>
  <c r="R5" i="25" s="1"/>
  <c r="R25" i="25" s="1"/>
  <c r="T5" i="25"/>
  <c r="T25" i="25" s="1"/>
  <c r="S5" i="25"/>
  <c r="S25" i="25" s="1"/>
  <c r="M5" i="25"/>
  <c r="L5" i="25"/>
  <c r="I45" i="25" s="1"/>
  <c r="I22" i="3" s="1"/>
  <c r="Z4" i="25"/>
  <c r="Y4" i="25"/>
  <c r="X4" i="25"/>
  <c r="M45" i="25" s="1"/>
  <c r="M22" i="3" s="1"/>
  <c r="U4" i="25"/>
  <c r="U24" i="25" s="1"/>
  <c r="T4" i="25"/>
  <c r="T24" i="25" s="1"/>
  <c r="S4" i="25"/>
  <c r="S24" i="25" s="1"/>
  <c r="R4" i="25"/>
  <c r="R24" i="25" s="1"/>
  <c r="M4" i="25"/>
  <c r="L4" i="25"/>
  <c r="L45" i="25" s="1"/>
  <c r="L22" i="3" s="1"/>
  <c r="U3" i="25"/>
  <c r="U23" i="25" s="1"/>
  <c r="T3" i="25"/>
  <c r="T23" i="25" s="1"/>
  <c r="S3" i="25"/>
  <c r="S23" i="25" s="1"/>
  <c r="N3" i="25"/>
  <c r="M3" i="25"/>
  <c r="L3" i="25"/>
  <c r="E45" i="25" s="1"/>
  <c r="E22" i="3" s="1"/>
  <c r="AF35" i="11"/>
  <c r="AE35" i="11"/>
  <c r="AD35" i="11"/>
  <c r="AF34" i="11"/>
  <c r="AE34" i="11"/>
  <c r="AD34" i="11"/>
  <c r="AF33" i="11"/>
  <c r="AE33" i="11"/>
  <c r="AC33" i="11" s="1"/>
  <c r="AD33" i="11"/>
  <c r="AF32" i="11"/>
  <c r="AE32" i="11"/>
  <c r="AD32" i="11"/>
  <c r="AF31" i="11"/>
  <c r="AE31" i="11"/>
  <c r="AD31" i="11"/>
  <c r="AC31" i="11" s="1"/>
  <c r="AF30" i="11"/>
  <c r="AE30" i="11"/>
  <c r="AD30" i="11"/>
  <c r="AF29" i="11"/>
  <c r="AE29" i="11"/>
  <c r="AD29" i="11"/>
  <c r="AF28" i="11"/>
  <c r="AE28" i="11"/>
  <c r="AD28" i="11"/>
  <c r="AC28" i="11" s="1"/>
  <c r="AF27" i="11"/>
  <c r="AE27" i="11"/>
  <c r="AD27" i="11"/>
  <c r="AF26" i="11"/>
  <c r="AE26" i="11"/>
  <c r="AD26" i="11"/>
  <c r="AF25" i="11"/>
  <c r="AE25" i="11"/>
  <c r="AC25" i="11" s="1"/>
  <c r="AD25" i="11"/>
  <c r="AF24" i="11"/>
  <c r="AE24" i="11"/>
  <c r="AD24" i="11"/>
  <c r="AF35" i="12"/>
  <c r="AE35" i="12"/>
  <c r="AD35" i="12"/>
  <c r="AF34" i="12"/>
  <c r="AC34" i="12" s="1"/>
  <c r="AE34" i="12"/>
  <c r="AD34" i="12"/>
  <c r="AF33" i="12"/>
  <c r="AE33" i="12"/>
  <c r="AD33" i="12"/>
  <c r="AF32" i="12"/>
  <c r="AE32" i="12"/>
  <c r="AD32" i="12"/>
  <c r="AC32" i="12" s="1"/>
  <c r="AF31" i="12"/>
  <c r="AE31" i="12"/>
  <c r="AD31" i="12"/>
  <c r="AF30" i="12"/>
  <c r="AE30" i="12"/>
  <c r="AD30" i="12"/>
  <c r="AF29" i="12"/>
  <c r="AE29" i="12"/>
  <c r="AC29" i="12" s="1"/>
  <c r="AD29" i="12"/>
  <c r="AF28" i="12"/>
  <c r="AE28" i="12"/>
  <c r="AD28" i="12"/>
  <c r="AF27" i="12"/>
  <c r="AE27" i="12"/>
  <c r="AD27" i="12"/>
  <c r="AF26" i="12"/>
  <c r="AC26" i="12" s="1"/>
  <c r="AE26" i="12"/>
  <c r="AD26" i="12"/>
  <c r="AF25" i="12"/>
  <c r="AE25" i="12"/>
  <c r="AD25" i="12"/>
  <c r="AF24" i="12"/>
  <c r="AE24" i="12"/>
  <c r="AD24" i="12"/>
  <c r="AF35" i="13"/>
  <c r="AE35" i="13"/>
  <c r="AD35" i="13"/>
  <c r="AF34" i="13"/>
  <c r="AE34" i="13"/>
  <c r="AD34" i="13"/>
  <c r="AF33" i="13"/>
  <c r="AE33" i="13"/>
  <c r="AC33" i="13" s="1"/>
  <c r="AD33" i="13"/>
  <c r="AF32" i="13"/>
  <c r="AE32" i="13"/>
  <c r="AD32" i="13"/>
  <c r="AF31" i="13"/>
  <c r="AE31" i="13"/>
  <c r="AD31" i="13"/>
  <c r="AC31" i="13" s="1"/>
  <c r="AF30" i="13"/>
  <c r="AC30" i="13" s="1"/>
  <c r="AE30" i="13"/>
  <c r="AD30" i="13"/>
  <c r="AF29" i="13"/>
  <c r="AE29" i="13"/>
  <c r="AD29" i="13"/>
  <c r="AF28" i="13"/>
  <c r="AE28" i="13"/>
  <c r="AD28" i="13"/>
  <c r="AC28" i="13" s="1"/>
  <c r="AF27" i="13"/>
  <c r="AE27" i="13"/>
  <c r="AD27" i="13"/>
  <c r="AF26" i="13"/>
  <c r="AE26" i="13"/>
  <c r="AD26" i="13"/>
  <c r="AF25" i="13"/>
  <c r="AE25" i="13"/>
  <c r="AC25" i="13" s="1"/>
  <c r="AD25" i="13"/>
  <c r="AF24" i="13"/>
  <c r="AE24" i="13"/>
  <c r="AD24" i="13"/>
  <c r="AF35" i="14"/>
  <c r="AE35" i="14"/>
  <c r="AD35" i="14"/>
  <c r="AC35" i="14" s="1"/>
  <c r="AF34" i="14"/>
  <c r="AC34" i="14" s="1"/>
  <c r="AE34" i="14"/>
  <c r="AD34" i="14"/>
  <c r="AF33" i="14"/>
  <c r="AE33" i="14"/>
  <c r="AD33" i="14"/>
  <c r="AF32" i="14"/>
  <c r="AE32" i="14"/>
  <c r="AD32" i="14"/>
  <c r="AC32" i="14" s="1"/>
  <c r="AF31" i="14"/>
  <c r="AE31" i="14"/>
  <c r="AD31" i="14"/>
  <c r="AF30" i="14"/>
  <c r="AE30" i="14"/>
  <c r="AD30" i="14"/>
  <c r="AF29" i="14"/>
  <c r="AE29" i="14"/>
  <c r="AC29" i="14" s="1"/>
  <c r="AD29" i="14"/>
  <c r="AF28" i="14"/>
  <c r="AE28" i="14"/>
  <c r="AD28" i="14"/>
  <c r="AF27" i="14"/>
  <c r="AE27" i="14"/>
  <c r="AD27" i="14"/>
  <c r="AC27" i="14" s="1"/>
  <c r="AF26" i="14"/>
  <c r="AC26" i="14" s="1"/>
  <c r="AE26" i="14"/>
  <c r="AD26" i="14"/>
  <c r="AF25" i="14"/>
  <c r="AE25" i="14"/>
  <c r="AD25" i="14"/>
  <c r="AF24" i="14"/>
  <c r="AE24" i="14"/>
  <c r="AD24" i="14"/>
  <c r="AC24" i="14" s="1"/>
  <c r="AF35" i="15"/>
  <c r="AE35" i="15"/>
  <c r="AD35" i="15"/>
  <c r="AF34" i="15"/>
  <c r="AE34" i="15"/>
  <c r="AD34" i="15"/>
  <c r="AF33" i="15"/>
  <c r="AE33" i="15"/>
  <c r="AC33" i="15" s="1"/>
  <c r="AD33" i="15"/>
  <c r="AF32" i="15"/>
  <c r="AE32" i="15"/>
  <c r="AD32" i="15"/>
  <c r="AF31" i="15"/>
  <c r="AE31" i="15"/>
  <c r="AD31" i="15"/>
  <c r="AC31" i="15" s="1"/>
  <c r="AF30" i="15"/>
  <c r="AC30" i="15" s="1"/>
  <c r="AE30" i="15"/>
  <c r="AD30" i="15"/>
  <c r="AF29" i="15"/>
  <c r="AE29" i="15"/>
  <c r="AD29" i="15"/>
  <c r="AF28" i="15"/>
  <c r="AE28" i="15"/>
  <c r="AD28" i="15"/>
  <c r="AC28" i="15" s="1"/>
  <c r="AF27" i="15"/>
  <c r="AE27" i="15"/>
  <c r="AD27" i="15"/>
  <c r="AF26" i="15"/>
  <c r="AE26" i="15"/>
  <c r="AD26" i="15"/>
  <c r="AF25" i="15"/>
  <c r="AE25" i="15"/>
  <c r="AC25" i="15" s="1"/>
  <c r="AD25" i="15"/>
  <c r="AF24" i="15"/>
  <c r="AE24" i="15"/>
  <c r="AD24" i="15"/>
  <c r="AF35" i="16"/>
  <c r="AE35" i="16"/>
  <c r="AD35" i="16"/>
  <c r="AC35" i="16" s="1"/>
  <c r="AF34" i="16"/>
  <c r="AC34" i="16" s="1"/>
  <c r="AE34" i="16"/>
  <c r="AD34" i="16"/>
  <c r="AF33" i="16"/>
  <c r="AE33" i="16"/>
  <c r="AD33" i="16"/>
  <c r="AF32" i="16"/>
  <c r="AE32" i="16"/>
  <c r="AD32" i="16"/>
  <c r="AC32" i="16" s="1"/>
  <c r="AF31" i="16"/>
  <c r="AE31" i="16"/>
  <c r="AD31" i="16"/>
  <c r="AF30" i="16"/>
  <c r="AE30" i="16"/>
  <c r="AD30" i="16"/>
  <c r="AF29" i="16"/>
  <c r="AE29" i="16"/>
  <c r="AC29" i="16" s="1"/>
  <c r="AD29" i="16"/>
  <c r="AF28" i="16"/>
  <c r="AE28" i="16"/>
  <c r="AD28" i="16"/>
  <c r="AF27" i="16"/>
  <c r="AE27" i="16"/>
  <c r="AD27" i="16"/>
  <c r="AC27" i="16" s="1"/>
  <c r="AF26" i="16"/>
  <c r="AC26" i="16" s="1"/>
  <c r="AE26" i="16"/>
  <c r="AD26" i="16"/>
  <c r="AF25" i="16"/>
  <c r="AE25" i="16"/>
  <c r="AD25" i="16"/>
  <c r="AF24" i="16"/>
  <c r="AE24" i="16"/>
  <c r="AD24" i="16"/>
  <c r="AC24" i="16" s="1"/>
  <c r="AF35" i="17"/>
  <c r="AE35" i="17"/>
  <c r="AD35" i="17"/>
  <c r="AF34" i="17"/>
  <c r="AE34" i="17"/>
  <c r="AD34" i="17"/>
  <c r="AF33" i="17"/>
  <c r="AE33" i="17"/>
  <c r="AC33" i="17" s="1"/>
  <c r="AD33" i="17"/>
  <c r="AF32" i="17"/>
  <c r="AE32" i="17"/>
  <c r="AD32" i="17"/>
  <c r="AF31" i="17"/>
  <c r="AE31" i="17"/>
  <c r="AD31" i="17"/>
  <c r="AC31" i="17" s="1"/>
  <c r="AF30" i="17"/>
  <c r="AC30" i="17" s="1"/>
  <c r="AE30" i="17"/>
  <c r="AD30" i="17"/>
  <c r="AF29" i="17"/>
  <c r="AE29" i="17"/>
  <c r="AD29" i="17"/>
  <c r="AF28" i="17"/>
  <c r="AE28" i="17"/>
  <c r="AD28" i="17"/>
  <c r="AC28" i="17" s="1"/>
  <c r="AF27" i="17"/>
  <c r="AE27" i="17"/>
  <c r="AD27" i="17"/>
  <c r="AF26" i="17"/>
  <c r="AE26" i="17"/>
  <c r="AD26" i="17"/>
  <c r="AF25" i="17"/>
  <c r="AE25" i="17"/>
  <c r="AC25" i="17" s="1"/>
  <c r="AD25" i="17"/>
  <c r="AF24" i="17"/>
  <c r="AE24" i="17"/>
  <c r="AD24" i="17"/>
  <c r="AF35" i="18"/>
  <c r="AE35" i="18"/>
  <c r="AD35" i="18"/>
  <c r="AC35" i="18" s="1"/>
  <c r="AF34" i="18"/>
  <c r="AC34" i="18" s="1"/>
  <c r="AE34" i="18"/>
  <c r="AD34" i="18"/>
  <c r="AF33" i="18"/>
  <c r="AE33" i="18"/>
  <c r="AD33" i="18"/>
  <c r="AF32" i="18"/>
  <c r="AE32" i="18"/>
  <c r="AD32" i="18"/>
  <c r="AC32" i="18" s="1"/>
  <c r="AF31" i="18"/>
  <c r="AE31" i="18"/>
  <c r="AD31" i="18"/>
  <c r="AF30" i="18"/>
  <c r="AE30" i="18"/>
  <c r="AD30" i="18"/>
  <c r="AF29" i="18"/>
  <c r="AE29" i="18"/>
  <c r="AC29" i="18" s="1"/>
  <c r="AD29" i="18"/>
  <c r="AF28" i="18"/>
  <c r="AE28" i="18"/>
  <c r="AD28" i="18"/>
  <c r="AF27" i="18"/>
  <c r="AE27" i="18"/>
  <c r="AD27" i="18"/>
  <c r="AC27" i="18" s="1"/>
  <c r="AF26" i="18"/>
  <c r="AC26" i="18" s="1"/>
  <c r="AE26" i="18"/>
  <c r="AD26" i="18"/>
  <c r="AF25" i="18"/>
  <c r="AE25" i="18"/>
  <c r="AD25" i="18"/>
  <c r="AF24" i="18"/>
  <c r="AE24" i="18"/>
  <c r="AD24" i="18"/>
  <c r="AC24" i="18" s="1"/>
  <c r="AF35" i="19"/>
  <c r="AE35" i="19"/>
  <c r="AD35" i="19"/>
  <c r="AF34" i="19"/>
  <c r="AE34" i="19"/>
  <c r="AD34" i="19"/>
  <c r="AF33" i="19"/>
  <c r="AE33" i="19"/>
  <c r="AC33" i="19" s="1"/>
  <c r="AD33" i="19"/>
  <c r="AF32" i="19"/>
  <c r="AE32" i="19"/>
  <c r="AD32" i="19"/>
  <c r="AF31" i="19"/>
  <c r="AE31" i="19"/>
  <c r="AD31" i="19"/>
  <c r="AC31" i="19" s="1"/>
  <c r="AF30" i="19"/>
  <c r="AC30" i="19" s="1"/>
  <c r="AE30" i="19"/>
  <c r="AD30" i="19"/>
  <c r="AF29" i="19"/>
  <c r="AE29" i="19"/>
  <c r="AD29" i="19"/>
  <c r="AF28" i="19"/>
  <c r="AE28" i="19"/>
  <c r="AD28" i="19"/>
  <c r="AC28" i="19" s="1"/>
  <c r="AF27" i="19"/>
  <c r="AE27" i="19"/>
  <c r="AD27" i="19"/>
  <c r="AF26" i="19"/>
  <c r="AE26" i="19"/>
  <c r="AD26" i="19"/>
  <c r="AF25" i="19"/>
  <c r="AE25" i="19"/>
  <c r="AC25" i="19" s="1"/>
  <c r="AD25" i="19"/>
  <c r="AF24" i="19"/>
  <c r="AE24" i="19"/>
  <c r="AD24" i="19"/>
  <c r="AF35" i="20"/>
  <c r="AE35" i="20"/>
  <c r="AD35" i="20"/>
  <c r="AC35" i="20" s="1"/>
  <c r="AF34" i="20"/>
  <c r="AC34" i="20" s="1"/>
  <c r="AE34" i="20"/>
  <c r="AD34" i="20"/>
  <c r="AF33" i="20"/>
  <c r="AE33" i="20"/>
  <c r="AD33" i="20"/>
  <c r="AF32" i="20"/>
  <c r="AE32" i="20"/>
  <c r="AD32" i="20"/>
  <c r="AC32" i="20" s="1"/>
  <c r="AF31" i="20"/>
  <c r="AE31" i="20"/>
  <c r="AD31" i="20"/>
  <c r="AF30" i="20"/>
  <c r="AE30" i="20"/>
  <c r="AD30" i="20"/>
  <c r="AF29" i="20"/>
  <c r="AE29" i="20"/>
  <c r="AC29" i="20" s="1"/>
  <c r="AD29" i="20"/>
  <c r="AF28" i="20"/>
  <c r="AE28" i="20"/>
  <c r="AD28" i="20"/>
  <c r="AF27" i="20"/>
  <c r="AE27" i="20"/>
  <c r="AD27" i="20"/>
  <c r="AC27" i="20" s="1"/>
  <c r="AF26" i="20"/>
  <c r="AC26" i="20" s="1"/>
  <c r="AE26" i="20"/>
  <c r="AD26" i="20"/>
  <c r="AF25" i="20"/>
  <c r="AE25" i="20"/>
  <c r="AD25" i="20"/>
  <c r="AF24" i="20"/>
  <c r="AE24" i="20"/>
  <c r="AD24" i="20"/>
  <c r="AC24" i="20" s="1"/>
  <c r="AF35" i="23"/>
  <c r="AE35" i="23"/>
  <c r="AD35" i="23"/>
  <c r="AF34" i="23"/>
  <c r="AE34" i="23"/>
  <c r="AD34" i="23"/>
  <c r="AF33" i="23"/>
  <c r="AE33" i="23"/>
  <c r="AC33" i="23" s="1"/>
  <c r="AD33" i="23"/>
  <c r="AF32" i="23"/>
  <c r="AE32" i="23"/>
  <c r="AD32" i="23"/>
  <c r="AF31" i="23"/>
  <c r="AE31" i="23"/>
  <c r="AD31" i="23"/>
  <c r="AF30" i="23"/>
  <c r="AC30" i="23" s="1"/>
  <c r="AE30" i="23"/>
  <c r="AD30" i="23"/>
  <c r="AF29" i="23"/>
  <c r="AE29" i="23"/>
  <c r="AD29" i="23"/>
  <c r="AF28" i="23"/>
  <c r="AE28" i="23"/>
  <c r="AD28" i="23"/>
  <c r="AC28" i="23" s="1"/>
  <c r="AF27" i="23"/>
  <c r="AE27" i="23"/>
  <c r="AD27" i="23"/>
  <c r="AF26" i="23"/>
  <c r="AE26" i="23"/>
  <c r="AD26" i="23"/>
  <c r="AF25" i="23"/>
  <c r="AE25" i="23"/>
  <c r="AC25" i="23" s="1"/>
  <c r="AD25" i="23"/>
  <c r="AF24" i="23"/>
  <c r="AE24" i="23"/>
  <c r="AD24" i="23"/>
  <c r="AF35" i="24"/>
  <c r="AG14" i="4" s="1"/>
  <c r="AE35" i="24"/>
  <c r="AF14" i="4" s="1"/>
  <c r="AD35" i="24"/>
  <c r="AF34" i="24"/>
  <c r="AE34" i="24"/>
  <c r="AD34" i="24"/>
  <c r="AF33" i="24"/>
  <c r="AE33" i="24"/>
  <c r="AD33" i="24"/>
  <c r="AF32" i="24"/>
  <c r="AE32" i="24"/>
  <c r="AF11" i="4" s="1"/>
  <c r="AD32" i="24"/>
  <c r="AF31" i="24"/>
  <c r="AE31" i="24"/>
  <c r="AD31" i="24"/>
  <c r="AF30" i="24"/>
  <c r="AE30" i="24"/>
  <c r="AD30" i="24"/>
  <c r="AF29" i="24"/>
  <c r="AE29" i="24"/>
  <c r="AD29" i="24"/>
  <c r="AF28" i="24"/>
  <c r="AE28" i="24"/>
  <c r="AD28" i="24"/>
  <c r="AF27" i="24"/>
  <c r="AG6" i="4" s="1"/>
  <c r="AE27" i="24"/>
  <c r="AD27" i="24"/>
  <c r="AF26" i="24"/>
  <c r="AE26" i="24"/>
  <c r="AD26" i="24"/>
  <c r="AE5" i="4" s="1"/>
  <c r="AF25" i="24"/>
  <c r="AE25" i="24"/>
  <c r="AD25" i="24"/>
  <c r="AE4" i="4" s="1"/>
  <c r="AF24" i="24"/>
  <c r="AE24" i="24"/>
  <c r="AD24" i="24"/>
  <c r="AF35" i="7"/>
  <c r="AE35" i="7"/>
  <c r="AD35" i="7"/>
  <c r="AF34" i="7"/>
  <c r="AE34" i="7"/>
  <c r="AD34" i="7"/>
  <c r="AF33" i="7"/>
  <c r="AE33" i="7"/>
  <c r="AC33" i="7" s="1"/>
  <c r="AD33" i="7"/>
  <c r="AF32" i="7"/>
  <c r="AE32" i="7"/>
  <c r="AD32" i="7"/>
  <c r="AF31" i="7"/>
  <c r="AE31" i="7"/>
  <c r="AD31" i="7"/>
  <c r="AF30" i="7"/>
  <c r="AC30" i="7" s="1"/>
  <c r="AE30" i="7"/>
  <c r="AD30" i="7"/>
  <c r="AF29" i="7"/>
  <c r="AE29" i="7"/>
  <c r="AD29" i="7"/>
  <c r="AF28" i="7"/>
  <c r="AE28" i="7"/>
  <c r="AD28" i="7"/>
  <c r="AC28" i="7" s="1"/>
  <c r="AF27" i="7"/>
  <c r="AE27" i="7"/>
  <c r="AD27" i="7"/>
  <c r="AF26" i="7"/>
  <c r="AE26" i="7"/>
  <c r="AD26" i="7"/>
  <c r="AC26" i="7" s="1"/>
  <c r="AF25" i="7"/>
  <c r="AE25" i="7"/>
  <c r="AC25" i="7" s="1"/>
  <c r="AD25" i="7"/>
  <c r="AF24" i="7"/>
  <c r="AE24" i="7"/>
  <c r="AD24" i="7"/>
  <c r="AF35" i="21"/>
  <c r="AE35" i="21"/>
  <c r="AD35" i="21"/>
  <c r="AF34" i="21"/>
  <c r="AE34" i="21"/>
  <c r="AF13" i="4" s="1"/>
  <c r="AD34" i="21"/>
  <c r="AF33" i="21"/>
  <c r="AE33" i="21"/>
  <c r="AC33" i="21" s="1"/>
  <c r="AD33" i="21"/>
  <c r="AF32" i="21"/>
  <c r="AE32" i="21"/>
  <c r="AD32" i="21"/>
  <c r="AF31" i="21"/>
  <c r="AE31" i="21"/>
  <c r="AD31" i="21"/>
  <c r="AC31" i="21" s="1"/>
  <c r="AF30" i="21"/>
  <c r="AC30" i="21" s="1"/>
  <c r="AE30" i="21"/>
  <c r="AD30" i="21"/>
  <c r="AF29" i="21"/>
  <c r="AE29" i="21"/>
  <c r="AD29" i="21"/>
  <c r="AF28" i="21"/>
  <c r="AE28" i="21"/>
  <c r="AD28" i="21"/>
  <c r="AC28" i="21" s="1"/>
  <c r="AF27" i="21"/>
  <c r="AE27" i="21"/>
  <c r="AC27" i="21" s="1"/>
  <c r="AD27" i="21"/>
  <c r="AF26" i="21"/>
  <c r="AE26" i="21"/>
  <c r="AD26" i="21"/>
  <c r="AF25" i="21"/>
  <c r="AE25" i="21"/>
  <c r="AC25" i="21" s="1"/>
  <c r="AD25" i="21"/>
  <c r="AF24" i="21"/>
  <c r="AE24" i="21"/>
  <c r="AD24" i="21"/>
  <c r="AD30" i="22"/>
  <c r="AC30" i="22"/>
  <c r="AF35" i="22"/>
  <c r="AE35" i="22"/>
  <c r="AD35" i="22"/>
  <c r="AF34" i="22"/>
  <c r="AE34" i="22"/>
  <c r="AC34" i="22" s="1"/>
  <c r="AD34" i="22"/>
  <c r="AF33" i="22"/>
  <c r="AE33" i="22"/>
  <c r="AD33" i="22"/>
  <c r="AF32" i="22"/>
  <c r="AE32" i="22"/>
  <c r="AD32" i="22"/>
  <c r="AF31" i="22"/>
  <c r="AE31" i="22"/>
  <c r="AD31" i="22"/>
  <c r="AC31" i="22" s="1"/>
  <c r="AF30" i="22"/>
  <c r="AE30" i="22"/>
  <c r="AF29" i="22"/>
  <c r="AE29" i="22"/>
  <c r="AD29" i="22"/>
  <c r="AF28" i="22"/>
  <c r="AE28" i="22"/>
  <c r="AD28" i="22"/>
  <c r="AC28" i="22" s="1"/>
  <c r="AF27" i="22"/>
  <c r="AE27" i="22"/>
  <c r="AD27" i="22"/>
  <c r="AF26" i="22"/>
  <c r="AE26" i="22"/>
  <c r="AD26" i="22"/>
  <c r="AF25" i="22"/>
  <c r="AE25" i="22"/>
  <c r="AD25" i="22"/>
  <c r="AF24" i="22"/>
  <c r="AE24" i="22"/>
  <c r="AD24" i="22"/>
  <c r="AE8" i="4"/>
  <c r="AF10" i="4"/>
  <c r="AG7" i="4"/>
  <c r="AC32" i="22"/>
  <c r="AC26" i="22"/>
  <c r="AC35" i="22"/>
  <c r="AC35" i="7"/>
  <c r="AC34" i="7"/>
  <c r="AC32" i="7"/>
  <c r="AC31" i="7"/>
  <c r="AC29" i="7"/>
  <c r="AC27" i="7"/>
  <c r="AC24" i="7"/>
  <c r="AC31" i="24"/>
  <c r="AC35" i="23"/>
  <c r="AC34" i="23"/>
  <c r="AC32" i="23"/>
  <c r="AC31" i="23"/>
  <c r="AC29" i="23"/>
  <c r="AC27" i="23"/>
  <c r="AC26" i="23"/>
  <c r="AC24" i="23"/>
  <c r="AC35" i="21"/>
  <c r="AC34" i="21"/>
  <c r="AC32" i="21"/>
  <c r="AC29" i="21"/>
  <c r="AC26" i="21"/>
  <c r="AC24" i="21"/>
  <c r="AC33" i="20"/>
  <c r="AC31" i="20"/>
  <c r="AC30" i="20"/>
  <c r="AC28" i="20"/>
  <c r="AC25" i="20"/>
  <c r="AC35" i="19"/>
  <c r="AC34" i="19"/>
  <c r="AC32" i="19"/>
  <c r="AC29" i="19"/>
  <c r="AC27" i="19"/>
  <c r="AC26" i="19"/>
  <c r="AC24" i="19"/>
  <c r="AC33" i="18"/>
  <c r="AC31" i="18"/>
  <c r="AC30" i="18"/>
  <c r="AC28" i="18"/>
  <c r="AC25" i="18"/>
  <c r="AC35" i="17"/>
  <c r="AC34" i="17"/>
  <c r="AC32" i="17"/>
  <c r="AC29" i="17"/>
  <c r="AC27" i="17"/>
  <c r="AC26" i="17"/>
  <c r="AC24" i="17"/>
  <c r="AC33" i="16"/>
  <c r="AC31" i="16"/>
  <c r="AC30" i="16"/>
  <c r="AC28" i="16"/>
  <c r="AC25" i="16"/>
  <c r="AC35" i="15"/>
  <c r="AC34" i="15"/>
  <c r="AC32" i="15"/>
  <c r="AC29" i="15"/>
  <c r="AC27" i="15"/>
  <c r="AC26" i="15"/>
  <c r="AC24" i="15"/>
  <c r="AC33" i="14"/>
  <c r="AC31" i="14"/>
  <c r="AC30" i="14"/>
  <c r="AC28" i="14"/>
  <c r="AC25" i="14"/>
  <c r="AC35" i="13"/>
  <c r="AC34" i="13"/>
  <c r="AC32" i="13"/>
  <c r="AC29" i="13"/>
  <c r="AC27" i="13"/>
  <c r="AC26" i="13"/>
  <c r="AC24" i="13"/>
  <c r="AC33" i="12"/>
  <c r="AC31" i="12"/>
  <c r="AC30" i="12"/>
  <c r="AC28" i="12"/>
  <c r="AC25" i="12"/>
  <c r="AC24" i="11"/>
  <c r="AC26" i="11"/>
  <c r="AC27" i="11"/>
  <c r="AC29" i="11"/>
  <c r="AC30" i="11"/>
  <c r="AC32" i="11"/>
  <c r="AC34" i="11"/>
  <c r="AC35" i="11"/>
  <c r="B21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B45" i="24"/>
  <c r="T44" i="24"/>
  <c r="Z39" i="24"/>
  <c r="Y39" i="24"/>
  <c r="X39" i="24"/>
  <c r="Z38" i="24"/>
  <c r="Y38" i="24"/>
  <c r="X38" i="24"/>
  <c r="Z37" i="24"/>
  <c r="Y37" i="24"/>
  <c r="X37" i="24"/>
  <c r="Z36" i="24"/>
  <c r="Y36" i="24"/>
  <c r="X36" i="24"/>
  <c r="Z35" i="24"/>
  <c r="Y35" i="24"/>
  <c r="X35" i="24"/>
  <c r="Z34" i="24"/>
  <c r="Y34" i="24"/>
  <c r="X34" i="24"/>
  <c r="Z33" i="24"/>
  <c r="Y33" i="24"/>
  <c r="X33" i="24"/>
  <c r="Z32" i="24"/>
  <c r="Y32" i="24"/>
  <c r="X32" i="24"/>
  <c r="Z31" i="24"/>
  <c r="Y31" i="24"/>
  <c r="X31" i="24"/>
  <c r="Z30" i="24"/>
  <c r="Y30" i="24"/>
  <c r="X30" i="24"/>
  <c r="Z29" i="24"/>
  <c r="Y29" i="24"/>
  <c r="X29" i="24"/>
  <c r="Z28" i="24"/>
  <c r="Y28" i="24"/>
  <c r="X28" i="24"/>
  <c r="Z27" i="24"/>
  <c r="Y27" i="24"/>
  <c r="X27" i="24"/>
  <c r="Z26" i="24"/>
  <c r="Y26" i="24"/>
  <c r="X26" i="24"/>
  <c r="Z25" i="24"/>
  <c r="Y25" i="24"/>
  <c r="X25" i="24"/>
  <c r="Z24" i="24"/>
  <c r="Y24" i="24"/>
  <c r="X24" i="24"/>
  <c r="Z23" i="24"/>
  <c r="Y23" i="24"/>
  <c r="X23" i="24"/>
  <c r="Z22" i="24"/>
  <c r="Y22" i="24"/>
  <c r="X22" i="24"/>
  <c r="Z21" i="24"/>
  <c r="Y21" i="24"/>
  <c r="X21" i="24"/>
  <c r="Z20" i="24"/>
  <c r="Y20" i="24"/>
  <c r="X20" i="24"/>
  <c r="Z19" i="24"/>
  <c r="Y19" i="24"/>
  <c r="X19" i="24"/>
  <c r="U19" i="24"/>
  <c r="U39" i="24" s="1"/>
  <c r="T19" i="24"/>
  <c r="T39" i="24" s="1"/>
  <c r="S19" i="24"/>
  <c r="S39" i="24" s="1"/>
  <c r="Z18" i="24"/>
  <c r="Y18" i="24"/>
  <c r="X18" i="24"/>
  <c r="U18" i="24"/>
  <c r="R18" i="24" s="1"/>
  <c r="R38" i="24" s="1"/>
  <c r="T18" i="24"/>
  <c r="T38" i="24" s="1"/>
  <c r="S18" i="24"/>
  <c r="S38" i="24" s="1"/>
  <c r="Z17" i="24"/>
  <c r="Y17" i="24"/>
  <c r="X17" i="24"/>
  <c r="U17" i="24"/>
  <c r="U37" i="24" s="1"/>
  <c r="T17" i="24"/>
  <c r="T37" i="24" s="1"/>
  <c r="S17" i="24"/>
  <c r="S37" i="24" s="1"/>
  <c r="Z16" i="24"/>
  <c r="Y16" i="24"/>
  <c r="X16" i="24"/>
  <c r="U16" i="24"/>
  <c r="R16" i="24" s="1"/>
  <c r="R36" i="24" s="1"/>
  <c r="T16" i="24"/>
  <c r="T36" i="24" s="1"/>
  <c r="S16" i="24"/>
  <c r="S36" i="24" s="1"/>
  <c r="Z15" i="24"/>
  <c r="Y15" i="24"/>
  <c r="X15" i="24"/>
  <c r="U15" i="24"/>
  <c r="U35" i="24" s="1"/>
  <c r="T15" i="24"/>
  <c r="T35" i="24" s="1"/>
  <c r="S15" i="24"/>
  <c r="S35" i="24" s="1"/>
  <c r="Z14" i="24"/>
  <c r="Y14" i="24"/>
  <c r="X14" i="24"/>
  <c r="U14" i="24"/>
  <c r="U34" i="24" s="1"/>
  <c r="T14" i="24"/>
  <c r="T34" i="24" s="1"/>
  <c r="S14" i="24"/>
  <c r="S34" i="24" s="1"/>
  <c r="Z13" i="24"/>
  <c r="Y13" i="24"/>
  <c r="X13" i="24"/>
  <c r="U13" i="24"/>
  <c r="U33" i="24" s="1"/>
  <c r="T13" i="24"/>
  <c r="T33" i="24" s="1"/>
  <c r="S13" i="24"/>
  <c r="S33" i="24" s="1"/>
  <c r="Z12" i="24"/>
  <c r="Y12" i="24"/>
  <c r="X12" i="24"/>
  <c r="U12" i="24"/>
  <c r="U32" i="24" s="1"/>
  <c r="T12" i="24"/>
  <c r="T32" i="24" s="1"/>
  <c r="S12" i="24"/>
  <c r="S32" i="24" s="1"/>
  <c r="Z11" i="24"/>
  <c r="Y11" i="24"/>
  <c r="X11" i="24"/>
  <c r="U11" i="24"/>
  <c r="U31" i="24" s="1"/>
  <c r="T11" i="24"/>
  <c r="T31" i="24" s="1"/>
  <c r="S11" i="24"/>
  <c r="S31" i="24" s="1"/>
  <c r="Z10" i="24"/>
  <c r="Y10" i="24"/>
  <c r="X10" i="24"/>
  <c r="U10" i="24"/>
  <c r="R10" i="24" s="1"/>
  <c r="R30" i="24" s="1"/>
  <c r="T10" i="24"/>
  <c r="T30" i="24" s="1"/>
  <c r="S10" i="24"/>
  <c r="S30" i="24" s="1"/>
  <c r="Z9" i="24"/>
  <c r="Y9" i="24"/>
  <c r="X9" i="24"/>
  <c r="U9" i="24"/>
  <c r="U29" i="24" s="1"/>
  <c r="T9" i="24"/>
  <c r="T29" i="24" s="1"/>
  <c r="S9" i="24"/>
  <c r="S29" i="24" s="1"/>
  <c r="Z8" i="24"/>
  <c r="Y8" i="24"/>
  <c r="X8" i="24"/>
  <c r="U8" i="24"/>
  <c r="R8" i="24" s="1"/>
  <c r="R28" i="24" s="1"/>
  <c r="T8" i="24"/>
  <c r="T28" i="24" s="1"/>
  <c r="S8" i="24"/>
  <c r="S28" i="24" s="1"/>
  <c r="Z7" i="24"/>
  <c r="Y7" i="24"/>
  <c r="X7" i="24"/>
  <c r="U7" i="24"/>
  <c r="U27" i="24" s="1"/>
  <c r="T7" i="24"/>
  <c r="T27" i="24" s="1"/>
  <c r="S7" i="24"/>
  <c r="S27" i="24" s="1"/>
  <c r="Z6" i="24"/>
  <c r="Y6" i="24"/>
  <c r="X6" i="24"/>
  <c r="U6" i="24"/>
  <c r="U26" i="24" s="1"/>
  <c r="T6" i="24"/>
  <c r="T26" i="24" s="1"/>
  <c r="S6" i="24"/>
  <c r="S26" i="24" s="1"/>
  <c r="Z5" i="24"/>
  <c r="Y5" i="24"/>
  <c r="X5" i="24"/>
  <c r="U5" i="24"/>
  <c r="U25" i="24" s="1"/>
  <c r="T5" i="24"/>
  <c r="T25" i="24" s="1"/>
  <c r="S5" i="24"/>
  <c r="S25" i="24" s="1"/>
  <c r="M5" i="24"/>
  <c r="L5" i="24"/>
  <c r="I45" i="24" s="1"/>
  <c r="I21" i="3" s="1"/>
  <c r="Z4" i="24"/>
  <c r="Y4" i="24"/>
  <c r="X4" i="24"/>
  <c r="M45" i="24" s="1"/>
  <c r="M21" i="3" s="1"/>
  <c r="U4" i="24"/>
  <c r="R4" i="24" s="1"/>
  <c r="R24" i="24" s="1"/>
  <c r="T4" i="24"/>
  <c r="T24" i="24" s="1"/>
  <c r="S4" i="24"/>
  <c r="S24" i="24" s="1"/>
  <c r="M4" i="24"/>
  <c r="L4" i="24"/>
  <c r="L45" i="24" s="1"/>
  <c r="L21" i="3" s="1"/>
  <c r="U3" i="24"/>
  <c r="U23" i="24" s="1"/>
  <c r="T3" i="24"/>
  <c r="T23" i="24" s="1"/>
  <c r="S3" i="24"/>
  <c r="S23" i="24" s="1"/>
  <c r="M3" i="24"/>
  <c r="L3" i="24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0" i="3"/>
  <c r="B45" i="23"/>
  <c r="T44" i="23"/>
  <c r="Z39" i="23"/>
  <c r="Y39" i="23"/>
  <c r="X39" i="23"/>
  <c r="Z38" i="23"/>
  <c r="Y38" i="23"/>
  <c r="X38" i="23"/>
  <c r="Z37" i="23"/>
  <c r="Y37" i="23"/>
  <c r="X37" i="23"/>
  <c r="Z36" i="23"/>
  <c r="Y36" i="23"/>
  <c r="X36" i="23"/>
  <c r="Z35" i="23"/>
  <c r="Y35" i="23"/>
  <c r="X35" i="23"/>
  <c r="Z34" i="23"/>
  <c r="Y34" i="23"/>
  <c r="X34" i="23"/>
  <c r="Z33" i="23"/>
  <c r="Y33" i="23"/>
  <c r="X33" i="23"/>
  <c r="Z32" i="23"/>
  <c r="Y32" i="23"/>
  <c r="X32" i="23"/>
  <c r="Z31" i="23"/>
  <c r="Y31" i="23"/>
  <c r="X31" i="23"/>
  <c r="Z30" i="23"/>
  <c r="Y30" i="23"/>
  <c r="X30" i="23"/>
  <c r="Z29" i="23"/>
  <c r="Y29" i="23"/>
  <c r="X29" i="23"/>
  <c r="Z28" i="23"/>
  <c r="Y28" i="23"/>
  <c r="X28" i="23"/>
  <c r="Z27" i="23"/>
  <c r="Y27" i="23"/>
  <c r="X27" i="23"/>
  <c r="Z26" i="23"/>
  <c r="Y26" i="23"/>
  <c r="X26" i="23"/>
  <c r="Z25" i="23"/>
  <c r="Y25" i="23"/>
  <c r="X25" i="23"/>
  <c r="Z24" i="23"/>
  <c r="Y24" i="23"/>
  <c r="X24" i="23"/>
  <c r="Z23" i="23"/>
  <c r="Y23" i="23"/>
  <c r="X23" i="23"/>
  <c r="Z22" i="23"/>
  <c r="Y22" i="23"/>
  <c r="X22" i="23"/>
  <c r="Z21" i="23"/>
  <c r="Y21" i="23"/>
  <c r="X21" i="23"/>
  <c r="Z20" i="23"/>
  <c r="Y20" i="23"/>
  <c r="X20" i="23"/>
  <c r="Z19" i="23"/>
  <c r="Y19" i="23"/>
  <c r="X19" i="23"/>
  <c r="U19" i="23"/>
  <c r="U39" i="23" s="1"/>
  <c r="T19" i="23"/>
  <c r="T39" i="23" s="1"/>
  <c r="S19" i="23"/>
  <c r="S39" i="23" s="1"/>
  <c r="Z18" i="23"/>
  <c r="Y18" i="23"/>
  <c r="X18" i="23"/>
  <c r="U18" i="23"/>
  <c r="U38" i="23" s="1"/>
  <c r="T18" i="23"/>
  <c r="T38" i="23" s="1"/>
  <c r="S18" i="23"/>
  <c r="S38" i="23" s="1"/>
  <c r="Z17" i="23"/>
  <c r="Y17" i="23"/>
  <c r="X17" i="23"/>
  <c r="U17" i="23"/>
  <c r="R17" i="23" s="1"/>
  <c r="R37" i="23" s="1"/>
  <c r="T17" i="23"/>
  <c r="T37" i="23" s="1"/>
  <c r="S17" i="23"/>
  <c r="S37" i="23" s="1"/>
  <c r="Z16" i="23"/>
  <c r="Y16" i="23"/>
  <c r="X16" i="23"/>
  <c r="U16" i="23"/>
  <c r="R16" i="23" s="1"/>
  <c r="R36" i="23" s="1"/>
  <c r="T16" i="23"/>
  <c r="T36" i="23" s="1"/>
  <c r="S16" i="23"/>
  <c r="S36" i="23" s="1"/>
  <c r="Z15" i="23"/>
  <c r="Y15" i="23"/>
  <c r="X15" i="23"/>
  <c r="U15" i="23"/>
  <c r="U35" i="23" s="1"/>
  <c r="T15" i="23"/>
  <c r="T35" i="23" s="1"/>
  <c r="S15" i="23"/>
  <c r="S35" i="23" s="1"/>
  <c r="Z14" i="23"/>
  <c r="Y14" i="23"/>
  <c r="X14" i="23"/>
  <c r="U14" i="23"/>
  <c r="U34" i="23" s="1"/>
  <c r="T14" i="23"/>
  <c r="T34" i="23" s="1"/>
  <c r="S14" i="23"/>
  <c r="S34" i="23" s="1"/>
  <c r="Z13" i="23"/>
  <c r="Y13" i="23"/>
  <c r="X13" i="23"/>
  <c r="U13" i="23"/>
  <c r="U33" i="23" s="1"/>
  <c r="T13" i="23"/>
  <c r="T33" i="23" s="1"/>
  <c r="S13" i="23"/>
  <c r="S33" i="23" s="1"/>
  <c r="R13" i="23"/>
  <c r="R33" i="23" s="1"/>
  <c r="Z12" i="23"/>
  <c r="Y12" i="23"/>
  <c r="X12" i="23"/>
  <c r="U12" i="23"/>
  <c r="U32" i="23" s="1"/>
  <c r="T12" i="23"/>
  <c r="T32" i="23" s="1"/>
  <c r="S12" i="23"/>
  <c r="S32" i="23" s="1"/>
  <c r="Z11" i="23"/>
  <c r="Y11" i="23"/>
  <c r="X11" i="23"/>
  <c r="U11" i="23"/>
  <c r="U31" i="23" s="1"/>
  <c r="T11" i="23"/>
  <c r="T31" i="23" s="1"/>
  <c r="S11" i="23"/>
  <c r="S31" i="23" s="1"/>
  <c r="R11" i="23"/>
  <c r="R31" i="23" s="1"/>
  <c r="Z10" i="23"/>
  <c r="Y10" i="23"/>
  <c r="X10" i="23"/>
  <c r="U10" i="23"/>
  <c r="U30" i="23" s="1"/>
  <c r="T10" i="23"/>
  <c r="T30" i="23" s="1"/>
  <c r="S10" i="23"/>
  <c r="S30" i="23" s="1"/>
  <c r="R10" i="23"/>
  <c r="R30" i="23" s="1"/>
  <c r="Z9" i="23"/>
  <c r="Y9" i="23"/>
  <c r="X9" i="23"/>
  <c r="U9" i="23"/>
  <c r="U29" i="23" s="1"/>
  <c r="T9" i="23"/>
  <c r="T29" i="23" s="1"/>
  <c r="S9" i="23"/>
  <c r="S29" i="23" s="1"/>
  <c r="Z8" i="23"/>
  <c r="Y8" i="23"/>
  <c r="X8" i="23"/>
  <c r="U8" i="23"/>
  <c r="R8" i="23" s="1"/>
  <c r="R28" i="23" s="1"/>
  <c r="T8" i="23"/>
  <c r="T28" i="23" s="1"/>
  <c r="S8" i="23"/>
  <c r="S28" i="23" s="1"/>
  <c r="Z7" i="23"/>
  <c r="Y7" i="23"/>
  <c r="X7" i="23"/>
  <c r="U7" i="23"/>
  <c r="U27" i="23" s="1"/>
  <c r="T7" i="23"/>
  <c r="T27" i="23" s="1"/>
  <c r="S7" i="23"/>
  <c r="S27" i="23" s="1"/>
  <c r="R7" i="23"/>
  <c r="R27" i="23" s="1"/>
  <c r="Z6" i="23"/>
  <c r="Y6" i="23"/>
  <c r="X6" i="23"/>
  <c r="U6" i="23"/>
  <c r="U26" i="23" s="1"/>
  <c r="T6" i="23"/>
  <c r="T26" i="23" s="1"/>
  <c r="S6" i="23"/>
  <c r="S26" i="23" s="1"/>
  <c r="Z5" i="23"/>
  <c r="Y5" i="23"/>
  <c r="X5" i="23"/>
  <c r="U5" i="23"/>
  <c r="U25" i="23" s="1"/>
  <c r="T5" i="23"/>
  <c r="T25" i="23" s="1"/>
  <c r="S5" i="23"/>
  <c r="S25" i="23" s="1"/>
  <c r="R5" i="23"/>
  <c r="R25" i="23" s="1"/>
  <c r="M5" i="23"/>
  <c r="L5" i="23"/>
  <c r="I45" i="23" s="1"/>
  <c r="Z4" i="23"/>
  <c r="Y4" i="23"/>
  <c r="X4" i="23"/>
  <c r="U4" i="23"/>
  <c r="R4" i="23" s="1"/>
  <c r="R24" i="23" s="1"/>
  <c r="T4" i="23"/>
  <c r="T24" i="23" s="1"/>
  <c r="S4" i="23"/>
  <c r="S24" i="23" s="1"/>
  <c r="M4" i="23"/>
  <c r="L4" i="23"/>
  <c r="L45" i="23" s="1"/>
  <c r="U3" i="23"/>
  <c r="U23" i="23" s="1"/>
  <c r="T3" i="23"/>
  <c r="T23" i="23" s="1"/>
  <c r="S3" i="23"/>
  <c r="S23" i="23" s="1"/>
  <c r="M3" i="23"/>
  <c r="L3" i="23"/>
  <c r="E45" i="23" s="1"/>
  <c r="B19" i="3"/>
  <c r="B45" i="22"/>
  <c r="T44" i="22"/>
  <c r="Z39" i="22"/>
  <c r="Y39" i="22"/>
  <c r="X39" i="22"/>
  <c r="Z38" i="22"/>
  <c r="Y38" i="22"/>
  <c r="X38" i="22"/>
  <c r="Z37" i="22"/>
  <c r="Y37" i="22"/>
  <c r="X37" i="22"/>
  <c r="Z36" i="22"/>
  <c r="Y36" i="22"/>
  <c r="X36" i="22"/>
  <c r="Z35" i="22"/>
  <c r="Y35" i="22"/>
  <c r="X35" i="22"/>
  <c r="Z34" i="22"/>
  <c r="Y34" i="22"/>
  <c r="X34" i="22"/>
  <c r="Z33" i="22"/>
  <c r="Y33" i="22"/>
  <c r="X33" i="22"/>
  <c r="Z32" i="22"/>
  <c r="Y32" i="22"/>
  <c r="X32" i="22"/>
  <c r="Z31" i="22"/>
  <c r="Y31" i="22"/>
  <c r="X31" i="22"/>
  <c r="Z30" i="22"/>
  <c r="Y30" i="22"/>
  <c r="X30" i="22"/>
  <c r="Z29" i="22"/>
  <c r="Y29" i="22"/>
  <c r="X29" i="22"/>
  <c r="Z28" i="22"/>
  <c r="Y28" i="22"/>
  <c r="X28" i="22"/>
  <c r="Z27" i="22"/>
  <c r="Y27" i="22"/>
  <c r="X27" i="22"/>
  <c r="Z26" i="22"/>
  <c r="Y26" i="22"/>
  <c r="X26" i="22"/>
  <c r="Z25" i="22"/>
  <c r="Y25" i="22"/>
  <c r="X25" i="22"/>
  <c r="Z24" i="22"/>
  <c r="Y24" i="22"/>
  <c r="X24" i="22"/>
  <c r="Z23" i="22"/>
  <c r="Y23" i="22"/>
  <c r="X23" i="22"/>
  <c r="Z22" i="22"/>
  <c r="Y22" i="22"/>
  <c r="X22" i="22"/>
  <c r="Z21" i="22"/>
  <c r="Y21" i="22"/>
  <c r="X21" i="22"/>
  <c r="Z20" i="22"/>
  <c r="Y20" i="22"/>
  <c r="X20" i="22"/>
  <c r="Z19" i="22"/>
  <c r="Y19" i="22"/>
  <c r="X19" i="22"/>
  <c r="U19" i="22"/>
  <c r="U39" i="22" s="1"/>
  <c r="T19" i="22"/>
  <c r="T39" i="22" s="1"/>
  <c r="S19" i="22"/>
  <c r="S39" i="22" s="1"/>
  <c r="Z18" i="22"/>
  <c r="Y18" i="22"/>
  <c r="X18" i="22"/>
  <c r="U18" i="22"/>
  <c r="U38" i="22" s="1"/>
  <c r="T18" i="22"/>
  <c r="T38" i="22" s="1"/>
  <c r="S18" i="22"/>
  <c r="S38" i="22" s="1"/>
  <c r="Z17" i="22"/>
  <c r="Y17" i="22"/>
  <c r="X17" i="22"/>
  <c r="U17" i="22"/>
  <c r="U37" i="22" s="1"/>
  <c r="T17" i="22"/>
  <c r="T37" i="22" s="1"/>
  <c r="S17" i="22"/>
  <c r="S37" i="22" s="1"/>
  <c r="Z16" i="22"/>
  <c r="Y16" i="22"/>
  <c r="X16" i="22"/>
  <c r="U16" i="22"/>
  <c r="U36" i="22" s="1"/>
  <c r="T16" i="22"/>
  <c r="T36" i="22" s="1"/>
  <c r="S16" i="22"/>
  <c r="S36" i="22" s="1"/>
  <c r="Z15" i="22"/>
  <c r="Y15" i="22"/>
  <c r="X15" i="22"/>
  <c r="U15" i="22"/>
  <c r="U35" i="22" s="1"/>
  <c r="T15" i="22"/>
  <c r="T35" i="22" s="1"/>
  <c r="S15" i="22"/>
  <c r="S35" i="22" s="1"/>
  <c r="Z14" i="22"/>
  <c r="Y14" i="22"/>
  <c r="X14" i="22"/>
  <c r="U14" i="22"/>
  <c r="U34" i="22" s="1"/>
  <c r="T14" i="22"/>
  <c r="T34" i="22" s="1"/>
  <c r="S14" i="22"/>
  <c r="S34" i="22" s="1"/>
  <c r="Z13" i="22"/>
  <c r="Y13" i="22"/>
  <c r="X13" i="22"/>
  <c r="U13" i="22"/>
  <c r="U33" i="22" s="1"/>
  <c r="T13" i="22"/>
  <c r="T33" i="22" s="1"/>
  <c r="S13" i="22"/>
  <c r="S33" i="22" s="1"/>
  <c r="Z12" i="22"/>
  <c r="Y12" i="22"/>
  <c r="X12" i="22"/>
  <c r="U12" i="22"/>
  <c r="U32" i="22" s="1"/>
  <c r="T12" i="22"/>
  <c r="T32" i="22" s="1"/>
  <c r="S12" i="22"/>
  <c r="S32" i="22" s="1"/>
  <c r="Z11" i="22"/>
  <c r="Y11" i="22"/>
  <c r="X11" i="22"/>
  <c r="U11" i="22"/>
  <c r="U31" i="22" s="1"/>
  <c r="T11" i="22"/>
  <c r="T31" i="22" s="1"/>
  <c r="S11" i="22"/>
  <c r="S31" i="22" s="1"/>
  <c r="R11" i="22"/>
  <c r="R31" i="22" s="1"/>
  <c r="Z10" i="22"/>
  <c r="Y10" i="22"/>
  <c r="X10" i="22"/>
  <c r="U10" i="22"/>
  <c r="U30" i="22" s="1"/>
  <c r="T10" i="22"/>
  <c r="T30" i="22" s="1"/>
  <c r="S10" i="22"/>
  <c r="S30" i="22" s="1"/>
  <c r="Z9" i="22"/>
  <c r="Y9" i="22"/>
  <c r="X9" i="22"/>
  <c r="U9" i="22"/>
  <c r="U29" i="22" s="1"/>
  <c r="T9" i="22"/>
  <c r="T29" i="22" s="1"/>
  <c r="S9" i="22"/>
  <c r="S29" i="22" s="1"/>
  <c r="R9" i="22"/>
  <c r="R29" i="22" s="1"/>
  <c r="Z8" i="22"/>
  <c r="Y8" i="22"/>
  <c r="X8" i="22"/>
  <c r="U8" i="22"/>
  <c r="U28" i="22" s="1"/>
  <c r="T8" i="22"/>
  <c r="T28" i="22" s="1"/>
  <c r="S8" i="22"/>
  <c r="S28" i="22" s="1"/>
  <c r="Z7" i="22"/>
  <c r="Y7" i="22"/>
  <c r="X7" i="22"/>
  <c r="U7" i="22"/>
  <c r="U27" i="22" s="1"/>
  <c r="T7" i="22"/>
  <c r="T27" i="22" s="1"/>
  <c r="S7" i="22"/>
  <c r="S27" i="22" s="1"/>
  <c r="Z6" i="22"/>
  <c r="Y6" i="22"/>
  <c r="X6" i="22"/>
  <c r="U6" i="22"/>
  <c r="U26" i="22" s="1"/>
  <c r="T6" i="22"/>
  <c r="T26" i="22" s="1"/>
  <c r="S6" i="22"/>
  <c r="S26" i="22" s="1"/>
  <c r="Z5" i="22"/>
  <c r="Y5" i="22"/>
  <c r="X5" i="22"/>
  <c r="U5" i="22"/>
  <c r="U25" i="22" s="1"/>
  <c r="T5" i="22"/>
  <c r="T25" i="22" s="1"/>
  <c r="S5" i="22"/>
  <c r="S25" i="22" s="1"/>
  <c r="M5" i="22"/>
  <c r="L5" i="22"/>
  <c r="I45" i="22" s="1"/>
  <c r="I19" i="3" s="1"/>
  <c r="Z4" i="22"/>
  <c r="Y4" i="22"/>
  <c r="X4" i="22"/>
  <c r="M45" i="22" s="1"/>
  <c r="M19" i="3" s="1"/>
  <c r="U4" i="22"/>
  <c r="U24" i="22" s="1"/>
  <c r="T4" i="22"/>
  <c r="T24" i="22" s="1"/>
  <c r="S4" i="22"/>
  <c r="S24" i="22" s="1"/>
  <c r="M4" i="22"/>
  <c r="L4" i="22"/>
  <c r="L45" i="22" s="1"/>
  <c r="L19" i="3" s="1"/>
  <c r="U3" i="22"/>
  <c r="U23" i="22" s="1"/>
  <c r="T3" i="22"/>
  <c r="T23" i="22" s="1"/>
  <c r="S3" i="22"/>
  <c r="S23" i="22" s="1"/>
  <c r="M3" i="22"/>
  <c r="L3" i="22"/>
  <c r="B18" i="3"/>
  <c r="B17" i="3"/>
  <c r="B45" i="21"/>
  <c r="T44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U19" i="21"/>
  <c r="U39" i="21" s="1"/>
  <c r="T19" i="21"/>
  <c r="T39" i="21" s="1"/>
  <c r="S19" i="21"/>
  <c r="S39" i="21" s="1"/>
  <c r="Z18" i="21"/>
  <c r="Y18" i="21"/>
  <c r="X18" i="21"/>
  <c r="U18" i="21"/>
  <c r="U38" i="21" s="1"/>
  <c r="T18" i="21"/>
  <c r="T38" i="21" s="1"/>
  <c r="S18" i="21"/>
  <c r="S38" i="21" s="1"/>
  <c r="R18" i="21"/>
  <c r="R38" i="21" s="1"/>
  <c r="Z17" i="21"/>
  <c r="Y17" i="21"/>
  <c r="X17" i="21"/>
  <c r="U17" i="21"/>
  <c r="R17" i="21" s="1"/>
  <c r="R37" i="21" s="1"/>
  <c r="T17" i="21"/>
  <c r="T37" i="21" s="1"/>
  <c r="S17" i="21"/>
  <c r="S37" i="21" s="1"/>
  <c r="Z16" i="21"/>
  <c r="Y16" i="21"/>
  <c r="X16" i="21"/>
  <c r="U16" i="21"/>
  <c r="R16" i="21" s="1"/>
  <c r="R36" i="21" s="1"/>
  <c r="T16" i="21"/>
  <c r="T36" i="21" s="1"/>
  <c r="S16" i="21"/>
  <c r="S36" i="21" s="1"/>
  <c r="Z15" i="21"/>
  <c r="Y15" i="21"/>
  <c r="X15" i="21"/>
  <c r="U15" i="21"/>
  <c r="U35" i="21" s="1"/>
  <c r="T15" i="21"/>
  <c r="T35" i="21" s="1"/>
  <c r="S15" i="21"/>
  <c r="S35" i="21" s="1"/>
  <c r="Z14" i="21"/>
  <c r="Y14" i="21"/>
  <c r="X14" i="21"/>
  <c r="U14" i="21"/>
  <c r="U34" i="21" s="1"/>
  <c r="T14" i="21"/>
  <c r="T34" i="21" s="1"/>
  <c r="S14" i="21"/>
  <c r="S34" i="21" s="1"/>
  <c r="Z13" i="21"/>
  <c r="Y13" i="21"/>
  <c r="X13" i="21"/>
  <c r="U13" i="21"/>
  <c r="U33" i="21" s="1"/>
  <c r="T13" i="21"/>
  <c r="T33" i="21" s="1"/>
  <c r="S13" i="21"/>
  <c r="S33" i="21" s="1"/>
  <c r="Z12" i="21"/>
  <c r="Y12" i="21"/>
  <c r="X12" i="21"/>
  <c r="U12" i="21"/>
  <c r="U32" i="21" s="1"/>
  <c r="T12" i="21"/>
  <c r="T32" i="21" s="1"/>
  <c r="S12" i="21"/>
  <c r="S32" i="21" s="1"/>
  <c r="Z11" i="21"/>
  <c r="Y11" i="21"/>
  <c r="X11" i="21"/>
  <c r="U11" i="21"/>
  <c r="U31" i="21" s="1"/>
  <c r="T11" i="21"/>
  <c r="T31" i="21" s="1"/>
  <c r="S11" i="21"/>
  <c r="S31" i="21" s="1"/>
  <c r="Z10" i="21"/>
  <c r="Y10" i="21"/>
  <c r="X10" i="21"/>
  <c r="U10" i="21"/>
  <c r="U30" i="21" s="1"/>
  <c r="T10" i="21"/>
  <c r="T30" i="21" s="1"/>
  <c r="S10" i="21"/>
  <c r="S30" i="21" s="1"/>
  <c r="R10" i="21"/>
  <c r="R30" i="21" s="1"/>
  <c r="Z9" i="21"/>
  <c r="Y9" i="21"/>
  <c r="X9" i="21"/>
  <c r="U9" i="21"/>
  <c r="R9" i="21" s="1"/>
  <c r="R29" i="21" s="1"/>
  <c r="T9" i="21"/>
  <c r="T29" i="21" s="1"/>
  <c r="S9" i="21"/>
  <c r="S29" i="21" s="1"/>
  <c r="Z8" i="21"/>
  <c r="Y8" i="21"/>
  <c r="X8" i="21"/>
  <c r="U8" i="21"/>
  <c r="R8" i="21" s="1"/>
  <c r="R28" i="21" s="1"/>
  <c r="T8" i="21"/>
  <c r="T28" i="21" s="1"/>
  <c r="S8" i="21"/>
  <c r="S28" i="21" s="1"/>
  <c r="Z7" i="21"/>
  <c r="Y7" i="21"/>
  <c r="X7" i="21"/>
  <c r="U7" i="21"/>
  <c r="U27" i="21" s="1"/>
  <c r="T7" i="21"/>
  <c r="T27" i="21" s="1"/>
  <c r="S7" i="21"/>
  <c r="S27" i="21" s="1"/>
  <c r="R7" i="21"/>
  <c r="R27" i="21" s="1"/>
  <c r="Z6" i="21"/>
  <c r="Y6" i="21"/>
  <c r="X6" i="21"/>
  <c r="U6" i="21"/>
  <c r="U26" i="21" s="1"/>
  <c r="T6" i="21"/>
  <c r="T26" i="21" s="1"/>
  <c r="S6" i="21"/>
  <c r="S26" i="21" s="1"/>
  <c r="Z5" i="21"/>
  <c r="Y5" i="21"/>
  <c r="X5" i="21"/>
  <c r="U5" i="21"/>
  <c r="U25" i="21" s="1"/>
  <c r="T5" i="21"/>
  <c r="T25" i="21" s="1"/>
  <c r="S5" i="21"/>
  <c r="S25" i="21" s="1"/>
  <c r="M5" i="21"/>
  <c r="L5" i="21"/>
  <c r="I45" i="21" s="1"/>
  <c r="I18" i="3" s="1"/>
  <c r="Z4" i="21"/>
  <c r="Y4" i="21"/>
  <c r="X4" i="21"/>
  <c r="U4" i="21"/>
  <c r="R4" i="21" s="1"/>
  <c r="R24" i="21" s="1"/>
  <c r="T4" i="21"/>
  <c r="T24" i="21" s="1"/>
  <c r="S4" i="21"/>
  <c r="S24" i="21" s="1"/>
  <c r="M4" i="21"/>
  <c r="L4" i="21"/>
  <c r="L45" i="21" s="1"/>
  <c r="L18" i="3" s="1"/>
  <c r="U3" i="21"/>
  <c r="U23" i="21" s="1"/>
  <c r="T3" i="21"/>
  <c r="T23" i="21" s="1"/>
  <c r="S3" i="21"/>
  <c r="S23" i="21" s="1"/>
  <c r="M3" i="21"/>
  <c r="L3" i="21"/>
  <c r="B45" i="20"/>
  <c r="T44" i="20"/>
  <c r="Z39" i="20"/>
  <c r="Y39" i="20"/>
  <c r="X39" i="20"/>
  <c r="Z38" i="20"/>
  <c r="Y38" i="20"/>
  <c r="X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U19" i="20"/>
  <c r="U39" i="20" s="1"/>
  <c r="T19" i="20"/>
  <c r="T39" i="20" s="1"/>
  <c r="S19" i="20"/>
  <c r="S39" i="20" s="1"/>
  <c r="Z18" i="20"/>
  <c r="Y18" i="20"/>
  <c r="X18" i="20"/>
  <c r="U18" i="20"/>
  <c r="R18" i="20" s="1"/>
  <c r="R38" i="20" s="1"/>
  <c r="T18" i="20"/>
  <c r="T38" i="20" s="1"/>
  <c r="S18" i="20"/>
  <c r="S38" i="20" s="1"/>
  <c r="Z17" i="20"/>
  <c r="Y17" i="20"/>
  <c r="X17" i="20"/>
  <c r="U17" i="20"/>
  <c r="U37" i="20" s="1"/>
  <c r="T17" i="20"/>
  <c r="T37" i="20" s="1"/>
  <c r="S17" i="20"/>
  <c r="S37" i="20" s="1"/>
  <c r="Z16" i="20"/>
  <c r="Y16" i="20"/>
  <c r="X16" i="20"/>
  <c r="U16" i="20"/>
  <c r="R16" i="20" s="1"/>
  <c r="R36" i="20" s="1"/>
  <c r="T16" i="20"/>
  <c r="T36" i="20" s="1"/>
  <c r="S16" i="20"/>
  <c r="S36" i="20" s="1"/>
  <c r="Z15" i="20"/>
  <c r="Y15" i="20"/>
  <c r="X15" i="20"/>
  <c r="U15" i="20"/>
  <c r="U35" i="20" s="1"/>
  <c r="T15" i="20"/>
  <c r="T35" i="20" s="1"/>
  <c r="S15" i="20"/>
  <c r="S35" i="20" s="1"/>
  <c r="Z14" i="20"/>
  <c r="Y14" i="20"/>
  <c r="X14" i="20"/>
  <c r="U14" i="20"/>
  <c r="U34" i="20" s="1"/>
  <c r="T14" i="20"/>
  <c r="T34" i="20" s="1"/>
  <c r="S14" i="20"/>
  <c r="S34" i="20" s="1"/>
  <c r="Z13" i="20"/>
  <c r="Y13" i="20"/>
  <c r="X13" i="20"/>
  <c r="U13" i="20"/>
  <c r="U33" i="20" s="1"/>
  <c r="T13" i="20"/>
  <c r="T33" i="20" s="1"/>
  <c r="S13" i="20"/>
  <c r="S33" i="20" s="1"/>
  <c r="Z12" i="20"/>
  <c r="Y12" i="20"/>
  <c r="X12" i="20"/>
  <c r="U12" i="20"/>
  <c r="U32" i="20" s="1"/>
  <c r="T12" i="20"/>
  <c r="T32" i="20" s="1"/>
  <c r="S12" i="20"/>
  <c r="S32" i="20" s="1"/>
  <c r="Z11" i="20"/>
  <c r="Y11" i="20"/>
  <c r="X11" i="20"/>
  <c r="U11" i="20"/>
  <c r="U31" i="20" s="1"/>
  <c r="T11" i="20"/>
  <c r="T31" i="20" s="1"/>
  <c r="S11" i="20"/>
  <c r="S31" i="20" s="1"/>
  <c r="Z10" i="20"/>
  <c r="Y10" i="20"/>
  <c r="X10" i="20"/>
  <c r="U10" i="20"/>
  <c r="R10" i="20" s="1"/>
  <c r="R30" i="20" s="1"/>
  <c r="T10" i="20"/>
  <c r="T30" i="20" s="1"/>
  <c r="S10" i="20"/>
  <c r="S30" i="20" s="1"/>
  <c r="Z9" i="20"/>
  <c r="Y9" i="20"/>
  <c r="X9" i="20"/>
  <c r="U9" i="20"/>
  <c r="U29" i="20" s="1"/>
  <c r="T9" i="20"/>
  <c r="T29" i="20" s="1"/>
  <c r="S9" i="20"/>
  <c r="S29" i="20" s="1"/>
  <c r="Z8" i="20"/>
  <c r="Y8" i="20"/>
  <c r="X8" i="20"/>
  <c r="U8" i="20"/>
  <c r="R8" i="20" s="1"/>
  <c r="R28" i="20" s="1"/>
  <c r="T8" i="20"/>
  <c r="T28" i="20" s="1"/>
  <c r="S8" i="20"/>
  <c r="S28" i="20" s="1"/>
  <c r="Z7" i="20"/>
  <c r="Y7" i="20"/>
  <c r="X7" i="20"/>
  <c r="U7" i="20"/>
  <c r="U27" i="20" s="1"/>
  <c r="T7" i="20"/>
  <c r="T27" i="20" s="1"/>
  <c r="S7" i="20"/>
  <c r="S27" i="20" s="1"/>
  <c r="Z6" i="20"/>
  <c r="Y6" i="20"/>
  <c r="X6" i="20"/>
  <c r="U6" i="20"/>
  <c r="U26" i="20" s="1"/>
  <c r="T6" i="20"/>
  <c r="T26" i="20" s="1"/>
  <c r="S6" i="20"/>
  <c r="S26" i="20" s="1"/>
  <c r="Z5" i="20"/>
  <c r="Y5" i="20"/>
  <c r="X5" i="20"/>
  <c r="U5" i="20"/>
  <c r="U25" i="20" s="1"/>
  <c r="T5" i="20"/>
  <c r="T25" i="20" s="1"/>
  <c r="S5" i="20"/>
  <c r="S25" i="20" s="1"/>
  <c r="M5" i="20"/>
  <c r="L5" i="20"/>
  <c r="I45" i="20" s="1"/>
  <c r="I17" i="3" s="1"/>
  <c r="Z4" i="20"/>
  <c r="Y4" i="20"/>
  <c r="X4" i="20"/>
  <c r="U4" i="20"/>
  <c r="R4" i="20" s="1"/>
  <c r="R24" i="20" s="1"/>
  <c r="T4" i="20"/>
  <c r="T24" i="20" s="1"/>
  <c r="S4" i="20"/>
  <c r="S24" i="20" s="1"/>
  <c r="M4" i="20"/>
  <c r="L4" i="20"/>
  <c r="L45" i="20" s="1"/>
  <c r="L17" i="3" s="1"/>
  <c r="U3" i="20"/>
  <c r="U23" i="20" s="1"/>
  <c r="T3" i="20"/>
  <c r="T23" i="20" s="1"/>
  <c r="S3" i="20"/>
  <c r="S23" i="20" s="1"/>
  <c r="M3" i="20"/>
  <c r="L3" i="20"/>
  <c r="O5" i="7"/>
  <c r="O4" i="7"/>
  <c r="O3" i="7"/>
  <c r="B16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B45" i="19"/>
  <c r="T44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U19" i="19"/>
  <c r="U39" i="19" s="1"/>
  <c r="T19" i="19"/>
  <c r="T39" i="19" s="1"/>
  <c r="S19" i="19"/>
  <c r="S39" i="19" s="1"/>
  <c r="Z18" i="19"/>
  <c r="Y18" i="19"/>
  <c r="X18" i="19"/>
  <c r="U18" i="19"/>
  <c r="R18" i="19" s="1"/>
  <c r="R38" i="19" s="1"/>
  <c r="T18" i="19"/>
  <c r="T38" i="19" s="1"/>
  <c r="S18" i="19"/>
  <c r="S38" i="19" s="1"/>
  <c r="Z17" i="19"/>
  <c r="Y17" i="19"/>
  <c r="X17" i="19"/>
  <c r="U17" i="19"/>
  <c r="U37" i="19" s="1"/>
  <c r="T17" i="19"/>
  <c r="T37" i="19" s="1"/>
  <c r="S17" i="19"/>
  <c r="S37" i="19" s="1"/>
  <c r="Z16" i="19"/>
  <c r="Y16" i="19"/>
  <c r="X16" i="19"/>
  <c r="U16" i="19"/>
  <c r="U36" i="19" s="1"/>
  <c r="T16" i="19"/>
  <c r="T36" i="19" s="1"/>
  <c r="S16" i="19"/>
  <c r="S36" i="19" s="1"/>
  <c r="Z15" i="19"/>
  <c r="Y15" i="19"/>
  <c r="X15" i="19"/>
  <c r="U15" i="19"/>
  <c r="U35" i="19" s="1"/>
  <c r="T15" i="19"/>
  <c r="T35" i="19" s="1"/>
  <c r="S15" i="19"/>
  <c r="S35" i="19" s="1"/>
  <c r="Z14" i="19"/>
  <c r="Y14" i="19"/>
  <c r="X14" i="19"/>
  <c r="U14" i="19"/>
  <c r="U34" i="19" s="1"/>
  <c r="T14" i="19"/>
  <c r="T34" i="19" s="1"/>
  <c r="S14" i="19"/>
  <c r="S34" i="19" s="1"/>
  <c r="Z13" i="19"/>
  <c r="Y13" i="19"/>
  <c r="X13" i="19"/>
  <c r="U13" i="19"/>
  <c r="U33" i="19" s="1"/>
  <c r="T13" i="19"/>
  <c r="T33" i="19" s="1"/>
  <c r="S13" i="19"/>
  <c r="S33" i="19" s="1"/>
  <c r="Z12" i="19"/>
  <c r="Y12" i="19"/>
  <c r="X12" i="19"/>
  <c r="U12" i="19"/>
  <c r="U32" i="19" s="1"/>
  <c r="T12" i="19"/>
  <c r="T32" i="19" s="1"/>
  <c r="S12" i="19"/>
  <c r="S32" i="19" s="1"/>
  <c r="Z11" i="19"/>
  <c r="Y11" i="19"/>
  <c r="X11" i="19"/>
  <c r="U11" i="19"/>
  <c r="U31" i="19" s="1"/>
  <c r="T11" i="19"/>
  <c r="T31" i="19" s="1"/>
  <c r="S11" i="19"/>
  <c r="S31" i="19" s="1"/>
  <c r="Z10" i="19"/>
  <c r="Y10" i="19"/>
  <c r="X10" i="19"/>
  <c r="U10" i="19"/>
  <c r="R10" i="19" s="1"/>
  <c r="R30" i="19" s="1"/>
  <c r="T10" i="19"/>
  <c r="T30" i="19" s="1"/>
  <c r="S10" i="19"/>
  <c r="S30" i="19" s="1"/>
  <c r="Z9" i="19"/>
  <c r="Y9" i="19"/>
  <c r="X9" i="19"/>
  <c r="U9" i="19"/>
  <c r="U29" i="19" s="1"/>
  <c r="T9" i="19"/>
  <c r="T29" i="19" s="1"/>
  <c r="S9" i="19"/>
  <c r="S29" i="19" s="1"/>
  <c r="Z8" i="19"/>
  <c r="Y8" i="19"/>
  <c r="X8" i="19"/>
  <c r="U8" i="19"/>
  <c r="U28" i="19" s="1"/>
  <c r="T8" i="19"/>
  <c r="T28" i="19" s="1"/>
  <c r="S8" i="19"/>
  <c r="S28" i="19" s="1"/>
  <c r="Z7" i="19"/>
  <c r="Y7" i="19"/>
  <c r="X7" i="19"/>
  <c r="U7" i="19"/>
  <c r="U27" i="19" s="1"/>
  <c r="T7" i="19"/>
  <c r="T27" i="19" s="1"/>
  <c r="S7" i="19"/>
  <c r="S27" i="19" s="1"/>
  <c r="Z6" i="19"/>
  <c r="Y6" i="19"/>
  <c r="X6" i="19"/>
  <c r="U6" i="19"/>
  <c r="U26" i="19" s="1"/>
  <c r="T6" i="19"/>
  <c r="T26" i="19" s="1"/>
  <c r="S6" i="19"/>
  <c r="S26" i="19" s="1"/>
  <c r="Z5" i="19"/>
  <c r="Y5" i="19"/>
  <c r="X5" i="19"/>
  <c r="U5" i="19"/>
  <c r="U25" i="19" s="1"/>
  <c r="T5" i="19"/>
  <c r="T25" i="19" s="1"/>
  <c r="S5" i="19"/>
  <c r="S25" i="19" s="1"/>
  <c r="M5" i="19"/>
  <c r="L5" i="19"/>
  <c r="I45" i="19" s="1"/>
  <c r="I16" i="3" s="1"/>
  <c r="Z4" i="19"/>
  <c r="Y4" i="19"/>
  <c r="X4" i="19"/>
  <c r="U4" i="19"/>
  <c r="U24" i="19" s="1"/>
  <c r="T4" i="19"/>
  <c r="T24" i="19" s="1"/>
  <c r="S4" i="19"/>
  <c r="S24" i="19" s="1"/>
  <c r="M4" i="19"/>
  <c r="L4" i="19"/>
  <c r="L45" i="19" s="1"/>
  <c r="L16" i="3" s="1"/>
  <c r="U3" i="19"/>
  <c r="U23" i="19" s="1"/>
  <c r="T3" i="19"/>
  <c r="T23" i="19" s="1"/>
  <c r="S3" i="19"/>
  <c r="S23" i="19" s="1"/>
  <c r="M3" i="19"/>
  <c r="L3" i="19"/>
  <c r="B15" i="3"/>
  <c r="B45" i="18"/>
  <c r="T44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U19" i="18"/>
  <c r="U39" i="18" s="1"/>
  <c r="T19" i="18"/>
  <c r="T39" i="18" s="1"/>
  <c r="S19" i="18"/>
  <c r="S39" i="18" s="1"/>
  <c r="Z18" i="18"/>
  <c r="Y18" i="18"/>
  <c r="X18" i="18"/>
  <c r="U18" i="18"/>
  <c r="U38" i="18" s="1"/>
  <c r="T18" i="18"/>
  <c r="T38" i="18" s="1"/>
  <c r="S18" i="18"/>
  <c r="S38" i="18" s="1"/>
  <c r="Z17" i="18"/>
  <c r="Y17" i="18"/>
  <c r="X17" i="18"/>
  <c r="U17" i="18"/>
  <c r="U37" i="18" s="1"/>
  <c r="T17" i="18"/>
  <c r="T37" i="18" s="1"/>
  <c r="S17" i="18"/>
  <c r="S37" i="18" s="1"/>
  <c r="Z16" i="18"/>
  <c r="Y16" i="18"/>
  <c r="X16" i="18"/>
  <c r="U16" i="18"/>
  <c r="U36" i="18" s="1"/>
  <c r="T16" i="18"/>
  <c r="T36" i="18" s="1"/>
  <c r="S16" i="18"/>
  <c r="S36" i="18" s="1"/>
  <c r="Z15" i="18"/>
  <c r="Y15" i="18"/>
  <c r="X15" i="18"/>
  <c r="U15" i="18"/>
  <c r="U35" i="18" s="1"/>
  <c r="T15" i="18"/>
  <c r="T35" i="18" s="1"/>
  <c r="S15" i="18"/>
  <c r="S35" i="18" s="1"/>
  <c r="R15" i="18"/>
  <c r="R35" i="18" s="1"/>
  <c r="Z14" i="18"/>
  <c r="Y14" i="18"/>
  <c r="X14" i="18"/>
  <c r="U14" i="18"/>
  <c r="U34" i="18" s="1"/>
  <c r="T14" i="18"/>
  <c r="T34" i="18" s="1"/>
  <c r="S14" i="18"/>
  <c r="S34" i="18" s="1"/>
  <c r="Z13" i="18"/>
  <c r="Y13" i="18"/>
  <c r="X13" i="18"/>
  <c r="U13" i="18"/>
  <c r="U33" i="18" s="1"/>
  <c r="T13" i="18"/>
  <c r="T33" i="18" s="1"/>
  <c r="S13" i="18"/>
  <c r="S33" i="18" s="1"/>
  <c r="Z12" i="18"/>
  <c r="Y12" i="18"/>
  <c r="X12" i="18"/>
  <c r="U12" i="18"/>
  <c r="U32" i="18" s="1"/>
  <c r="T12" i="18"/>
  <c r="T32" i="18" s="1"/>
  <c r="S12" i="18"/>
  <c r="S32" i="18" s="1"/>
  <c r="Z11" i="18"/>
  <c r="Y11" i="18"/>
  <c r="X11" i="18"/>
  <c r="U11" i="18"/>
  <c r="U31" i="18" s="1"/>
  <c r="T11" i="18"/>
  <c r="T31" i="18" s="1"/>
  <c r="S11" i="18"/>
  <c r="S31" i="18" s="1"/>
  <c r="Z10" i="18"/>
  <c r="Y10" i="18"/>
  <c r="X10" i="18"/>
  <c r="U10" i="18"/>
  <c r="U30" i="18" s="1"/>
  <c r="T10" i="18"/>
  <c r="T30" i="18" s="1"/>
  <c r="S10" i="18"/>
  <c r="S30" i="18" s="1"/>
  <c r="Z9" i="18"/>
  <c r="Y9" i="18"/>
  <c r="X9" i="18"/>
  <c r="U9" i="18"/>
  <c r="U29" i="18" s="1"/>
  <c r="T9" i="18"/>
  <c r="T29" i="18" s="1"/>
  <c r="S9" i="18"/>
  <c r="S29" i="18" s="1"/>
  <c r="Z8" i="18"/>
  <c r="Y8" i="18"/>
  <c r="X8" i="18"/>
  <c r="U8" i="18"/>
  <c r="U28" i="18" s="1"/>
  <c r="T8" i="18"/>
  <c r="T28" i="18" s="1"/>
  <c r="S8" i="18"/>
  <c r="S28" i="18" s="1"/>
  <c r="Z7" i="18"/>
  <c r="Y7" i="18"/>
  <c r="X7" i="18"/>
  <c r="U7" i="18"/>
  <c r="U27" i="18" s="1"/>
  <c r="T7" i="18"/>
  <c r="T27" i="18" s="1"/>
  <c r="S7" i="18"/>
  <c r="S27" i="18" s="1"/>
  <c r="Z6" i="18"/>
  <c r="Y6" i="18"/>
  <c r="X6" i="18"/>
  <c r="U6" i="18"/>
  <c r="U26" i="18" s="1"/>
  <c r="T6" i="18"/>
  <c r="T26" i="18" s="1"/>
  <c r="S6" i="18"/>
  <c r="S26" i="18" s="1"/>
  <c r="Z5" i="18"/>
  <c r="Y5" i="18"/>
  <c r="X5" i="18"/>
  <c r="U5" i="18"/>
  <c r="U25" i="18" s="1"/>
  <c r="T5" i="18"/>
  <c r="T25" i="18" s="1"/>
  <c r="S5" i="18"/>
  <c r="S25" i="18" s="1"/>
  <c r="M5" i="18"/>
  <c r="L5" i="18"/>
  <c r="I45" i="18" s="1"/>
  <c r="I15" i="3" s="1"/>
  <c r="Z4" i="18"/>
  <c r="Y4" i="18"/>
  <c r="X4" i="18"/>
  <c r="U4" i="18"/>
  <c r="U24" i="18" s="1"/>
  <c r="T4" i="18"/>
  <c r="T24" i="18" s="1"/>
  <c r="S4" i="18"/>
  <c r="S24" i="18" s="1"/>
  <c r="M4" i="18"/>
  <c r="L4" i="18"/>
  <c r="L45" i="18" s="1"/>
  <c r="L15" i="3" s="1"/>
  <c r="U3" i="18"/>
  <c r="U23" i="18" s="1"/>
  <c r="T3" i="18"/>
  <c r="T23" i="18" s="1"/>
  <c r="S3" i="18"/>
  <c r="S23" i="18" s="1"/>
  <c r="M3" i="18"/>
  <c r="L3" i="18"/>
  <c r="AX9" i="3"/>
  <c r="AY9" i="3"/>
  <c r="AZ9" i="3"/>
  <c r="AX10" i="3"/>
  <c r="AY10" i="3"/>
  <c r="AZ10" i="3"/>
  <c r="AX11" i="3"/>
  <c r="AY11" i="3"/>
  <c r="AZ11" i="3"/>
  <c r="AX12" i="3"/>
  <c r="AY12" i="3"/>
  <c r="AZ12" i="3"/>
  <c r="AX13" i="3"/>
  <c r="AY13" i="3"/>
  <c r="AZ13" i="3"/>
  <c r="AX14" i="3"/>
  <c r="AY14" i="3"/>
  <c r="AZ14" i="3"/>
  <c r="AX15" i="3"/>
  <c r="AY15" i="3"/>
  <c r="AZ15" i="3"/>
  <c r="AX16" i="3"/>
  <c r="AY16" i="3"/>
  <c r="AZ16" i="3"/>
  <c r="AX17" i="3"/>
  <c r="AY17" i="3"/>
  <c r="AZ17" i="3"/>
  <c r="AX18" i="3"/>
  <c r="AY18" i="3"/>
  <c r="AZ18" i="3"/>
  <c r="AX19" i="3"/>
  <c r="AY19" i="3"/>
  <c r="AZ19" i="3"/>
  <c r="AX20" i="3"/>
  <c r="AY20" i="3"/>
  <c r="AZ20" i="3"/>
  <c r="AX21" i="3"/>
  <c r="AY21" i="3"/>
  <c r="AZ21" i="3"/>
  <c r="AX22" i="3"/>
  <c r="AY22" i="3"/>
  <c r="AZ22" i="3"/>
  <c r="AX23" i="3"/>
  <c r="AY23" i="3"/>
  <c r="AZ23" i="3"/>
  <c r="AX24" i="3"/>
  <c r="AY24" i="3"/>
  <c r="AZ24" i="3"/>
  <c r="AY8" i="3"/>
  <c r="AZ8" i="3"/>
  <c r="AX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B14" i="3"/>
  <c r="B45" i="17"/>
  <c r="T44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U19" i="17"/>
  <c r="U39" i="17" s="1"/>
  <c r="T19" i="17"/>
  <c r="T39" i="17" s="1"/>
  <c r="S19" i="17"/>
  <c r="S39" i="17" s="1"/>
  <c r="Z18" i="17"/>
  <c r="Y18" i="17"/>
  <c r="X18" i="17"/>
  <c r="U18" i="17"/>
  <c r="U38" i="17" s="1"/>
  <c r="T18" i="17"/>
  <c r="T38" i="17" s="1"/>
  <c r="S18" i="17"/>
  <c r="S38" i="17" s="1"/>
  <c r="Z17" i="17"/>
  <c r="Y17" i="17"/>
  <c r="X17" i="17"/>
  <c r="U17" i="17"/>
  <c r="R17" i="17" s="1"/>
  <c r="R37" i="17" s="1"/>
  <c r="T17" i="17"/>
  <c r="T37" i="17" s="1"/>
  <c r="S17" i="17"/>
  <c r="S37" i="17" s="1"/>
  <c r="Z16" i="17"/>
  <c r="Y16" i="17"/>
  <c r="X16" i="17"/>
  <c r="U16" i="17"/>
  <c r="R16" i="17" s="1"/>
  <c r="R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U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R9" i="17" s="1"/>
  <c r="R29" i="17" s="1"/>
  <c r="T9" i="17"/>
  <c r="T29" i="17" s="1"/>
  <c r="S9" i="17"/>
  <c r="S29" i="17" s="1"/>
  <c r="Z8" i="17"/>
  <c r="Y8" i="17"/>
  <c r="X8" i="17"/>
  <c r="U8" i="17"/>
  <c r="R8" i="17" s="1"/>
  <c r="R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Z6" i="17"/>
  <c r="Y6" i="17"/>
  <c r="X6" i="17"/>
  <c r="U6" i="17"/>
  <c r="U26" i="17" s="1"/>
  <c r="T6" i="17"/>
  <c r="T26" i="17" s="1"/>
  <c r="S6" i="17"/>
  <c r="S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I45" i="17" s="1"/>
  <c r="I14" i="3" s="1"/>
  <c r="Z4" i="17"/>
  <c r="Y4" i="17"/>
  <c r="X4" i="17"/>
  <c r="M45" i="17" s="1"/>
  <c r="M14" i="3" s="1"/>
  <c r="U4" i="17"/>
  <c r="R4" i="17" s="1"/>
  <c r="R24" i="17" s="1"/>
  <c r="T4" i="17"/>
  <c r="T24" i="17" s="1"/>
  <c r="S4" i="17"/>
  <c r="S24" i="17" s="1"/>
  <c r="M4" i="17"/>
  <c r="L4" i="17"/>
  <c r="L45" i="17" s="1"/>
  <c r="L14" i="3" s="1"/>
  <c r="U3" i="17"/>
  <c r="U23" i="17" s="1"/>
  <c r="T3" i="17"/>
  <c r="T23" i="17" s="1"/>
  <c r="S3" i="17"/>
  <c r="S23" i="17" s="1"/>
  <c r="M3" i="17"/>
  <c r="L3" i="17"/>
  <c r="B45" i="16"/>
  <c r="B13" i="3" s="1"/>
  <c r="T44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Z34" i="16"/>
  <c r="Y34" i="16"/>
  <c r="X34" i="16"/>
  <c r="Z33" i="16"/>
  <c r="Y33" i="16"/>
  <c r="X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Z27" i="16"/>
  <c r="Y27" i="16"/>
  <c r="X27" i="16"/>
  <c r="Z26" i="16"/>
  <c r="Y26" i="16"/>
  <c r="X26" i="16"/>
  <c r="Z25" i="16"/>
  <c r="Y25" i="16"/>
  <c r="X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U19" i="16"/>
  <c r="U39" i="16" s="1"/>
  <c r="T19" i="16"/>
  <c r="T39" i="16" s="1"/>
  <c r="S19" i="16"/>
  <c r="S39" i="16" s="1"/>
  <c r="Z18" i="16"/>
  <c r="Y18" i="16"/>
  <c r="X18" i="16"/>
  <c r="U18" i="16"/>
  <c r="U38" i="16" s="1"/>
  <c r="T18" i="16"/>
  <c r="T38" i="16" s="1"/>
  <c r="S18" i="16"/>
  <c r="S38" i="16" s="1"/>
  <c r="R18" i="16"/>
  <c r="R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R16" i="16"/>
  <c r="R36" i="16" s="1"/>
  <c r="Z15" i="16"/>
  <c r="Y15" i="16"/>
  <c r="X15" i="16"/>
  <c r="U15" i="16"/>
  <c r="U35" i="16" s="1"/>
  <c r="T15" i="16"/>
  <c r="T35" i="16" s="1"/>
  <c r="S15" i="16"/>
  <c r="S35" i="16" s="1"/>
  <c r="Z14" i="16"/>
  <c r="Y14" i="16"/>
  <c r="X14" i="16"/>
  <c r="U14" i="16"/>
  <c r="U34" i="16" s="1"/>
  <c r="T14" i="16"/>
  <c r="T34" i="16" s="1"/>
  <c r="S14" i="16"/>
  <c r="S34" i="16" s="1"/>
  <c r="Z13" i="16"/>
  <c r="Y13" i="16"/>
  <c r="X13" i="16"/>
  <c r="U13" i="16"/>
  <c r="U33" i="16" s="1"/>
  <c r="T13" i="16"/>
  <c r="T33" i="16" s="1"/>
  <c r="S13" i="16"/>
  <c r="S33" i="16" s="1"/>
  <c r="Z12" i="16"/>
  <c r="Y12" i="16"/>
  <c r="X12" i="16"/>
  <c r="U12" i="16"/>
  <c r="U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R11" i="16"/>
  <c r="R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U28" i="16" s="1"/>
  <c r="T8" i="16"/>
  <c r="S8" i="16"/>
  <c r="S28" i="16" s="1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U26" i="16" s="1"/>
  <c r="T6" i="16"/>
  <c r="T26" i="16" s="1"/>
  <c r="S6" i="16"/>
  <c r="S26" i="16" s="1"/>
  <c r="Z5" i="16"/>
  <c r="Y5" i="16"/>
  <c r="X5" i="16"/>
  <c r="U5" i="16"/>
  <c r="U25" i="16" s="1"/>
  <c r="T5" i="16"/>
  <c r="T25" i="16" s="1"/>
  <c r="S5" i="16"/>
  <c r="S25" i="16" s="1"/>
  <c r="M5" i="16"/>
  <c r="L5" i="16"/>
  <c r="I45" i="16" s="1"/>
  <c r="I13" i="3" s="1"/>
  <c r="Z4" i="16"/>
  <c r="Y4" i="16"/>
  <c r="G45" i="16" s="1"/>
  <c r="G13" i="3" s="1"/>
  <c r="X4" i="16"/>
  <c r="M45" i="16" s="1"/>
  <c r="M13" i="3" s="1"/>
  <c r="U4" i="16"/>
  <c r="U24" i="16" s="1"/>
  <c r="T4" i="16"/>
  <c r="T24" i="16" s="1"/>
  <c r="S4" i="16"/>
  <c r="S24" i="16" s="1"/>
  <c r="R4" i="16"/>
  <c r="R24" i="16" s="1"/>
  <c r="M4" i="16"/>
  <c r="L4" i="16"/>
  <c r="L45" i="16" s="1"/>
  <c r="L13" i="3" s="1"/>
  <c r="U3" i="16"/>
  <c r="U23" i="16" s="1"/>
  <c r="T3" i="16"/>
  <c r="T23" i="16" s="1"/>
  <c r="S3" i="16"/>
  <c r="S23" i="16" s="1"/>
  <c r="M3" i="16"/>
  <c r="L3" i="16"/>
  <c r="E45" i="16" s="1"/>
  <c r="E13" i="3" s="1"/>
  <c r="B12" i="3"/>
  <c r="AA6" i="3"/>
  <c r="W45" i="3" s="1"/>
  <c r="B11" i="3"/>
  <c r="B45" i="15"/>
  <c r="T44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Z34" i="15"/>
  <c r="Y34" i="15"/>
  <c r="X34" i="15"/>
  <c r="Z33" i="15"/>
  <c r="Y33" i="15"/>
  <c r="X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Z27" i="15"/>
  <c r="Y27" i="15"/>
  <c r="X27" i="15"/>
  <c r="Z26" i="15"/>
  <c r="Y26" i="15"/>
  <c r="X26" i="15"/>
  <c r="Z25" i="15"/>
  <c r="Y25" i="15"/>
  <c r="X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U19" i="15"/>
  <c r="U39" i="15" s="1"/>
  <c r="T19" i="15"/>
  <c r="T39" i="15" s="1"/>
  <c r="S19" i="15"/>
  <c r="S39" i="15" s="1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R17" i="15"/>
  <c r="R37" i="15" s="1"/>
  <c r="Z16" i="15"/>
  <c r="Y16" i="15"/>
  <c r="X16" i="15"/>
  <c r="U16" i="15"/>
  <c r="U36" i="15" s="1"/>
  <c r="T16" i="15"/>
  <c r="T36" i="15" s="1"/>
  <c r="S16" i="15"/>
  <c r="S36" i="15" s="1"/>
  <c r="R16" i="15"/>
  <c r="R36" i="15" s="1"/>
  <c r="Z15" i="15"/>
  <c r="Y15" i="15"/>
  <c r="X15" i="15"/>
  <c r="U15" i="15"/>
  <c r="U35" i="15" s="1"/>
  <c r="T15" i="15"/>
  <c r="T35" i="15" s="1"/>
  <c r="S15" i="15"/>
  <c r="S35" i="15" s="1"/>
  <c r="R15" i="15"/>
  <c r="R35" i="15" s="1"/>
  <c r="Z14" i="15"/>
  <c r="Y14" i="15"/>
  <c r="X14" i="15"/>
  <c r="U14" i="15"/>
  <c r="U34" i="15" s="1"/>
  <c r="T14" i="15"/>
  <c r="T34" i="15" s="1"/>
  <c r="S14" i="15"/>
  <c r="S34" i="15" s="1"/>
  <c r="R14" i="15"/>
  <c r="R34" i="15" s="1"/>
  <c r="Z13" i="15"/>
  <c r="Y13" i="15"/>
  <c r="X13" i="15"/>
  <c r="U13" i="15"/>
  <c r="U33" i="15" s="1"/>
  <c r="T13" i="15"/>
  <c r="T33" i="15" s="1"/>
  <c r="S13" i="15"/>
  <c r="S33" i="15" s="1"/>
  <c r="Z12" i="15"/>
  <c r="Y12" i="15"/>
  <c r="X12" i="15"/>
  <c r="U12" i="15"/>
  <c r="U32" i="15" s="1"/>
  <c r="T12" i="15"/>
  <c r="T32" i="15" s="1"/>
  <c r="S12" i="15"/>
  <c r="S32" i="15" s="1"/>
  <c r="Z11" i="15"/>
  <c r="Y11" i="15"/>
  <c r="X11" i="15"/>
  <c r="U11" i="15"/>
  <c r="U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R9" i="15"/>
  <c r="R29" i="15" s="1"/>
  <c r="Z8" i="15"/>
  <c r="Y8" i="15"/>
  <c r="X8" i="15"/>
  <c r="U8" i="15"/>
  <c r="U28" i="15" s="1"/>
  <c r="T8" i="15"/>
  <c r="T28" i="15" s="1"/>
  <c r="S8" i="15"/>
  <c r="S28" i="15" s="1"/>
  <c r="Z7" i="15"/>
  <c r="Y7" i="15"/>
  <c r="X7" i="15"/>
  <c r="U7" i="15"/>
  <c r="U27" i="15" s="1"/>
  <c r="T7" i="15"/>
  <c r="T27" i="15" s="1"/>
  <c r="S7" i="15"/>
  <c r="S27" i="15" s="1"/>
  <c r="R7" i="15"/>
  <c r="R27" i="15" s="1"/>
  <c r="Z6" i="15"/>
  <c r="Y6" i="15"/>
  <c r="X6" i="15"/>
  <c r="U6" i="15"/>
  <c r="U26" i="15" s="1"/>
  <c r="T6" i="15"/>
  <c r="T26" i="15" s="1"/>
  <c r="S6" i="15"/>
  <c r="S26" i="15" s="1"/>
  <c r="Z5" i="15"/>
  <c r="Y5" i="15"/>
  <c r="X5" i="15"/>
  <c r="U5" i="15"/>
  <c r="U25" i="15" s="1"/>
  <c r="T5" i="15"/>
  <c r="T25" i="15" s="1"/>
  <c r="S5" i="15"/>
  <c r="S25" i="15" s="1"/>
  <c r="M5" i="15"/>
  <c r="L5" i="15"/>
  <c r="I45" i="15" s="1"/>
  <c r="I12" i="3" s="1"/>
  <c r="Z4" i="15"/>
  <c r="Y4" i="15"/>
  <c r="X4" i="15"/>
  <c r="U4" i="15"/>
  <c r="U24" i="15" s="1"/>
  <c r="T4" i="15"/>
  <c r="T24" i="15" s="1"/>
  <c r="S4" i="15"/>
  <c r="S24" i="15" s="1"/>
  <c r="M4" i="15"/>
  <c r="L4" i="15"/>
  <c r="L45" i="15" s="1"/>
  <c r="L12" i="3" s="1"/>
  <c r="U3" i="15"/>
  <c r="U23" i="15" s="1"/>
  <c r="T3" i="15"/>
  <c r="T23" i="15" s="1"/>
  <c r="S3" i="15"/>
  <c r="S23" i="15" s="1"/>
  <c r="M3" i="15"/>
  <c r="L3" i="15"/>
  <c r="E45" i="15" s="1"/>
  <c r="E12" i="3" s="1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45" i="3"/>
  <c r="X43" i="3"/>
  <c r="X41" i="3"/>
  <c r="V113" i="31" l="1"/>
  <c r="V117" i="31"/>
  <c r="V109" i="31"/>
  <c r="V107" i="31"/>
  <c r="V116" i="31"/>
  <c r="V111" i="31"/>
  <c r="V110" i="31"/>
  <c r="V106" i="31"/>
  <c r="V102" i="31"/>
  <c r="V112" i="31"/>
  <c r="V51" i="31"/>
  <c r="V57" i="31"/>
  <c r="V49" i="31"/>
  <c r="V55" i="31"/>
  <c r="V47" i="31"/>
  <c r="V43" i="31"/>
  <c r="V54" i="31"/>
  <c r="V46" i="31"/>
  <c r="V25" i="31"/>
  <c r="AD92" i="3"/>
  <c r="AD33" i="30"/>
  <c r="AD91" i="3"/>
  <c r="AD89" i="3"/>
  <c r="AD105" i="3"/>
  <c r="AH105" i="3" s="1"/>
  <c r="AD29" i="30"/>
  <c r="AD101" i="3"/>
  <c r="S6" i="30"/>
  <c r="S26" i="30" s="1"/>
  <c r="S15" i="30"/>
  <c r="S35" i="30" s="1"/>
  <c r="AD100" i="3"/>
  <c r="O3" i="30"/>
  <c r="S5" i="30"/>
  <c r="S25" i="30" s="1"/>
  <c r="V31" i="30"/>
  <c r="S4" i="30"/>
  <c r="S24" i="30" s="1"/>
  <c r="S3" i="30"/>
  <c r="S23" i="30" s="1"/>
  <c r="AD27" i="30"/>
  <c r="AD35" i="30"/>
  <c r="AD90" i="3"/>
  <c r="M45" i="30"/>
  <c r="M27" i="3" s="1"/>
  <c r="G45" i="30"/>
  <c r="G27" i="3" s="1"/>
  <c r="AD25" i="30"/>
  <c r="AD30" i="30"/>
  <c r="V33" i="30"/>
  <c r="S13" i="30"/>
  <c r="S33" i="30" s="1"/>
  <c r="AD31" i="30"/>
  <c r="N45" i="30"/>
  <c r="K45" i="30"/>
  <c r="K27" i="3" s="1"/>
  <c r="S12" i="30"/>
  <c r="S32" i="30" s="1"/>
  <c r="AD28" i="30"/>
  <c r="AD98" i="3"/>
  <c r="AH98" i="3" s="1"/>
  <c r="E45" i="30"/>
  <c r="E27" i="3" s="1"/>
  <c r="H45" i="30"/>
  <c r="H27" i="3" s="1"/>
  <c r="S7" i="30"/>
  <c r="S27" i="30" s="1"/>
  <c r="T46" i="30"/>
  <c r="T47" i="30"/>
  <c r="J45" i="30"/>
  <c r="V28" i="30"/>
  <c r="V36" i="30"/>
  <c r="AD104" i="3"/>
  <c r="AD96" i="3"/>
  <c r="AH96" i="3" s="1"/>
  <c r="S10" i="30"/>
  <c r="S30" i="30" s="1"/>
  <c r="S18" i="30"/>
  <c r="S38" i="30" s="1"/>
  <c r="V29" i="30"/>
  <c r="C45" i="30"/>
  <c r="V37" i="30"/>
  <c r="AD103" i="3"/>
  <c r="AH103" i="3" s="1"/>
  <c r="AD95" i="3"/>
  <c r="AH95" i="3" s="1"/>
  <c r="L45" i="30"/>
  <c r="L27" i="3" s="1"/>
  <c r="AD102" i="3"/>
  <c r="AH102" i="3" s="1"/>
  <c r="AD94" i="3"/>
  <c r="AA105" i="3"/>
  <c r="AA103" i="3"/>
  <c r="AA101" i="3"/>
  <c r="AA97" i="3"/>
  <c r="AA16" i="3" s="1"/>
  <c r="AA95" i="3"/>
  <c r="AA93" i="3"/>
  <c r="AA91" i="3"/>
  <c r="AA89" i="3"/>
  <c r="AC104" i="3"/>
  <c r="AC102" i="3"/>
  <c r="AC100" i="3"/>
  <c r="AG100" i="3" s="1"/>
  <c r="AC98" i="3"/>
  <c r="AG98" i="3" s="1"/>
  <c r="AC96" i="3"/>
  <c r="AG96" i="3" s="1"/>
  <c r="AC94" i="3"/>
  <c r="AG94" i="3" s="1"/>
  <c r="AC92" i="3"/>
  <c r="AC90" i="3"/>
  <c r="AG90" i="3" s="1"/>
  <c r="AC89" i="3"/>
  <c r="AG89" i="3" s="1"/>
  <c r="AB104" i="3"/>
  <c r="AF104" i="3" s="1"/>
  <c r="AB102" i="3"/>
  <c r="AB100" i="3"/>
  <c r="AF100" i="3" s="1"/>
  <c r="AB98" i="3"/>
  <c r="AF98" i="3" s="1"/>
  <c r="AB96" i="3"/>
  <c r="AF96" i="3" s="1"/>
  <c r="AB94" i="3"/>
  <c r="AF94" i="3" s="1"/>
  <c r="AB92" i="3"/>
  <c r="AF92" i="3" s="1"/>
  <c r="AB90" i="3"/>
  <c r="AF90" i="3" s="1"/>
  <c r="AB89" i="3"/>
  <c r="AF89" i="3" s="1"/>
  <c r="AA104" i="3"/>
  <c r="AE104" i="3" s="1"/>
  <c r="AA102" i="3"/>
  <c r="AA100" i="3"/>
  <c r="AA94" i="3"/>
  <c r="AC105" i="3"/>
  <c r="AG105" i="3" s="1"/>
  <c r="AC103" i="3"/>
  <c r="AG103" i="3" s="1"/>
  <c r="AC101" i="3"/>
  <c r="AG101" i="3" s="1"/>
  <c r="AC99" i="3"/>
  <c r="AG99" i="3" s="1"/>
  <c r="AC97" i="3"/>
  <c r="AG97" i="3" s="1"/>
  <c r="AC95" i="3"/>
  <c r="AG95" i="3" s="1"/>
  <c r="AC93" i="3"/>
  <c r="AG93" i="3" s="1"/>
  <c r="AC91" i="3"/>
  <c r="AG91" i="3" s="1"/>
  <c r="AB105" i="3"/>
  <c r="AF105" i="3" s="1"/>
  <c r="AB103" i="3"/>
  <c r="AF103" i="3" s="1"/>
  <c r="AB101" i="3"/>
  <c r="AF101" i="3" s="1"/>
  <c r="AB99" i="3"/>
  <c r="AF99" i="3" s="1"/>
  <c r="AB97" i="3"/>
  <c r="AB95" i="3"/>
  <c r="AF95" i="3" s="1"/>
  <c r="AB93" i="3"/>
  <c r="AF93" i="3" s="1"/>
  <c r="AB91" i="3"/>
  <c r="AF91" i="3" s="1"/>
  <c r="AC17" i="31"/>
  <c r="AI93" i="31"/>
  <c r="AI85" i="31"/>
  <c r="AI97" i="31"/>
  <c r="AI89" i="31"/>
  <c r="AI94" i="31"/>
  <c r="AI96" i="31"/>
  <c r="AI88" i="31"/>
  <c r="AI95" i="31"/>
  <c r="AI87" i="31"/>
  <c r="AI86" i="31"/>
  <c r="V115" i="31"/>
  <c r="V56" i="31"/>
  <c r="V48" i="31"/>
  <c r="V34" i="31"/>
  <c r="V26" i="31"/>
  <c r="V21" i="31"/>
  <c r="V30" i="31"/>
  <c r="V22" i="31"/>
  <c r="V32" i="31"/>
  <c r="V24" i="31"/>
  <c r="V31" i="31"/>
  <c r="V23" i="31"/>
  <c r="V37" i="31"/>
  <c r="V29" i="31"/>
  <c r="V36" i="31"/>
  <c r="V28" i="31"/>
  <c r="Q27" i="3"/>
  <c r="F27" i="3"/>
  <c r="N27" i="3"/>
  <c r="J27" i="3"/>
  <c r="O4" i="29"/>
  <c r="L45" i="29"/>
  <c r="L26" i="3" s="1"/>
  <c r="O5" i="29"/>
  <c r="O3" i="29"/>
  <c r="C45" i="29"/>
  <c r="E45" i="29"/>
  <c r="E26" i="3" s="1"/>
  <c r="S13" i="29"/>
  <c r="AD29" i="29"/>
  <c r="AD33" i="29"/>
  <c r="AD35" i="29"/>
  <c r="AH100" i="3"/>
  <c r="AD28" i="29"/>
  <c r="AG104" i="3"/>
  <c r="AG102" i="3"/>
  <c r="AF102" i="3"/>
  <c r="AD24" i="29"/>
  <c r="AD27" i="29"/>
  <c r="AD31" i="29"/>
  <c r="AH91" i="3"/>
  <c r="S9" i="29"/>
  <c r="S19" i="29"/>
  <c r="AD34" i="29"/>
  <c r="M45" i="29"/>
  <c r="M26" i="3" s="1"/>
  <c r="V24" i="29"/>
  <c r="T47" i="29"/>
  <c r="G45" i="29"/>
  <c r="G26" i="3" s="1"/>
  <c r="K45" i="29"/>
  <c r="K26" i="3" s="1"/>
  <c r="S11" i="29"/>
  <c r="AD26" i="29"/>
  <c r="AD25" i="29"/>
  <c r="AD30" i="29"/>
  <c r="S5" i="29"/>
  <c r="T46" i="29"/>
  <c r="S7" i="29"/>
  <c r="S15" i="29"/>
  <c r="V30" i="29"/>
  <c r="V38" i="29"/>
  <c r="N45" i="29"/>
  <c r="N26" i="3" s="1"/>
  <c r="S6" i="29"/>
  <c r="V28" i="29"/>
  <c r="V36" i="29"/>
  <c r="H45" i="29"/>
  <c r="H26" i="3" s="1"/>
  <c r="S12" i="29"/>
  <c r="J45" i="29"/>
  <c r="J26" i="3" s="1"/>
  <c r="S3" i="29"/>
  <c r="V27" i="28"/>
  <c r="V35" i="28"/>
  <c r="V39" i="28"/>
  <c r="S17" i="28"/>
  <c r="S37" i="28" s="1"/>
  <c r="S13" i="28"/>
  <c r="S9" i="28"/>
  <c r="S5" i="28"/>
  <c r="S25" i="28" s="1"/>
  <c r="S26" i="28"/>
  <c r="AD28" i="28"/>
  <c r="AD32" i="28"/>
  <c r="S34" i="28"/>
  <c r="AD27" i="28"/>
  <c r="AD35" i="28"/>
  <c r="S28" i="28"/>
  <c r="AD30" i="28"/>
  <c r="AD34" i="28"/>
  <c r="AD24" i="28"/>
  <c r="AD29" i="28"/>
  <c r="AH89" i="3"/>
  <c r="AG92" i="3"/>
  <c r="T47" i="28"/>
  <c r="M45" i="28"/>
  <c r="M25" i="3" s="1"/>
  <c r="AH101" i="3"/>
  <c r="AH99" i="3"/>
  <c r="AH97" i="3"/>
  <c r="AH93" i="3"/>
  <c r="AD31" i="28"/>
  <c r="AD26" i="28"/>
  <c r="AF97" i="3"/>
  <c r="AH104" i="3"/>
  <c r="AH94" i="3"/>
  <c r="AH92" i="3"/>
  <c r="AH90" i="3"/>
  <c r="T46" i="28"/>
  <c r="O5" i="28"/>
  <c r="V30" i="28"/>
  <c r="V38" i="28"/>
  <c r="F45" i="28"/>
  <c r="F25" i="3" s="1"/>
  <c r="N45" i="28"/>
  <c r="N25" i="3" s="1"/>
  <c r="H45" i="28"/>
  <c r="H25" i="3" s="1"/>
  <c r="V31" i="28"/>
  <c r="J45" i="28"/>
  <c r="J25" i="3" s="1"/>
  <c r="O3" i="28"/>
  <c r="O4" i="28"/>
  <c r="C45" i="28"/>
  <c r="V24" i="28"/>
  <c r="T47" i="27"/>
  <c r="R10" i="27"/>
  <c r="R15" i="27"/>
  <c r="AN85" i="3"/>
  <c r="AN83" i="3"/>
  <c r="AN81" i="3"/>
  <c r="AN79" i="3"/>
  <c r="AN77" i="3"/>
  <c r="AN75" i="3"/>
  <c r="AN73" i="3"/>
  <c r="AR73" i="3" s="1"/>
  <c r="AN71" i="3"/>
  <c r="AM85" i="3"/>
  <c r="AM83" i="3"/>
  <c r="AM81" i="3"/>
  <c r="AM79" i="3"/>
  <c r="AM77" i="3"/>
  <c r="AM75" i="3"/>
  <c r="AQ75" i="3" s="1"/>
  <c r="AM73" i="3"/>
  <c r="AQ73" i="3" s="1"/>
  <c r="AM71" i="3"/>
  <c r="G45" i="27"/>
  <c r="G24" i="3" s="1"/>
  <c r="AC31" i="27"/>
  <c r="AL83" i="3"/>
  <c r="AL79" i="3"/>
  <c r="AL77" i="3"/>
  <c r="AL75" i="3"/>
  <c r="AL73" i="3"/>
  <c r="AL71" i="3"/>
  <c r="O4" i="27"/>
  <c r="Q45" i="27" s="1"/>
  <c r="Q24" i="3" s="1"/>
  <c r="K45" i="27"/>
  <c r="K24" i="3" s="1"/>
  <c r="AC27" i="27"/>
  <c r="AO84" i="3"/>
  <c r="AO82" i="3"/>
  <c r="AO80" i="3"/>
  <c r="AO78" i="3"/>
  <c r="AS78" i="3" s="1"/>
  <c r="AO76" i="3"/>
  <c r="AO74" i="3"/>
  <c r="AO72" i="3"/>
  <c r="AO70" i="3"/>
  <c r="N4" i="27"/>
  <c r="AC26" i="27"/>
  <c r="AO69" i="3"/>
  <c r="AS69" i="3" s="1"/>
  <c r="AN84" i="3"/>
  <c r="AN82" i="3"/>
  <c r="AN80" i="3"/>
  <c r="AN78" i="3"/>
  <c r="AN76" i="3"/>
  <c r="AN74" i="3"/>
  <c r="AN72" i="3"/>
  <c r="AR72" i="3" s="1"/>
  <c r="AN70" i="3"/>
  <c r="AR70" i="3" s="1"/>
  <c r="N3" i="27"/>
  <c r="O5" i="27" s="1"/>
  <c r="P45" i="27" s="1"/>
  <c r="P24" i="3" s="1"/>
  <c r="AN69" i="3"/>
  <c r="AR69" i="3" s="1"/>
  <c r="AM84" i="3"/>
  <c r="AM82" i="3"/>
  <c r="AM80" i="3"/>
  <c r="AM78" i="3"/>
  <c r="AM76" i="3"/>
  <c r="AQ76" i="3" s="1"/>
  <c r="AM74" i="3"/>
  <c r="AQ74" i="3" s="1"/>
  <c r="AM72" i="3"/>
  <c r="AM70" i="3"/>
  <c r="AQ70" i="3" s="1"/>
  <c r="R3" i="27"/>
  <c r="AC29" i="27"/>
  <c r="AM69" i="3"/>
  <c r="AL84" i="3"/>
  <c r="AL82" i="3"/>
  <c r="AP82" i="3" s="1"/>
  <c r="AL80" i="3"/>
  <c r="AL74" i="3"/>
  <c r="AL72" i="3"/>
  <c r="AL70" i="3"/>
  <c r="AO85" i="3"/>
  <c r="AO83" i="3"/>
  <c r="AO81" i="3"/>
  <c r="AS81" i="3" s="1"/>
  <c r="AO79" i="3"/>
  <c r="AS79" i="3" s="1"/>
  <c r="AO77" i="3"/>
  <c r="AO75" i="3"/>
  <c r="AS75" i="3" s="1"/>
  <c r="AO73" i="3"/>
  <c r="AO71" i="3"/>
  <c r="T46" i="27"/>
  <c r="F45" i="27"/>
  <c r="F24" i="3" s="1"/>
  <c r="N45" i="27"/>
  <c r="N24" i="3" s="1"/>
  <c r="U25" i="27"/>
  <c r="T48" i="27" s="1"/>
  <c r="U33" i="27"/>
  <c r="U37" i="27"/>
  <c r="H45" i="27"/>
  <c r="H24" i="3" s="1"/>
  <c r="R12" i="27"/>
  <c r="U31" i="27"/>
  <c r="R19" i="27"/>
  <c r="J45" i="27"/>
  <c r="J24" i="3" s="1"/>
  <c r="U29" i="27"/>
  <c r="C45" i="27"/>
  <c r="AC34" i="26"/>
  <c r="M45" i="26"/>
  <c r="AC29" i="26"/>
  <c r="G45" i="26"/>
  <c r="R9" i="26"/>
  <c r="R29" i="26" s="1"/>
  <c r="K45" i="26"/>
  <c r="R8" i="26"/>
  <c r="R28" i="26" s="1"/>
  <c r="AC27" i="26"/>
  <c r="R7" i="26"/>
  <c r="R27" i="26" s="1"/>
  <c r="E45" i="26"/>
  <c r="R6" i="26"/>
  <c r="R26" i="26" s="1"/>
  <c r="AC26" i="26"/>
  <c r="AC31" i="26"/>
  <c r="AC35" i="26"/>
  <c r="T46" i="26"/>
  <c r="T47" i="26"/>
  <c r="U30" i="26"/>
  <c r="U38" i="26"/>
  <c r="F45" i="26"/>
  <c r="N45" i="26"/>
  <c r="U33" i="26"/>
  <c r="N5" i="26"/>
  <c r="O5" i="26" s="1"/>
  <c r="P45" i="26" s="1"/>
  <c r="H45" i="26"/>
  <c r="R12" i="26"/>
  <c r="R32" i="26" s="1"/>
  <c r="U31" i="26"/>
  <c r="R19" i="26"/>
  <c r="R39" i="26" s="1"/>
  <c r="J45" i="26"/>
  <c r="N3" i="26"/>
  <c r="O3" i="26" s="1"/>
  <c r="O45" i="26" s="1"/>
  <c r="N4" i="26"/>
  <c r="C45" i="26"/>
  <c r="D45" i="26" s="1"/>
  <c r="U24" i="26"/>
  <c r="R3" i="26"/>
  <c r="R23" i="26" s="1"/>
  <c r="G45" i="25"/>
  <c r="G22" i="3" s="1"/>
  <c r="R8" i="25"/>
  <c r="AS77" i="3"/>
  <c r="K45" i="25"/>
  <c r="K22" i="3" s="1"/>
  <c r="R18" i="25"/>
  <c r="AC27" i="25"/>
  <c r="AR81" i="3"/>
  <c r="AR77" i="3"/>
  <c r="N4" i="25"/>
  <c r="O4" i="25" s="1"/>
  <c r="Q45" i="25" s="1"/>
  <c r="Q22" i="3" s="1"/>
  <c r="AC31" i="25"/>
  <c r="AQ81" i="3"/>
  <c r="AQ79" i="3"/>
  <c r="AQ77" i="3"/>
  <c r="AC35" i="25"/>
  <c r="AP79" i="3"/>
  <c r="AP77" i="3"/>
  <c r="AP71" i="3"/>
  <c r="R3" i="25"/>
  <c r="AS82" i="3"/>
  <c r="AS80" i="3"/>
  <c r="AS74" i="3"/>
  <c r="R10" i="25"/>
  <c r="R15" i="25"/>
  <c r="AR80" i="3"/>
  <c r="R14" i="25"/>
  <c r="AQ84" i="3"/>
  <c r="AC28" i="25"/>
  <c r="AP70" i="3"/>
  <c r="AQ69" i="3"/>
  <c r="AR82" i="3"/>
  <c r="AQ82" i="3"/>
  <c r="AS76" i="3"/>
  <c r="AR76" i="3"/>
  <c r="AR75" i="3"/>
  <c r="AP75" i="3"/>
  <c r="AR74" i="3"/>
  <c r="AQ80" i="3"/>
  <c r="AR79" i="3"/>
  <c r="AP72" i="3"/>
  <c r="AS72" i="3"/>
  <c r="AQ72" i="3"/>
  <c r="AP73" i="3"/>
  <c r="AS73" i="3"/>
  <c r="AS85" i="3"/>
  <c r="AR85" i="3"/>
  <c r="AQ85" i="3"/>
  <c r="AR78" i="3"/>
  <c r="AQ78" i="3"/>
  <c r="AS71" i="3"/>
  <c r="AR71" i="3"/>
  <c r="AQ71" i="3"/>
  <c r="AS84" i="3"/>
  <c r="AR84" i="3"/>
  <c r="AS70" i="3"/>
  <c r="AS83" i="3"/>
  <c r="AR83" i="3"/>
  <c r="AQ83" i="3"/>
  <c r="AP83" i="3"/>
  <c r="T46" i="25"/>
  <c r="T47" i="25"/>
  <c r="N5" i="25"/>
  <c r="O5" i="25" s="1"/>
  <c r="P45" i="25" s="1"/>
  <c r="P22" i="3" s="1"/>
  <c r="F45" i="25"/>
  <c r="F22" i="3" s="1"/>
  <c r="N45" i="25"/>
  <c r="N22" i="3" s="1"/>
  <c r="U25" i="25"/>
  <c r="T48" i="25" s="1"/>
  <c r="U33" i="25"/>
  <c r="U37" i="25"/>
  <c r="H45" i="25"/>
  <c r="H22" i="3" s="1"/>
  <c r="R12" i="25"/>
  <c r="U31" i="25"/>
  <c r="R19" i="25"/>
  <c r="J45" i="25"/>
  <c r="J22" i="3" s="1"/>
  <c r="U29" i="25"/>
  <c r="C45" i="25"/>
  <c r="AC33" i="24"/>
  <c r="AC26" i="24"/>
  <c r="AD5" i="4" s="1"/>
  <c r="AC34" i="24"/>
  <c r="AD13" i="4" s="1"/>
  <c r="R17" i="24"/>
  <c r="R37" i="24" s="1"/>
  <c r="R15" i="24"/>
  <c r="R35" i="24" s="1"/>
  <c r="AF7" i="4"/>
  <c r="AC27" i="24"/>
  <c r="AC35" i="24"/>
  <c r="AD14" i="4" s="1"/>
  <c r="R7" i="24"/>
  <c r="R27" i="24" s="1"/>
  <c r="AC24" i="24"/>
  <c r="AC29" i="24"/>
  <c r="AC32" i="24"/>
  <c r="AD11" i="4" s="1"/>
  <c r="AC30" i="24"/>
  <c r="AD9" i="4" s="1"/>
  <c r="AC28" i="24"/>
  <c r="AD7" i="4" s="1"/>
  <c r="AE9" i="4"/>
  <c r="N4" i="24"/>
  <c r="R13" i="24"/>
  <c r="R33" i="24" s="1"/>
  <c r="AD69" i="3"/>
  <c r="AH69" i="3" s="1"/>
  <c r="AC84" i="3"/>
  <c r="AG84" i="3" s="1"/>
  <c r="AB82" i="3"/>
  <c r="AF82" i="3" s="1"/>
  <c r="AB80" i="3"/>
  <c r="AB78" i="3"/>
  <c r="AF78" i="3" s="1"/>
  <c r="AB76" i="3"/>
  <c r="AF76" i="3" s="1"/>
  <c r="AB74" i="3"/>
  <c r="AF74" i="3" s="1"/>
  <c r="AB72" i="3"/>
  <c r="AF72" i="3" s="1"/>
  <c r="AB70" i="3"/>
  <c r="AF70" i="3" s="1"/>
  <c r="AE3" i="4"/>
  <c r="AC69" i="3"/>
  <c r="AG69" i="3" s="1"/>
  <c r="AB84" i="3"/>
  <c r="AF84" i="3" s="1"/>
  <c r="AA82" i="3"/>
  <c r="AA76" i="3"/>
  <c r="AA74" i="3"/>
  <c r="AA70" i="3"/>
  <c r="AE12" i="4"/>
  <c r="AF3" i="4"/>
  <c r="AE6" i="4"/>
  <c r="AG8" i="4"/>
  <c r="AE14" i="4"/>
  <c r="AG4" i="4"/>
  <c r="G45" i="24"/>
  <c r="G21" i="3" s="1"/>
  <c r="R9" i="24"/>
  <c r="K45" i="24"/>
  <c r="K21" i="3" s="1"/>
  <c r="R14" i="24"/>
  <c r="AB69" i="3"/>
  <c r="AF69" i="3" s="1"/>
  <c r="AA84" i="3"/>
  <c r="AD81" i="3"/>
  <c r="AH81" i="3" s="1"/>
  <c r="AD79" i="3"/>
  <c r="AH79" i="3" s="1"/>
  <c r="AD77" i="3"/>
  <c r="AH77" i="3" s="1"/>
  <c r="AD75" i="3"/>
  <c r="AH75" i="3" s="1"/>
  <c r="AD73" i="3"/>
  <c r="AH73" i="3" s="1"/>
  <c r="AD71" i="3"/>
  <c r="AH71" i="3" s="1"/>
  <c r="AF8" i="4"/>
  <c r="AD85" i="3"/>
  <c r="AH85" i="3" s="1"/>
  <c r="AD83" i="3"/>
  <c r="AH83" i="3" s="1"/>
  <c r="AC81" i="3"/>
  <c r="AG81" i="3" s="1"/>
  <c r="AC79" i="3"/>
  <c r="AG79" i="3" s="1"/>
  <c r="AC77" i="3"/>
  <c r="AC75" i="3"/>
  <c r="AC73" i="3"/>
  <c r="AG73" i="3" s="1"/>
  <c r="AC71" i="3"/>
  <c r="AG71" i="3" s="1"/>
  <c r="E45" i="24"/>
  <c r="E21" i="3" s="1"/>
  <c r="AC85" i="3"/>
  <c r="AG85" i="3" s="1"/>
  <c r="AC83" i="3"/>
  <c r="AG83" i="3" s="1"/>
  <c r="AB81" i="3"/>
  <c r="AF81" i="3" s="1"/>
  <c r="AB79" i="3"/>
  <c r="AF79" i="3" s="1"/>
  <c r="AB77" i="3"/>
  <c r="AF77" i="3" s="1"/>
  <c r="AB75" i="3"/>
  <c r="AF75" i="3" s="1"/>
  <c r="AB73" i="3"/>
  <c r="AF73" i="3" s="1"/>
  <c r="AB71" i="3"/>
  <c r="AF71" i="3" s="1"/>
  <c r="AB85" i="3"/>
  <c r="AF85" i="3" s="1"/>
  <c r="AB83" i="3"/>
  <c r="AF83" i="3" s="1"/>
  <c r="AA81" i="3"/>
  <c r="AE81" i="3" s="1"/>
  <c r="R6" i="24"/>
  <c r="R11" i="24"/>
  <c r="AD82" i="3"/>
  <c r="AH82" i="3" s="1"/>
  <c r="AD80" i="3"/>
  <c r="AD78" i="3"/>
  <c r="AH78" i="3" s="1"/>
  <c r="AD76" i="3"/>
  <c r="AH76" i="3" s="1"/>
  <c r="AD74" i="3"/>
  <c r="AH74" i="3" s="1"/>
  <c r="AD72" i="3"/>
  <c r="AH72" i="3" s="1"/>
  <c r="AD70" i="3"/>
  <c r="AH70" i="3" s="1"/>
  <c r="AG5" i="4"/>
  <c r="N3" i="24"/>
  <c r="R5" i="24"/>
  <c r="AD84" i="3"/>
  <c r="AH84" i="3" s="1"/>
  <c r="AC82" i="3"/>
  <c r="AG82" i="3" s="1"/>
  <c r="AC80" i="3"/>
  <c r="AG80" i="3" s="1"/>
  <c r="AC78" i="3"/>
  <c r="AG78" i="3" s="1"/>
  <c r="AC76" i="3"/>
  <c r="AG76" i="3" s="1"/>
  <c r="AC74" i="3"/>
  <c r="AG74" i="3" s="1"/>
  <c r="AC72" i="3"/>
  <c r="AG72" i="3" s="1"/>
  <c r="AC70" i="3"/>
  <c r="AC25" i="24"/>
  <c r="AG13" i="4"/>
  <c r="AC27" i="12"/>
  <c r="AC35" i="12"/>
  <c r="AE11" i="4"/>
  <c r="AC24" i="12"/>
  <c r="AG12" i="4"/>
  <c r="AG3" i="4"/>
  <c r="AF12" i="4"/>
  <c r="AF4" i="4"/>
  <c r="AD10" i="4"/>
  <c r="AG10" i="4"/>
  <c r="AE13" i="4"/>
  <c r="AF5" i="4"/>
  <c r="AG11" i="4"/>
  <c r="AG9" i="4"/>
  <c r="AE10" i="4"/>
  <c r="AC24" i="22"/>
  <c r="AC27" i="22"/>
  <c r="AF9" i="4"/>
  <c r="AE7" i="4"/>
  <c r="AC29" i="22"/>
  <c r="AC25" i="22"/>
  <c r="AC33" i="22"/>
  <c r="AF6" i="4"/>
  <c r="T46" i="24"/>
  <c r="T47" i="24"/>
  <c r="N5" i="24"/>
  <c r="U30" i="24"/>
  <c r="U38" i="24"/>
  <c r="F45" i="24"/>
  <c r="F21" i="3" s="1"/>
  <c r="N45" i="24"/>
  <c r="N21" i="3" s="1"/>
  <c r="U28" i="24"/>
  <c r="U36" i="24"/>
  <c r="H45" i="24"/>
  <c r="H21" i="3" s="1"/>
  <c r="R12" i="24"/>
  <c r="R19" i="24"/>
  <c r="J45" i="24"/>
  <c r="J21" i="3" s="1"/>
  <c r="C45" i="24"/>
  <c r="U24" i="24"/>
  <c r="R3" i="24"/>
  <c r="M45" i="23"/>
  <c r="R9" i="23"/>
  <c r="R29" i="23" s="1"/>
  <c r="R15" i="23"/>
  <c r="R35" i="23" s="1"/>
  <c r="G45" i="23"/>
  <c r="K45" i="23"/>
  <c r="R19" i="23"/>
  <c r="R39" i="23" s="1"/>
  <c r="R18" i="23"/>
  <c r="R38" i="23" s="1"/>
  <c r="T46" i="23"/>
  <c r="T47" i="23"/>
  <c r="N5" i="23"/>
  <c r="O5" i="23" s="1"/>
  <c r="P45" i="23" s="1"/>
  <c r="F45" i="23"/>
  <c r="N45" i="23"/>
  <c r="R6" i="23"/>
  <c r="R26" i="23" s="1"/>
  <c r="R14" i="23"/>
  <c r="R34" i="23" s="1"/>
  <c r="U37" i="23"/>
  <c r="U28" i="23"/>
  <c r="U36" i="23"/>
  <c r="H45" i="23"/>
  <c r="R12" i="23"/>
  <c r="R32" i="23" s="1"/>
  <c r="J45" i="23"/>
  <c r="N3" i="23"/>
  <c r="N4" i="23"/>
  <c r="O3" i="23" s="1"/>
  <c r="O45" i="23" s="1"/>
  <c r="C45" i="23"/>
  <c r="D45" i="23" s="1"/>
  <c r="U24" i="23"/>
  <c r="R3" i="23"/>
  <c r="R23" i="23" s="1"/>
  <c r="T46" i="22"/>
  <c r="R15" i="22"/>
  <c r="R35" i="22" s="1"/>
  <c r="R7" i="22"/>
  <c r="R27" i="22" s="1"/>
  <c r="R17" i="22"/>
  <c r="R37" i="22" s="1"/>
  <c r="G45" i="22"/>
  <c r="G19" i="3" s="1"/>
  <c r="AF80" i="3"/>
  <c r="K45" i="22"/>
  <c r="K19" i="3" s="1"/>
  <c r="O4" i="22"/>
  <c r="Q45" i="22" s="1"/>
  <c r="Q19" i="3" s="1"/>
  <c r="E45" i="22"/>
  <c r="E19" i="3" s="1"/>
  <c r="R4" i="22"/>
  <c r="R12" i="22"/>
  <c r="R18" i="22"/>
  <c r="AG77" i="3"/>
  <c r="AG75" i="3"/>
  <c r="R3" i="22"/>
  <c r="R10" i="22"/>
  <c r="R16" i="22"/>
  <c r="AH80" i="3"/>
  <c r="R8" i="22"/>
  <c r="AG70" i="3"/>
  <c r="T47" i="22"/>
  <c r="T48" i="22"/>
  <c r="N5" i="22"/>
  <c r="O3" i="22" s="1"/>
  <c r="O45" i="22" s="1"/>
  <c r="O19" i="3" s="1"/>
  <c r="F45" i="22"/>
  <c r="F19" i="3" s="1"/>
  <c r="N45" i="22"/>
  <c r="N19" i="3" s="1"/>
  <c r="R6" i="22"/>
  <c r="R14" i="22"/>
  <c r="R5" i="22"/>
  <c r="R13" i="22"/>
  <c r="H45" i="22"/>
  <c r="H19" i="3" s="1"/>
  <c r="R19" i="22"/>
  <c r="J45" i="22"/>
  <c r="J19" i="3" s="1"/>
  <c r="C45" i="22"/>
  <c r="N3" i="22"/>
  <c r="N4" i="22"/>
  <c r="T47" i="21"/>
  <c r="G45" i="21"/>
  <c r="G18" i="3" s="1"/>
  <c r="AM65" i="3"/>
  <c r="AM63" i="3"/>
  <c r="AM61" i="3"/>
  <c r="AQ61" i="3" s="1"/>
  <c r="AM59" i="3"/>
  <c r="AM57" i="3"/>
  <c r="AM55" i="3"/>
  <c r="AM53" i="3"/>
  <c r="AQ53" i="3" s="1"/>
  <c r="AM51" i="3"/>
  <c r="K45" i="21"/>
  <c r="K18" i="3" s="1"/>
  <c r="AL63" i="3"/>
  <c r="AL55" i="3"/>
  <c r="AL53" i="3"/>
  <c r="AO64" i="3"/>
  <c r="AO62" i="3"/>
  <c r="AO60" i="3"/>
  <c r="AS60" i="3" s="1"/>
  <c r="AO58" i="3"/>
  <c r="AO56" i="3"/>
  <c r="AO54" i="3"/>
  <c r="AO52" i="3"/>
  <c r="AS52" i="3" s="1"/>
  <c r="AO50" i="3"/>
  <c r="AO49" i="3"/>
  <c r="AN64" i="3"/>
  <c r="AN62" i="3"/>
  <c r="AN60" i="3"/>
  <c r="AN58" i="3"/>
  <c r="AN56" i="3"/>
  <c r="AR56" i="3" s="1"/>
  <c r="AN54" i="3"/>
  <c r="AN52" i="3"/>
  <c r="AN50" i="3"/>
  <c r="N5" i="21"/>
  <c r="O5" i="21" s="1"/>
  <c r="P45" i="21" s="1"/>
  <c r="P18" i="3" s="1"/>
  <c r="R11" i="21"/>
  <c r="AN49" i="3"/>
  <c r="AM64" i="3"/>
  <c r="AM62" i="3"/>
  <c r="AQ62" i="3" s="1"/>
  <c r="AM60" i="3"/>
  <c r="AM58" i="3"/>
  <c r="AM56" i="3"/>
  <c r="AM54" i="3"/>
  <c r="AQ54" i="3" s="1"/>
  <c r="AM52" i="3"/>
  <c r="AM50" i="3"/>
  <c r="E45" i="21"/>
  <c r="E18" i="3" s="1"/>
  <c r="AM49" i="3"/>
  <c r="AL64" i="3"/>
  <c r="AL62" i="3"/>
  <c r="AL56" i="3"/>
  <c r="AP56" i="3" s="1"/>
  <c r="AL54" i="3"/>
  <c r="AL50" i="3"/>
  <c r="AO65" i="3"/>
  <c r="AO63" i="3"/>
  <c r="AS63" i="3" s="1"/>
  <c r="AO61" i="3"/>
  <c r="AO59" i="3"/>
  <c r="AO57" i="3"/>
  <c r="AO55" i="3"/>
  <c r="AO53" i="3"/>
  <c r="AO51" i="3"/>
  <c r="M45" i="21"/>
  <c r="M18" i="3" s="1"/>
  <c r="AN65" i="3"/>
  <c r="AN63" i="3"/>
  <c r="AN61" i="3"/>
  <c r="AN59" i="3"/>
  <c r="AN57" i="3"/>
  <c r="AR57" i="3" s="1"/>
  <c r="AN55" i="3"/>
  <c r="AN53" i="3"/>
  <c r="AN51" i="3"/>
  <c r="T46" i="21"/>
  <c r="R15" i="21"/>
  <c r="F45" i="21"/>
  <c r="F18" i="3" s="1"/>
  <c r="N45" i="21"/>
  <c r="N18" i="3" s="1"/>
  <c r="U29" i="21"/>
  <c r="U37" i="21"/>
  <c r="U28" i="21"/>
  <c r="U36" i="21"/>
  <c r="H45" i="21"/>
  <c r="H18" i="3" s="1"/>
  <c r="N4" i="21"/>
  <c r="O4" i="21" s="1"/>
  <c r="Q45" i="21" s="1"/>
  <c r="Q18" i="3" s="1"/>
  <c r="R6" i="21"/>
  <c r="R14" i="21"/>
  <c r="R5" i="21"/>
  <c r="R13" i="21"/>
  <c r="R12" i="21"/>
  <c r="R19" i="21"/>
  <c r="J45" i="21"/>
  <c r="J18" i="3" s="1"/>
  <c r="C45" i="21"/>
  <c r="U24" i="21"/>
  <c r="N3" i="21"/>
  <c r="O3" i="21" s="1"/>
  <c r="O45" i="21" s="1"/>
  <c r="O18" i="3" s="1"/>
  <c r="R3" i="21"/>
  <c r="N5" i="20"/>
  <c r="R6" i="20"/>
  <c r="R26" i="20" s="1"/>
  <c r="R15" i="20"/>
  <c r="R35" i="20" s="1"/>
  <c r="R5" i="20"/>
  <c r="R25" i="20" s="1"/>
  <c r="R13" i="20"/>
  <c r="R33" i="20" s="1"/>
  <c r="R17" i="20"/>
  <c r="R37" i="20" s="1"/>
  <c r="M45" i="20"/>
  <c r="M17" i="3" s="1"/>
  <c r="N45" i="20"/>
  <c r="N17" i="3" s="1"/>
  <c r="G45" i="20"/>
  <c r="G17" i="3" s="1"/>
  <c r="R9" i="20"/>
  <c r="R29" i="20" s="1"/>
  <c r="R14" i="20"/>
  <c r="R34" i="20" s="1"/>
  <c r="K45" i="20"/>
  <c r="K17" i="3" s="1"/>
  <c r="R7" i="20"/>
  <c r="R27" i="20" s="1"/>
  <c r="E45" i="20"/>
  <c r="E17" i="3" s="1"/>
  <c r="F45" i="20"/>
  <c r="F17" i="3" s="1"/>
  <c r="T46" i="20"/>
  <c r="T47" i="20"/>
  <c r="U30" i="20"/>
  <c r="U28" i="20"/>
  <c r="U36" i="20"/>
  <c r="H45" i="20"/>
  <c r="H17" i="3" s="1"/>
  <c r="R12" i="20"/>
  <c r="R32" i="20" s="1"/>
  <c r="U38" i="20"/>
  <c r="R11" i="20"/>
  <c r="R31" i="20" s="1"/>
  <c r="R19" i="20"/>
  <c r="R39" i="20" s="1"/>
  <c r="J45" i="20"/>
  <c r="J17" i="3" s="1"/>
  <c r="N3" i="20"/>
  <c r="N4" i="20"/>
  <c r="O5" i="20" s="1"/>
  <c r="P45" i="20" s="1"/>
  <c r="P17" i="3" s="1"/>
  <c r="C45" i="20"/>
  <c r="U24" i="20"/>
  <c r="R3" i="20"/>
  <c r="R23" i="20" s="1"/>
  <c r="R3" i="19"/>
  <c r="R23" i="19" s="1"/>
  <c r="R16" i="19"/>
  <c r="R36" i="19" s="1"/>
  <c r="R17" i="19"/>
  <c r="R37" i="19" s="1"/>
  <c r="N5" i="19"/>
  <c r="AS62" i="3"/>
  <c r="AS58" i="3"/>
  <c r="AS56" i="3"/>
  <c r="AS54" i="3"/>
  <c r="R15" i="19"/>
  <c r="AS49" i="3"/>
  <c r="AR64" i="3"/>
  <c r="AR60" i="3"/>
  <c r="AR58" i="3"/>
  <c r="AR54" i="3"/>
  <c r="AR50" i="3"/>
  <c r="R14" i="19"/>
  <c r="AR49" i="3"/>
  <c r="AQ64" i="3"/>
  <c r="AQ60" i="3"/>
  <c r="AQ52" i="3"/>
  <c r="AQ50" i="3"/>
  <c r="M45" i="19"/>
  <c r="M16" i="3" s="1"/>
  <c r="G45" i="19"/>
  <c r="G16" i="3" s="1"/>
  <c r="R9" i="19"/>
  <c r="K45" i="19"/>
  <c r="K16" i="3" s="1"/>
  <c r="R8" i="19"/>
  <c r="AS65" i="3"/>
  <c r="AS61" i="3"/>
  <c r="AS57" i="3"/>
  <c r="AS55" i="3"/>
  <c r="AS53" i="3"/>
  <c r="AS51" i="3"/>
  <c r="R7" i="19"/>
  <c r="AR65" i="3"/>
  <c r="AR63" i="3"/>
  <c r="AR59" i="3"/>
  <c r="AR55" i="3"/>
  <c r="AR53" i="3"/>
  <c r="AR51" i="3"/>
  <c r="E45" i="19"/>
  <c r="E16" i="3" s="1"/>
  <c r="R4" i="19"/>
  <c r="R6" i="19"/>
  <c r="AQ63" i="3"/>
  <c r="AQ59" i="3"/>
  <c r="AQ57" i="3"/>
  <c r="AQ55" i="3"/>
  <c r="AQ51" i="3"/>
  <c r="T46" i="19"/>
  <c r="T47" i="19"/>
  <c r="U30" i="19"/>
  <c r="U38" i="19"/>
  <c r="F45" i="19"/>
  <c r="F16" i="3" s="1"/>
  <c r="N45" i="19"/>
  <c r="N16" i="3" s="1"/>
  <c r="R5" i="19"/>
  <c r="R13" i="19"/>
  <c r="H45" i="19"/>
  <c r="H16" i="3" s="1"/>
  <c r="R12" i="19"/>
  <c r="R11" i="19"/>
  <c r="R19" i="19"/>
  <c r="J45" i="19"/>
  <c r="J16" i="3" s="1"/>
  <c r="N3" i="19"/>
  <c r="N4" i="19"/>
  <c r="C45" i="19"/>
  <c r="R10" i="18"/>
  <c r="R30" i="18" s="1"/>
  <c r="R17" i="18"/>
  <c r="R37" i="18" s="1"/>
  <c r="R8" i="18"/>
  <c r="R28" i="18" s="1"/>
  <c r="R6" i="18"/>
  <c r="R26" i="18" s="1"/>
  <c r="G45" i="18"/>
  <c r="G15" i="3" s="1"/>
  <c r="AX6" i="3"/>
  <c r="BA11" i="3" s="1"/>
  <c r="AS64" i="3"/>
  <c r="AS50" i="3"/>
  <c r="T47" i="18"/>
  <c r="M45" i="18"/>
  <c r="M15" i="3" s="1"/>
  <c r="R9" i="18"/>
  <c r="R14" i="18"/>
  <c r="AR62" i="3"/>
  <c r="AQ58" i="3"/>
  <c r="K45" i="18"/>
  <c r="K15" i="3" s="1"/>
  <c r="R7" i="18"/>
  <c r="AS59" i="3"/>
  <c r="AR61" i="3"/>
  <c r="E45" i="18"/>
  <c r="E15" i="3" s="1"/>
  <c r="R4" i="18"/>
  <c r="AQ65" i="3"/>
  <c r="R18" i="18"/>
  <c r="R3" i="18"/>
  <c r="R16" i="18"/>
  <c r="AJ9" i="3"/>
  <c r="AQ49" i="3"/>
  <c r="AJ8" i="3"/>
  <c r="L3" i="2" s="1"/>
  <c r="L50" i="2" s="1"/>
  <c r="AR52" i="3"/>
  <c r="AQ56" i="3"/>
  <c r="T46" i="18"/>
  <c r="T48" i="18"/>
  <c r="N5" i="18"/>
  <c r="F45" i="18"/>
  <c r="F15" i="3" s="1"/>
  <c r="N45" i="18"/>
  <c r="N15" i="3" s="1"/>
  <c r="R5" i="18"/>
  <c r="R13" i="18"/>
  <c r="H45" i="18"/>
  <c r="H15" i="3" s="1"/>
  <c r="R12" i="18"/>
  <c r="R11" i="18"/>
  <c r="R19" i="18"/>
  <c r="J45" i="18"/>
  <c r="J15" i="3" s="1"/>
  <c r="N3" i="18"/>
  <c r="N4" i="18"/>
  <c r="C45" i="18"/>
  <c r="R7" i="17"/>
  <c r="R27" i="17" s="1"/>
  <c r="R11" i="17"/>
  <c r="R31" i="17" s="1"/>
  <c r="G45" i="17"/>
  <c r="G14" i="3" s="1"/>
  <c r="AD49" i="3"/>
  <c r="AH49" i="3" s="1"/>
  <c r="AC64" i="3"/>
  <c r="AG64" i="3" s="1"/>
  <c r="AC62" i="3"/>
  <c r="AG62" i="3" s="1"/>
  <c r="AC60" i="3"/>
  <c r="AC58" i="3"/>
  <c r="AG58" i="3" s="1"/>
  <c r="AC56" i="3"/>
  <c r="AG56" i="3" s="1"/>
  <c r="AC54" i="3"/>
  <c r="AG54" i="3" s="1"/>
  <c r="AC52" i="3"/>
  <c r="AC50" i="3"/>
  <c r="H45" i="17"/>
  <c r="H14" i="3" s="1"/>
  <c r="AC49" i="3"/>
  <c r="AB64" i="3"/>
  <c r="AB62" i="3"/>
  <c r="AB60" i="3"/>
  <c r="AF60" i="3" s="1"/>
  <c r="AB58" i="3"/>
  <c r="AF58" i="3" s="1"/>
  <c r="AB56" i="3"/>
  <c r="AB54" i="3"/>
  <c r="AB52" i="3"/>
  <c r="AF52" i="3" s="1"/>
  <c r="AB50" i="3"/>
  <c r="AB49" i="3"/>
  <c r="AA62" i="3"/>
  <c r="AE62" i="3" s="1"/>
  <c r="AA54" i="3"/>
  <c r="AA50" i="3"/>
  <c r="AD65" i="3"/>
  <c r="AH65" i="3" s="1"/>
  <c r="AD63" i="3"/>
  <c r="AD61" i="3"/>
  <c r="AH61" i="3" s="1"/>
  <c r="AD59" i="3"/>
  <c r="AD57" i="3"/>
  <c r="AH57" i="3" s="1"/>
  <c r="AD55" i="3"/>
  <c r="AH55" i="3" s="1"/>
  <c r="AD53" i="3"/>
  <c r="AH53" i="3" s="1"/>
  <c r="AD51" i="3"/>
  <c r="AH51" i="3" s="1"/>
  <c r="N5" i="17"/>
  <c r="R10" i="17"/>
  <c r="R15" i="17"/>
  <c r="AC65" i="3"/>
  <c r="AG65" i="3" s="1"/>
  <c r="AC63" i="3"/>
  <c r="AC61" i="3"/>
  <c r="AG61" i="3" s="1"/>
  <c r="AC59" i="3"/>
  <c r="AG59" i="3" s="1"/>
  <c r="AC57" i="3"/>
  <c r="AG57" i="3" s="1"/>
  <c r="AC55" i="3"/>
  <c r="AC53" i="3"/>
  <c r="AC51" i="3"/>
  <c r="AG51" i="3" s="1"/>
  <c r="E45" i="17"/>
  <c r="E14" i="3" s="1"/>
  <c r="C45" i="17"/>
  <c r="C14" i="3" s="1"/>
  <c r="AB65" i="3"/>
  <c r="AF65" i="3" s="1"/>
  <c r="AB63" i="3"/>
  <c r="AF63" i="3" s="1"/>
  <c r="AB61" i="3"/>
  <c r="AF61" i="3" s="1"/>
  <c r="AB59" i="3"/>
  <c r="AB57" i="3"/>
  <c r="AB55" i="3"/>
  <c r="AF55" i="3" s="1"/>
  <c r="AB53" i="3"/>
  <c r="AF53" i="3" s="1"/>
  <c r="AB51" i="3"/>
  <c r="N4" i="17"/>
  <c r="N3" i="17"/>
  <c r="O3" i="17" s="1"/>
  <c r="O45" i="17" s="1"/>
  <c r="O14" i="3" s="1"/>
  <c r="R19" i="17"/>
  <c r="K45" i="17"/>
  <c r="K14" i="3" s="1"/>
  <c r="AA63" i="3"/>
  <c r="AA57" i="3"/>
  <c r="AA55" i="3"/>
  <c r="AA51" i="3"/>
  <c r="R18" i="17"/>
  <c r="AD64" i="3"/>
  <c r="AH64" i="3" s="1"/>
  <c r="AD62" i="3"/>
  <c r="AH62" i="3" s="1"/>
  <c r="AD60" i="3"/>
  <c r="AH60" i="3" s="1"/>
  <c r="AD58" i="3"/>
  <c r="AD56" i="3"/>
  <c r="AH56" i="3" s="1"/>
  <c r="AD54" i="3"/>
  <c r="AD52" i="3"/>
  <c r="AH52" i="3" s="1"/>
  <c r="AD50" i="3"/>
  <c r="AH50" i="3" s="1"/>
  <c r="T47" i="17"/>
  <c r="T46" i="17"/>
  <c r="U25" i="17"/>
  <c r="F45" i="17"/>
  <c r="F14" i="3" s="1"/>
  <c r="N45" i="17"/>
  <c r="N14" i="3" s="1"/>
  <c r="R6" i="17"/>
  <c r="R14" i="17"/>
  <c r="U29" i="17"/>
  <c r="U37" i="17"/>
  <c r="R13" i="17"/>
  <c r="U28" i="17"/>
  <c r="U36" i="17"/>
  <c r="R12" i="17"/>
  <c r="J45" i="17"/>
  <c r="J14" i="3" s="1"/>
  <c r="U24" i="17"/>
  <c r="R3" i="17"/>
  <c r="AA4" i="3"/>
  <c r="R12" i="16"/>
  <c r="R17" i="16"/>
  <c r="R10" i="16"/>
  <c r="T28" i="16"/>
  <c r="R3" i="16"/>
  <c r="R9" i="16"/>
  <c r="R8" i="16"/>
  <c r="AG49" i="3"/>
  <c r="AF56" i="3"/>
  <c r="AF50" i="3"/>
  <c r="AH59" i="3"/>
  <c r="K45" i="16"/>
  <c r="K13" i="3" s="1"/>
  <c r="AG55" i="3"/>
  <c r="X42" i="3"/>
  <c r="T46" i="16"/>
  <c r="T47" i="16"/>
  <c r="T48" i="16"/>
  <c r="N5" i="16"/>
  <c r="R7" i="16"/>
  <c r="R15" i="16"/>
  <c r="F45" i="16"/>
  <c r="F13" i="3" s="1"/>
  <c r="N45" i="16"/>
  <c r="N13" i="3" s="1"/>
  <c r="R6" i="16"/>
  <c r="R14" i="16"/>
  <c r="N4" i="16"/>
  <c r="R5" i="16"/>
  <c r="R13" i="16"/>
  <c r="H45" i="16"/>
  <c r="H13" i="3" s="1"/>
  <c r="R19" i="16"/>
  <c r="J45" i="16"/>
  <c r="J13" i="3" s="1"/>
  <c r="C45" i="16"/>
  <c r="N3" i="16"/>
  <c r="AF51" i="3"/>
  <c r="M45" i="15"/>
  <c r="M12" i="3" s="1"/>
  <c r="AH58" i="3"/>
  <c r="AH54" i="3"/>
  <c r="T47" i="15"/>
  <c r="G45" i="15"/>
  <c r="G12" i="3" s="1"/>
  <c r="R8" i="15"/>
  <c r="AG60" i="3"/>
  <c r="AG52" i="3"/>
  <c r="AG50" i="3"/>
  <c r="AF64" i="3"/>
  <c r="AF62" i="3"/>
  <c r="AF54" i="3"/>
  <c r="AF57" i="3"/>
  <c r="N4" i="15"/>
  <c r="R6" i="15"/>
  <c r="AF49" i="3"/>
  <c r="R18" i="15"/>
  <c r="K45" i="15"/>
  <c r="K12" i="3" s="1"/>
  <c r="N3" i="15"/>
  <c r="R4" i="15"/>
  <c r="R3" i="15"/>
  <c r="AG63" i="3"/>
  <c r="AG53" i="3"/>
  <c r="AH63" i="3"/>
  <c r="AF59" i="3"/>
  <c r="T48" i="15"/>
  <c r="T46" i="15"/>
  <c r="N5" i="15"/>
  <c r="O5" i="15" s="1"/>
  <c r="P45" i="15" s="1"/>
  <c r="P12" i="3" s="1"/>
  <c r="F45" i="15"/>
  <c r="F12" i="3" s="1"/>
  <c r="N45" i="15"/>
  <c r="N12" i="3" s="1"/>
  <c r="R5" i="15"/>
  <c r="R13" i="15"/>
  <c r="H45" i="15"/>
  <c r="H12" i="3" s="1"/>
  <c r="R12" i="15"/>
  <c r="R11" i="15"/>
  <c r="R19" i="15"/>
  <c r="J45" i="15"/>
  <c r="J12" i="3" s="1"/>
  <c r="C45" i="15"/>
  <c r="B45" i="14"/>
  <c r="T44" i="14"/>
  <c r="Z39" i="14"/>
  <c r="Y39" i="14"/>
  <c r="X39" i="14"/>
  <c r="Z38" i="14"/>
  <c r="Y38" i="14"/>
  <c r="X38" i="14"/>
  <c r="Z37" i="14"/>
  <c r="Y37" i="14"/>
  <c r="X37" i="14"/>
  <c r="Z36" i="14"/>
  <c r="Y36" i="14"/>
  <c r="X36" i="14"/>
  <c r="Z35" i="14"/>
  <c r="Y35" i="14"/>
  <c r="X35" i="14"/>
  <c r="Z34" i="14"/>
  <c r="Y34" i="14"/>
  <c r="X34" i="14"/>
  <c r="Z33" i="14"/>
  <c r="Y33" i="14"/>
  <c r="X33" i="14"/>
  <c r="Z32" i="14"/>
  <c r="Y32" i="14"/>
  <c r="X32" i="14"/>
  <c r="Z31" i="14"/>
  <c r="Y31" i="14"/>
  <c r="X31" i="14"/>
  <c r="Z30" i="14"/>
  <c r="Y30" i="14"/>
  <c r="X30" i="14"/>
  <c r="Z29" i="14"/>
  <c r="Y29" i="14"/>
  <c r="X29" i="14"/>
  <c r="Z28" i="14"/>
  <c r="Y28" i="14"/>
  <c r="X28" i="14"/>
  <c r="Z27" i="14"/>
  <c r="Y27" i="14"/>
  <c r="X27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U19" i="14"/>
  <c r="U39" i="14" s="1"/>
  <c r="T19" i="14"/>
  <c r="T39" i="14" s="1"/>
  <c r="S19" i="14"/>
  <c r="S39" i="14" s="1"/>
  <c r="Z18" i="14"/>
  <c r="Y18" i="14"/>
  <c r="X18" i="14"/>
  <c r="U18" i="14"/>
  <c r="R18" i="14" s="1"/>
  <c r="R38" i="14" s="1"/>
  <c r="T18" i="14"/>
  <c r="T38" i="14" s="1"/>
  <c r="S18" i="14"/>
  <c r="S38" i="14" s="1"/>
  <c r="Z17" i="14"/>
  <c r="Y17" i="14"/>
  <c r="X17" i="14"/>
  <c r="U17" i="14"/>
  <c r="U37" i="14" s="1"/>
  <c r="T17" i="14"/>
  <c r="T37" i="14" s="1"/>
  <c r="S17" i="14"/>
  <c r="S37" i="14" s="1"/>
  <c r="R17" i="14"/>
  <c r="R37" i="14" s="1"/>
  <c r="Z16" i="14"/>
  <c r="Y16" i="14"/>
  <c r="X16" i="14"/>
  <c r="U16" i="14"/>
  <c r="U36" i="14" s="1"/>
  <c r="T16" i="14"/>
  <c r="T36" i="14" s="1"/>
  <c r="S16" i="14"/>
  <c r="S36" i="14" s="1"/>
  <c r="R16" i="14"/>
  <c r="R36" i="14" s="1"/>
  <c r="Z15" i="14"/>
  <c r="Y15" i="14"/>
  <c r="X15" i="14"/>
  <c r="U15" i="14"/>
  <c r="U35" i="14" s="1"/>
  <c r="T15" i="14"/>
  <c r="T35" i="14" s="1"/>
  <c r="S15" i="14"/>
  <c r="S35" i="14" s="1"/>
  <c r="Z14" i="14"/>
  <c r="Y14" i="14"/>
  <c r="X14" i="14"/>
  <c r="U14" i="14"/>
  <c r="U34" i="14" s="1"/>
  <c r="T14" i="14"/>
  <c r="T34" i="14" s="1"/>
  <c r="S14" i="14"/>
  <c r="S34" i="14" s="1"/>
  <c r="Z13" i="14"/>
  <c r="Y13" i="14"/>
  <c r="X13" i="14"/>
  <c r="U13" i="14"/>
  <c r="U33" i="14" s="1"/>
  <c r="T13" i="14"/>
  <c r="T33" i="14" s="1"/>
  <c r="S13" i="14"/>
  <c r="S33" i="14" s="1"/>
  <c r="Z12" i="14"/>
  <c r="Y12" i="14"/>
  <c r="X12" i="14"/>
  <c r="U12" i="14"/>
  <c r="U32" i="14" s="1"/>
  <c r="T12" i="14"/>
  <c r="T32" i="14" s="1"/>
  <c r="S12" i="14"/>
  <c r="S32" i="14" s="1"/>
  <c r="Z11" i="14"/>
  <c r="Y11" i="14"/>
  <c r="X11" i="14"/>
  <c r="U11" i="14"/>
  <c r="U31" i="14" s="1"/>
  <c r="T11" i="14"/>
  <c r="T31" i="14" s="1"/>
  <c r="S11" i="14"/>
  <c r="S31" i="14" s="1"/>
  <c r="Z10" i="14"/>
  <c r="Y10" i="14"/>
  <c r="X10" i="14"/>
  <c r="U10" i="14"/>
  <c r="R10" i="14" s="1"/>
  <c r="R30" i="14" s="1"/>
  <c r="T10" i="14"/>
  <c r="T30" i="14" s="1"/>
  <c r="S10" i="14"/>
  <c r="S30" i="14" s="1"/>
  <c r="Z9" i="14"/>
  <c r="Y9" i="14"/>
  <c r="X9" i="14"/>
  <c r="U9" i="14"/>
  <c r="U29" i="14" s="1"/>
  <c r="T9" i="14"/>
  <c r="T29" i="14" s="1"/>
  <c r="S9" i="14"/>
  <c r="S29" i="14" s="1"/>
  <c r="Z8" i="14"/>
  <c r="Y8" i="14"/>
  <c r="X8" i="14"/>
  <c r="U8" i="14"/>
  <c r="U28" i="14" s="1"/>
  <c r="T8" i="14"/>
  <c r="T28" i="14" s="1"/>
  <c r="S8" i="14"/>
  <c r="S28" i="14" s="1"/>
  <c r="Z7" i="14"/>
  <c r="Y7" i="14"/>
  <c r="X7" i="14"/>
  <c r="U7" i="14"/>
  <c r="U27" i="14" s="1"/>
  <c r="T7" i="14"/>
  <c r="T27" i="14" s="1"/>
  <c r="S7" i="14"/>
  <c r="S27" i="14" s="1"/>
  <c r="R7" i="14"/>
  <c r="R27" i="14" s="1"/>
  <c r="Z6" i="14"/>
  <c r="Y6" i="14"/>
  <c r="X6" i="14"/>
  <c r="U6" i="14"/>
  <c r="U26" i="14" s="1"/>
  <c r="T6" i="14"/>
  <c r="T26" i="14" s="1"/>
  <c r="S6" i="14"/>
  <c r="S26" i="14" s="1"/>
  <c r="Z5" i="14"/>
  <c r="Y5" i="14"/>
  <c r="X5" i="14"/>
  <c r="U5" i="14"/>
  <c r="U25" i="14" s="1"/>
  <c r="T5" i="14"/>
  <c r="T25" i="14" s="1"/>
  <c r="S5" i="14"/>
  <c r="S25" i="14" s="1"/>
  <c r="R5" i="14"/>
  <c r="R25" i="14" s="1"/>
  <c r="M5" i="14"/>
  <c r="L5" i="14"/>
  <c r="I45" i="14" s="1"/>
  <c r="Z4" i="14"/>
  <c r="K45" i="14" s="1"/>
  <c r="Y4" i="14"/>
  <c r="X4" i="14"/>
  <c r="M45" i="14" s="1"/>
  <c r="U4" i="14"/>
  <c r="U24" i="14" s="1"/>
  <c r="T4" i="14"/>
  <c r="T24" i="14" s="1"/>
  <c r="S4" i="14"/>
  <c r="S24" i="14" s="1"/>
  <c r="M4" i="14"/>
  <c r="L4" i="14"/>
  <c r="L45" i="14" s="1"/>
  <c r="U3" i="14"/>
  <c r="U23" i="14" s="1"/>
  <c r="T3" i="14"/>
  <c r="T23" i="14" s="1"/>
  <c r="S3" i="14"/>
  <c r="S23" i="14" s="1"/>
  <c r="R3" i="14"/>
  <c r="R23" i="14" s="1"/>
  <c r="M3" i="14"/>
  <c r="L3" i="14"/>
  <c r="B10" i="3"/>
  <c r="B45" i="13"/>
  <c r="T44" i="13"/>
  <c r="Z39" i="13"/>
  <c r="Y39" i="13"/>
  <c r="X39" i="13"/>
  <c r="Z38" i="13"/>
  <c r="Y38" i="13"/>
  <c r="X38" i="13"/>
  <c r="Z37" i="13"/>
  <c r="Y37" i="13"/>
  <c r="X37" i="13"/>
  <c r="Z36" i="13"/>
  <c r="Y36" i="13"/>
  <c r="X36" i="13"/>
  <c r="Z35" i="13"/>
  <c r="Y35" i="13"/>
  <c r="X35" i="13"/>
  <c r="Z34" i="13"/>
  <c r="Y34" i="13"/>
  <c r="X34" i="13"/>
  <c r="Z33" i="13"/>
  <c r="Y33" i="13"/>
  <c r="X33" i="13"/>
  <c r="Z32" i="13"/>
  <c r="Y32" i="13"/>
  <c r="X32" i="13"/>
  <c r="Z31" i="13"/>
  <c r="Y31" i="13"/>
  <c r="X31" i="13"/>
  <c r="Z30" i="13"/>
  <c r="Y30" i="13"/>
  <c r="X30" i="13"/>
  <c r="Z29" i="13"/>
  <c r="Y29" i="13"/>
  <c r="X29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U19" i="13"/>
  <c r="U39" i="13" s="1"/>
  <c r="T19" i="13"/>
  <c r="T39" i="13" s="1"/>
  <c r="S19" i="13"/>
  <c r="S39" i="13" s="1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U37" i="13" s="1"/>
  <c r="T17" i="13"/>
  <c r="T37" i="13" s="1"/>
  <c r="S17" i="13"/>
  <c r="S37" i="13" s="1"/>
  <c r="R17" i="13"/>
  <c r="R37" i="13" s="1"/>
  <c r="Z16" i="13"/>
  <c r="Y16" i="13"/>
  <c r="X16" i="13"/>
  <c r="U16" i="13"/>
  <c r="U36" i="13" s="1"/>
  <c r="T16" i="13"/>
  <c r="T36" i="13" s="1"/>
  <c r="S16" i="13"/>
  <c r="S36" i="13" s="1"/>
  <c r="R16" i="13"/>
  <c r="R36" i="13" s="1"/>
  <c r="Z15" i="13"/>
  <c r="Y15" i="13"/>
  <c r="X15" i="13"/>
  <c r="U15" i="13"/>
  <c r="U35" i="13" s="1"/>
  <c r="T15" i="13"/>
  <c r="T35" i="13" s="1"/>
  <c r="S15" i="13"/>
  <c r="S35" i="13" s="1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U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Z10" i="13"/>
  <c r="Y10" i="13"/>
  <c r="X10" i="13"/>
  <c r="U10" i="13"/>
  <c r="U30" i="13" s="1"/>
  <c r="T10" i="13"/>
  <c r="T30" i="13" s="1"/>
  <c r="S10" i="13"/>
  <c r="S30" i="13" s="1"/>
  <c r="R10" i="13"/>
  <c r="R30" i="13" s="1"/>
  <c r="Z9" i="13"/>
  <c r="Y9" i="13"/>
  <c r="X9" i="13"/>
  <c r="U9" i="13"/>
  <c r="U29" i="13" s="1"/>
  <c r="T9" i="13"/>
  <c r="T29" i="13" s="1"/>
  <c r="S9" i="13"/>
  <c r="S29" i="13" s="1"/>
  <c r="R9" i="13"/>
  <c r="R29" i="13" s="1"/>
  <c r="Z8" i="13"/>
  <c r="Y8" i="13"/>
  <c r="X8" i="13"/>
  <c r="U8" i="13"/>
  <c r="R8" i="13" s="1"/>
  <c r="R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Z6" i="13"/>
  <c r="Y6" i="13"/>
  <c r="X6" i="13"/>
  <c r="U6" i="13"/>
  <c r="U26" i="13" s="1"/>
  <c r="T6" i="13"/>
  <c r="T26" i="13" s="1"/>
  <c r="S6" i="13"/>
  <c r="S26" i="13" s="1"/>
  <c r="Z5" i="13"/>
  <c r="Y5" i="13"/>
  <c r="X5" i="13"/>
  <c r="U5" i="13"/>
  <c r="U25" i="13" s="1"/>
  <c r="T5" i="13"/>
  <c r="T25" i="13" s="1"/>
  <c r="S5" i="13"/>
  <c r="S25" i="13" s="1"/>
  <c r="N5" i="13"/>
  <c r="M5" i="13"/>
  <c r="L5" i="13"/>
  <c r="I45" i="13" s="1"/>
  <c r="I10" i="3" s="1"/>
  <c r="Z4" i="13"/>
  <c r="Y4" i="13"/>
  <c r="X4" i="13"/>
  <c r="U4" i="13"/>
  <c r="R4" i="13" s="1"/>
  <c r="R24" i="13" s="1"/>
  <c r="T4" i="13"/>
  <c r="T24" i="13" s="1"/>
  <c r="S4" i="13"/>
  <c r="S24" i="13" s="1"/>
  <c r="M4" i="13"/>
  <c r="L4" i="13"/>
  <c r="U3" i="13"/>
  <c r="U23" i="13" s="1"/>
  <c r="T3" i="13"/>
  <c r="T23" i="13" s="1"/>
  <c r="S3" i="13"/>
  <c r="S23" i="13" s="1"/>
  <c r="M3" i="13"/>
  <c r="L3" i="13"/>
  <c r="E45" i="13" s="1"/>
  <c r="E10" i="3" s="1"/>
  <c r="AA90" i="3" l="1"/>
  <c r="AE90" i="3" s="1"/>
  <c r="D45" i="30"/>
  <c r="D27" i="3" s="1"/>
  <c r="AA92" i="3"/>
  <c r="AE92" i="3" s="1"/>
  <c r="T45" i="30"/>
  <c r="AA99" i="3"/>
  <c r="AE99" i="3" s="1"/>
  <c r="AA98" i="3"/>
  <c r="AE98" i="3" s="1"/>
  <c r="T48" i="30"/>
  <c r="AA96" i="3"/>
  <c r="AE96" i="3" s="1"/>
  <c r="C27" i="3"/>
  <c r="P27" i="3"/>
  <c r="O27" i="3"/>
  <c r="D45" i="29"/>
  <c r="D26" i="3" s="1"/>
  <c r="C26" i="3"/>
  <c r="S23" i="29"/>
  <c r="AE89" i="3"/>
  <c r="S32" i="29"/>
  <c r="S35" i="29"/>
  <c r="S29" i="29"/>
  <c r="S39" i="29"/>
  <c r="S27" i="29"/>
  <c r="S25" i="29"/>
  <c r="S33" i="29"/>
  <c r="S31" i="29"/>
  <c r="AE97" i="3"/>
  <c r="S26" i="29"/>
  <c r="T48" i="29"/>
  <c r="O45" i="28"/>
  <c r="O25" i="3" s="1"/>
  <c r="T48" i="28"/>
  <c r="AE103" i="3"/>
  <c r="AE91" i="3"/>
  <c r="P45" i="28"/>
  <c r="P25" i="3" s="1"/>
  <c r="AE94" i="3"/>
  <c r="Q45" i="28"/>
  <c r="Q25" i="3" s="1"/>
  <c r="AE100" i="3"/>
  <c r="S36" i="28"/>
  <c r="AE102" i="3"/>
  <c r="S33" i="28"/>
  <c r="S23" i="28"/>
  <c r="D45" i="28"/>
  <c r="D25" i="3" s="1"/>
  <c r="C25" i="3"/>
  <c r="S29" i="28"/>
  <c r="AE95" i="3"/>
  <c r="S39" i="28"/>
  <c r="AE105" i="3"/>
  <c r="S27" i="28"/>
  <c r="AE93" i="3"/>
  <c r="S35" i="28"/>
  <c r="AE101" i="3"/>
  <c r="AP9" i="3"/>
  <c r="L4" i="2"/>
  <c r="L51" i="2" s="1"/>
  <c r="R39" i="27"/>
  <c r="AL85" i="3"/>
  <c r="O3" i="27"/>
  <c r="O45" i="27" s="1"/>
  <c r="O24" i="3" s="1"/>
  <c r="R32" i="27"/>
  <c r="AL78" i="3"/>
  <c r="R23" i="27"/>
  <c r="AL69" i="3"/>
  <c r="D45" i="27"/>
  <c r="D24" i="3" s="1"/>
  <c r="C24" i="3"/>
  <c r="R35" i="27"/>
  <c r="AL81" i="3"/>
  <c r="R30" i="27"/>
  <c r="AL76" i="3"/>
  <c r="O4" i="26"/>
  <c r="Q45" i="26" s="1"/>
  <c r="T48" i="26"/>
  <c r="T45" i="26"/>
  <c r="O3" i="25"/>
  <c r="O45" i="25" s="1"/>
  <c r="O22" i="3" s="1"/>
  <c r="R39" i="25"/>
  <c r="AP85" i="3"/>
  <c r="R34" i="25"/>
  <c r="AP80" i="3"/>
  <c r="R38" i="25"/>
  <c r="AP84" i="3"/>
  <c r="R32" i="25"/>
  <c r="AP78" i="3"/>
  <c r="R35" i="25"/>
  <c r="AP81" i="3"/>
  <c r="R30" i="25"/>
  <c r="AP76" i="3"/>
  <c r="R23" i="25"/>
  <c r="AP69" i="3"/>
  <c r="R28" i="25"/>
  <c r="AP74" i="3"/>
  <c r="D45" i="25"/>
  <c r="D22" i="3" s="1"/>
  <c r="C22" i="3"/>
  <c r="AD12" i="4"/>
  <c r="AD3" i="4"/>
  <c r="AA83" i="3"/>
  <c r="AE83" i="3" s="1"/>
  <c r="AD6" i="4"/>
  <c r="AA73" i="3"/>
  <c r="AE73" i="3" s="1"/>
  <c r="AD8" i="4"/>
  <c r="O5" i="24"/>
  <c r="P45" i="24" s="1"/>
  <c r="P21" i="3" s="1"/>
  <c r="O3" i="24"/>
  <c r="O45" i="24" s="1"/>
  <c r="O21" i="3" s="1"/>
  <c r="AD4" i="4"/>
  <c r="AA79" i="3"/>
  <c r="AE79" i="3" s="1"/>
  <c r="T48" i="24"/>
  <c r="R26" i="24"/>
  <c r="AA72" i="3"/>
  <c r="AE72" i="3" s="1"/>
  <c r="R39" i="24"/>
  <c r="AA85" i="3"/>
  <c r="AE85" i="3" s="1"/>
  <c r="D45" i="24"/>
  <c r="D21" i="3" s="1"/>
  <c r="C21" i="3"/>
  <c r="R32" i="24"/>
  <c r="AA78" i="3"/>
  <c r="AE78" i="3" s="1"/>
  <c r="R34" i="24"/>
  <c r="AA80" i="3"/>
  <c r="AE80" i="3" s="1"/>
  <c r="R25" i="24"/>
  <c r="AA71" i="3"/>
  <c r="AE71" i="3" s="1"/>
  <c r="R29" i="24"/>
  <c r="AA75" i="3"/>
  <c r="AE75" i="3" s="1"/>
  <c r="O4" i="24"/>
  <c r="Q45" i="24" s="1"/>
  <c r="Q21" i="3" s="1"/>
  <c r="R31" i="24"/>
  <c r="AA77" i="3"/>
  <c r="AE77" i="3" s="1"/>
  <c r="R23" i="24"/>
  <c r="AA69" i="3"/>
  <c r="AE69" i="3" s="1"/>
  <c r="O4" i="23"/>
  <c r="Q45" i="23" s="1"/>
  <c r="T48" i="23"/>
  <c r="T45" i="23"/>
  <c r="R36" i="22"/>
  <c r="AE82" i="3"/>
  <c r="R38" i="22"/>
  <c r="AE84" i="3"/>
  <c r="R32" i="22"/>
  <c r="D45" i="22"/>
  <c r="D19" i="3" s="1"/>
  <c r="C19" i="3"/>
  <c r="R28" i="22"/>
  <c r="AE74" i="3"/>
  <c r="R23" i="22"/>
  <c r="P45" i="22"/>
  <c r="P19" i="3" s="1"/>
  <c r="R25" i="22"/>
  <c r="R24" i="22"/>
  <c r="AE70" i="3"/>
  <c r="R39" i="22"/>
  <c r="R30" i="22"/>
  <c r="AE76" i="3"/>
  <c r="R33" i="22"/>
  <c r="R34" i="22"/>
  <c r="R26" i="22"/>
  <c r="BA10" i="3"/>
  <c r="BC12" i="3"/>
  <c r="BB13" i="3"/>
  <c r="BA21" i="3"/>
  <c r="BC10" i="3"/>
  <c r="BB17" i="3"/>
  <c r="BC13" i="3"/>
  <c r="BC9" i="3"/>
  <c r="BB23" i="3"/>
  <c r="BC14" i="3"/>
  <c r="BB24" i="3"/>
  <c r="BA20" i="3"/>
  <c r="BA24" i="3"/>
  <c r="R23" i="21"/>
  <c r="AL49" i="3"/>
  <c r="AP49" i="3" s="1"/>
  <c r="T48" i="21"/>
  <c r="R26" i="21"/>
  <c r="AL52" i="3"/>
  <c r="R25" i="21"/>
  <c r="AL51" i="3"/>
  <c r="AP51" i="3" s="1"/>
  <c r="D45" i="21"/>
  <c r="D18" i="3" s="1"/>
  <c r="C18" i="3"/>
  <c r="R35" i="21"/>
  <c r="AL61" i="3"/>
  <c r="R39" i="21"/>
  <c r="AL65" i="3"/>
  <c r="R32" i="21"/>
  <c r="AL58" i="3"/>
  <c r="AP58" i="3" s="1"/>
  <c r="R33" i="21"/>
  <c r="AL59" i="3"/>
  <c r="R31" i="21"/>
  <c r="AL57" i="3"/>
  <c r="R34" i="21"/>
  <c r="AL60" i="3"/>
  <c r="O3" i="20"/>
  <c r="O45" i="20" s="1"/>
  <c r="O17" i="3" s="1"/>
  <c r="O4" i="20"/>
  <c r="Q45" i="20" s="1"/>
  <c r="Q17" i="3" s="1"/>
  <c r="T48" i="20"/>
  <c r="D45" i="20"/>
  <c r="D17" i="3" s="1"/>
  <c r="C17" i="3"/>
  <c r="T45" i="20"/>
  <c r="AP62" i="3"/>
  <c r="T48" i="19"/>
  <c r="AP63" i="3"/>
  <c r="D45" i="19"/>
  <c r="D16" i="3" s="1"/>
  <c r="C16" i="3"/>
  <c r="R33" i="19"/>
  <c r="AP59" i="3"/>
  <c r="O4" i="19"/>
  <c r="Q45" i="19" s="1"/>
  <c r="Q16" i="3" s="1"/>
  <c r="R25" i="19"/>
  <c r="R26" i="19"/>
  <c r="AP52" i="3"/>
  <c r="R35" i="19"/>
  <c r="AP61" i="3"/>
  <c r="R32" i="19"/>
  <c r="R34" i="19"/>
  <c r="AP60" i="3"/>
  <c r="R24" i="19"/>
  <c r="AP50" i="3"/>
  <c r="R28" i="19"/>
  <c r="AP54" i="3"/>
  <c r="R29" i="19"/>
  <c r="AP55" i="3"/>
  <c r="R31" i="19"/>
  <c r="AP57" i="3"/>
  <c r="R39" i="19"/>
  <c r="AP65" i="3"/>
  <c r="R27" i="19"/>
  <c r="AP53" i="3"/>
  <c r="BB21" i="3"/>
  <c r="BB20" i="3"/>
  <c r="BB16" i="3"/>
  <c r="BB18" i="3"/>
  <c r="BC11" i="3"/>
  <c r="BC8" i="3"/>
  <c r="BA15" i="3"/>
  <c r="BA18" i="3"/>
  <c r="BC21" i="3"/>
  <c r="BC23" i="3"/>
  <c r="BC16" i="3"/>
  <c r="BB14" i="3"/>
  <c r="BA23" i="3"/>
  <c r="BB10" i="3"/>
  <c r="BA22" i="3"/>
  <c r="BA14" i="3"/>
  <c r="BB22" i="3"/>
  <c r="BC24" i="3"/>
  <c r="BB11" i="3"/>
  <c r="BC15" i="3"/>
  <c r="BB12" i="3"/>
  <c r="BC18" i="3"/>
  <c r="BA12" i="3"/>
  <c r="BA8" i="3"/>
  <c r="AP8" i="3"/>
  <c r="BC20" i="3"/>
  <c r="BC22" i="3"/>
  <c r="BC17" i="3"/>
  <c r="BA19" i="3"/>
  <c r="BB15" i="3"/>
  <c r="BA16" i="3"/>
  <c r="BB9" i="3"/>
  <c r="BB19" i="3"/>
  <c r="BA17" i="3"/>
  <c r="BA9" i="3"/>
  <c r="BA13" i="3"/>
  <c r="BC19" i="3"/>
  <c r="BB8" i="3"/>
  <c r="O5" i="19"/>
  <c r="P45" i="19" s="1"/>
  <c r="P16" i="3" s="1"/>
  <c r="O3" i="19"/>
  <c r="O45" i="19" s="1"/>
  <c r="O16" i="3" s="1"/>
  <c r="D45" i="18"/>
  <c r="D15" i="3" s="1"/>
  <c r="C15" i="3"/>
  <c r="R33" i="18"/>
  <c r="R34" i="18"/>
  <c r="O4" i="18"/>
  <c r="Q45" i="18" s="1"/>
  <c r="Q15" i="3" s="1"/>
  <c r="R25" i="18"/>
  <c r="R29" i="18"/>
  <c r="R32" i="18"/>
  <c r="R36" i="18"/>
  <c r="R23" i="18"/>
  <c r="R31" i="18"/>
  <c r="R24" i="18"/>
  <c r="R39" i="18"/>
  <c r="R38" i="18"/>
  <c r="AP64" i="3"/>
  <c r="R27" i="18"/>
  <c r="O3" i="18"/>
  <c r="O45" i="18" s="1"/>
  <c r="O15" i="3" s="1"/>
  <c r="O5" i="18"/>
  <c r="P45" i="18" s="1"/>
  <c r="P15" i="3" s="1"/>
  <c r="AA53" i="3"/>
  <c r="AE53" i="3" s="1"/>
  <c r="R39" i="17"/>
  <c r="AA65" i="3"/>
  <c r="R38" i="17"/>
  <c r="AA64" i="3"/>
  <c r="O4" i="17"/>
  <c r="Q45" i="17" s="1"/>
  <c r="Q14" i="3" s="1"/>
  <c r="T48" i="17"/>
  <c r="R34" i="17"/>
  <c r="AA60" i="3"/>
  <c r="AE60" i="3" s="1"/>
  <c r="D45" i="17"/>
  <c r="D14" i="3" s="1"/>
  <c r="R35" i="17"/>
  <c r="AA61" i="3"/>
  <c r="AE61" i="3" s="1"/>
  <c r="R33" i="17"/>
  <c r="AA59" i="3"/>
  <c r="AE59" i="3" s="1"/>
  <c r="R23" i="17"/>
  <c r="AA49" i="3"/>
  <c r="AE49" i="3" s="1"/>
  <c r="R26" i="17"/>
  <c r="AA52" i="3"/>
  <c r="AE52" i="3" s="1"/>
  <c r="R30" i="17"/>
  <c r="AA56" i="3"/>
  <c r="R32" i="17"/>
  <c r="AA58" i="3"/>
  <c r="AE58" i="3" s="1"/>
  <c r="O5" i="17"/>
  <c r="P45" i="17" s="1"/>
  <c r="P14" i="3" s="1"/>
  <c r="R26" i="16"/>
  <c r="R28" i="16"/>
  <c r="R29" i="16"/>
  <c r="AE55" i="3"/>
  <c r="D45" i="16"/>
  <c r="D13" i="3" s="1"/>
  <c r="C13" i="3"/>
  <c r="R23" i="16"/>
  <c r="R35" i="16"/>
  <c r="R34" i="16"/>
  <c r="R33" i="16"/>
  <c r="R30" i="16"/>
  <c r="AE56" i="3"/>
  <c r="R39" i="16"/>
  <c r="R27" i="16"/>
  <c r="R25" i="16"/>
  <c r="AE51" i="3"/>
  <c r="O5" i="16"/>
  <c r="P45" i="16" s="1"/>
  <c r="P13" i="3" s="1"/>
  <c r="R37" i="16"/>
  <c r="AE63" i="3"/>
  <c r="R32" i="16"/>
  <c r="O4" i="16"/>
  <c r="Q45" i="16" s="1"/>
  <c r="Q13" i="3" s="1"/>
  <c r="O3" i="16"/>
  <c r="O45" i="16" s="1"/>
  <c r="O13" i="3" s="1"/>
  <c r="D45" i="15"/>
  <c r="D12" i="3" s="1"/>
  <c r="C12" i="3"/>
  <c r="R24" i="15"/>
  <c r="AE50" i="3"/>
  <c r="R23" i="15"/>
  <c r="R26" i="15"/>
  <c r="R28" i="15"/>
  <c r="AE54" i="3"/>
  <c r="R31" i="15"/>
  <c r="AE57" i="3"/>
  <c r="R39" i="15"/>
  <c r="AE65" i="3"/>
  <c r="R32" i="15"/>
  <c r="R33" i="15"/>
  <c r="R38" i="15"/>
  <c r="AE64" i="3"/>
  <c r="R25" i="15"/>
  <c r="O45" i="15"/>
  <c r="O12" i="3" s="1"/>
  <c r="O4" i="15"/>
  <c r="Q45" i="15" s="1"/>
  <c r="Q12" i="3" s="1"/>
  <c r="G45" i="14"/>
  <c r="R8" i="14"/>
  <c r="R13" i="14"/>
  <c r="AO45" i="3"/>
  <c r="AS45" i="3" s="1"/>
  <c r="AO43" i="3"/>
  <c r="AS43" i="3" s="1"/>
  <c r="AO41" i="3"/>
  <c r="AS41" i="3" s="1"/>
  <c r="AO39" i="3"/>
  <c r="AS39" i="3" s="1"/>
  <c r="AO37" i="3"/>
  <c r="AS37" i="3" s="1"/>
  <c r="AO35" i="3"/>
  <c r="AS35" i="3" s="1"/>
  <c r="AO33" i="3"/>
  <c r="AS33" i="3" s="1"/>
  <c r="AO31" i="3"/>
  <c r="AS31" i="3" s="1"/>
  <c r="AN45" i="3"/>
  <c r="AR45" i="3" s="1"/>
  <c r="AN43" i="3"/>
  <c r="AR43" i="3" s="1"/>
  <c r="AN41" i="3"/>
  <c r="AR41" i="3" s="1"/>
  <c r="AN39" i="3"/>
  <c r="AR39" i="3" s="1"/>
  <c r="AN37" i="3"/>
  <c r="AR37" i="3" s="1"/>
  <c r="AN35" i="3"/>
  <c r="AR35" i="3" s="1"/>
  <c r="AN33" i="3"/>
  <c r="AR33" i="3" s="1"/>
  <c r="AN31" i="3"/>
  <c r="AR31" i="3" s="1"/>
  <c r="AM45" i="3"/>
  <c r="AQ45" i="3" s="1"/>
  <c r="AM43" i="3"/>
  <c r="AQ43" i="3" s="1"/>
  <c r="AM41" i="3"/>
  <c r="AQ41" i="3" s="1"/>
  <c r="AM39" i="3"/>
  <c r="AQ39" i="3" s="1"/>
  <c r="AM37" i="3"/>
  <c r="AQ37" i="3" s="1"/>
  <c r="AM35" i="3"/>
  <c r="AQ35" i="3" s="1"/>
  <c r="AM33" i="3"/>
  <c r="AQ33" i="3" s="1"/>
  <c r="AM31" i="3"/>
  <c r="AQ31" i="3" s="1"/>
  <c r="E45" i="14"/>
  <c r="AL43" i="3"/>
  <c r="AP43" i="3" s="1"/>
  <c r="AL33" i="3"/>
  <c r="AP33" i="3" s="1"/>
  <c r="AL31" i="3"/>
  <c r="AP31" i="3" s="1"/>
  <c r="R4" i="14"/>
  <c r="AL29" i="3"/>
  <c r="AP29" i="3" s="1"/>
  <c r="AO44" i="3"/>
  <c r="AS44" i="3" s="1"/>
  <c r="AO42" i="3"/>
  <c r="AS42" i="3" s="1"/>
  <c r="AO40" i="3"/>
  <c r="AS40" i="3" s="1"/>
  <c r="AO38" i="3"/>
  <c r="AS38" i="3" s="1"/>
  <c r="AO36" i="3"/>
  <c r="AS36" i="3" s="1"/>
  <c r="AO34" i="3"/>
  <c r="AS34" i="3" s="1"/>
  <c r="AO32" i="3"/>
  <c r="AS32" i="3" s="1"/>
  <c r="AO30" i="3"/>
  <c r="AS30" i="3" s="1"/>
  <c r="R15" i="14"/>
  <c r="AO29" i="3"/>
  <c r="AS29" i="3" s="1"/>
  <c r="AN44" i="3"/>
  <c r="AR44" i="3" s="1"/>
  <c r="AN42" i="3"/>
  <c r="AR42" i="3" s="1"/>
  <c r="AN40" i="3"/>
  <c r="AR40" i="3" s="1"/>
  <c r="AN38" i="3"/>
  <c r="AR38" i="3" s="1"/>
  <c r="AN36" i="3"/>
  <c r="AR36" i="3" s="1"/>
  <c r="AN34" i="3"/>
  <c r="AR34" i="3" s="1"/>
  <c r="AN32" i="3"/>
  <c r="AR32" i="3" s="1"/>
  <c r="AN30" i="3"/>
  <c r="AR30" i="3" s="1"/>
  <c r="AN29" i="3"/>
  <c r="AR29" i="3" s="1"/>
  <c r="AM44" i="3"/>
  <c r="AQ44" i="3" s="1"/>
  <c r="AM42" i="3"/>
  <c r="AQ42" i="3" s="1"/>
  <c r="AM40" i="3"/>
  <c r="AQ40" i="3" s="1"/>
  <c r="AM38" i="3"/>
  <c r="AQ38" i="3" s="1"/>
  <c r="AM36" i="3"/>
  <c r="AQ36" i="3" s="1"/>
  <c r="AM34" i="3"/>
  <c r="AQ34" i="3" s="1"/>
  <c r="AM32" i="3"/>
  <c r="AQ32" i="3" s="1"/>
  <c r="AM30" i="3"/>
  <c r="AQ30" i="3" s="1"/>
  <c r="R9" i="14"/>
  <c r="AM29" i="3"/>
  <c r="AQ29" i="3" s="1"/>
  <c r="AL44" i="3"/>
  <c r="AP44" i="3" s="1"/>
  <c r="AL42" i="3"/>
  <c r="AP42" i="3" s="1"/>
  <c r="AL36" i="3"/>
  <c r="AP36" i="3" s="1"/>
  <c r="T47" i="14"/>
  <c r="T46" i="14"/>
  <c r="U30" i="14"/>
  <c r="T48" i="14" s="1"/>
  <c r="U38" i="14"/>
  <c r="F45" i="14"/>
  <c r="N45" i="14"/>
  <c r="N5" i="14"/>
  <c r="R6" i="14"/>
  <c r="R14" i="14"/>
  <c r="H45" i="14"/>
  <c r="R12" i="14"/>
  <c r="R11" i="14"/>
  <c r="R19" i="14"/>
  <c r="J45" i="14"/>
  <c r="N3" i="14"/>
  <c r="N4" i="14"/>
  <c r="O4" i="14" s="1"/>
  <c r="Q45" i="14" s="1"/>
  <c r="C45" i="14"/>
  <c r="G45" i="13"/>
  <c r="G10" i="3" s="1"/>
  <c r="K45" i="13"/>
  <c r="K10" i="3" s="1"/>
  <c r="N4" i="13"/>
  <c r="R12" i="13"/>
  <c r="R6" i="13"/>
  <c r="M45" i="13"/>
  <c r="M10" i="3" s="1"/>
  <c r="R14" i="13"/>
  <c r="T46" i="13"/>
  <c r="T47" i="13"/>
  <c r="U38" i="13"/>
  <c r="F45" i="13"/>
  <c r="F10" i="3" s="1"/>
  <c r="N45" i="13"/>
  <c r="N10" i="3" s="1"/>
  <c r="R7" i="13"/>
  <c r="R15" i="13"/>
  <c r="R5" i="13"/>
  <c r="R13" i="13"/>
  <c r="U28" i="13"/>
  <c r="H45" i="13"/>
  <c r="H10" i="3" s="1"/>
  <c r="R11" i="13"/>
  <c r="R19" i="13"/>
  <c r="J45" i="13"/>
  <c r="J10" i="3" s="1"/>
  <c r="C45" i="13"/>
  <c r="U24" i="13"/>
  <c r="L45" i="13"/>
  <c r="L10" i="3" s="1"/>
  <c r="N3" i="13"/>
  <c r="O3" i="13" s="1"/>
  <c r="O45" i="13" s="1"/>
  <c r="O10" i="3" s="1"/>
  <c r="R3" i="13"/>
  <c r="T45" i="29" l="1"/>
  <c r="T45" i="28"/>
  <c r="T45" i="27"/>
  <c r="T45" i="25"/>
  <c r="T45" i="24"/>
  <c r="T45" i="22"/>
  <c r="T45" i="21"/>
  <c r="T45" i="19"/>
  <c r="T45" i="18"/>
  <c r="T45" i="17"/>
  <c r="T45" i="16"/>
  <c r="T45" i="15"/>
  <c r="R39" i="14"/>
  <c r="AL45" i="3"/>
  <c r="AP45" i="3" s="1"/>
  <c r="R26" i="14"/>
  <c r="AL32" i="3"/>
  <c r="AP32" i="3" s="1"/>
  <c r="R24" i="14"/>
  <c r="AL30" i="3"/>
  <c r="AP30" i="3" s="1"/>
  <c r="R31" i="14"/>
  <c r="AL37" i="3"/>
  <c r="AP37" i="3" s="1"/>
  <c r="R29" i="14"/>
  <c r="AL35" i="3"/>
  <c r="AP35" i="3" s="1"/>
  <c r="R32" i="14"/>
  <c r="AL38" i="3"/>
  <c r="AP38" i="3" s="1"/>
  <c r="R33" i="14"/>
  <c r="AL39" i="3"/>
  <c r="AP39" i="3" s="1"/>
  <c r="D45" i="14"/>
  <c r="R34" i="14"/>
  <c r="AL40" i="3"/>
  <c r="AP40" i="3" s="1"/>
  <c r="R35" i="14"/>
  <c r="AL41" i="3"/>
  <c r="AP41" i="3" s="1"/>
  <c r="R28" i="14"/>
  <c r="AL34" i="3"/>
  <c r="AP34" i="3" s="1"/>
  <c r="O3" i="14"/>
  <c r="O45" i="14" s="1"/>
  <c r="O5" i="14"/>
  <c r="P45" i="14" s="1"/>
  <c r="R25" i="13"/>
  <c r="R34" i="13"/>
  <c r="R32" i="13"/>
  <c r="R26" i="13"/>
  <c r="R27" i="13"/>
  <c r="R39" i="13"/>
  <c r="T48" i="13"/>
  <c r="R35" i="13"/>
  <c r="R31" i="13"/>
  <c r="R33" i="13"/>
  <c r="D45" i="13"/>
  <c r="D10" i="3" s="1"/>
  <c r="C10" i="3"/>
  <c r="R23" i="13"/>
  <c r="T45" i="13" s="1"/>
  <c r="Q45" i="13"/>
  <c r="Q10" i="3" s="1"/>
  <c r="O5" i="13"/>
  <c r="P45" i="13" s="1"/>
  <c r="P10" i="3" s="1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9" i="3"/>
  <c r="AJ10" i="3"/>
  <c r="L5" i="2" s="1"/>
  <c r="L52" i="2" s="1"/>
  <c r="AJ11" i="3"/>
  <c r="L6" i="2" s="1"/>
  <c r="L53" i="2" s="1"/>
  <c r="AJ12" i="3"/>
  <c r="L7" i="2" s="1"/>
  <c r="L54" i="2" s="1"/>
  <c r="AJ13" i="3"/>
  <c r="L8" i="2" s="1"/>
  <c r="L55" i="2" s="1"/>
  <c r="AJ14" i="3"/>
  <c r="L9" i="2" s="1"/>
  <c r="L56" i="2" s="1"/>
  <c r="AJ15" i="3"/>
  <c r="L10" i="2" s="1"/>
  <c r="L57" i="2" s="1"/>
  <c r="AJ17" i="3"/>
  <c r="L12" i="2" s="1"/>
  <c r="L59" i="2" s="1"/>
  <c r="AJ19" i="3"/>
  <c r="L14" i="2" s="1"/>
  <c r="L61" i="2" s="1"/>
  <c r="AJ20" i="3"/>
  <c r="L15" i="2" s="1"/>
  <c r="L62" i="2" s="1"/>
  <c r="AJ21" i="3"/>
  <c r="AJ22" i="3"/>
  <c r="AJ23" i="3"/>
  <c r="L18" i="2" s="1"/>
  <c r="L65" i="2" s="1"/>
  <c r="B45" i="12"/>
  <c r="T44" i="12"/>
  <c r="Z39" i="12"/>
  <c r="Y39" i="12"/>
  <c r="X39" i="12"/>
  <c r="Z38" i="12"/>
  <c r="Y38" i="12"/>
  <c r="X38" i="12"/>
  <c r="Z37" i="12"/>
  <c r="Y37" i="12"/>
  <c r="X37" i="12"/>
  <c r="Z36" i="12"/>
  <c r="Y36" i="12"/>
  <c r="X36" i="12"/>
  <c r="Z35" i="12"/>
  <c r="Y35" i="12"/>
  <c r="X35" i="12"/>
  <c r="Z34" i="12"/>
  <c r="Y34" i="12"/>
  <c r="X34" i="12"/>
  <c r="Z33" i="12"/>
  <c r="Y33" i="12"/>
  <c r="X33" i="12"/>
  <c r="Z32" i="12"/>
  <c r="Y32" i="12"/>
  <c r="X32" i="12"/>
  <c r="Z31" i="12"/>
  <c r="Y31" i="12"/>
  <c r="X31" i="12"/>
  <c r="Z30" i="12"/>
  <c r="Y30" i="12"/>
  <c r="X30" i="12"/>
  <c r="Z29" i="12"/>
  <c r="Y29" i="12"/>
  <c r="X29" i="12"/>
  <c r="Z28" i="12"/>
  <c r="Y28" i="12"/>
  <c r="X28" i="12"/>
  <c r="Z27" i="12"/>
  <c r="Y27" i="12"/>
  <c r="X27" i="12"/>
  <c r="Z26" i="12"/>
  <c r="Y26" i="12"/>
  <c r="X26" i="12"/>
  <c r="Z25" i="12"/>
  <c r="Y25" i="12"/>
  <c r="X25" i="12"/>
  <c r="Z24" i="12"/>
  <c r="Y24" i="12"/>
  <c r="X24" i="12"/>
  <c r="Z23" i="12"/>
  <c r="Y23" i="12"/>
  <c r="X23" i="12"/>
  <c r="Z22" i="12"/>
  <c r="Y22" i="12"/>
  <c r="X22" i="12"/>
  <c r="Z21" i="12"/>
  <c r="Y21" i="12"/>
  <c r="X21" i="12"/>
  <c r="Z20" i="12"/>
  <c r="Y20" i="12"/>
  <c r="X20" i="12"/>
  <c r="Z19" i="12"/>
  <c r="Y19" i="12"/>
  <c r="X19" i="12"/>
  <c r="U19" i="12"/>
  <c r="U39" i="12" s="1"/>
  <c r="T19" i="12"/>
  <c r="T39" i="12" s="1"/>
  <c r="S19" i="12"/>
  <c r="S39" i="12" s="1"/>
  <c r="Z18" i="12"/>
  <c r="Y18" i="12"/>
  <c r="X18" i="12"/>
  <c r="U18" i="12"/>
  <c r="R18" i="12" s="1"/>
  <c r="R38" i="12" s="1"/>
  <c r="T18" i="12"/>
  <c r="T38" i="12" s="1"/>
  <c r="S18" i="12"/>
  <c r="S38" i="12" s="1"/>
  <c r="Z17" i="12"/>
  <c r="Y17" i="12"/>
  <c r="X17" i="12"/>
  <c r="U17" i="12"/>
  <c r="R17" i="12" s="1"/>
  <c r="R37" i="12" s="1"/>
  <c r="T17" i="12"/>
  <c r="T37" i="12" s="1"/>
  <c r="S17" i="12"/>
  <c r="S37" i="12" s="1"/>
  <c r="Z16" i="12"/>
  <c r="Y16" i="12"/>
  <c r="X16" i="12"/>
  <c r="U16" i="12"/>
  <c r="U36" i="12" s="1"/>
  <c r="T16" i="12"/>
  <c r="T36" i="12" s="1"/>
  <c r="S16" i="12"/>
  <c r="S36" i="12" s="1"/>
  <c r="Z15" i="12"/>
  <c r="Y15" i="12"/>
  <c r="X15" i="12"/>
  <c r="U15" i="12"/>
  <c r="U35" i="12" s="1"/>
  <c r="T15" i="12"/>
  <c r="T35" i="12" s="1"/>
  <c r="S15" i="12"/>
  <c r="S35" i="12" s="1"/>
  <c r="Z14" i="12"/>
  <c r="Y14" i="12"/>
  <c r="X14" i="12"/>
  <c r="U14" i="12"/>
  <c r="U34" i="12" s="1"/>
  <c r="T14" i="12"/>
  <c r="T34" i="12" s="1"/>
  <c r="S14" i="12"/>
  <c r="S34" i="12" s="1"/>
  <c r="Z13" i="12"/>
  <c r="Y13" i="12"/>
  <c r="X13" i="12"/>
  <c r="U13" i="12"/>
  <c r="U33" i="12" s="1"/>
  <c r="T13" i="12"/>
  <c r="T33" i="12" s="1"/>
  <c r="S13" i="12"/>
  <c r="S33" i="12" s="1"/>
  <c r="Z12" i="12"/>
  <c r="Y12" i="12"/>
  <c r="X12" i="12"/>
  <c r="U12" i="12"/>
  <c r="U32" i="12" s="1"/>
  <c r="T12" i="12"/>
  <c r="T32" i="12" s="1"/>
  <c r="S12" i="12"/>
  <c r="S32" i="12" s="1"/>
  <c r="Z11" i="12"/>
  <c r="Y11" i="12"/>
  <c r="X11" i="12"/>
  <c r="U11" i="12"/>
  <c r="U31" i="12" s="1"/>
  <c r="T11" i="12"/>
  <c r="T31" i="12" s="1"/>
  <c r="S11" i="12"/>
  <c r="S31" i="12" s="1"/>
  <c r="Z10" i="12"/>
  <c r="Y10" i="12"/>
  <c r="X10" i="12"/>
  <c r="U10" i="12"/>
  <c r="R10" i="12" s="1"/>
  <c r="R30" i="12" s="1"/>
  <c r="T10" i="12"/>
  <c r="T30" i="12" s="1"/>
  <c r="S10" i="12"/>
  <c r="S30" i="12" s="1"/>
  <c r="Z9" i="12"/>
  <c r="Y9" i="12"/>
  <c r="X9" i="12"/>
  <c r="U9" i="12"/>
  <c r="U29" i="12" s="1"/>
  <c r="T9" i="12"/>
  <c r="T29" i="12" s="1"/>
  <c r="S9" i="12"/>
  <c r="S29" i="12" s="1"/>
  <c r="R9" i="12"/>
  <c r="R29" i="12" s="1"/>
  <c r="Z8" i="12"/>
  <c r="Y8" i="12"/>
  <c r="X8" i="12"/>
  <c r="U8" i="12"/>
  <c r="U28" i="12" s="1"/>
  <c r="T8" i="12"/>
  <c r="T28" i="12" s="1"/>
  <c r="S8" i="12"/>
  <c r="S28" i="12" s="1"/>
  <c r="R8" i="12"/>
  <c r="R28" i="12" s="1"/>
  <c r="Z7" i="12"/>
  <c r="Y7" i="12"/>
  <c r="X7" i="12"/>
  <c r="U7" i="12"/>
  <c r="U27" i="12" s="1"/>
  <c r="T7" i="12"/>
  <c r="T27" i="12" s="1"/>
  <c r="S7" i="12"/>
  <c r="S27" i="12" s="1"/>
  <c r="Z6" i="12"/>
  <c r="Y6" i="12"/>
  <c r="X6" i="12"/>
  <c r="U6" i="12"/>
  <c r="U26" i="12" s="1"/>
  <c r="T6" i="12"/>
  <c r="T26" i="12" s="1"/>
  <c r="S6" i="12"/>
  <c r="S26" i="12" s="1"/>
  <c r="Z5" i="12"/>
  <c r="Y5" i="12"/>
  <c r="X5" i="12"/>
  <c r="U5" i="12"/>
  <c r="U25" i="12" s="1"/>
  <c r="T5" i="12"/>
  <c r="T25" i="12" s="1"/>
  <c r="S5" i="12"/>
  <c r="S25" i="12" s="1"/>
  <c r="M5" i="12"/>
  <c r="L5" i="12"/>
  <c r="I45" i="12" s="1"/>
  <c r="Z4" i="12"/>
  <c r="Y4" i="12"/>
  <c r="X4" i="12"/>
  <c r="U4" i="12"/>
  <c r="U24" i="12" s="1"/>
  <c r="T4" i="12"/>
  <c r="T24" i="12" s="1"/>
  <c r="S4" i="12"/>
  <c r="S24" i="12" s="1"/>
  <c r="M4" i="12"/>
  <c r="L4" i="12"/>
  <c r="L45" i="12" s="1"/>
  <c r="U3" i="12"/>
  <c r="U23" i="12" s="1"/>
  <c r="T3" i="12"/>
  <c r="T23" i="12" s="1"/>
  <c r="S3" i="12"/>
  <c r="S23" i="12" s="1"/>
  <c r="R3" i="12"/>
  <c r="R23" i="12" s="1"/>
  <c r="M3" i="12"/>
  <c r="L3" i="12"/>
  <c r="E45" i="12" s="1"/>
  <c r="AI29" i="3"/>
  <c r="M4" i="11"/>
  <c r="B8" i="3"/>
  <c r="B7" i="3"/>
  <c r="B45" i="11"/>
  <c r="T44" i="11"/>
  <c r="Z39" i="11"/>
  <c r="Y39" i="11"/>
  <c r="X39" i="11"/>
  <c r="Z38" i="11"/>
  <c r="Y38" i="11"/>
  <c r="X38" i="11"/>
  <c r="Z37" i="11"/>
  <c r="Y37" i="11"/>
  <c r="X37" i="11"/>
  <c r="Z36" i="11"/>
  <c r="Y36" i="11"/>
  <c r="X36" i="11"/>
  <c r="Z35" i="11"/>
  <c r="Y35" i="11"/>
  <c r="X35" i="11"/>
  <c r="Z34" i="11"/>
  <c r="Y34" i="11"/>
  <c r="X34" i="11"/>
  <c r="Z33" i="11"/>
  <c r="Y33" i="11"/>
  <c r="X33" i="11"/>
  <c r="Z32" i="11"/>
  <c r="Y32" i="11"/>
  <c r="X32" i="11"/>
  <c r="Z31" i="11"/>
  <c r="Y31" i="11"/>
  <c r="X31" i="11"/>
  <c r="Z30" i="11"/>
  <c r="Y30" i="11"/>
  <c r="X30" i="11"/>
  <c r="Z29" i="11"/>
  <c r="Y29" i="11"/>
  <c r="X29" i="1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U19" i="11"/>
  <c r="U39" i="11" s="1"/>
  <c r="T19" i="11"/>
  <c r="T39" i="11" s="1"/>
  <c r="S19" i="11"/>
  <c r="S39" i="11" s="1"/>
  <c r="Z18" i="11"/>
  <c r="Y18" i="11"/>
  <c r="X18" i="11"/>
  <c r="U18" i="11"/>
  <c r="U38" i="11" s="1"/>
  <c r="T18" i="11"/>
  <c r="T38" i="11" s="1"/>
  <c r="S18" i="11"/>
  <c r="S38" i="11" s="1"/>
  <c r="Z17" i="11"/>
  <c r="Y17" i="11"/>
  <c r="X17" i="11"/>
  <c r="U17" i="11"/>
  <c r="U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U31" i="11" s="1"/>
  <c r="T11" i="11"/>
  <c r="T31" i="11" s="1"/>
  <c r="S11" i="11"/>
  <c r="S31" i="11" s="1"/>
  <c r="Z10" i="11"/>
  <c r="Y10" i="11"/>
  <c r="X10" i="11"/>
  <c r="U10" i="11"/>
  <c r="U30" i="11" s="1"/>
  <c r="T10" i="11"/>
  <c r="T30" i="11" s="1"/>
  <c r="S10" i="11"/>
  <c r="S30" i="11" s="1"/>
  <c r="Z9" i="11"/>
  <c r="Y9" i="11"/>
  <c r="X9" i="11"/>
  <c r="U9" i="11"/>
  <c r="U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U26" i="11" s="1"/>
  <c r="T6" i="11"/>
  <c r="T26" i="11" s="1"/>
  <c r="S6" i="11"/>
  <c r="S26" i="11" s="1"/>
  <c r="Z5" i="11"/>
  <c r="Y5" i="11"/>
  <c r="X5" i="11"/>
  <c r="U5" i="11"/>
  <c r="U25" i="11" s="1"/>
  <c r="T5" i="11"/>
  <c r="T25" i="11" s="1"/>
  <c r="S5" i="11"/>
  <c r="S25" i="11" s="1"/>
  <c r="M5" i="11"/>
  <c r="L5" i="11"/>
  <c r="I45" i="11" s="1"/>
  <c r="I8" i="3" s="1"/>
  <c r="Z4" i="11"/>
  <c r="Y4" i="11"/>
  <c r="X4" i="11"/>
  <c r="U4" i="11"/>
  <c r="U24" i="11" s="1"/>
  <c r="T4" i="11"/>
  <c r="T24" i="11" s="1"/>
  <c r="S4" i="11"/>
  <c r="S24" i="11" s="1"/>
  <c r="L4" i="11"/>
  <c r="L45" i="11" s="1"/>
  <c r="L8" i="3" s="1"/>
  <c r="U3" i="11"/>
  <c r="U23" i="11" s="1"/>
  <c r="T3" i="11"/>
  <c r="T23" i="11" s="1"/>
  <c r="S3" i="11"/>
  <c r="S23" i="11" s="1"/>
  <c r="M3" i="11"/>
  <c r="L3" i="11"/>
  <c r="AJ16" i="3"/>
  <c r="AJ18" i="3"/>
  <c r="L13" i="2" s="1"/>
  <c r="L60" i="2" s="1"/>
  <c r="AJ24" i="3"/>
  <c r="L19" i="2" s="1"/>
  <c r="L66" i="2" s="1"/>
  <c r="AP21" i="3" l="1"/>
  <c r="L16" i="2"/>
  <c r="L63" i="2" s="1"/>
  <c r="AP22" i="3"/>
  <c r="L17" i="2"/>
  <c r="L64" i="2" s="1"/>
  <c r="AP16" i="3"/>
  <c r="L11" i="2"/>
  <c r="L58" i="2" s="1"/>
  <c r="AP15" i="3"/>
  <c r="AI8" i="4"/>
  <c r="AK8" i="4"/>
  <c r="AJ8" i="4"/>
  <c r="AH8" i="4"/>
  <c r="AK12" i="4"/>
  <c r="AJ12" i="4"/>
  <c r="AI12" i="4"/>
  <c r="AH12" i="4"/>
  <c r="AP14" i="3"/>
  <c r="AK7" i="4"/>
  <c r="AJ7" i="4"/>
  <c r="AH7" i="4"/>
  <c r="AI7" i="4"/>
  <c r="AJ13" i="4"/>
  <c r="AH13" i="4"/>
  <c r="AI13" i="4"/>
  <c r="AK13" i="4"/>
  <c r="AP12" i="3"/>
  <c r="AH5" i="4"/>
  <c r="AI5" i="4"/>
  <c r="AJ5" i="4"/>
  <c r="AK5" i="4"/>
  <c r="AP18" i="3"/>
  <c r="AJ10" i="4"/>
  <c r="AK10" i="4"/>
  <c r="AH10" i="4"/>
  <c r="AI10" i="4"/>
  <c r="AP11" i="3"/>
  <c r="AI4" i="4"/>
  <c r="AK4" i="4"/>
  <c r="AJ4" i="4"/>
  <c r="AH4" i="4"/>
  <c r="AK14" i="4"/>
  <c r="AJ14" i="4"/>
  <c r="AI14" i="4"/>
  <c r="AH14" i="4"/>
  <c r="U9" i="6"/>
  <c r="AJ11" i="4"/>
  <c r="AK11" i="4"/>
  <c r="AH11" i="4"/>
  <c r="AI11" i="4"/>
  <c r="AP17" i="3"/>
  <c r="AI9" i="4"/>
  <c r="AH9" i="4"/>
  <c r="AK9" i="4"/>
  <c r="AJ9" i="4"/>
  <c r="AK6" i="4"/>
  <c r="AH6" i="4"/>
  <c r="AJ6" i="4"/>
  <c r="AI6" i="4"/>
  <c r="AP10" i="3"/>
  <c r="AK3" i="4"/>
  <c r="AH3" i="4"/>
  <c r="AI3" i="4"/>
  <c r="AJ3" i="4"/>
  <c r="AP23" i="3"/>
  <c r="U10" i="6"/>
  <c r="AP13" i="3"/>
  <c r="U7" i="6"/>
  <c r="AP20" i="3"/>
  <c r="X6" i="5"/>
  <c r="X10" i="5"/>
  <c r="AP24" i="3"/>
  <c r="T45" i="14"/>
  <c r="R16" i="12"/>
  <c r="R36" i="12" s="1"/>
  <c r="R15" i="12"/>
  <c r="R35" i="12" s="1"/>
  <c r="R14" i="12"/>
  <c r="R34" i="12" s="1"/>
  <c r="K45" i="12"/>
  <c r="R7" i="12"/>
  <c r="R27" i="12" s="1"/>
  <c r="M45" i="12"/>
  <c r="G45" i="12"/>
  <c r="R6" i="12"/>
  <c r="R26" i="12" s="1"/>
  <c r="R4" i="12"/>
  <c r="R24" i="12" s="1"/>
  <c r="T46" i="12"/>
  <c r="AC17" i="3"/>
  <c r="AC9" i="3"/>
  <c r="AG19" i="3"/>
  <c r="S9" i="6" s="1"/>
  <c r="AG11" i="3"/>
  <c r="AE23" i="3"/>
  <c r="Q10" i="6" s="1"/>
  <c r="AE22" i="3"/>
  <c r="AE14" i="3"/>
  <c r="T47" i="12"/>
  <c r="N5" i="12"/>
  <c r="U30" i="12"/>
  <c r="U38" i="12"/>
  <c r="F45" i="12"/>
  <c r="N45" i="12"/>
  <c r="U37" i="12"/>
  <c r="R5" i="12"/>
  <c r="R25" i="12" s="1"/>
  <c r="R13" i="12"/>
  <c r="R33" i="12" s="1"/>
  <c r="H45" i="12"/>
  <c r="R12" i="12"/>
  <c r="R32" i="12" s="1"/>
  <c r="R11" i="12"/>
  <c r="R31" i="12" s="1"/>
  <c r="R19" i="12"/>
  <c r="R39" i="12" s="1"/>
  <c r="J45" i="12"/>
  <c r="N3" i="12"/>
  <c r="N4" i="12"/>
  <c r="C45" i="12"/>
  <c r="D45" i="12" s="1"/>
  <c r="R14" i="11"/>
  <c r="R9" i="11"/>
  <c r="R8" i="11"/>
  <c r="R3" i="11"/>
  <c r="G45" i="11"/>
  <c r="G8" i="3" s="1"/>
  <c r="M45" i="11"/>
  <c r="M8" i="3" s="1"/>
  <c r="K45" i="11"/>
  <c r="K8" i="3" s="1"/>
  <c r="T48" i="11"/>
  <c r="R6" i="11"/>
  <c r="R12" i="11"/>
  <c r="R18" i="11"/>
  <c r="E45" i="11"/>
  <c r="E8" i="3" s="1"/>
  <c r="V6" i="3" s="1"/>
  <c r="R4" i="11"/>
  <c r="R17" i="11"/>
  <c r="R16" i="11"/>
  <c r="R10" i="11"/>
  <c r="T46" i="11"/>
  <c r="T47" i="11"/>
  <c r="N5" i="11"/>
  <c r="R7" i="11"/>
  <c r="R15" i="11"/>
  <c r="F45" i="11"/>
  <c r="F8" i="3" s="1"/>
  <c r="N45" i="11"/>
  <c r="N8" i="3" s="1"/>
  <c r="R5" i="11"/>
  <c r="R13" i="11"/>
  <c r="H45" i="11"/>
  <c r="H8" i="3" s="1"/>
  <c r="R11" i="11"/>
  <c r="R19" i="11"/>
  <c r="J45" i="11"/>
  <c r="J8" i="3" s="1"/>
  <c r="N3" i="11"/>
  <c r="N4" i="11"/>
  <c r="C45" i="11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21" i="8"/>
  <c r="Y21" i="8"/>
  <c r="Z21" i="8"/>
  <c r="X22" i="8"/>
  <c r="Y22" i="8"/>
  <c r="Z22" i="8"/>
  <c r="X23" i="8"/>
  <c r="Y23" i="8"/>
  <c r="Z23" i="8"/>
  <c r="X24" i="8"/>
  <c r="Y24" i="8"/>
  <c r="Z24" i="8"/>
  <c r="X25" i="8"/>
  <c r="Y25" i="8"/>
  <c r="Z25" i="8"/>
  <c r="X26" i="8"/>
  <c r="Y26" i="8"/>
  <c r="Z26" i="8"/>
  <c r="X27" i="8"/>
  <c r="Y27" i="8"/>
  <c r="Z27" i="8"/>
  <c r="X28" i="8"/>
  <c r="Y28" i="8"/>
  <c r="Z28" i="8"/>
  <c r="X29" i="8"/>
  <c r="Y29" i="8"/>
  <c r="Z29" i="8"/>
  <c r="X30" i="8"/>
  <c r="Y30" i="8"/>
  <c r="Z30" i="8"/>
  <c r="X31" i="8"/>
  <c r="Y31" i="8"/>
  <c r="Z31" i="8"/>
  <c r="X32" i="8"/>
  <c r="Y32" i="8"/>
  <c r="Z32" i="8"/>
  <c r="X33" i="8"/>
  <c r="Y33" i="8"/>
  <c r="Z33" i="8"/>
  <c r="X34" i="8"/>
  <c r="Y34" i="8"/>
  <c r="Z34" i="8"/>
  <c r="X35" i="8"/>
  <c r="Y35" i="8"/>
  <c r="Z35" i="8"/>
  <c r="X36" i="8"/>
  <c r="Y36" i="8"/>
  <c r="Z36" i="8"/>
  <c r="X37" i="8"/>
  <c r="Y37" i="8"/>
  <c r="Z37" i="8"/>
  <c r="X38" i="8"/>
  <c r="Y38" i="8"/>
  <c r="Z38" i="8"/>
  <c r="X39" i="8"/>
  <c r="Y39" i="8"/>
  <c r="Z39" i="8"/>
  <c r="X17" i="10"/>
  <c r="Y17" i="10"/>
  <c r="Z17" i="10"/>
  <c r="X18" i="10"/>
  <c r="Y18" i="10"/>
  <c r="Z18" i="10"/>
  <c r="X19" i="10"/>
  <c r="Y19" i="10"/>
  <c r="Z19" i="10"/>
  <c r="X20" i="10"/>
  <c r="Y20" i="10"/>
  <c r="Z20" i="10"/>
  <c r="X21" i="10"/>
  <c r="Y21" i="10"/>
  <c r="Z21" i="10"/>
  <c r="X22" i="10"/>
  <c r="Y22" i="10"/>
  <c r="Z22" i="10"/>
  <c r="X23" i="10"/>
  <c r="Y23" i="10"/>
  <c r="Z23" i="10"/>
  <c r="X24" i="10"/>
  <c r="Y24" i="10"/>
  <c r="Z24" i="10"/>
  <c r="X25" i="10"/>
  <c r="Y25" i="10"/>
  <c r="Z25" i="10"/>
  <c r="X26" i="10"/>
  <c r="Y26" i="10"/>
  <c r="Z26" i="10"/>
  <c r="X27" i="10"/>
  <c r="Y27" i="10"/>
  <c r="Z27" i="10"/>
  <c r="X28" i="10"/>
  <c r="Y28" i="10"/>
  <c r="Z28" i="10"/>
  <c r="X29" i="10"/>
  <c r="Y29" i="10"/>
  <c r="Z29" i="10"/>
  <c r="X30" i="10"/>
  <c r="Y30" i="10"/>
  <c r="Z30" i="10"/>
  <c r="X31" i="10"/>
  <c r="Y31" i="10"/>
  <c r="Z31" i="10"/>
  <c r="X32" i="10"/>
  <c r="Y32" i="10"/>
  <c r="Z32" i="10"/>
  <c r="X33" i="10"/>
  <c r="Y33" i="10"/>
  <c r="Z33" i="10"/>
  <c r="X34" i="10"/>
  <c r="Y34" i="10"/>
  <c r="Z34" i="10"/>
  <c r="X35" i="10"/>
  <c r="Y35" i="10"/>
  <c r="Z35" i="10"/>
  <c r="X36" i="10"/>
  <c r="Y36" i="10"/>
  <c r="Z36" i="10"/>
  <c r="X37" i="10"/>
  <c r="Y37" i="10"/>
  <c r="Z37" i="10"/>
  <c r="X38" i="10"/>
  <c r="Y38" i="10"/>
  <c r="Z38" i="10"/>
  <c r="X39" i="10"/>
  <c r="Y39" i="10"/>
  <c r="Z39" i="10"/>
  <c r="X21" i="9"/>
  <c r="Y21" i="9"/>
  <c r="Z21" i="9"/>
  <c r="X22" i="9"/>
  <c r="Y22" i="9"/>
  <c r="Z22" i="9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B6" i="3"/>
  <c r="B45" i="10"/>
  <c r="T44" i="10"/>
  <c r="U19" i="10"/>
  <c r="U39" i="10" s="1"/>
  <c r="T19" i="10"/>
  <c r="T39" i="10" s="1"/>
  <c r="S19" i="10"/>
  <c r="S39" i="10" s="1"/>
  <c r="U18" i="10"/>
  <c r="R18" i="10" s="1"/>
  <c r="R38" i="10" s="1"/>
  <c r="T18" i="10"/>
  <c r="T38" i="10" s="1"/>
  <c r="S18" i="10"/>
  <c r="S38" i="10" s="1"/>
  <c r="U17" i="10"/>
  <c r="U37" i="10" s="1"/>
  <c r="T17" i="10"/>
  <c r="T37" i="10" s="1"/>
  <c r="S17" i="10"/>
  <c r="S37" i="10" s="1"/>
  <c r="Z16" i="10"/>
  <c r="Y16" i="10"/>
  <c r="X16" i="10"/>
  <c r="U16" i="10"/>
  <c r="U36" i="10" s="1"/>
  <c r="T16" i="10"/>
  <c r="T36" i="10" s="1"/>
  <c r="S16" i="10"/>
  <c r="S36" i="10" s="1"/>
  <c r="Z15" i="10"/>
  <c r="Y15" i="10"/>
  <c r="X15" i="10"/>
  <c r="U15" i="10"/>
  <c r="U35" i="10" s="1"/>
  <c r="T15" i="10"/>
  <c r="T35" i="10" s="1"/>
  <c r="S15" i="10"/>
  <c r="S35" i="10" s="1"/>
  <c r="Z14" i="10"/>
  <c r="Y14" i="10"/>
  <c r="X14" i="10"/>
  <c r="U14" i="10"/>
  <c r="U34" i="10" s="1"/>
  <c r="T14" i="10"/>
  <c r="T34" i="10" s="1"/>
  <c r="S14" i="10"/>
  <c r="S34" i="10" s="1"/>
  <c r="Z13" i="10"/>
  <c r="Y13" i="10"/>
  <c r="X13" i="10"/>
  <c r="U13" i="10"/>
  <c r="U33" i="10" s="1"/>
  <c r="T13" i="10"/>
  <c r="T33" i="10" s="1"/>
  <c r="S13" i="10"/>
  <c r="S33" i="10" s="1"/>
  <c r="Z12" i="10"/>
  <c r="Y12" i="10"/>
  <c r="X12" i="10"/>
  <c r="U12" i="10"/>
  <c r="U32" i="10" s="1"/>
  <c r="T12" i="10"/>
  <c r="T32" i="10" s="1"/>
  <c r="S12" i="10"/>
  <c r="S32" i="10" s="1"/>
  <c r="Z11" i="10"/>
  <c r="Y11" i="10"/>
  <c r="X11" i="10"/>
  <c r="U11" i="10"/>
  <c r="U31" i="10" s="1"/>
  <c r="T11" i="10"/>
  <c r="T31" i="10" s="1"/>
  <c r="S11" i="10"/>
  <c r="S31" i="10" s="1"/>
  <c r="Z10" i="10"/>
  <c r="Y10" i="10"/>
  <c r="X10" i="10"/>
  <c r="U10" i="10"/>
  <c r="R10" i="10" s="1"/>
  <c r="R30" i="10" s="1"/>
  <c r="T10" i="10"/>
  <c r="T30" i="10" s="1"/>
  <c r="S10" i="10"/>
  <c r="S30" i="10" s="1"/>
  <c r="Z9" i="10"/>
  <c r="Y9" i="10"/>
  <c r="X9" i="10"/>
  <c r="U9" i="10"/>
  <c r="U29" i="10" s="1"/>
  <c r="T9" i="10"/>
  <c r="T29" i="10" s="1"/>
  <c r="S9" i="10"/>
  <c r="S29" i="10" s="1"/>
  <c r="Z8" i="10"/>
  <c r="Y8" i="10"/>
  <c r="X8" i="10"/>
  <c r="U8" i="10"/>
  <c r="U28" i="10" s="1"/>
  <c r="T8" i="10"/>
  <c r="T28" i="10" s="1"/>
  <c r="S8" i="10"/>
  <c r="S28" i="10" s="1"/>
  <c r="Z7" i="10"/>
  <c r="Y7" i="10"/>
  <c r="X7" i="10"/>
  <c r="U7" i="10"/>
  <c r="U27" i="10" s="1"/>
  <c r="T7" i="10"/>
  <c r="T27" i="10" s="1"/>
  <c r="S7" i="10"/>
  <c r="S27" i="10" s="1"/>
  <c r="Z6" i="10"/>
  <c r="Y6" i="10"/>
  <c r="X6" i="10"/>
  <c r="U6" i="10"/>
  <c r="U26" i="10" s="1"/>
  <c r="T6" i="10"/>
  <c r="T26" i="10" s="1"/>
  <c r="S6" i="10"/>
  <c r="S26" i="10" s="1"/>
  <c r="Z5" i="10"/>
  <c r="Y5" i="10"/>
  <c r="X5" i="10"/>
  <c r="U5" i="10"/>
  <c r="U25" i="10" s="1"/>
  <c r="T5" i="10"/>
  <c r="T25" i="10" s="1"/>
  <c r="S5" i="10"/>
  <c r="S25" i="10" s="1"/>
  <c r="M5" i="10"/>
  <c r="L5" i="10"/>
  <c r="I45" i="10" s="1"/>
  <c r="I7" i="3" s="1"/>
  <c r="Z4" i="10"/>
  <c r="Y4" i="10"/>
  <c r="X4" i="10"/>
  <c r="U4" i="10"/>
  <c r="U24" i="10" s="1"/>
  <c r="T4" i="10"/>
  <c r="T24" i="10" s="1"/>
  <c r="S4" i="10"/>
  <c r="S24" i="10" s="1"/>
  <c r="M4" i="10"/>
  <c r="L4" i="10"/>
  <c r="L45" i="10" s="1"/>
  <c r="L7" i="3" s="1"/>
  <c r="U3" i="10"/>
  <c r="U23" i="10" s="1"/>
  <c r="T3" i="10"/>
  <c r="T23" i="10" s="1"/>
  <c r="S3" i="10"/>
  <c r="S23" i="10" s="1"/>
  <c r="M3" i="10"/>
  <c r="L3" i="10"/>
  <c r="B45" i="7"/>
  <c r="T44" i="7"/>
  <c r="U26" i="7"/>
  <c r="T26" i="7"/>
  <c r="S26" i="7"/>
  <c r="R26" i="7"/>
  <c r="U19" i="7"/>
  <c r="U39" i="7" s="1"/>
  <c r="T19" i="7"/>
  <c r="T39" i="7" s="1"/>
  <c r="S19" i="7"/>
  <c r="S39" i="7" s="1"/>
  <c r="Z18" i="7"/>
  <c r="Y18" i="7"/>
  <c r="X18" i="7"/>
  <c r="U18" i="7"/>
  <c r="R18" i="7" s="1"/>
  <c r="R38" i="7" s="1"/>
  <c r="T18" i="7"/>
  <c r="T38" i="7" s="1"/>
  <c r="S18" i="7"/>
  <c r="S38" i="7" s="1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S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S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S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S30" i="7" s="1"/>
  <c r="Z9" i="7"/>
  <c r="Y9" i="7"/>
  <c r="X9" i="7"/>
  <c r="U9" i="7"/>
  <c r="U29" i="7" s="1"/>
  <c r="T9" i="7"/>
  <c r="T29" i="7" s="1"/>
  <c r="S9" i="7"/>
  <c r="S29" i="7" s="1"/>
  <c r="Z8" i="7"/>
  <c r="Y8" i="7"/>
  <c r="X8" i="7"/>
  <c r="U8" i="7"/>
  <c r="U28" i="7" s="1"/>
  <c r="T8" i="7"/>
  <c r="T28" i="7" s="1"/>
  <c r="S8" i="7"/>
  <c r="S28" i="7" s="1"/>
  <c r="R8" i="7"/>
  <c r="R28" i="7" s="1"/>
  <c r="Z7" i="7"/>
  <c r="Y7" i="7"/>
  <c r="X7" i="7"/>
  <c r="U7" i="7"/>
  <c r="U27" i="7" s="1"/>
  <c r="T7" i="7"/>
  <c r="T27" i="7" s="1"/>
  <c r="S7" i="7"/>
  <c r="S27" i="7" s="1"/>
  <c r="Z6" i="7"/>
  <c r="Y6" i="7"/>
  <c r="X6" i="7"/>
  <c r="U6" i="7"/>
  <c r="R6" i="7" s="1"/>
  <c r="T6" i="7"/>
  <c r="S6" i="7"/>
  <c r="Z5" i="7"/>
  <c r="Y5" i="7"/>
  <c r="X5" i="7"/>
  <c r="U5" i="7"/>
  <c r="U25" i="7" s="1"/>
  <c r="T5" i="7"/>
  <c r="T25" i="7" s="1"/>
  <c r="S5" i="7"/>
  <c r="S25" i="7" s="1"/>
  <c r="M5" i="7"/>
  <c r="L5" i="7"/>
  <c r="I45" i="7" s="1"/>
  <c r="Z4" i="7"/>
  <c r="Y4" i="7"/>
  <c r="X4" i="7"/>
  <c r="M45" i="7" s="1"/>
  <c r="U4" i="7"/>
  <c r="U24" i="7" s="1"/>
  <c r="T4" i="7"/>
  <c r="T24" i="7" s="1"/>
  <c r="S4" i="7"/>
  <c r="S24" i="7" s="1"/>
  <c r="R4" i="7"/>
  <c r="R24" i="7" s="1"/>
  <c r="M4" i="7"/>
  <c r="L4" i="7"/>
  <c r="L45" i="7" s="1"/>
  <c r="U3" i="7"/>
  <c r="U23" i="7" s="1"/>
  <c r="T3" i="7"/>
  <c r="T23" i="7" s="1"/>
  <c r="S3" i="7"/>
  <c r="S23" i="7" s="1"/>
  <c r="M3" i="7"/>
  <c r="L3" i="7"/>
  <c r="B61" i="2"/>
  <c r="C61" i="2"/>
  <c r="M61" i="2"/>
  <c r="N61" i="2"/>
  <c r="O61" i="2"/>
  <c r="P61" i="2"/>
  <c r="Q61" i="2"/>
  <c r="R61" i="2"/>
  <c r="S61" i="2"/>
  <c r="T61" i="2"/>
  <c r="U61" i="2"/>
  <c r="V14" i="2"/>
  <c r="V61" i="2" s="1"/>
  <c r="W14" i="2"/>
  <c r="W61" i="2" s="1"/>
  <c r="V15" i="2"/>
  <c r="W15" i="2"/>
  <c r="Q45" i="9"/>
  <c r="P45" i="9"/>
  <c r="O45" i="9"/>
  <c r="L45" i="9"/>
  <c r="I45" i="9"/>
  <c r="F45" i="9"/>
  <c r="E45" i="9"/>
  <c r="C45" i="9"/>
  <c r="D45" i="9" s="1"/>
  <c r="B45" i="9"/>
  <c r="B5" i="3"/>
  <c r="T44" i="9"/>
  <c r="Z39" i="9"/>
  <c r="Y39" i="9"/>
  <c r="X39" i="9"/>
  <c r="Z38" i="9"/>
  <c r="Y38" i="9"/>
  <c r="X38" i="9"/>
  <c r="Z37" i="9"/>
  <c r="Y37" i="9"/>
  <c r="X37" i="9"/>
  <c r="Z36" i="9"/>
  <c r="Y36" i="9"/>
  <c r="X36" i="9"/>
  <c r="Z35" i="9"/>
  <c r="Y35" i="9"/>
  <c r="X35" i="9"/>
  <c r="Z34" i="9"/>
  <c r="Y34" i="9"/>
  <c r="X34" i="9"/>
  <c r="Z33" i="9"/>
  <c r="Y33" i="9"/>
  <c r="X33" i="9"/>
  <c r="Z32" i="9"/>
  <c r="Y32" i="9"/>
  <c r="X32" i="9"/>
  <c r="Z31" i="9"/>
  <c r="Y31" i="9"/>
  <c r="X31" i="9"/>
  <c r="Z30" i="9"/>
  <c r="Y30" i="9"/>
  <c r="X30" i="9"/>
  <c r="U30" i="9"/>
  <c r="T30" i="9"/>
  <c r="S30" i="9"/>
  <c r="R30" i="9"/>
  <c r="Z29" i="9"/>
  <c r="Y29" i="9"/>
  <c r="X29" i="9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0" i="9"/>
  <c r="Y20" i="9"/>
  <c r="X20" i="9"/>
  <c r="Z19" i="9"/>
  <c r="Y19" i="9"/>
  <c r="X19" i="9"/>
  <c r="U19" i="9"/>
  <c r="U39" i="9" s="1"/>
  <c r="T19" i="9"/>
  <c r="T39" i="9" s="1"/>
  <c r="S19" i="9"/>
  <c r="S39" i="9" s="1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U37" i="9" s="1"/>
  <c r="T17" i="9"/>
  <c r="T37" i="9" s="1"/>
  <c r="S17" i="9"/>
  <c r="S37" i="9" s="1"/>
  <c r="R17" i="9"/>
  <c r="R37" i="9" s="1"/>
  <c r="Z16" i="9"/>
  <c r="Y16" i="9"/>
  <c r="X16" i="9"/>
  <c r="U16" i="9"/>
  <c r="U36" i="9" s="1"/>
  <c r="T16" i="9"/>
  <c r="T36" i="9" s="1"/>
  <c r="S16" i="9"/>
  <c r="S36" i="9" s="1"/>
  <c r="R16" i="9"/>
  <c r="R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U34" i="9" s="1"/>
  <c r="T14" i="9"/>
  <c r="T34" i="9" s="1"/>
  <c r="S14" i="9"/>
  <c r="S34" i="9" s="1"/>
  <c r="R14" i="9"/>
  <c r="R34" i="9" s="1"/>
  <c r="Z13" i="9"/>
  <c r="Y13" i="9"/>
  <c r="X13" i="9"/>
  <c r="U13" i="9"/>
  <c r="U33" i="9" s="1"/>
  <c r="T13" i="9"/>
  <c r="T33" i="9" s="1"/>
  <c r="S13" i="9"/>
  <c r="S33" i="9" s="1"/>
  <c r="Z12" i="9"/>
  <c r="Y12" i="9"/>
  <c r="X12" i="9"/>
  <c r="U12" i="9"/>
  <c r="U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R10" i="9" s="1"/>
  <c r="T10" i="9"/>
  <c r="S10" i="9"/>
  <c r="Z9" i="9"/>
  <c r="Y9" i="9"/>
  <c r="X9" i="9"/>
  <c r="U9" i="9"/>
  <c r="U29" i="9" s="1"/>
  <c r="T9" i="9"/>
  <c r="T29" i="9" s="1"/>
  <c r="S9" i="9"/>
  <c r="S29" i="9" s="1"/>
  <c r="R9" i="9"/>
  <c r="R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U27" i="9" s="1"/>
  <c r="T7" i="9"/>
  <c r="T27" i="9" s="1"/>
  <c r="S7" i="9"/>
  <c r="S27" i="9" s="1"/>
  <c r="Z6" i="9"/>
  <c r="Y6" i="9"/>
  <c r="X6" i="9"/>
  <c r="U6" i="9"/>
  <c r="U26" i="9" s="1"/>
  <c r="T6" i="9"/>
  <c r="T26" i="9" s="1"/>
  <c r="S6" i="9"/>
  <c r="S26" i="9" s="1"/>
  <c r="R6" i="9"/>
  <c r="R26" i="9" s="1"/>
  <c r="Z5" i="9"/>
  <c r="Y5" i="9"/>
  <c r="X5" i="9"/>
  <c r="U5" i="9"/>
  <c r="U25" i="9" s="1"/>
  <c r="T5" i="9"/>
  <c r="T25" i="9" s="1"/>
  <c r="S5" i="9"/>
  <c r="S25" i="9" s="1"/>
  <c r="M5" i="9"/>
  <c r="L5" i="9"/>
  <c r="N5" i="9" s="1"/>
  <c r="Z4" i="9"/>
  <c r="Y4" i="9"/>
  <c r="X4" i="9"/>
  <c r="U4" i="9"/>
  <c r="U24" i="9" s="1"/>
  <c r="T4" i="9"/>
  <c r="T24" i="9" s="1"/>
  <c r="S4" i="9"/>
  <c r="S24" i="9" s="1"/>
  <c r="R4" i="9"/>
  <c r="R24" i="9" s="1"/>
  <c r="M4" i="9"/>
  <c r="N4" i="9" s="1"/>
  <c r="L4" i="9"/>
  <c r="U3" i="9"/>
  <c r="U23" i="9" s="1"/>
  <c r="T3" i="9"/>
  <c r="T23" i="9" s="1"/>
  <c r="S3" i="9"/>
  <c r="S23" i="9" s="1"/>
  <c r="R3" i="9"/>
  <c r="R23" i="9" s="1"/>
  <c r="M3" i="9"/>
  <c r="L3" i="9"/>
  <c r="F5" i="3"/>
  <c r="L45" i="8"/>
  <c r="I45" i="8"/>
  <c r="F45" i="8"/>
  <c r="D45" i="8"/>
  <c r="C5" i="3"/>
  <c r="D5" i="3"/>
  <c r="E5" i="3"/>
  <c r="I5" i="3"/>
  <c r="L5" i="3"/>
  <c r="P5" i="3"/>
  <c r="Q5" i="3"/>
  <c r="O45" i="8"/>
  <c r="O5" i="3" s="1"/>
  <c r="B45" i="8"/>
  <c r="T44" i="8"/>
  <c r="U30" i="8"/>
  <c r="T30" i="8"/>
  <c r="S30" i="8"/>
  <c r="R30" i="8"/>
  <c r="Z20" i="8"/>
  <c r="Y20" i="8"/>
  <c r="X20" i="8"/>
  <c r="Z19" i="8"/>
  <c r="Y19" i="8"/>
  <c r="X19" i="8"/>
  <c r="U19" i="8"/>
  <c r="U39" i="8" s="1"/>
  <c r="T19" i="8"/>
  <c r="T39" i="8" s="1"/>
  <c r="S19" i="8"/>
  <c r="S39" i="8" s="1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U37" i="8" s="1"/>
  <c r="T17" i="8"/>
  <c r="T37" i="8" s="1"/>
  <c r="S17" i="8"/>
  <c r="S37" i="8" s="1"/>
  <c r="R17" i="8"/>
  <c r="R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U33" i="8" s="1"/>
  <c r="T13" i="8"/>
  <c r="T33" i="8" s="1"/>
  <c r="S13" i="8"/>
  <c r="S33" i="8" s="1"/>
  <c r="Z12" i="8"/>
  <c r="Y12" i="8"/>
  <c r="X12" i="8"/>
  <c r="U12" i="8"/>
  <c r="U32" i="8" s="1"/>
  <c r="T12" i="8"/>
  <c r="T32" i="8" s="1"/>
  <c r="S12" i="8"/>
  <c r="S32" i="8" s="1"/>
  <c r="R12" i="8"/>
  <c r="R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T10" i="8"/>
  <c r="S10" i="8"/>
  <c r="Z9" i="8"/>
  <c r="Y9" i="8"/>
  <c r="X9" i="8"/>
  <c r="U9" i="8"/>
  <c r="U29" i="8" s="1"/>
  <c r="T9" i="8"/>
  <c r="T29" i="8" s="1"/>
  <c r="S9" i="8"/>
  <c r="S29" i="8" s="1"/>
  <c r="R9" i="8"/>
  <c r="R29" i="8" s="1"/>
  <c r="Z8" i="8"/>
  <c r="Y8" i="8"/>
  <c r="X8" i="8"/>
  <c r="U8" i="8"/>
  <c r="U28" i="8" s="1"/>
  <c r="T8" i="8"/>
  <c r="T28" i="8" s="1"/>
  <c r="S8" i="8"/>
  <c r="S28" i="8" s="1"/>
  <c r="Z7" i="8"/>
  <c r="Y7" i="8"/>
  <c r="X7" i="8"/>
  <c r="U7" i="8"/>
  <c r="U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U25" i="8" s="1"/>
  <c r="T5" i="8"/>
  <c r="T25" i="8" s="1"/>
  <c r="S5" i="8"/>
  <c r="S25" i="8" s="1"/>
  <c r="M5" i="8"/>
  <c r="N5" i="8" s="1"/>
  <c r="L5" i="8"/>
  <c r="Z4" i="8"/>
  <c r="Y4" i="8"/>
  <c r="X4" i="8"/>
  <c r="U4" i="8"/>
  <c r="U24" i="8" s="1"/>
  <c r="T4" i="8"/>
  <c r="T24" i="8" s="1"/>
  <c r="S4" i="8"/>
  <c r="S24" i="8" s="1"/>
  <c r="R4" i="8"/>
  <c r="R24" i="8" s="1"/>
  <c r="M4" i="8"/>
  <c r="L4" i="8"/>
  <c r="N4" i="8" s="1"/>
  <c r="U3" i="8"/>
  <c r="U23" i="8" s="1"/>
  <c r="T3" i="8"/>
  <c r="T23" i="8" s="1"/>
  <c r="S3" i="8"/>
  <c r="S23" i="8" s="1"/>
  <c r="M3" i="8"/>
  <c r="L3" i="8"/>
  <c r="E45" i="8" s="1"/>
  <c r="B35" i="2" l="1"/>
  <c r="AC8" i="3"/>
  <c r="O4" i="12"/>
  <c r="Q45" i="12" s="1"/>
  <c r="T45" i="12"/>
  <c r="T48" i="12"/>
  <c r="O3" i="12"/>
  <c r="O45" i="12" s="1"/>
  <c r="O5" i="12"/>
  <c r="P45" i="12" s="1"/>
  <c r="R32" i="11"/>
  <c r="R29" i="11"/>
  <c r="AE17" i="3"/>
  <c r="AE20" i="3"/>
  <c r="T6" i="5" s="1"/>
  <c r="AC21" i="3"/>
  <c r="AC11" i="3"/>
  <c r="AC24" i="3"/>
  <c r="R10" i="5" s="1"/>
  <c r="R33" i="11"/>
  <c r="R26" i="11"/>
  <c r="R34" i="11"/>
  <c r="AC20" i="3"/>
  <c r="R6" i="5" s="1"/>
  <c r="AC23" i="3"/>
  <c r="O10" i="6" s="1"/>
  <c r="AG23" i="3"/>
  <c r="S10" i="6" s="1"/>
  <c r="AG13" i="3"/>
  <c r="S7" i="6" s="1"/>
  <c r="AE11" i="3"/>
  <c r="R38" i="11"/>
  <c r="AE18" i="3"/>
  <c r="R25" i="11"/>
  <c r="R30" i="11"/>
  <c r="AG22" i="3"/>
  <c r="AG8" i="3"/>
  <c r="AG10" i="3"/>
  <c r="AE16" i="3"/>
  <c r="AC14" i="3"/>
  <c r="R28" i="11"/>
  <c r="AG14" i="3"/>
  <c r="AG20" i="3"/>
  <c r="V6" i="5" s="1"/>
  <c r="R36" i="11"/>
  <c r="AE8" i="3"/>
  <c r="AC10" i="3"/>
  <c r="AE13" i="3"/>
  <c r="Q7" i="6" s="1"/>
  <c r="AC19" i="3"/>
  <c r="O9" i="6" s="1"/>
  <c r="AG16" i="3"/>
  <c r="R31" i="11"/>
  <c r="AG17" i="3"/>
  <c r="R37" i="11"/>
  <c r="AG9" i="3"/>
  <c r="AG12" i="3"/>
  <c r="AE10" i="3"/>
  <c r="AC16" i="3"/>
  <c r="AG21" i="3"/>
  <c r="AE19" i="3"/>
  <c r="R35" i="11"/>
  <c r="AE9" i="3"/>
  <c r="AE12" i="3"/>
  <c r="AE15" i="3"/>
  <c r="AC13" i="3"/>
  <c r="O7" i="6" s="1"/>
  <c r="AG18" i="3"/>
  <c r="AE24" i="3"/>
  <c r="AC22" i="3"/>
  <c r="R24" i="11"/>
  <c r="R39" i="11"/>
  <c r="R27" i="11"/>
  <c r="R23" i="11"/>
  <c r="AC12" i="3"/>
  <c r="AC15" i="3"/>
  <c r="AC18" i="3"/>
  <c r="AG15" i="3"/>
  <c r="AE21" i="3"/>
  <c r="AG24" i="3"/>
  <c r="V10" i="5" s="1"/>
  <c r="O4" i="11"/>
  <c r="Q45" i="11" s="1"/>
  <c r="Q8" i="3" s="1"/>
  <c r="D7" i="6" s="1"/>
  <c r="V78" i="3" s="1"/>
  <c r="R9" i="10"/>
  <c r="R29" i="10" s="1"/>
  <c r="R17" i="10"/>
  <c r="R37" i="10" s="1"/>
  <c r="R12" i="10"/>
  <c r="R32" i="10" s="1"/>
  <c r="D45" i="11"/>
  <c r="D8" i="3" s="1"/>
  <c r="C8" i="3"/>
  <c r="O3" i="11"/>
  <c r="O45" i="11" s="1"/>
  <c r="O8" i="3" s="1"/>
  <c r="D7" i="4" s="1"/>
  <c r="T78" i="3" s="1"/>
  <c r="O5" i="11"/>
  <c r="P45" i="11" s="1"/>
  <c r="P8" i="3" s="1"/>
  <c r="D7" i="5" s="1"/>
  <c r="U78" i="3" s="1"/>
  <c r="G45" i="10"/>
  <c r="G7" i="3" s="1"/>
  <c r="M6" i="4" s="1"/>
  <c r="AB41" i="3"/>
  <c r="AF41" i="3" s="1"/>
  <c r="AB33" i="3"/>
  <c r="AF33" i="3" s="1"/>
  <c r="AC42" i="3"/>
  <c r="AG42" i="3" s="1"/>
  <c r="AC34" i="3"/>
  <c r="AG34" i="3" s="1"/>
  <c r="AD43" i="3"/>
  <c r="AH43" i="3" s="1"/>
  <c r="AD35" i="3"/>
  <c r="AH35" i="3" s="1"/>
  <c r="K45" i="10"/>
  <c r="K7" i="3" s="1"/>
  <c r="M6" i="5" s="1"/>
  <c r="AB40" i="3"/>
  <c r="AF40" i="3" s="1"/>
  <c r="AB32" i="3"/>
  <c r="AF32" i="3" s="1"/>
  <c r="AC41" i="3"/>
  <c r="AG41" i="3" s="1"/>
  <c r="AC33" i="3"/>
  <c r="AG33" i="3" s="1"/>
  <c r="AD42" i="3"/>
  <c r="AH42" i="3" s="1"/>
  <c r="AD34" i="3"/>
  <c r="AH34" i="3" s="1"/>
  <c r="AB39" i="3"/>
  <c r="AF39" i="3" s="1"/>
  <c r="AB31" i="3"/>
  <c r="AF31" i="3" s="1"/>
  <c r="AC40" i="3"/>
  <c r="AG40" i="3" s="1"/>
  <c r="AC32" i="3"/>
  <c r="AG32" i="3" s="1"/>
  <c r="AD41" i="3"/>
  <c r="AH41" i="3" s="1"/>
  <c r="AD33" i="3"/>
  <c r="AH33" i="3" s="1"/>
  <c r="E45" i="10"/>
  <c r="E7" i="3" s="1"/>
  <c r="R4" i="10"/>
  <c r="R11" i="10"/>
  <c r="R16" i="10"/>
  <c r="AB38" i="3"/>
  <c r="AF38" i="3" s="1"/>
  <c r="AB30" i="3"/>
  <c r="AF30" i="3" s="1"/>
  <c r="AC39" i="3"/>
  <c r="AG39" i="3" s="1"/>
  <c r="AC31" i="3"/>
  <c r="AG31" i="3" s="1"/>
  <c r="AD40" i="3"/>
  <c r="AH40" i="3" s="1"/>
  <c r="AD32" i="3"/>
  <c r="AH32" i="3" s="1"/>
  <c r="N5" i="10"/>
  <c r="AA44" i="3"/>
  <c r="AE44" i="3" s="1"/>
  <c r="AA36" i="3"/>
  <c r="AE36" i="3" s="1"/>
  <c r="AB45" i="3"/>
  <c r="AF45" i="3" s="1"/>
  <c r="AB37" i="3"/>
  <c r="AF37" i="3" s="1"/>
  <c r="AB29" i="3"/>
  <c r="AF29" i="3" s="1"/>
  <c r="AC38" i="3"/>
  <c r="AG38" i="3" s="1"/>
  <c r="AC30" i="3"/>
  <c r="AG30" i="3" s="1"/>
  <c r="AD39" i="3"/>
  <c r="AH39" i="3" s="1"/>
  <c r="AD31" i="3"/>
  <c r="AH31" i="3" s="1"/>
  <c r="R3" i="10"/>
  <c r="AA43" i="3"/>
  <c r="AE43" i="3" s="1"/>
  <c r="AA35" i="3"/>
  <c r="AE35" i="3" s="1"/>
  <c r="AB44" i="3"/>
  <c r="AF44" i="3" s="1"/>
  <c r="AB36" i="3"/>
  <c r="AF36" i="3" s="1"/>
  <c r="AC45" i="3"/>
  <c r="AG45" i="3" s="1"/>
  <c r="AC37" i="3"/>
  <c r="AG37" i="3" s="1"/>
  <c r="AC29" i="3"/>
  <c r="AG29" i="3" s="1"/>
  <c r="AD38" i="3"/>
  <c r="AH38" i="3" s="1"/>
  <c r="AD30" i="3"/>
  <c r="AH30" i="3" s="1"/>
  <c r="AB43" i="3"/>
  <c r="AF43" i="3" s="1"/>
  <c r="AB35" i="3"/>
  <c r="AF35" i="3" s="1"/>
  <c r="AC44" i="3"/>
  <c r="AG44" i="3" s="1"/>
  <c r="AC36" i="3"/>
  <c r="AG36" i="3" s="1"/>
  <c r="AD45" i="3"/>
  <c r="AH45" i="3" s="1"/>
  <c r="AD37" i="3"/>
  <c r="AH37" i="3" s="1"/>
  <c r="AD29" i="3"/>
  <c r="AH29" i="3" s="1"/>
  <c r="R8" i="10"/>
  <c r="R19" i="10"/>
  <c r="AB42" i="3"/>
  <c r="AF42" i="3" s="1"/>
  <c r="AB34" i="3"/>
  <c r="AF34" i="3" s="1"/>
  <c r="AC43" i="3"/>
  <c r="AG43" i="3" s="1"/>
  <c r="AC35" i="3"/>
  <c r="AG35" i="3" s="1"/>
  <c r="AD44" i="3"/>
  <c r="AH44" i="3" s="1"/>
  <c r="AD36" i="3"/>
  <c r="AH36" i="3" s="1"/>
  <c r="T46" i="10"/>
  <c r="T47" i="10"/>
  <c r="M45" i="10"/>
  <c r="M7" i="3" s="1"/>
  <c r="O6" i="4" s="1"/>
  <c r="R7" i="10"/>
  <c r="U38" i="10"/>
  <c r="N45" i="10"/>
  <c r="N7" i="3" s="1"/>
  <c r="L6" i="5" s="1"/>
  <c r="R6" i="10"/>
  <c r="R14" i="10"/>
  <c r="J45" i="10"/>
  <c r="J7" i="3" s="1"/>
  <c r="L6" i="4" s="1"/>
  <c r="R15" i="10"/>
  <c r="U30" i="10"/>
  <c r="T48" i="10" s="1"/>
  <c r="F45" i="10"/>
  <c r="F7" i="3" s="1"/>
  <c r="R5" i="10"/>
  <c r="R13" i="10"/>
  <c r="H45" i="10"/>
  <c r="H7" i="3" s="1"/>
  <c r="P6" i="4" s="1"/>
  <c r="N3" i="10"/>
  <c r="N4" i="10"/>
  <c r="C45" i="10"/>
  <c r="T47" i="7"/>
  <c r="E45" i="7"/>
  <c r="R5" i="7"/>
  <c r="R25" i="7" s="1"/>
  <c r="R16" i="7"/>
  <c r="R36" i="7" s="1"/>
  <c r="K45" i="7"/>
  <c r="R3" i="7"/>
  <c r="R23" i="7" s="1"/>
  <c r="R15" i="7"/>
  <c r="R35" i="7" s="1"/>
  <c r="G45" i="7"/>
  <c r="R9" i="7"/>
  <c r="R29" i="7" s="1"/>
  <c r="R14" i="7"/>
  <c r="R34" i="7" s="1"/>
  <c r="T46" i="7"/>
  <c r="N5" i="7"/>
  <c r="U30" i="7"/>
  <c r="T48" i="7" s="1"/>
  <c r="U38" i="7"/>
  <c r="F45" i="7"/>
  <c r="N45" i="7"/>
  <c r="R7" i="7"/>
  <c r="R27" i="7" s="1"/>
  <c r="H45" i="7"/>
  <c r="R12" i="7"/>
  <c r="R32" i="7" s="1"/>
  <c r="R11" i="7"/>
  <c r="R31" i="7" s="1"/>
  <c r="R19" i="7"/>
  <c r="R39" i="7" s="1"/>
  <c r="J45" i="7"/>
  <c r="N3" i="7"/>
  <c r="N4" i="7"/>
  <c r="Q45" i="7" s="1"/>
  <c r="C45" i="7"/>
  <c r="D45" i="7" s="1"/>
  <c r="E6" i="3"/>
  <c r="R8" i="9"/>
  <c r="O4" i="9"/>
  <c r="Q6" i="3" s="1"/>
  <c r="D5" i="6" s="1"/>
  <c r="R7" i="9"/>
  <c r="N3" i="9"/>
  <c r="O3" i="9" s="1"/>
  <c r="O6" i="3" s="1"/>
  <c r="D5" i="4" s="1"/>
  <c r="R15" i="9"/>
  <c r="O5" i="9"/>
  <c r="P6" i="3" s="1"/>
  <c r="D5" i="5" s="1"/>
  <c r="T46" i="9"/>
  <c r="T47" i="9"/>
  <c r="U38" i="9"/>
  <c r="T48" i="9" s="1"/>
  <c r="R5" i="9"/>
  <c r="R13" i="9"/>
  <c r="R12" i="9"/>
  <c r="R11" i="9"/>
  <c r="R19" i="9"/>
  <c r="R11" i="8"/>
  <c r="R31" i="8" s="1"/>
  <c r="R16" i="8"/>
  <c r="R36" i="8" s="1"/>
  <c r="R3" i="8"/>
  <c r="R23" i="8" s="1"/>
  <c r="R5" i="8"/>
  <c r="R25" i="8" s="1"/>
  <c r="T47" i="8"/>
  <c r="R8" i="8"/>
  <c r="R28" i="8" s="1"/>
  <c r="M45" i="8"/>
  <c r="M5" i="3" s="1"/>
  <c r="O4" i="4" s="1"/>
  <c r="T46" i="8"/>
  <c r="R7" i="8"/>
  <c r="R27" i="8" s="1"/>
  <c r="R15" i="8"/>
  <c r="R35" i="8" s="1"/>
  <c r="U38" i="8"/>
  <c r="T48" i="8" s="1"/>
  <c r="N45" i="8"/>
  <c r="N5" i="3" s="1"/>
  <c r="R6" i="8"/>
  <c r="R26" i="8" s="1"/>
  <c r="R14" i="8"/>
  <c r="R34" i="8" s="1"/>
  <c r="G45" i="8"/>
  <c r="G5" i="3" s="1"/>
  <c r="R13" i="8"/>
  <c r="R33" i="8" s="1"/>
  <c r="H45" i="8"/>
  <c r="H5" i="3" s="1"/>
  <c r="P4" i="4" s="1"/>
  <c r="R19" i="8"/>
  <c r="R39" i="8" s="1"/>
  <c r="J45" i="8"/>
  <c r="J5" i="3" s="1"/>
  <c r="C45" i="8"/>
  <c r="K45" i="8"/>
  <c r="K5" i="3" s="1"/>
  <c r="M4" i="5" s="1"/>
  <c r="N3" i="8"/>
  <c r="O4" i="8" s="1"/>
  <c r="Q45" i="8" s="1"/>
  <c r="X9" i="5"/>
  <c r="AA6" i="4"/>
  <c r="AA4" i="4"/>
  <c r="B4" i="4"/>
  <c r="B6" i="4"/>
  <c r="N50" i="2"/>
  <c r="O50" i="2"/>
  <c r="P50" i="2"/>
  <c r="Q50" i="2"/>
  <c r="R50" i="2"/>
  <c r="S50" i="2"/>
  <c r="T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N53" i="2"/>
  <c r="O53" i="2"/>
  <c r="P53" i="2"/>
  <c r="Q53" i="2"/>
  <c r="R53" i="2"/>
  <c r="S53" i="2"/>
  <c r="T53" i="2"/>
  <c r="N54" i="2"/>
  <c r="O54" i="2"/>
  <c r="P54" i="2"/>
  <c r="Q54" i="2"/>
  <c r="R54" i="2"/>
  <c r="S54" i="2"/>
  <c r="T54" i="2"/>
  <c r="N55" i="2"/>
  <c r="O55" i="2"/>
  <c r="P55" i="2"/>
  <c r="Q55" i="2"/>
  <c r="R55" i="2"/>
  <c r="S55" i="2"/>
  <c r="T55" i="2"/>
  <c r="N56" i="2"/>
  <c r="O56" i="2"/>
  <c r="P56" i="2"/>
  <c r="Q56" i="2"/>
  <c r="R56" i="2"/>
  <c r="S56" i="2"/>
  <c r="T56" i="2"/>
  <c r="N57" i="2"/>
  <c r="O57" i="2"/>
  <c r="P57" i="2"/>
  <c r="Q57" i="2"/>
  <c r="R57" i="2"/>
  <c r="S57" i="2"/>
  <c r="T57" i="2"/>
  <c r="N58" i="2"/>
  <c r="O58" i="2"/>
  <c r="P58" i="2"/>
  <c r="Q58" i="2"/>
  <c r="R58" i="2"/>
  <c r="S58" i="2"/>
  <c r="T58" i="2"/>
  <c r="N59" i="2"/>
  <c r="O59" i="2"/>
  <c r="P59" i="2"/>
  <c r="Q59" i="2"/>
  <c r="R59" i="2"/>
  <c r="S59" i="2"/>
  <c r="T59" i="2"/>
  <c r="N60" i="2"/>
  <c r="O60" i="2"/>
  <c r="P60" i="2"/>
  <c r="Q60" i="2"/>
  <c r="R60" i="2"/>
  <c r="S60" i="2"/>
  <c r="T60" i="2"/>
  <c r="N62" i="2"/>
  <c r="O62" i="2"/>
  <c r="P62" i="2"/>
  <c r="Q62" i="2"/>
  <c r="R62" i="2"/>
  <c r="S62" i="2"/>
  <c r="T62" i="2"/>
  <c r="N63" i="2"/>
  <c r="O63" i="2"/>
  <c r="P63" i="2"/>
  <c r="Q63" i="2"/>
  <c r="R63" i="2"/>
  <c r="S63" i="2"/>
  <c r="T63" i="2"/>
  <c r="N64" i="2"/>
  <c r="O64" i="2"/>
  <c r="P64" i="2"/>
  <c r="Q64" i="2"/>
  <c r="R64" i="2"/>
  <c r="S64" i="2"/>
  <c r="T64" i="2"/>
  <c r="N65" i="2"/>
  <c r="O65" i="2"/>
  <c r="P65" i="2"/>
  <c r="Q65" i="2"/>
  <c r="R65" i="2"/>
  <c r="S65" i="2"/>
  <c r="T65" i="2"/>
  <c r="M51" i="2"/>
  <c r="M52" i="2"/>
  <c r="M53" i="2"/>
  <c r="M54" i="2"/>
  <c r="M55" i="2"/>
  <c r="M56" i="2"/>
  <c r="M57" i="2"/>
  <c r="M58" i="2"/>
  <c r="M59" i="2"/>
  <c r="M60" i="2"/>
  <c r="M62" i="2"/>
  <c r="M63" i="2"/>
  <c r="M64" i="2"/>
  <c r="M65" i="2"/>
  <c r="M50" i="2"/>
  <c r="P66" i="2"/>
  <c r="Q66" i="2"/>
  <c r="R66" i="2"/>
  <c r="S66" i="2"/>
  <c r="T66" i="2"/>
  <c r="M66" i="2"/>
  <c r="N66" i="2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" i="5"/>
  <c r="L7" i="4"/>
  <c r="M7" i="4"/>
  <c r="O7" i="4"/>
  <c r="P7" i="4"/>
  <c r="L8" i="4"/>
  <c r="M8" i="4"/>
  <c r="O8" i="4"/>
  <c r="P8" i="4"/>
  <c r="L9" i="4"/>
  <c r="M9" i="4"/>
  <c r="O9" i="4"/>
  <c r="P9" i="4"/>
  <c r="L10" i="4"/>
  <c r="M10" i="4"/>
  <c r="O10" i="4"/>
  <c r="P10" i="4"/>
  <c r="L11" i="4"/>
  <c r="M11" i="4"/>
  <c r="O11" i="4"/>
  <c r="P11" i="4"/>
  <c r="L12" i="4"/>
  <c r="M12" i="4"/>
  <c r="O12" i="4"/>
  <c r="P12" i="4"/>
  <c r="L13" i="4"/>
  <c r="M13" i="4"/>
  <c r="O13" i="4"/>
  <c r="P13" i="4"/>
  <c r="L14" i="4"/>
  <c r="M14" i="4"/>
  <c r="O14" i="4"/>
  <c r="P14" i="4"/>
  <c r="L15" i="4"/>
  <c r="M15" i="4"/>
  <c r="O15" i="4"/>
  <c r="P15" i="4"/>
  <c r="L16" i="4"/>
  <c r="M16" i="4"/>
  <c r="O16" i="4"/>
  <c r="P16" i="4"/>
  <c r="L17" i="4"/>
  <c r="M17" i="4"/>
  <c r="O17" i="4"/>
  <c r="P17" i="4"/>
  <c r="L18" i="4"/>
  <c r="M18" i="4"/>
  <c r="O18" i="4"/>
  <c r="P18" i="4"/>
  <c r="L19" i="4"/>
  <c r="M19" i="4"/>
  <c r="O19" i="4"/>
  <c r="P19" i="4"/>
  <c r="L20" i="4"/>
  <c r="M20" i="4"/>
  <c r="O20" i="4"/>
  <c r="P20" i="4"/>
  <c r="L21" i="4"/>
  <c r="M21" i="4"/>
  <c r="O21" i="4"/>
  <c r="P21" i="4"/>
  <c r="L22" i="4"/>
  <c r="M22" i="4"/>
  <c r="O22" i="4"/>
  <c r="P22" i="4"/>
  <c r="L23" i="4"/>
  <c r="M23" i="4"/>
  <c r="O23" i="4"/>
  <c r="P23" i="4"/>
  <c r="L24" i="4"/>
  <c r="M24" i="4"/>
  <c r="O24" i="4"/>
  <c r="P24" i="4"/>
  <c r="L25" i="4"/>
  <c r="M25" i="4"/>
  <c r="O25" i="4"/>
  <c r="P25" i="4"/>
  <c r="L26" i="4"/>
  <c r="M26" i="4"/>
  <c r="O26" i="4"/>
  <c r="P26" i="4"/>
  <c r="L27" i="4"/>
  <c r="M27" i="4"/>
  <c r="O27" i="4"/>
  <c r="P27" i="4"/>
  <c r="L28" i="4"/>
  <c r="M28" i="4"/>
  <c r="O28" i="4"/>
  <c r="P28" i="4"/>
  <c r="L29" i="4"/>
  <c r="M29" i="4"/>
  <c r="O29" i="4"/>
  <c r="P29" i="4"/>
  <c r="L30" i="4"/>
  <c r="M30" i="4"/>
  <c r="O30" i="4"/>
  <c r="P30" i="4"/>
  <c r="L31" i="4"/>
  <c r="M31" i="4"/>
  <c r="O31" i="4"/>
  <c r="P31" i="4"/>
  <c r="L32" i="4"/>
  <c r="M32" i="4"/>
  <c r="O32" i="4"/>
  <c r="P32" i="4"/>
  <c r="L33" i="4"/>
  <c r="M33" i="4"/>
  <c r="O33" i="4"/>
  <c r="P33" i="4"/>
  <c r="L34" i="4"/>
  <c r="M34" i="4"/>
  <c r="O34" i="4"/>
  <c r="P34" i="4"/>
  <c r="L35" i="4"/>
  <c r="M35" i="4"/>
  <c r="O35" i="4"/>
  <c r="P35" i="4"/>
  <c r="L36" i="4"/>
  <c r="M36" i="4"/>
  <c r="O36" i="4"/>
  <c r="P36" i="4"/>
  <c r="L37" i="4"/>
  <c r="M37" i="4"/>
  <c r="O37" i="4"/>
  <c r="P37" i="4"/>
  <c r="L38" i="4"/>
  <c r="M38" i="4"/>
  <c r="O38" i="4"/>
  <c r="P38" i="4"/>
  <c r="L39" i="4"/>
  <c r="M39" i="4"/>
  <c r="O39" i="4"/>
  <c r="P39" i="4"/>
  <c r="L40" i="4"/>
  <c r="M40" i="4"/>
  <c r="O40" i="4"/>
  <c r="P40" i="4"/>
  <c r="L4" i="4"/>
  <c r="B6" i="6"/>
  <c r="B7" i="6"/>
  <c r="C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D4" i="6"/>
  <c r="B4" i="6"/>
  <c r="B6" i="5"/>
  <c r="B7" i="5"/>
  <c r="C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D4" i="5"/>
  <c r="B4" i="5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" i="6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" i="5"/>
  <c r="A5" i="4"/>
  <c r="A6" i="4"/>
  <c r="A7" i="4"/>
  <c r="S78" i="3" s="1"/>
  <c r="B7" i="4"/>
  <c r="A8" i="4"/>
  <c r="S79" i="3" s="1"/>
  <c r="B8" i="4"/>
  <c r="A9" i="4"/>
  <c r="S80" i="3" s="1"/>
  <c r="B9" i="4"/>
  <c r="A10" i="4"/>
  <c r="S81" i="3" s="1"/>
  <c r="B10" i="4"/>
  <c r="A11" i="4"/>
  <c r="S82" i="3" s="1"/>
  <c r="B11" i="4"/>
  <c r="A12" i="4"/>
  <c r="S83" i="3" s="1"/>
  <c r="B12" i="4"/>
  <c r="A13" i="4"/>
  <c r="S84" i="3" s="1"/>
  <c r="B13" i="4"/>
  <c r="A14" i="4"/>
  <c r="S85" i="3" s="1"/>
  <c r="B14" i="4"/>
  <c r="A15" i="4"/>
  <c r="S86" i="3" s="1"/>
  <c r="B15" i="4"/>
  <c r="A16" i="4"/>
  <c r="S87" i="3" s="1"/>
  <c r="B16" i="4"/>
  <c r="A17" i="4"/>
  <c r="S88" i="3" s="1"/>
  <c r="B17" i="4"/>
  <c r="A18" i="4"/>
  <c r="S89" i="3" s="1"/>
  <c r="B18" i="4"/>
  <c r="A19" i="4"/>
  <c r="S90" i="3" s="1"/>
  <c r="B19" i="4"/>
  <c r="A20" i="4"/>
  <c r="S91" i="3" s="1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" i="4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3" i="3"/>
  <c r="AI24" i="3"/>
  <c r="AI8" i="3"/>
  <c r="AA8" i="4"/>
  <c r="U6" i="6"/>
  <c r="X5" i="5"/>
  <c r="U8" i="6"/>
  <c r="AA5" i="4"/>
  <c r="U5" i="6"/>
  <c r="X7" i="5"/>
  <c r="AA7" i="4"/>
  <c r="U66" i="2"/>
  <c r="O66" i="2"/>
  <c r="C66" i="2"/>
  <c r="B66" i="2"/>
  <c r="B65" i="2"/>
  <c r="B64" i="2"/>
  <c r="B63" i="2"/>
  <c r="B62" i="2"/>
  <c r="B60" i="2"/>
  <c r="B59" i="2"/>
  <c r="B58" i="2"/>
  <c r="B57" i="2"/>
  <c r="B56" i="2"/>
  <c r="B55" i="2"/>
  <c r="B54" i="2"/>
  <c r="B53" i="2"/>
  <c r="B52" i="2"/>
  <c r="B51" i="2"/>
  <c r="B50" i="2"/>
  <c r="B49" i="2"/>
  <c r="C65" i="2"/>
  <c r="C64" i="2"/>
  <c r="C63" i="2"/>
  <c r="C62" i="2"/>
  <c r="C60" i="2"/>
  <c r="C59" i="2"/>
  <c r="C58" i="2"/>
  <c r="C57" i="2"/>
  <c r="C56" i="2"/>
  <c r="C55" i="2"/>
  <c r="C54" i="2"/>
  <c r="C53" i="2"/>
  <c r="C52" i="2"/>
  <c r="C51" i="2"/>
  <c r="C50" i="2"/>
  <c r="C49" i="2"/>
  <c r="N49" i="2"/>
  <c r="O49" i="2"/>
  <c r="P49" i="2"/>
  <c r="Q49" i="2"/>
  <c r="R49" i="2"/>
  <c r="B41" i="2" s="1"/>
  <c r="S49" i="2"/>
  <c r="T49" i="2"/>
  <c r="U49" i="2"/>
  <c r="V49" i="2"/>
  <c r="W49" i="2"/>
  <c r="U50" i="2"/>
  <c r="U51" i="2"/>
  <c r="U52" i="2"/>
  <c r="U53" i="2"/>
  <c r="U54" i="2"/>
  <c r="U55" i="2"/>
  <c r="U56" i="2"/>
  <c r="U57" i="2"/>
  <c r="U58" i="2"/>
  <c r="U59" i="2"/>
  <c r="U60" i="2"/>
  <c r="U62" i="2"/>
  <c r="U63" i="2"/>
  <c r="U64" i="2"/>
  <c r="U65" i="2"/>
  <c r="M49" i="2"/>
  <c r="W9" i="2"/>
  <c r="W56" i="2" s="1"/>
  <c r="V4" i="2"/>
  <c r="V51" i="2" s="1"/>
  <c r="V5" i="2"/>
  <c r="V52" i="2" s="1"/>
  <c r="V6" i="2"/>
  <c r="V53" i="2" s="1"/>
  <c r="V7" i="2"/>
  <c r="V54" i="2" s="1"/>
  <c r="V8" i="2"/>
  <c r="V55" i="2" s="1"/>
  <c r="V9" i="2"/>
  <c r="V56" i="2" s="1"/>
  <c r="V10" i="2"/>
  <c r="V57" i="2" s="1"/>
  <c r="V11" i="2"/>
  <c r="V58" i="2" s="1"/>
  <c r="V12" i="2"/>
  <c r="V59" i="2" s="1"/>
  <c r="V13" i="2"/>
  <c r="V60" i="2" s="1"/>
  <c r="V62" i="2"/>
  <c r="V16" i="2"/>
  <c r="V63" i="2" s="1"/>
  <c r="V17" i="2"/>
  <c r="V64" i="2" s="1"/>
  <c r="V18" i="2"/>
  <c r="V65" i="2" s="1"/>
  <c r="V19" i="2"/>
  <c r="V66" i="2" s="1"/>
  <c r="V3" i="2"/>
  <c r="V50" i="2" s="1"/>
  <c r="B38" i="2" l="1"/>
  <c r="B25" i="2"/>
  <c r="B43" i="2"/>
  <c r="B42" i="2"/>
  <c r="B40" i="2"/>
  <c r="B39" i="2"/>
  <c r="B36" i="2"/>
  <c r="B37" i="2"/>
  <c r="Q34" i="6"/>
  <c r="P45" i="5"/>
  <c r="Q33" i="6"/>
  <c r="Q35" i="6"/>
  <c r="P44" i="5"/>
  <c r="P46" i="5"/>
  <c r="B45" i="2"/>
  <c r="B44" i="2"/>
  <c r="B26" i="2"/>
  <c r="C4" i="5"/>
  <c r="I19" i="2"/>
  <c r="T10" i="5"/>
  <c r="I14" i="2"/>
  <c r="I61" i="2" s="1"/>
  <c r="Q9" i="6"/>
  <c r="C4" i="4"/>
  <c r="U79" i="3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V79" i="3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T79" i="3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J3" i="5"/>
  <c r="I3" i="5"/>
  <c r="P41" i="4"/>
  <c r="AN9" i="3"/>
  <c r="AM9" i="3"/>
  <c r="M41" i="4"/>
  <c r="I3" i="4"/>
  <c r="M41" i="5"/>
  <c r="I3" i="6"/>
  <c r="L41" i="5"/>
  <c r="O41" i="4"/>
  <c r="J3" i="6"/>
  <c r="L41" i="4"/>
  <c r="J3" i="4"/>
  <c r="S41" i="3" s="1"/>
  <c r="T6" i="3"/>
  <c r="S6" i="3"/>
  <c r="T45" i="11"/>
  <c r="AN10" i="3"/>
  <c r="AM10" i="3"/>
  <c r="AN11" i="3"/>
  <c r="AM11" i="3"/>
  <c r="AA21" i="3"/>
  <c r="AS21" i="3" s="1"/>
  <c r="AA9" i="3"/>
  <c r="AS9" i="3" s="1"/>
  <c r="AA20" i="3"/>
  <c r="P6" i="5" s="1"/>
  <c r="AA15" i="3"/>
  <c r="AS15" i="3" s="1"/>
  <c r="AA18" i="3"/>
  <c r="AS18" i="3" s="1"/>
  <c r="AA8" i="3"/>
  <c r="AS8" i="3" s="1"/>
  <c r="AS16" i="3"/>
  <c r="AA10" i="3"/>
  <c r="AA19" i="3"/>
  <c r="AA14" i="3"/>
  <c r="AS14" i="3" s="1"/>
  <c r="AA22" i="3"/>
  <c r="AA23" i="3"/>
  <c r="M10" i="6" s="1"/>
  <c r="AA12" i="3"/>
  <c r="AA13" i="3"/>
  <c r="AA11" i="3"/>
  <c r="AA17" i="3"/>
  <c r="AA24" i="3"/>
  <c r="C6" i="4"/>
  <c r="O4" i="10"/>
  <c r="Q45" i="10" s="1"/>
  <c r="Q7" i="3" s="1"/>
  <c r="D6" i="6" s="1"/>
  <c r="C6" i="5"/>
  <c r="AA38" i="3"/>
  <c r="AE38" i="3" s="1"/>
  <c r="U6" i="3"/>
  <c r="C41" i="6"/>
  <c r="H3" i="6"/>
  <c r="H3" i="4"/>
  <c r="C41" i="4"/>
  <c r="H3" i="5"/>
  <c r="C41" i="5"/>
  <c r="C4" i="6"/>
  <c r="M4" i="4"/>
  <c r="D45" i="10"/>
  <c r="D7" i="3" s="1"/>
  <c r="C7" i="3"/>
  <c r="R33" i="10"/>
  <c r="AA39" i="3"/>
  <c r="AE39" i="3" s="1"/>
  <c r="R31" i="10"/>
  <c r="AA37" i="3"/>
  <c r="AE37" i="3" s="1"/>
  <c r="C6" i="6"/>
  <c r="R25" i="10"/>
  <c r="AA31" i="3"/>
  <c r="AE31" i="3" s="1"/>
  <c r="R24" i="10"/>
  <c r="AA30" i="3"/>
  <c r="AE30" i="3" s="1"/>
  <c r="R35" i="10"/>
  <c r="AA41" i="3"/>
  <c r="AE41" i="3" s="1"/>
  <c r="R27" i="10"/>
  <c r="AA33" i="3"/>
  <c r="AE33" i="3" s="1"/>
  <c r="R39" i="10"/>
  <c r="AA45" i="3"/>
  <c r="AE45" i="3" s="1"/>
  <c r="R28" i="10"/>
  <c r="AA34" i="3"/>
  <c r="AE34" i="3" s="1"/>
  <c r="R34" i="10"/>
  <c r="AA40" i="3"/>
  <c r="AE40" i="3" s="1"/>
  <c r="R23" i="10"/>
  <c r="AA29" i="3"/>
  <c r="AE29" i="3" s="1"/>
  <c r="R26" i="10"/>
  <c r="AA32" i="3"/>
  <c r="AE32" i="3" s="1"/>
  <c r="R36" i="10"/>
  <c r="AA42" i="3"/>
  <c r="AE42" i="3" s="1"/>
  <c r="K14" i="2"/>
  <c r="K61" i="2" s="1"/>
  <c r="G14" i="2"/>
  <c r="G61" i="2" s="1"/>
  <c r="O3" i="10"/>
  <c r="O45" i="10" s="1"/>
  <c r="O7" i="3" s="1"/>
  <c r="D6" i="4" s="1"/>
  <c r="O5" i="10"/>
  <c r="P45" i="10" s="1"/>
  <c r="P7" i="3" s="1"/>
  <c r="D6" i="5" s="1"/>
  <c r="T45" i="7"/>
  <c r="O45" i="7"/>
  <c r="P45" i="7"/>
  <c r="AD13" i="3"/>
  <c r="H45" i="9"/>
  <c r="H6" i="3" s="1"/>
  <c r="P5" i="4" s="1"/>
  <c r="K45" i="9"/>
  <c r="K6" i="3" s="1"/>
  <c r="M5" i="5" s="1"/>
  <c r="G45" i="9"/>
  <c r="G6" i="3" s="1"/>
  <c r="M5" i="4" s="1"/>
  <c r="N45" i="9"/>
  <c r="N6" i="3" s="1"/>
  <c r="L5" i="5" s="1"/>
  <c r="J45" i="9"/>
  <c r="J6" i="3" s="1"/>
  <c r="M45" i="9"/>
  <c r="M6" i="3" s="1"/>
  <c r="L6" i="3"/>
  <c r="B5" i="6" s="1"/>
  <c r="I6" i="3"/>
  <c r="B5" i="5" s="1"/>
  <c r="F6" i="3"/>
  <c r="B5" i="4" s="1"/>
  <c r="R39" i="9"/>
  <c r="R31" i="9"/>
  <c r="R32" i="9"/>
  <c r="R27" i="9"/>
  <c r="R33" i="9"/>
  <c r="R25" i="9"/>
  <c r="D6" i="3"/>
  <c r="C6" i="3"/>
  <c r="R28" i="9"/>
  <c r="R35" i="9"/>
  <c r="AH19" i="3"/>
  <c r="AD19" i="3"/>
  <c r="AF19" i="3"/>
  <c r="AF13" i="3"/>
  <c r="X4" i="5"/>
  <c r="Q6" i="6"/>
  <c r="AF10" i="3"/>
  <c r="AN3" i="4" s="1"/>
  <c r="Q8" i="6"/>
  <c r="AF14" i="3"/>
  <c r="AN7" i="4" s="1"/>
  <c r="T5" i="5"/>
  <c r="AF12" i="3"/>
  <c r="AN5" i="4" s="1"/>
  <c r="AF24" i="3"/>
  <c r="AN14" i="4" s="1"/>
  <c r="Q5" i="6"/>
  <c r="AF17" i="3"/>
  <c r="AN9" i="4" s="1"/>
  <c r="U7" i="4"/>
  <c r="AD8" i="3"/>
  <c r="O5" i="8"/>
  <c r="P45" i="8" s="1"/>
  <c r="T45" i="8"/>
  <c r="G17" i="2"/>
  <c r="G18" i="2"/>
  <c r="I17" i="2"/>
  <c r="I16" i="2"/>
  <c r="G16" i="2"/>
  <c r="AD11" i="3"/>
  <c r="AM4" i="4" s="1"/>
  <c r="I15" i="2"/>
  <c r="K16" i="2"/>
  <c r="G15" i="2"/>
  <c r="AH13" i="3"/>
  <c r="P7" i="6" l="1"/>
  <c r="AM6" i="4"/>
  <c r="P9" i="6"/>
  <c r="AM11" i="4"/>
  <c r="T9" i="6"/>
  <c r="AO11" i="4"/>
  <c r="T7" i="6"/>
  <c r="AO6" i="4"/>
  <c r="R7" i="6"/>
  <c r="AN6" i="4"/>
  <c r="R9" i="6"/>
  <c r="AN11" i="4"/>
  <c r="P43" i="5"/>
  <c r="Q32" i="6"/>
  <c r="J43" i="5"/>
  <c r="O47" i="4"/>
  <c r="I43" i="4"/>
  <c r="Q36" i="6"/>
  <c r="K32" i="6"/>
  <c r="AS10" i="3"/>
  <c r="AS11" i="3"/>
  <c r="AS13" i="3"/>
  <c r="M7" i="6"/>
  <c r="AS24" i="3"/>
  <c r="P10" i="5"/>
  <c r="AS19" i="3"/>
  <c r="M9" i="6"/>
  <c r="H19" i="2"/>
  <c r="U10" i="5"/>
  <c r="AR12" i="3"/>
  <c r="AS12" i="3"/>
  <c r="AR23" i="3"/>
  <c r="AS23" i="3"/>
  <c r="AR22" i="3"/>
  <c r="AS22" i="3"/>
  <c r="AR20" i="3"/>
  <c r="AS20" i="3"/>
  <c r="AR17" i="3"/>
  <c r="AS17" i="3"/>
  <c r="AQ21" i="3"/>
  <c r="AR21" i="3"/>
  <c r="AQ8" i="3"/>
  <c r="AR8" i="3"/>
  <c r="AB19" i="3"/>
  <c r="AL11" i="4" s="1"/>
  <c r="AR19" i="3"/>
  <c r="AQ15" i="3"/>
  <c r="AR15" i="3"/>
  <c r="AQ18" i="3"/>
  <c r="AR18" i="3"/>
  <c r="AQ10" i="3"/>
  <c r="AR10" i="3"/>
  <c r="AQ13" i="3"/>
  <c r="AR13" i="3"/>
  <c r="AQ24" i="3"/>
  <c r="AR24" i="3"/>
  <c r="AQ11" i="3"/>
  <c r="AR11" i="3"/>
  <c r="AQ16" i="3"/>
  <c r="AR16" i="3"/>
  <c r="AQ9" i="3"/>
  <c r="AR9" i="3"/>
  <c r="AQ14" i="3"/>
  <c r="AR14" i="3"/>
  <c r="AB12" i="3"/>
  <c r="AL5" i="4" s="1"/>
  <c r="AQ12" i="3"/>
  <c r="E18" i="2"/>
  <c r="AQ23" i="3"/>
  <c r="E15" i="2"/>
  <c r="AQ20" i="3"/>
  <c r="AB17" i="3"/>
  <c r="AQ17" i="3"/>
  <c r="E17" i="2"/>
  <c r="AQ22" i="3"/>
  <c r="S42" i="3"/>
  <c r="AB11" i="3"/>
  <c r="AL4" i="4" s="1"/>
  <c r="P47" i="5"/>
  <c r="O44" i="4"/>
  <c r="T45" i="10"/>
  <c r="E14" i="2"/>
  <c r="E61" i="2" s="1"/>
  <c r="E19" i="2"/>
  <c r="P5" i="5"/>
  <c r="J14" i="2"/>
  <c r="J61" i="2" s="1"/>
  <c r="H14" i="2"/>
  <c r="H61" i="2" s="1"/>
  <c r="F14" i="2"/>
  <c r="F61" i="2" s="1"/>
  <c r="L5" i="4"/>
  <c r="C5" i="5"/>
  <c r="P48" i="5" s="1"/>
  <c r="O5" i="4"/>
  <c r="C5" i="6"/>
  <c r="Q37" i="6" s="1"/>
  <c r="C5" i="4"/>
  <c r="O48" i="4" s="1"/>
  <c r="S5" i="4"/>
  <c r="AB16" i="3"/>
  <c r="AU16" i="3" s="1"/>
  <c r="AD20" i="3"/>
  <c r="AF20" i="3"/>
  <c r="O35" i="6"/>
  <c r="P35" i="6" s="1"/>
  <c r="AB20" i="3"/>
  <c r="T45" i="9"/>
  <c r="T9" i="5"/>
  <c r="AF15" i="3"/>
  <c r="AN8" i="4" s="1"/>
  <c r="V7" i="5"/>
  <c r="AH18" i="3"/>
  <c r="AO10" i="4" s="1"/>
  <c r="U8" i="4"/>
  <c r="AD9" i="3"/>
  <c r="O5" i="6"/>
  <c r="AD17" i="3"/>
  <c r="AM9" i="4" s="1"/>
  <c r="U6" i="4"/>
  <c r="AD21" i="3"/>
  <c r="F16" i="2" s="1"/>
  <c r="S6" i="6"/>
  <c r="AH10" i="3"/>
  <c r="AO3" i="4" s="1"/>
  <c r="W6" i="4"/>
  <c r="AF21" i="3"/>
  <c r="H16" i="2" s="1"/>
  <c r="O8" i="6"/>
  <c r="AD14" i="3"/>
  <c r="AM7" i="4" s="1"/>
  <c r="W8" i="4"/>
  <c r="AF9" i="3"/>
  <c r="O6" i="6"/>
  <c r="AD10" i="3"/>
  <c r="AM3" i="4" s="1"/>
  <c r="V5" i="5"/>
  <c r="AH12" i="3"/>
  <c r="AO5" i="4" s="1"/>
  <c r="U5" i="4"/>
  <c r="AD16" i="3"/>
  <c r="Y6" i="4"/>
  <c r="AH21" i="3"/>
  <c r="J16" i="2" s="1"/>
  <c r="W4" i="4"/>
  <c r="AF22" i="3"/>
  <c r="H17" i="2" s="1"/>
  <c r="U4" i="4"/>
  <c r="AD22" i="3"/>
  <c r="F17" i="2" s="1"/>
  <c r="T7" i="5"/>
  <c r="AF18" i="3"/>
  <c r="AN10" i="4" s="1"/>
  <c r="Y5" i="4"/>
  <c r="AH16" i="3"/>
  <c r="W5" i="4"/>
  <c r="AF16" i="3"/>
  <c r="R4" i="5"/>
  <c r="AD23" i="3"/>
  <c r="AM13" i="4" s="1"/>
  <c r="Y7" i="4"/>
  <c r="AH8" i="3"/>
  <c r="P9" i="5"/>
  <c r="AB15" i="3"/>
  <c r="S7" i="4"/>
  <c r="AB8" i="3"/>
  <c r="S4" i="4"/>
  <c r="AB22" i="3"/>
  <c r="AU22" i="3" s="1"/>
  <c r="AB24" i="3"/>
  <c r="P4" i="5"/>
  <c r="S8" i="4"/>
  <c r="AB9" i="3"/>
  <c r="AB23" i="3"/>
  <c r="AL13" i="4" s="1"/>
  <c r="I18" i="2"/>
  <c r="O45" i="4"/>
  <c r="K15" i="2"/>
  <c r="K19" i="2"/>
  <c r="K18" i="2"/>
  <c r="K17" i="2"/>
  <c r="E16" i="2"/>
  <c r="G19" i="2"/>
  <c r="O46" i="4"/>
  <c r="U6" i="5" l="1"/>
  <c r="AN12" i="4"/>
  <c r="S6" i="5"/>
  <c r="AM12" i="4"/>
  <c r="AU24" i="3"/>
  <c r="AL14" i="4"/>
  <c r="AU17" i="3"/>
  <c r="AL9" i="4"/>
  <c r="AU15" i="3"/>
  <c r="AL8" i="4"/>
  <c r="AU20" i="3"/>
  <c r="AL12" i="4"/>
  <c r="F18" i="2"/>
  <c r="P10" i="6"/>
  <c r="AU23" i="3"/>
  <c r="N10" i="6"/>
  <c r="Q6" i="5"/>
  <c r="AT20" i="3"/>
  <c r="AT24" i="3"/>
  <c r="AU12" i="3"/>
  <c r="AT12" i="3"/>
  <c r="D17" i="2"/>
  <c r="AT22" i="3"/>
  <c r="AT17" i="3"/>
  <c r="D18" i="2"/>
  <c r="AT23" i="3"/>
  <c r="AT8" i="3"/>
  <c r="AU8" i="3"/>
  <c r="AU9" i="3"/>
  <c r="AT9" i="3"/>
  <c r="AT15" i="3"/>
  <c r="AT16" i="3"/>
  <c r="AU11" i="3"/>
  <c r="AT11" i="3"/>
  <c r="D14" i="2"/>
  <c r="D61" i="2" s="1"/>
  <c r="N9" i="6"/>
  <c r="D19" i="2"/>
  <c r="Q10" i="5"/>
  <c r="AF11" i="3"/>
  <c r="AN4" i="4" s="1"/>
  <c r="AB10" i="3"/>
  <c r="AL3" i="4" s="1"/>
  <c r="M6" i="6"/>
  <c r="AH11" i="3"/>
  <c r="AO4" i="4" s="1"/>
  <c r="O43" i="4"/>
  <c r="F15" i="2"/>
  <c r="D15" i="2"/>
  <c r="H15" i="2"/>
  <c r="AB13" i="3"/>
  <c r="AL6" i="4" s="1"/>
  <c r="AH20" i="3"/>
  <c r="V4" i="5"/>
  <c r="AH23" i="3"/>
  <c r="AO13" i="4" s="1"/>
  <c r="M45" i="4"/>
  <c r="N45" i="4" s="1"/>
  <c r="Y8" i="4"/>
  <c r="AH9" i="3"/>
  <c r="Y4" i="4"/>
  <c r="AH22" i="3"/>
  <c r="J17" i="2" s="1"/>
  <c r="AH24" i="3"/>
  <c r="AO14" i="4" s="1"/>
  <c r="R5" i="5"/>
  <c r="AD12" i="3"/>
  <c r="AM5" i="4" s="1"/>
  <c r="O34" i="6"/>
  <c r="P34" i="6" s="1"/>
  <c r="AD24" i="3"/>
  <c r="AM14" i="4" s="1"/>
  <c r="S8" i="6"/>
  <c r="AH14" i="3"/>
  <c r="AO7" i="4" s="1"/>
  <c r="R9" i="5"/>
  <c r="AD15" i="3"/>
  <c r="AM8" i="4" s="1"/>
  <c r="T4" i="5"/>
  <c r="S5" i="6"/>
  <c r="AH17" i="3"/>
  <c r="AO9" i="4" s="1"/>
  <c r="R7" i="5"/>
  <c r="AD18" i="3"/>
  <c r="AM10" i="4" s="1"/>
  <c r="V9" i="5"/>
  <c r="AH15" i="3"/>
  <c r="AO8" i="4" s="1"/>
  <c r="AF23" i="3"/>
  <c r="AN13" i="4" s="1"/>
  <c r="W7" i="4"/>
  <c r="M46" i="4" s="1"/>
  <c r="N46" i="4" s="1"/>
  <c r="AF8" i="3"/>
  <c r="M8" i="6"/>
  <c r="AB14" i="3"/>
  <c r="M5" i="6"/>
  <c r="S6" i="4"/>
  <c r="M44" i="4" s="1"/>
  <c r="N44" i="4" s="1"/>
  <c r="AB21" i="3"/>
  <c r="AU21" i="3" s="1"/>
  <c r="P7" i="5"/>
  <c r="AB18" i="3"/>
  <c r="W6" i="5" l="1"/>
  <c r="AO12" i="4"/>
  <c r="AU14" i="3"/>
  <c r="AL7" i="4"/>
  <c r="AU18" i="3"/>
  <c r="AL10" i="4"/>
  <c r="J18" i="2"/>
  <c r="T10" i="6"/>
  <c r="H18" i="2"/>
  <c r="R10" i="6"/>
  <c r="D16" i="2"/>
  <c r="AT21" i="3"/>
  <c r="AU10" i="3"/>
  <c r="AT10" i="3"/>
  <c r="N7" i="6"/>
  <c r="AU13" i="3"/>
  <c r="AT13" i="3"/>
  <c r="AT14" i="3"/>
  <c r="AT18" i="3"/>
  <c r="F19" i="2"/>
  <c r="S10" i="5"/>
  <c r="J19" i="2"/>
  <c r="W10" i="5"/>
  <c r="N44" i="5"/>
  <c r="O44" i="5" s="1"/>
  <c r="AM8" i="3"/>
  <c r="AN8" i="3"/>
  <c r="N46" i="5"/>
  <c r="O46" i="5" s="1"/>
  <c r="O33" i="6"/>
  <c r="P33" i="6" s="1"/>
  <c r="N47" i="5"/>
  <c r="O47" i="5" s="1"/>
  <c r="J15" i="2"/>
  <c r="O36" i="6"/>
  <c r="P36" i="6" s="1"/>
  <c r="M47" i="4"/>
  <c r="N47" i="4" s="1"/>
  <c r="N45" i="5"/>
  <c r="O45" i="5" s="1"/>
  <c r="G3" i="2"/>
  <c r="I3" i="2"/>
  <c r="K3" i="2"/>
  <c r="J44" i="5" l="1"/>
  <c r="K49" i="2"/>
  <c r="J49" i="2"/>
  <c r="I49" i="2"/>
  <c r="H49" i="2"/>
  <c r="G49" i="2"/>
  <c r="F49" i="2"/>
  <c r="E49" i="2"/>
  <c r="D49" i="2"/>
  <c r="W19" i="2"/>
  <c r="W66" i="2" s="1"/>
  <c r="W18" i="2"/>
  <c r="W65" i="2" s="1"/>
  <c r="W17" i="2"/>
  <c r="W64" i="2" s="1"/>
  <c r="W16" i="2"/>
  <c r="W63" i="2" s="1"/>
  <c r="W62" i="2"/>
  <c r="W13" i="2"/>
  <c r="W60" i="2" s="1"/>
  <c r="W12" i="2"/>
  <c r="W59" i="2" s="1"/>
  <c r="W11" i="2"/>
  <c r="W58" i="2" s="1"/>
  <c r="W10" i="2"/>
  <c r="W57" i="2" s="1"/>
  <c r="W8" i="2"/>
  <c r="W55" i="2" s="1"/>
  <c r="W7" i="2"/>
  <c r="W54" i="2" s="1"/>
  <c r="W6" i="2"/>
  <c r="W53" i="2" s="1"/>
  <c r="W5" i="2"/>
  <c r="W52" i="2" s="1"/>
  <c r="W4" i="2"/>
  <c r="W51" i="2" s="1"/>
  <c r="W3" i="2"/>
  <c r="W50" i="2" s="1"/>
  <c r="B46" i="2" l="1"/>
  <c r="K9" i="2"/>
  <c r="K8" i="2"/>
  <c r="I11" i="2"/>
  <c r="K66" i="2"/>
  <c r="G9" i="2"/>
  <c r="G8" i="2"/>
  <c r="K10" i="2"/>
  <c r="G7" i="2"/>
  <c r="I9" i="2"/>
  <c r="G6" i="2"/>
  <c r="E13" i="2"/>
  <c r="E5" i="2"/>
  <c r="I7" i="2"/>
  <c r="K6" i="2"/>
  <c r="G5" i="2"/>
  <c r="E12" i="2"/>
  <c r="I6" i="2"/>
  <c r="K13" i="2"/>
  <c r="K5" i="2"/>
  <c r="G4" i="2"/>
  <c r="I13" i="2"/>
  <c r="I5" i="2"/>
  <c r="K12" i="2"/>
  <c r="I10" i="2"/>
  <c r="I12" i="2"/>
  <c r="I4" i="2"/>
  <c r="K11" i="2"/>
  <c r="E66" i="2"/>
  <c r="E9" i="2"/>
  <c r="O42" i="4" l="1"/>
  <c r="V55" i="3" s="1"/>
  <c r="T57" i="3" s="1"/>
  <c r="E7" i="2"/>
  <c r="G10" i="2"/>
  <c r="E8" i="2"/>
  <c r="E3" i="2"/>
  <c r="E4" i="2"/>
  <c r="S4" i="5"/>
  <c r="V7" i="4"/>
  <c r="V4" i="4"/>
  <c r="P6" i="6"/>
  <c r="W4" i="5"/>
  <c r="S5" i="5"/>
  <c r="P8" i="6"/>
  <c r="V8" i="4"/>
  <c r="V7" i="3"/>
  <c r="S43" i="3"/>
  <c r="W46" i="3" s="1"/>
  <c r="T7" i="3"/>
  <c r="L42" i="5"/>
  <c r="V56" i="3" s="1"/>
  <c r="U57" i="3" s="1"/>
  <c r="T43" i="3" l="1"/>
  <c r="W43" i="3" s="1"/>
  <c r="T41" i="3"/>
  <c r="W41" i="3" s="1"/>
  <c r="T42" i="3"/>
  <c r="W42" i="3" s="1"/>
  <c r="X6" i="4"/>
  <c r="Z4" i="4"/>
  <c r="H11" i="2"/>
  <c r="H58" i="2" s="1"/>
  <c r="X5" i="4"/>
  <c r="H66" i="2"/>
  <c r="H7" i="2"/>
  <c r="H54" i="2" s="1"/>
  <c r="U5" i="5"/>
  <c r="H10" i="2"/>
  <c r="H57" i="2" s="1"/>
  <c r="U9" i="5"/>
  <c r="H5" i="2"/>
  <c r="H52" i="2" s="1"/>
  <c r="R6" i="6"/>
  <c r="H13" i="2"/>
  <c r="H60" i="2" s="1"/>
  <c r="U7" i="5"/>
  <c r="J5" i="2"/>
  <c r="J52" i="2" s="1"/>
  <c r="T6" i="6"/>
  <c r="H6" i="2"/>
  <c r="H53" i="2" s="1"/>
  <c r="U4" i="5"/>
  <c r="J10" i="2"/>
  <c r="J57" i="2" s="1"/>
  <c r="W9" i="5"/>
  <c r="H9" i="2"/>
  <c r="R8" i="6"/>
  <c r="J13" i="2"/>
  <c r="J60" i="2" s="1"/>
  <c r="W7" i="5"/>
  <c r="H64" i="2"/>
  <c r="X4" i="4"/>
  <c r="J11" i="2"/>
  <c r="J58" i="2" s="1"/>
  <c r="Z5" i="4"/>
  <c r="J9" i="2"/>
  <c r="J56" i="2" s="1"/>
  <c r="T8" i="6"/>
  <c r="H65" i="2"/>
  <c r="H4" i="2"/>
  <c r="H51" i="2" s="1"/>
  <c r="X8" i="4"/>
  <c r="H12" i="2"/>
  <c r="H59" i="2" s="1"/>
  <c r="R5" i="6"/>
  <c r="J3" i="2"/>
  <c r="J50" i="2" s="1"/>
  <c r="Z7" i="4"/>
  <c r="H3" i="2"/>
  <c r="H50" i="2" s="1"/>
  <c r="X7" i="4"/>
  <c r="J6" i="2"/>
  <c r="J53" i="2" s="1"/>
  <c r="F3" i="2"/>
  <c r="F50" i="2" s="1"/>
  <c r="V6" i="4"/>
  <c r="G63" i="2"/>
  <c r="F9" i="2"/>
  <c r="F56" i="2" s="1"/>
  <c r="F5" i="2"/>
  <c r="F52" i="2" s="1"/>
  <c r="F6" i="2"/>
  <c r="F53" i="2" s="1"/>
  <c r="K7" i="2"/>
  <c r="K54" i="2" s="1"/>
  <c r="G12" i="2"/>
  <c r="G59" i="2" s="1"/>
  <c r="S7" i="5"/>
  <c r="G13" i="2"/>
  <c r="G60" i="2" s="1"/>
  <c r="J8" i="2"/>
  <c r="J55" i="2" s="1"/>
  <c r="G65" i="2"/>
  <c r="F8" i="2"/>
  <c r="F55" i="2" s="1"/>
  <c r="F62" i="2"/>
  <c r="I8" i="2"/>
  <c r="I55" i="2" s="1"/>
  <c r="K63" i="2"/>
  <c r="F4" i="2"/>
  <c r="F51" i="2" s="1"/>
  <c r="H62" i="2"/>
  <c r="I62" i="2"/>
  <c r="V5" i="4"/>
  <c r="G11" i="2"/>
  <c r="G58" i="2" s="1"/>
  <c r="F66" i="2"/>
  <c r="F7" i="2"/>
  <c r="F54" i="2" s="1"/>
  <c r="F64" i="2"/>
  <c r="K4" i="2"/>
  <c r="K51" i="2" s="1"/>
  <c r="P5" i="6"/>
  <c r="Z6" i="4"/>
  <c r="S9" i="5"/>
  <c r="K35" i="6"/>
  <c r="L42" i="4"/>
  <c r="T56" i="3" s="1"/>
  <c r="W56" i="3" s="1"/>
  <c r="W57" i="3"/>
  <c r="E50" i="2"/>
  <c r="K62" i="2"/>
  <c r="T5" i="6"/>
  <c r="U49" i="3"/>
  <c r="U50" i="3"/>
  <c r="V50" i="3" s="1"/>
  <c r="U51" i="3"/>
  <c r="U7" i="3"/>
  <c r="K50" i="2"/>
  <c r="K53" i="2"/>
  <c r="K59" i="2"/>
  <c r="J64" i="2"/>
  <c r="K55" i="2"/>
  <c r="I66" i="2"/>
  <c r="G66" i="2"/>
  <c r="K57" i="2"/>
  <c r="K64" i="2"/>
  <c r="J62" i="2"/>
  <c r="I58" i="2"/>
  <c r="I57" i="2"/>
  <c r="I51" i="2"/>
  <c r="G51" i="2"/>
  <c r="I65" i="2"/>
  <c r="G53" i="2"/>
  <c r="I56" i="2"/>
  <c r="I59" i="2"/>
  <c r="I54" i="2"/>
  <c r="G50" i="2"/>
  <c r="G64" i="2"/>
  <c r="G54" i="2"/>
  <c r="K58" i="2"/>
  <c r="I63" i="2"/>
  <c r="H63" i="2"/>
  <c r="I64" i="2"/>
  <c r="K52" i="2"/>
  <c r="G57" i="2"/>
  <c r="G56" i="2"/>
  <c r="I53" i="2"/>
  <c r="G52" i="2"/>
  <c r="J65" i="2"/>
  <c r="K65" i="2"/>
  <c r="K56" i="2"/>
  <c r="K60" i="2"/>
  <c r="I50" i="2"/>
  <c r="I52" i="2"/>
  <c r="G55" i="2"/>
  <c r="I60" i="2"/>
  <c r="G62" i="2"/>
  <c r="B34" i="2" l="1"/>
  <c r="B32" i="2"/>
  <c r="B30" i="2"/>
  <c r="J4" i="2"/>
  <c r="J51" i="2" s="1"/>
  <c r="Z8" i="4"/>
  <c r="J7" i="2"/>
  <c r="J54" i="2" s="1"/>
  <c r="W5" i="5"/>
  <c r="H8" i="2"/>
  <c r="H55" i="2" s="1"/>
  <c r="D13" i="2"/>
  <c r="D60" i="2" s="1"/>
  <c r="Q7" i="5"/>
  <c r="D5" i="2"/>
  <c r="N6" i="6"/>
  <c r="D9" i="2"/>
  <c r="D56" i="2" s="1"/>
  <c r="N8" i="6"/>
  <c r="T6" i="4"/>
  <c r="D7" i="2"/>
  <c r="Q5" i="5"/>
  <c r="D66" i="2"/>
  <c r="D12" i="2"/>
  <c r="N5" i="6"/>
  <c r="D4" i="2"/>
  <c r="T8" i="4"/>
  <c r="D8" i="2"/>
  <c r="T4" i="4"/>
  <c r="J12" i="2"/>
  <c r="J59" i="2" s="1"/>
  <c r="J66" i="2"/>
  <c r="J45" i="5"/>
  <c r="E6" i="2"/>
  <c r="E53" i="2" s="1"/>
  <c r="E10" i="2"/>
  <c r="E57" i="2" s="1"/>
  <c r="J63" i="2"/>
  <c r="F11" i="2"/>
  <c r="F58" i="2" s="1"/>
  <c r="F10" i="2"/>
  <c r="F57" i="2" s="1"/>
  <c r="F65" i="2"/>
  <c r="T5" i="4"/>
  <c r="E11" i="2"/>
  <c r="E58" i="2" s="1"/>
  <c r="F63" i="2"/>
  <c r="F12" i="2"/>
  <c r="F59" i="2" s="1"/>
  <c r="F13" i="2"/>
  <c r="F60" i="2" s="1"/>
  <c r="K33" i="6"/>
  <c r="I45" i="4"/>
  <c r="I46" i="4"/>
  <c r="U55" i="3"/>
  <c r="W55" i="3" s="1"/>
  <c r="J46" i="5"/>
  <c r="E54" i="2"/>
  <c r="E60" i="2"/>
  <c r="E62" i="2"/>
  <c r="V51" i="3"/>
  <c r="W51" i="3"/>
  <c r="E64" i="2"/>
  <c r="V49" i="3"/>
  <c r="W49" i="3"/>
  <c r="W50" i="3"/>
  <c r="E55" i="2"/>
  <c r="H56" i="2"/>
  <c r="E65" i="2"/>
  <c r="E52" i="2"/>
  <c r="E63" i="2"/>
  <c r="E56" i="2"/>
  <c r="E59" i="2"/>
  <c r="E51" i="2"/>
  <c r="B28" i="2" l="1"/>
  <c r="B31" i="2"/>
  <c r="B29" i="2"/>
  <c r="B33" i="2"/>
  <c r="K34" i="6"/>
  <c r="D3" i="2"/>
  <c r="D50" i="2" s="1"/>
  <c r="T7" i="4"/>
  <c r="D10" i="2"/>
  <c r="D57" i="2" s="1"/>
  <c r="Q9" i="5"/>
  <c r="D6" i="2"/>
  <c r="D53" i="2" s="1"/>
  <c r="Q4" i="5"/>
  <c r="D11" i="2"/>
  <c r="D58" i="2" s="1"/>
  <c r="D64" i="2"/>
  <c r="I44" i="4"/>
  <c r="D65" i="2"/>
  <c r="D54" i="2"/>
  <c r="D51" i="2"/>
  <c r="D62" i="2"/>
  <c r="D52" i="2"/>
  <c r="D59" i="2"/>
  <c r="D63" i="2"/>
  <c r="D55" i="2"/>
  <c r="B27" i="2" l="1"/>
</calcChain>
</file>

<file path=xl/sharedStrings.xml><?xml version="1.0" encoding="utf-8"?>
<sst xmlns="http://schemas.openxmlformats.org/spreadsheetml/2006/main" count="5324" uniqueCount="330">
  <si>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</si>
  <si>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</si>
  <si>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</si>
  <si>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</si>
  <si>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</si>
  <si>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</si>
  <si>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</si>
  <si>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</si>
  <si>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</si>
  <si>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</si>
  <si>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</si>
  <si>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</si>
  <si>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</si>
  <si>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</si>
  <si>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</si>
  <si>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</si>
  <si>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</si>
  <si>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</si>
  <si>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</si>
  <si>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</si>
  <si>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</si>
  <si>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</si>
  <si>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</si>
  <si>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</si>
  <si>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</si>
  <si>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</si>
  <si>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</si>
  <si>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</si>
  <si>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</si>
  <si>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</si>
  <si>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</si>
  <si>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</si>
  <si>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</si>
  <si>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</si>
  <si>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</si>
  <si>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</si>
  <si>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</si>
  <si>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</si>
  <si>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</si>
  <si>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</si>
  <si>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</si>
  <si>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</si>
  <si>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</si>
  <si>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</si>
  <si>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</si>
  <si>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</si>
  <si>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</si>
  <si>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</si>
  <si>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</si>
  <si>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</si>
  <si>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</si>
  <si>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</si>
  <si>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</si>
  <si>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</si>
  <si>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</si>
  <si>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</si>
  <si>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</si>
  <si>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</si>
  <si>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</si>
  <si>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</si>
  <si>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</si>
  <si>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</si>
  <si>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</si>
  <si>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</si>
  <si>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</si>
  <si>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</si>
  <si>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</si>
  <si>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</si>
  <si>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</si>
  <si>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</si>
  <si>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</si>
  <si>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</si>
  <si>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</si>
  <si>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</si>
  <si>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</si>
  <si>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</si>
  <si>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</si>
  <si>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</si>
  <si>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</si>
  <si>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</si>
  <si>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</si>
  <si>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</si>
  <si>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</si>
  <si>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</si>
  <si>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</si>
  <si>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</si>
  <si>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</si>
  <si>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</si>
  <si>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</si>
  <si>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</si>
  <si>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</si>
  <si>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</si>
  <si>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</si>
  <si>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</si>
  <si>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</si>
  <si>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</si>
  <si>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</si>
  <si>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</si>
  <si>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</si>
  <si>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</si>
  <si>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</si>
  <si>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</si>
  <si>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</si>
  <si>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</si>
  <si>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</si>
  <si>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</si>
  <si>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</si>
  <si>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</si>
  <si>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</si>
  <si>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</si>
  <si>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</si>
  <si>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Team Loose Gooses</t>
  </si>
  <si>
    <t>S-Streak</t>
  </si>
  <si>
    <t>Steps for each day:</t>
  </si>
  <si>
    <t>Put new data in new page</t>
  </si>
  <si>
    <t>Sam James</t>
  </si>
  <si>
    <t>Ladder Points:</t>
  </si>
  <si>
    <t>Averages2</t>
  </si>
  <si>
    <t>Averages3</t>
  </si>
  <si>
    <t>COPY THIS</t>
  </si>
  <si>
    <t>Missed Games</t>
  </si>
  <si>
    <t>Did not Play</t>
  </si>
  <si>
    <t>Avg F</t>
  </si>
  <si>
    <t>Avg M</t>
  </si>
  <si>
    <t>Avg P</t>
  </si>
  <si>
    <t>Week 1</t>
  </si>
  <si>
    <t>Week 2</t>
  </si>
  <si>
    <t>Christopher</t>
  </si>
  <si>
    <t>Nicholas</t>
  </si>
  <si>
    <t>Week 3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</si>
  <si>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</si>
  <si>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</si>
  <si>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</si>
  <si>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</si>
  <si>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</si>
  <si>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</si>
  <si>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</si>
  <si>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</si>
  <si>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</si>
  <si>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</si>
  <si>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TA</t>
  </si>
  <si>
    <t>TB</t>
  </si>
  <si>
    <t>Week 4</t>
  </si>
  <si>
    <t>League Stats</t>
  </si>
  <si>
    <t>Percentage</t>
  </si>
  <si>
    <t>Points Counter Over Days</t>
  </si>
  <si>
    <t>Week 5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</si>
  <si>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</si>
  <si>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</si>
  <si>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</si>
  <si>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</si>
  <si>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</si>
  <si>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</si>
  <si>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</si>
  <si>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</si>
  <si>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</si>
  <si>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</si>
  <si>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</si>
  <si>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</si>
  <si>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</si>
  <si>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</si>
  <si>
    <t>LTBO Manager</t>
  </si>
  <si>
    <t>LTBO CEO</t>
  </si>
  <si>
    <t>../Images/Logo.png</t>
  </si>
  <si>
    <t>Avg T</t>
  </si>
  <si>
    <t>Preseason</t>
  </si>
  <si>
    <t>Days</t>
  </si>
  <si>
    <t>{</t>
  </si>
  <si>
    <t>},</t>
  </si>
  <si>
    <t>Global Stats Section</t>
  </si>
  <si>
    <t>LG W</t>
  </si>
  <si>
    <t>WW W</t>
  </si>
  <si>
    <t>5M W</t>
  </si>
  <si>
    <t>LG P</t>
  </si>
  <si>
    <t>WW P</t>
  </si>
  <si>
    <t>5M P</t>
  </si>
  <si>
    <t>LG L WW</t>
  </si>
  <si>
    <t>LG L 5M</t>
  </si>
  <si>
    <t>WW L LG</t>
  </si>
  <si>
    <t>WW L 5M</t>
  </si>
  <si>
    <t>5M L LG</t>
  </si>
  <si>
    <t>5M L WW</t>
  </si>
  <si>
    <t>Update 'week' section and change days played</t>
  </si>
  <si>
    <t>Update top left</t>
  </si>
  <si>
    <t>Record bests from each team</t>
  </si>
  <si>
    <t>Upload new SfW</t>
  </si>
  <si>
    <t>Upload new Day Array</t>
  </si>
  <si>
    <t>Upload new Box Score</t>
  </si>
  <si>
    <t>Upload new Team Pages</t>
  </si>
  <si>
    <t>GM of Wet Willies</t>
  </si>
  <si>
    <t>GM of 5 Musketeers</t>
  </si>
  <si>
    <t>GM of Loose Gooses</t>
  </si>
  <si>
    <t>Players</t>
  </si>
  <si>
    <t>Retained by 5 Musketeers</t>
  </si>
  <si>
    <t>Retained by Wet Willies</t>
  </si>
  <si>
    <t>Retained by Loose Gooses</t>
  </si>
  <si>
    <t>Drafted by Loose Gooses</t>
  </si>
  <si>
    <t>Drafted by Wet Willies</t>
  </si>
  <si>
    <t>Out due to injury. Signed by Wet Willies</t>
  </si>
  <si>
    <t>Drafted by 5 Musketeers</t>
  </si>
  <si>
    <t>William Scott</t>
  </si>
  <si>
    <t>Week 7</t>
  </si>
  <si>
    <t>Will Weekes</t>
  </si>
  <si>
    <t>11-July</t>
  </si>
  <si>
    <t>Finish</t>
  </si>
  <si>
    <t>Three Pointer</t>
  </si>
  <si>
    <t>William Kim, Christopher Tomkinson, Conor Farrington</t>
  </si>
  <si>
    <t>N/A</t>
  </si>
  <si>
    <t>12-July</t>
  </si>
  <si>
    <t>Angus Walker, Christopher Tomkinson</t>
  </si>
  <si>
    <t>Will</t>
  </si>
  <si>
    <t>LTBO Photographer</t>
  </si>
  <si>
    <t>Miles Morales</t>
  </si>
  <si>
    <t>13-July</t>
  </si>
  <si>
    <t>Clarrie Jones, Michael Iffland</t>
  </si>
  <si>
    <t>Michael Iffland, William Scott</t>
  </si>
  <si>
    <t>17-July</t>
  </si>
  <si>
    <t>18-July</t>
  </si>
  <si>
    <t>Games</t>
  </si>
  <si>
    <t>Medians</t>
  </si>
  <si>
    <t>League</t>
  </si>
  <si>
    <t>Rebounds</t>
  </si>
  <si>
    <t>Assists</t>
  </si>
  <si>
    <t>Steals</t>
  </si>
  <si>
    <t>Christopher Tomkinson, William Kim</t>
  </si>
  <si>
    <t>Missed</t>
  </si>
  <si>
    <t>19-July</t>
  </si>
  <si>
    <t>T1</t>
  </si>
  <si>
    <t>T2</t>
  </si>
  <si>
    <t>Predicted</t>
  </si>
  <si>
    <t>To beat last term's</t>
  </si>
  <si>
    <t>Remaining</t>
  </si>
  <si>
    <t>Minimum Average</t>
  </si>
  <si>
    <t>Points ahead required to clinch position</t>
  </si>
  <si>
    <t>Typical</t>
  </si>
  <si>
    <t>20-July</t>
  </si>
  <si>
    <t>Christopher Tomkinson, Angus Walker</t>
  </si>
  <si>
    <t>Ryan Pattemore, Rudy Hoschke, Lukas Johnston</t>
  </si>
  <si>
    <t>Drafted by 5 Musketeers. Traded to Wet Willies</t>
  </si>
  <si>
    <t>Drafted by Wet Willies. Traded to 5 Musketeers</t>
  </si>
  <si>
    <t>24-July</t>
  </si>
  <si>
    <t>26-July</t>
  </si>
  <si>
    <t>Christopher Tomkinson, Conor Farrington</t>
  </si>
  <si>
    <t>Lukas Johnston, Rudy Hoschke</t>
  </si>
  <si>
    <t>27-July</t>
  </si>
  <si>
    <t>Total R</t>
  </si>
  <si>
    <t>Total A</t>
  </si>
  <si>
    <t>Total S</t>
  </si>
  <si>
    <t>Avg R</t>
  </si>
  <si>
    <t>Avg A</t>
  </si>
  <si>
    <t>Avg S</t>
  </si>
  <si>
    <t>Recorded</t>
  </si>
  <si>
    <t>Angus Walker, Jasper Collier</t>
  </si>
  <si>
    <t>Samuel McConaghy, Nicholas Szogi, Alexander Galt</t>
  </si>
  <si>
    <t>31-July</t>
  </si>
  <si>
    <t>12-August</t>
  </si>
  <si>
    <t>Forfeit</t>
  </si>
  <si>
    <t>Michael Iffland, Clarrie Jones</t>
  </si>
  <si>
    <t>Samuel McConaghy, Nicholas Szogi</t>
  </si>
  <si>
    <t>1-August</t>
  </si>
  <si>
    <t>Change</t>
  </si>
  <si>
    <t>% Change</t>
  </si>
  <si>
    <t>Conor Farrington, Angus Walker</t>
  </si>
  <si>
    <t>Earliest possible clinch day:</t>
  </si>
  <si>
    <t>2-August</t>
  </si>
  <si>
    <t>3-August</t>
  </si>
  <si>
    <t>Mitch Yue, Michael Iffland</t>
  </si>
  <si>
    <t>8-August</t>
  </si>
  <si>
    <t>Finals Week</t>
  </si>
  <si>
    <t>Drafted by Wet Willies. Dropped by Wet Willies. Signed by 5 Musketeers</t>
  </si>
  <si>
    <t>9-August</t>
  </si>
  <si>
    <t>Angus Walker, William Kim</t>
  </si>
  <si>
    <t>10-August</t>
  </si>
  <si>
    <t>Against Us</t>
  </si>
  <si>
    <t>AVG P</t>
  </si>
  <si>
    <t>AVG F</t>
  </si>
  <si>
    <t>AVG M</t>
  </si>
  <si>
    <t>AVG T</t>
  </si>
  <si>
    <t>Difference P</t>
  </si>
  <si>
    <t>Difference M</t>
  </si>
  <si>
    <t>Difference T</t>
  </si>
  <si>
    <t>Difference F</t>
  </si>
  <si>
    <t>Against LG</t>
  </si>
  <si>
    <t>14-August</t>
  </si>
  <si>
    <t>Alexander Galt, Samuel McConaghy</t>
  </si>
  <si>
    <t>15-August</t>
  </si>
  <si>
    <t>17-August</t>
  </si>
  <si>
    <t>1-0</t>
  </si>
  <si>
    <t>-</t>
  </si>
  <si>
    <t>1-1</t>
  </si>
  <si>
    <t>2-1</t>
  </si>
  <si>
    <t>2-0</t>
  </si>
  <si>
    <t>Score</t>
  </si>
  <si>
    <t>22-August</t>
  </si>
  <si>
    <t>21-August</t>
  </si>
  <si>
    <t>23-August</t>
  </si>
  <si>
    <t>MVP ORDER</t>
  </si>
  <si>
    <t>Please select your favourite three for mip</t>
  </si>
  <si>
    <t>Please select your favourite three for X-Factor</t>
  </si>
  <si>
    <t>Offensive team order</t>
  </si>
  <si>
    <t>Defensive team order</t>
  </si>
  <si>
    <t>Teammate of the term</t>
  </si>
  <si>
    <t>Notable performance</t>
  </si>
  <si>
    <t>Samuel McConaghy scoring 12 points</t>
  </si>
  <si>
    <t>Conor Farrington recording 6 rebounds and 3 steals in one day</t>
  </si>
  <si>
    <t>Clarrie Jones hitting a league high 3 threes, including the shot to come second for the day</t>
  </si>
  <si>
    <t>Loose Gooses going 15-0</t>
  </si>
  <si>
    <t xml:space="preserve"> Clarrie Jones</t>
  </si>
  <si>
    <t xml:space="preserve"> Nicholas Szogi</t>
  </si>
  <si>
    <t xml:space="preserve"> Lukas Johnston</t>
  </si>
  <si>
    <t xml:space="preserve"> Ryan Pattemore</t>
  </si>
  <si>
    <t xml:space="preserve"> Conor Farrington</t>
  </si>
  <si>
    <t xml:space="preserve"> Sam James</t>
  </si>
  <si>
    <t xml:space="preserve"> Mitch Yue</t>
  </si>
  <si>
    <t xml:space="preserve"> Jasper Collier</t>
  </si>
  <si>
    <t xml:space="preserve"> Will Weekes</t>
  </si>
  <si>
    <t xml:space="preserve"> Christopher Tomkinson</t>
  </si>
  <si>
    <t xml:space="preserve"> Angus Walker</t>
  </si>
  <si>
    <t xml:space="preserve"> Alexander Galt</t>
  </si>
  <si>
    <t xml:space="preserve"> Rudy Hoschke</t>
  </si>
  <si>
    <t xml:space="preserve"> Michael Iffland</t>
  </si>
  <si>
    <t xml:space="preserve"> William Kim</t>
  </si>
  <si>
    <t xml:space="preserve"> Samuel McConaghy</t>
  </si>
  <si>
    <t>SUM</t>
  </si>
  <si>
    <t>Will W</t>
  </si>
  <si>
    <t>Nicholas Szogi, Clarrie Jones, Christopher Tomkinson</t>
  </si>
  <si>
    <t>Sam James, Ryan Pattemore, Mitch Yue</t>
  </si>
  <si>
    <t>Nicholas Szogi, Lukas Johnston, Clarrie Jones</t>
  </si>
  <si>
    <t>Conor Farrington, Lukas Johnston, Will Weekes</t>
  </si>
  <si>
    <t>Christopher Tomkinson, Lukas Johnston, Conor Farrington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</si>
</sst>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4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FF8B2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5" fillId="0" borderId="1"/>
    <xf numFmtId="9" fontId="26" fillId="0" borderId="0" applyFont="0" applyFill="0" applyBorder="0" applyAlignment="0" applyProtection="0"/>
  </cellStyleXfs>
  <cellXfs count="192">
    <xf numFmtId="0" fontId="0" fillId="0" borderId="0" xfId="0" applyFont="1" applyAlignment="1"/>
    <xf numFmtId="0" fontId="26" fillId="0" borderId="0" xfId="0" applyFont="1"/>
    <xf numFmtId="0" fontId="26" fillId="0" borderId="0" xfId="0" applyFont="1" applyAlignment="1"/>
    <xf numFmtId="0" fontId="28" fillId="0" borderId="0" xfId="0" applyFont="1"/>
    <xf numFmtId="2" fontId="27" fillId="0" borderId="0" xfId="0" applyNumberFormat="1" applyFont="1"/>
    <xf numFmtId="164" fontId="29" fillId="0" borderId="0" xfId="0" applyNumberFormat="1" applyFont="1"/>
    <xf numFmtId="0" fontId="28" fillId="0" borderId="0" xfId="0" applyFont="1" applyAlignment="1"/>
    <xf numFmtId="2" fontId="26" fillId="0" borderId="0" xfId="0" applyNumberFormat="1" applyFont="1"/>
    <xf numFmtId="1" fontId="26" fillId="0" borderId="0" xfId="0" applyNumberFormat="1" applyFont="1"/>
    <xf numFmtId="1" fontId="27" fillId="0" borderId="0" xfId="0" applyNumberFormat="1" applyFont="1"/>
    <xf numFmtId="10" fontId="27" fillId="0" borderId="0" xfId="0" applyNumberFormat="1" applyFont="1"/>
    <xf numFmtId="0" fontId="26" fillId="0" borderId="0" xfId="0" applyFont="1"/>
    <xf numFmtId="16" fontId="26" fillId="0" borderId="0" xfId="0" applyNumberFormat="1" applyFont="1" applyAlignment="1"/>
    <xf numFmtId="0" fontId="31" fillId="0" borderId="0" xfId="0" applyFont="1" applyAlignment="1"/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0" fontId="31" fillId="0" borderId="3" xfId="0" applyFont="1" applyFill="1" applyBorder="1"/>
    <xf numFmtId="0" fontId="31" fillId="0" borderId="4" xfId="0" applyFont="1" applyFill="1" applyBorder="1"/>
    <xf numFmtId="0" fontId="31" fillId="0" borderId="4" xfId="0" applyFont="1" applyFill="1" applyBorder="1" applyAlignment="1"/>
    <xf numFmtId="0" fontId="32" fillId="0" borderId="4" xfId="0" applyFont="1" applyFill="1" applyBorder="1" applyAlignment="1"/>
    <xf numFmtId="0" fontId="28" fillId="0" borderId="5" xfId="0" applyFont="1" applyFill="1" applyBorder="1"/>
    <xf numFmtId="0" fontId="0" fillId="0" borderId="0" xfId="0"/>
    <xf numFmtId="0" fontId="37" fillId="0" borderId="0" xfId="0" applyFont="1"/>
    <xf numFmtId="9" fontId="0" fillId="0" borderId="0" xfId="2" applyFont="1" applyAlignment="1"/>
    <xf numFmtId="0" fontId="31" fillId="0" borderId="0" xfId="0" applyFont="1" applyFill="1"/>
    <xf numFmtId="0" fontId="31" fillId="0" borderId="0" xfId="0" applyFont="1" applyFill="1" applyAlignment="1"/>
    <xf numFmtId="0" fontId="32" fillId="0" borderId="0" xfId="0" applyFont="1" applyFill="1" applyAlignment="1"/>
    <xf numFmtId="1" fontId="0" fillId="0" borderId="0" xfId="0" quotePrefix="1" applyNumberFormat="1" applyFont="1" applyFill="1" applyAlignment="1"/>
    <xf numFmtId="2" fontId="27" fillId="0" borderId="0" xfId="0" applyNumberFormat="1" applyFont="1" applyFill="1"/>
    <xf numFmtId="1" fontId="26" fillId="0" borderId="0" xfId="0" applyNumberFormat="1" applyFont="1" applyFill="1" applyAlignment="1"/>
    <xf numFmtId="0" fontId="26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32" fillId="0" borderId="5" xfId="0" applyFont="1" applyFill="1" applyBorder="1" applyAlignment="1"/>
    <xf numFmtId="9" fontId="0" fillId="0" borderId="0" xfId="0" applyNumberFormat="1" applyFont="1" applyAlignment="1"/>
    <xf numFmtId="0" fontId="0" fillId="0" borderId="1" xfId="0" applyFont="1" applyFill="1" applyBorder="1" applyAlignment="1">
      <alignment vertical="center"/>
    </xf>
    <xf numFmtId="0" fontId="31" fillId="0" borderId="0" xfId="0" applyFont="1" applyAlignment="1">
      <alignment horizontal="center"/>
    </xf>
    <xf numFmtId="0" fontId="25" fillId="0" borderId="0" xfId="0" applyFont="1" applyAlignment="1"/>
    <xf numFmtId="165" fontId="37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0" fontId="23" fillId="0" borderId="0" xfId="0" applyFont="1" applyAlignment="1"/>
    <xf numFmtId="16" fontId="24" fillId="0" borderId="0" xfId="0" applyNumberFormat="1" applyFont="1" applyAlignment="1"/>
    <xf numFmtId="0" fontId="26" fillId="0" borderId="0" xfId="0" applyFont="1" applyFill="1" applyAlignment="1"/>
    <xf numFmtId="0" fontId="35" fillId="0" borderId="1" xfId="1" applyNumberFormat="1"/>
    <xf numFmtId="0" fontId="36" fillId="0" borderId="1" xfId="0" applyFont="1" applyBorder="1" applyAlignment="1">
      <alignment horizontal="center"/>
    </xf>
    <xf numFmtId="49" fontId="27" fillId="0" borderId="0" xfId="0" applyNumberFormat="1" applyFont="1"/>
    <xf numFmtId="0" fontId="28" fillId="3" borderId="0" xfId="0" applyFont="1" applyFill="1"/>
    <xf numFmtId="0" fontId="26" fillId="3" borderId="0" xfId="0" applyFont="1" applyFill="1"/>
    <xf numFmtId="0" fontId="31" fillId="0" borderId="0" xfId="0" applyNumberFormat="1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9" fontId="0" fillId="0" borderId="1" xfId="2" applyFont="1" applyFill="1" applyBorder="1" applyAlignment="1"/>
    <xf numFmtId="0" fontId="38" fillId="0" borderId="1" xfId="0" applyFont="1" applyFill="1" applyBorder="1" applyAlignment="1">
      <alignment vertical="center"/>
    </xf>
    <xf numFmtId="0" fontId="32" fillId="0" borderId="1" xfId="0" applyFont="1" applyFill="1" applyBorder="1" applyAlignment="1"/>
    <xf numFmtId="10" fontId="0" fillId="0" borderId="1" xfId="2" applyNumberFormat="1" applyFont="1" applyFill="1" applyBorder="1" applyAlignment="1"/>
    <xf numFmtId="0" fontId="26" fillId="0" borderId="2" xfId="0" applyFont="1" applyFill="1" applyBorder="1" applyAlignment="1"/>
    <xf numFmtId="1" fontId="0" fillId="0" borderId="2" xfId="0" quotePrefix="1" applyNumberFormat="1" applyFont="1" applyFill="1" applyBorder="1" applyAlignment="1"/>
    <xf numFmtId="2" fontId="27" fillId="0" borderId="2" xfId="0" applyNumberFormat="1" applyFont="1" applyFill="1" applyBorder="1"/>
    <xf numFmtId="1" fontId="26" fillId="0" borderId="2" xfId="0" applyNumberFormat="1" applyFont="1" applyFill="1" applyBorder="1" applyAlignment="1"/>
    <xf numFmtId="0" fontId="26" fillId="0" borderId="2" xfId="0" applyFont="1" applyFill="1" applyBorder="1"/>
    <xf numFmtId="1" fontId="27" fillId="0" borderId="6" xfId="0" applyNumberFormat="1" applyFont="1" applyFill="1" applyBorder="1"/>
    <xf numFmtId="0" fontId="21" fillId="0" borderId="0" xfId="0" applyFont="1" applyAlignment="1"/>
    <xf numFmtId="0" fontId="28" fillId="0" borderId="0" xfId="0" applyFont="1" applyFill="1"/>
    <xf numFmtId="0" fontId="27" fillId="0" borderId="0" xfId="0" applyFont="1" applyFill="1" applyAlignment="1">
      <alignment horizontal="center"/>
    </xf>
    <xf numFmtId="0" fontId="21" fillId="0" borderId="2" xfId="0" applyFont="1" applyFill="1" applyBorder="1" applyAlignment="1"/>
    <xf numFmtId="49" fontId="0" fillId="0" borderId="0" xfId="0" applyNumberFormat="1" applyFont="1" applyAlignment="1"/>
    <xf numFmtId="49" fontId="0" fillId="0" borderId="0" xfId="0" applyNumberFormat="1"/>
    <xf numFmtId="16" fontId="27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0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3" borderId="0" xfId="0" applyFont="1" applyFill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9" fontId="27" fillId="0" borderId="1" xfId="2" applyFont="1" applyFill="1" applyBorder="1" applyAlignment="1">
      <alignment vertical="center"/>
    </xf>
    <xf numFmtId="0" fontId="30" fillId="3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9" fontId="27" fillId="0" borderId="0" xfId="0" applyNumberFormat="1" applyFont="1" applyAlignment="1">
      <alignment vertical="center"/>
    </xf>
    <xf numFmtId="0" fontId="26" fillId="0" borderId="0" xfId="0" quotePrefix="1" applyFont="1" applyAlignment="1">
      <alignment vertical="center"/>
    </xf>
    <xf numFmtId="165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" fontId="27" fillId="0" borderId="1" xfId="0" applyNumberFormat="1" applyFont="1" applyFill="1" applyBorder="1" applyAlignment="1">
      <alignment vertical="center"/>
    </xf>
    <xf numFmtId="0" fontId="36" fillId="0" borderId="1" xfId="0" applyFont="1" applyBorder="1" applyAlignment="1"/>
    <xf numFmtId="0" fontId="20" fillId="0" borderId="0" xfId="0" applyFont="1" applyAlignment="1"/>
    <xf numFmtId="0" fontId="20" fillId="0" borderId="0" xfId="0" applyFont="1"/>
    <xf numFmtId="0" fontId="27" fillId="4" borderId="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1" xfId="0" applyFont="1" applyFill="1" applyBorder="1"/>
    <xf numFmtId="0" fontId="39" fillId="0" borderId="1" xfId="0" applyFont="1" applyFill="1" applyBorder="1" applyAlignment="1"/>
    <xf numFmtId="0" fontId="40" fillId="0" borderId="1" xfId="0" applyFont="1" applyFill="1" applyBorder="1" applyAlignment="1"/>
    <xf numFmtId="0" fontId="37" fillId="0" borderId="1" xfId="0" applyFont="1" applyFill="1" applyBorder="1" applyAlignment="1">
      <alignment vertical="center"/>
    </xf>
    <xf numFmtId="0" fontId="31" fillId="3" borderId="2" xfId="0" applyFont="1" applyFill="1" applyBorder="1" applyAlignment="1"/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0" fillId="0" borderId="2" xfId="0" applyFont="1" applyFill="1" applyBorder="1" applyAlignment="1"/>
    <xf numFmtId="0" fontId="0" fillId="0" borderId="2" xfId="0" applyNumberFormat="1" applyFont="1" applyFill="1" applyBorder="1"/>
    <xf numFmtId="1" fontId="27" fillId="0" borderId="0" xfId="0" applyNumberFormat="1" applyFont="1" applyFill="1" applyAlignment="1">
      <alignment vertical="center"/>
    </xf>
    <xf numFmtId="49" fontId="0" fillId="3" borderId="2" xfId="0" applyNumberFormat="1" applyFont="1" applyFill="1" applyBorder="1" applyAlignment="1"/>
    <xf numFmtId="9" fontId="25" fillId="0" borderId="0" xfId="0" applyNumberFormat="1" applyFont="1" applyAlignment="1"/>
    <xf numFmtId="10" fontId="0" fillId="0" borderId="0" xfId="2" applyNumberFormat="1" applyFont="1" applyAlignment="1">
      <alignment vertical="center"/>
    </xf>
    <xf numFmtId="49" fontId="0" fillId="5" borderId="2" xfId="0" applyNumberFormat="1" applyFont="1" applyFill="1" applyBorder="1" applyAlignment="1"/>
    <xf numFmtId="0" fontId="17" fillId="0" borderId="0" xfId="0" applyNumberFormat="1" applyFont="1"/>
    <xf numFmtId="16" fontId="27" fillId="5" borderId="0" xfId="0" applyNumberFormat="1" applyFont="1" applyFill="1" applyAlignment="1">
      <alignment vertical="center"/>
    </xf>
    <xf numFmtId="0" fontId="27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7" fillId="6" borderId="1" xfId="0" applyFont="1" applyFill="1" applyBorder="1" applyAlignment="1">
      <alignment vertical="center"/>
    </xf>
    <xf numFmtId="1" fontId="26" fillId="0" borderId="0" xfId="0" applyNumberFormat="1" applyFont="1" applyFill="1"/>
    <xf numFmtId="0" fontId="0" fillId="0" borderId="1" xfId="2" applyNumberFormat="1" applyFont="1" applyFill="1" applyBorder="1" applyAlignment="1"/>
    <xf numFmtId="10" fontId="31" fillId="0" borderId="1" xfId="2" applyNumberFormat="1" applyFont="1" applyFill="1" applyBorder="1" applyAlignment="1"/>
    <xf numFmtId="0" fontId="16" fillId="0" borderId="0" xfId="0" applyFont="1" applyAlignment="1"/>
    <xf numFmtId="0" fontId="15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164" fontId="0" fillId="0" borderId="0" xfId="2" applyNumberFormat="1" applyFont="1" applyAlignment="1"/>
    <xf numFmtId="0" fontId="0" fillId="3" borderId="2" xfId="0" applyNumberFormat="1" applyFont="1" applyFill="1" applyBorder="1" applyAlignment="1"/>
    <xf numFmtId="1" fontId="22" fillId="0" borderId="1" xfId="0" applyNumberFormat="1" applyFont="1" applyFill="1" applyBorder="1" applyAlignment="1"/>
    <xf numFmtId="166" fontId="0" fillId="0" borderId="0" xfId="0" applyNumberFormat="1" applyFont="1" applyAlignment="1"/>
    <xf numFmtId="10" fontId="0" fillId="0" borderId="0" xfId="2" applyNumberFormat="1" applyFont="1" applyAlignment="1"/>
    <xf numFmtId="0" fontId="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14" fillId="0" borderId="1" xfId="0" applyFont="1" applyFill="1" applyBorder="1" applyAlignment="1"/>
    <xf numFmtId="2" fontId="0" fillId="0" borderId="1" xfId="2" applyNumberFormat="1" applyFont="1" applyFill="1" applyBorder="1" applyAlignment="1"/>
    <xf numFmtId="0" fontId="13" fillId="0" borderId="0" xfId="0" applyFont="1" applyAlignment="1"/>
    <xf numFmtId="0" fontId="13" fillId="0" borderId="0" xfId="0" applyFont="1"/>
    <xf numFmtId="0" fontId="27" fillId="0" borderId="0" xfId="0" applyFont="1" applyFill="1" applyAlignment="1">
      <alignment vertical="center"/>
    </xf>
    <xf numFmtId="0" fontId="12" fillId="0" borderId="1" xfId="0" applyFont="1" applyBorder="1" applyAlignment="1">
      <alignment vertical="center" wrapText="1"/>
    </xf>
    <xf numFmtId="165" fontId="0" fillId="0" borderId="0" xfId="0" quotePrefix="1" applyNumberFormat="1" applyFont="1" applyFill="1" applyAlignment="1"/>
    <xf numFmtId="0" fontId="11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37" fillId="0" borderId="1" xfId="0" applyFont="1" applyFill="1" applyBorder="1"/>
    <xf numFmtId="166" fontId="27" fillId="0" borderId="1" xfId="0" applyNumberFormat="1" applyFont="1" applyFill="1" applyBorder="1"/>
    <xf numFmtId="0" fontId="9" fillId="0" borderId="0" xfId="0" applyFont="1" applyAlignment="1"/>
    <xf numFmtId="0" fontId="8" fillId="3" borderId="0" xfId="0" applyFont="1" applyFill="1" applyAlignment="1">
      <alignment vertical="center"/>
    </xf>
    <xf numFmtId="49" fontId="27" fillId="3" borderId="2" xfId="0" applyNumberFormat="1" applyFont="1" applyFill="1" applyBorder="1"/>
    <xf numFmtId="0" fontId="7" fillId="3" borderId="0" xfId="0" applyFont="1" applyFill="1" applyAlignment="1">
      <alignment vertical="center"/>
    </xf>
    <xf numFmtId="0" fontId="6" fillId="0" borderId="0" xfId="0" applyFont="1" applyAlignment="1"/>
    <xf numFmtId="0" fontId="35" fillId="0" borderId="1" xfId="1" applyNumberFormat="1"/>
    <xf numFmtId="0" fontId="5" fillId="3" borderId="0" xfId="0" applyFont="1" applyFill="1" applyAlignment="1">
      <alignment vertical="center"/>
    </xf>
    <xf numFmtId="0" fontId="0" fillId="0" borderId="8" xfId="0" applyFont="1" applyFill="1" applyBorder="1" applyAlignment="1"/>
    <xf numFmtId="0" fontId="0" fillId="0" borderId="10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12" xfId="0" applyFont="1" applyFill="1" applyBorder="1" applyAlignment="1"/>
    <xf numFmtId="0" fontId="4" fillId="7" borderId="8" xfId="0" applyFont="1" applyFill="1" applyBorder="1" applyAlignment="1"/>
    <xf numFmtId="0" fontId="4" fillId="0" borderId="8" xfId="0" applyFont="1" applyBorder="1" applyAlignment="1"/>
    <xf numFmtId="0" fontId="4" fillId="7" borderId="9" xfId="0" applyFont="1" applyFill="1" applyBorder="1" applyAlignment="1"/>
    <xf numFmtId="0" fontId="4" fillId="0" borderId="9" xfId="0" applyFont="1" applyBorder="1" applyAlignment="1"/>
    <xf numFmtId="0" fontId="4" fillId="0" borderId="13" xfId="0" applyFont="1" applyBorder="1" applyAlignment="1"/>
    <xf numFmtId="0" fontId="4" fillId="0" borderId="10" xfId="0" applyFont="1" applyBorder="1" applyAlignment="1"/>
    <xf numFmtId="0" fontId="4" fillId="8" borderId="11" xfId="0" applyFont="1" applyFill="1" applyBorder="1" applyAlignment="1"/>
    <xf numFmtId="9" fontId="4" fillId="8" borderId="12" xfId="0" applyNumberFormat="1" applyFont="1" applyFill="1" applyBorder="1" applyAlignment="1"/>
    <xf numFmtId="0" fontId="4" fillId="8" borderId="12" xfId="0" applyFont="1" applyFill="1" applyBorder="1" applyAlignment="1"/>
    <xf numFmtId="0" fontId="4" fillId="7" borderId="8" xfId="0" applyNumberFormat="1" applyFont="1" applyFill="1" applyBorder="1" applyAlignment="1"/>
    <xf numFmtId="0" fontId="4" fillId="0" borderId="8" xfId="0" applyNumberFormat="1" applyFont="1" applyBorder="1" applyAlignment="1"/>
    <xf numFmtId="0" fontId="4" fillId="0" borderId="10" xfId="0" applyNumberFormat="1" applyFont="1" applyBorder="1" applyAlignment="1"/>
    <xf numFmtId="2" fontId="4" fillId="0" borderId="12" xfId="0" applyNumberFormat="1" applyFont="1" applyFill="1" applyBorder="1" applyAlignment="1"/>
    <xf numFmtId="2" fontId="4" fillId="0" borderId="8" xfId="0" applyNumberFormat="1" applyFont="1" applyFill="1" applyBorder="1" applyAlignment="1"/>
    <xf numFmtId="2" fontId="4" fillId="0" borderId="10" xfId="0" applyNumberFormat="1" applyFont="1" applyFill="1" applyBorder="1" applyAlignment="1"/>
    <xf numFmtId="0" fontId="35" fillId="0" borderId="1" xfId="1" applyNumberFormat="1"/>
    <xf numFmtId="0" fontId="35" fillId="0" borderId="1" xfId="1" applyNumberFormat="1" applyFill="1"/>
    <xf numFmtId="0" fontId="3" fillId="3" borderId="0" xfId="0" applyFont="1" applyFill="1" applyAlignment="1">
      <alignment vertical="center"/>
    </xf>
    <xf numFmtId="0" fontId="42" fillId="0" borderId="2" xfId="0" applyFont="1" applyFill="1" applyBorder="1" applyAlignment="1"/>
    <xf numFmtId="1" fontId="42" fillId="0" borderId="2" xfId="0" quotePrefix="1" applyNumberFormat="1" applyFont="1" applyFill="1" applyBorder="1" applyAlignment="1"/>
    <xf numFmtId="2" fontId="43" fillId="0" borderId="2" xfId="0" applyNumberFormat="1" applyFont="1" applyFill="1" applyBorder="1"/>
    <xf numFmtId="1" fontId="42" fillId="0" borderId="2" xfId="0" applyNumberFormat="1" applyFont="1" applyFill="1" applyBorder="1" applyAlignment="1"/>
    <xf numFmtId="0" fontId="42" fillId="0" borderId="2" xfId="0" applyFont="1" applyFill="1" applyBorder="1"/>
    <xf numFmtId="1" fontId="43" fillId="0" borderId="6" xfId="0" applyNumberFormat="1" applyFont="1" applyFill="1" applyBorder="1"/>
    <xf numFmtId="0" fontId="42" fillId="0" borderId="2" xfId="0" applyNumberFormat="1" applyFont="1" applyFill="1" applyBorder="1"/>
    <xf numFmtId="0" fontId="42" fillId="0" borderId="7" xfId="0" applyFont="1" applyFill="1" applyBorder="1" applyAlignment="1"/>
    <xf numFmtId="2" fontId="43" fillId="0" borderId="7" xfId="0" applyNumberFormat="1" applyFont="1" applyFill="1" applyBorder="1"/>
    <xf numFmtId="0" fontId="42" fillId="0" borderId="7" xfId="0" applyNumberFormat="1" applyFont="1" applyFill="1" applyBorder="1"/>
    <xf numFmtId="0" fontId="35" fillId="0" borderId="1" xfId="1" applyNumberFormat="1"/>
    <xf numFmtId="0" fontId="3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5" fillId="0" borderId="1" xfId="1" applyNumberFormat="1"/>
    <xf numFmtId="0" fontId="44" fillId="0" borderId="1" xfId="0" applyFont="1" applyFill="1" applyBorder="1" applyAlignment="1"/>
    <xf numFmtId="0" fontId="1" fillId="0" borderId="0" xfId="0" applyFont="1" applyAlignment="1"/>
    <xf numFmtId="0" fontId="3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9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Global'!$T$5:$V$5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Global'!$T$7:$V$7</c:f>
              <c:numCache>
                <c:formatCode>0.0%</c:formatCode>
                <c:ptCount val="3"/>
                <c:pt idx="0">
                  <c:v>0.61933534743202412</c:v>
                </c:pt>
                <c:pt idx="1">
                  <c:v>0.25075528700906347</c:v>
                </c:pt>
                <c:pt idx="2">
                  <c:v>0.12990936555891239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Global'!$T$77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Global'!$T$78:$T$97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25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37</c:v>
                </c:pt>
                <c:pt idx="1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Global'!$U$77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Global'!$U$78:$U$97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31</c:v>
                </c:pt>
                <c:pt idx="17">
                  <c:v>33</c:v>
                </c:pt>
                <c:pt idx="18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Global'!$V$77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Global'!$V$78:$V$97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22</c:v>
                </c:pt>
                <c:pt idx="10">
                  <c:v>23</c:v>
                </c:pt>
                <c:pt idx="11">
                  <c:v>26</c:v>
                </c:pt>
                <c:pt idx="12">
                  <c:v>29</c:v>
                </c:pt>
                <c:pt idx="13">
                  <c:v>30</c:v>
                </c:pt>
                <c:pt idx="14">
                  <c:v>33</c:v>
                </c:pt>
                <c:pt idx="15">
                  <c:v>36</c:v>
                </c:pt>
                <c:pt idx="16">
                  <c:v>38</c:v>
                </c:pt>
                <c:pt idx="17">
                  <c:v>44</c:v>
                </c:pt>
                <c:pt idx="1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657065</xdr:colOff>
      <xdr:row>8</xdr:row>
      <xdr:rowOff>25213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430696</xdr:colOff>
      <xdr:row>58</xdr:row>
      <xdr:rowOff>49696</xdr:rowOff>
    </xdr:from>
    <xdr:to>
      <xdr:col>24</xdr:col>
      <xdr:colOff>509380</xdr:colOff>
      <xdr:row>74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1445/Documents/GitHub/TLTBO/Other%20Files/PastResult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fB"/>
      <sheetName val="Stats Global"/>
      <sheetName val="Statistics LG"/>
      <sheetName val="Statistics WW"/>
      <sheetName val="Statistics 5M"/>
      <sheetName val="Template"/>
      <sheetName val="2404"/>
      <sheetName val="2604"/>
      <sheetName val="0205"/>
      <sheetName val="0305"/>
      <sheetName val="0805"/>
      <sheetName val="0905"/>
      <sheetName val="1005"/>
      <sheetName val="1505"/>
      <sheetName val="1605"/>
      <sheetName val="1705"/>
      <sheetName val="2205"/>
      <sheetName val="2305"/>
      <sheetName val="2405"/>
      <sheetName val="Finals 1"/>
      <sheetName val="Finals 2"/>
      <sheetName val="Finals 3"/>
      <sheetName val="Finals 4"/>
      <sheetName val="GF"/>
    </sheetNames>
    <sheetDataSet>
      <sheetData sheetId="0"/>
      <sheetData sheetId="1"/>
      <sheetData sheetId="2">
        <row r="8">
          <cell r="R8">
            <v>0.41176470588235292</v>
          </cell>
        </row>
        <row r="9">
          <cell r="R9">
            <v>0.6</v>
          </cell>
        </row>
        <row r="10">
          <cell r="R10">
            <v>3.1428571428571428</v>
          </cell>
        </row>
        <row r="11">
          <cell r="R11">
            <v>2.8125</v>
          </cell>
        </row>
        <row r="12">
          <cell r="R12">
            <v>2.0588235294117645</v>
          </cell>
        </row>
        <row r="13">
          <cell r="R13">
            <v>1.1428571428571428</v>
          </cell>
        </row>
        <row r="14">
          <cell r="R14">
            <v>1.588235294117647</v>
          </cell>
        </row>
        <row r="15">
          <cell r="R15">
            <v>1.411764705882353</v>
          </cell>
        </row>
        <row r="16">
          <cell r="R16">
            <v>2.5333333333333332</v>
          </cell>
        </row>
        <row r="17">
          <cell r="R17">
            <v>0.875</v>
          </cell>
        </row>
        <row r="18">
          <cell r="R18">
            <v>1.0666666666666667</v>
          </cell>
        </row>
        <row r="19">
          <cell r="R19">
            <v>1.0588235294117647</v>
          </cell>
        </row>
        <row r="20">
          <cell r="R20">
            <v>2.4285714285714284</v>
          </cell>
        </row>
        <row r="21">
          <cell r="R21">
            <v>0.11764705882352941</v>
          </cell>
        </row>
        <row r="22">
          <cell r="R22">
            <v>0.6470588235294118</v>
          </cell>
        </row>
        <row r="23">
          <cell r="R23">
            <v>0.3125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Z7:AJ24" totalsRowShown="0" headerRowDxfId="391" dataDxfId="389" headerRowBorderDxfId="390" tableBorderDxfId="388" totalsRowBorderDxfId="387">
  <autoFilter ref="Z7:AJ24" xr:uid="{598ECA3B-99B4-4CAB-8F81-5D711AA5A7FC}"/>
  <tableColumns count="11">
    <tableColumn id="1" xr3:uid="{9B036617-5450-4894-9268-827D2E0914FF}" name="Scoring" dataDxfId="386"/>
    <tableColumn id="2" xr3:uid="{6662CE93-E9C4-47DE-9476-E46126825B0A}" name="Points" dataDxfId="385">
      <calculatedColumnFormula>SUM(AL29,AA49,AL49,AA69,AL69,AA89,AL89)</calculatedColumnFormula>
    </tableColumn>
    <tableColumn id="3" xr3:uid="{8FDDFCB0-2692-4EB0-948C-7B877263B55B}" name="Average" dataDxfId="384">
      <calculatedColumnFormula>IF($AA$6-Table1[[#This Row],[Missed Games]]=0, 0,Table1[[#This Row],[Points]]/($AA$6-Table1[[#This Row],[Missed Games]]))</calculatedColumnFormula>
    </tableColumn>
    <tableColumn id="4" xr3:uid="{CC3F9B31-1857-48FB-A18B-CBC82C117BF4}" name="Finishes" dataDxfId="383">
      <calculatedColumnFormula>SUM(AM29,AB49,AM49,AB69,AM69,AB89,AM89)</calculatedColumnFormula>
    </tableColumn>
    <tableColumn id="5" xr3:uid="{5F324C66-956D-4EDC-870F-8EDE96C328C8}" name="Averages" dataDxfId="382">
      <calculatedColumnFormula>IF($AA$6-Table1[[#This Row],[Missed Games]]=0, 0,Table1[[#This Row],[Finishes]]/($AA$6-Table1[[#This Row],[Missed Games]]))</calculatedColumnFormula>
    </tableColumn>
    <tableColumn id="6" xr3:uid="{80C6E15E-675D-4F58-AA26-27226F1CE373}" name="Midranges" dataDxfId="381">
      <calculatedColumnFormula>SUM(AN29,AC49,AN49,AC69,AN69,AC89,AN89)</calculatedColumnFormula>
    </tableColumn>
    <tableColumn id="7" xr3:uid="{8E7E6B37-23A0-4556-8839-B9D7834E3E68}" name="Averages2" dataDxfId="380">
      <calculatedColumnFormula>IF($AA$6-Table1[[#This Row],[Missed Games]]=0, 0,Table1[[#This Row],[Midranges]]/($AA$6-Table1[[#This Row],[Missed Games]]))</calculatedColumnFormula>
    </tableColumn>
    <tableColumn id="8" xr3:uid="{8B28715D-E310-4E1F-B9F0-F58F7C70E830}" name="Threes" dataDxfId="379">
      <calculatedColumnFormula>SUM(AO29,AD49,AO49,AD69,AO69,AD89,AO89)</calculatedColumnFormula>
    </tableColumn>
    <tableColumn id="9" xr3:uid="{E0C0BF1C-40E8-4137-8E0F-BB238D651DAE}" name="Averages3" dataDxfId="378">
      <calculatedColumnFormula>IF($AA$6-Table1[[#This Row],[Missed Games]]=0, 0,Table1[[#This Row],[Threes]]/($AA$6-Table1[[#This Row],[Missed Games]]))</calculatedColumnFormula>
    </tableColumn>
    <tableColumn id="10" xr3:uid="{1C75F230-74E0-47EE-BF13-C22289FE0F87}" name="Team" dataDxfId="377">
      <calculatedColumnFormula>SfW!C3</calculatedColumnFormula>
    </tableColumn>
    <tableColumn id="11" xr3:uid="{E167D7FA-56F9-4571-B292-FF3869585F59}" name="Missed Games" dataDxfId="376">
      <calculatedColumnFormula>SUM(AT29,AI49,AT49,AI69,AT69,AI89,AT89)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0C431-52CF-4ABD-AA3E-D31975A289B1}" name="Table2" displayName="Table2" ref="Z28:AI45" totalsRowShown="0" headerRowDxfId="375" dataDxfId="374">
  <autoFilter ref="Z28:AI45" xr:uid="{84D0C431-52CF-4ABD-AA3E-D31975A289B1}"/>
  <tableColumns count="10">
    <tableColumn id="1" xr3:uid="{4DB7A2B8-7BD8-4BD7-8F53-2A7873A4EAAE}" name="Scoring" dataDxfId="373"/>
    <tableColumn id="2" xr3:uid="{BE8EBD49-660A-4C9F-970E-230EBB942EF1}" name="Points" dataDxfId="372">
      <calculatedColumnFormula>'Preseason 1'!R3+'Preseason 2'!R3+'Preseason 3'!R3</calculatedColumnFormula>
    </tableColumn>
    <tableColumn id="3" xr3:uid="{C2C49EF0-4D8C-4F8C-8D19-CDD1481D9568}" name="Finishes" dataDxfId="371">
      <calculatedColumnFormula>'Preseason 1'!S3+'Preseason 2'!S3+'Preseason 3'!S3</calculatedColumnFormula>
    </tableColumn>
    <tableColumn id="4" xr3:uid="{7E789F8C-B8F3-4D6E-AB6C-C9454835B062}" name="Midranges" dataDxfId="370">
      <calculatedColumnFormula>'Preseason 1'!T3+'Preseason 2'!T3+'Preseason 3'!T3</calculatedColumnFormula>
    </tableColumn>
    <tableColumn id="5" xr3:uid="{18C990F2-A6D0-4F57-B96A-D00066DCC8D8}" name="Threes" dataDxfId="369">
      <calculatedColumnFormula>'Preseason 1'!U3+'Preseason 2'!U3+'Preseason 3'!U3</calculatedColumnFormula>
    </tableColumn>
    <tableColumn id="6" xr3:uid="{40526534-76CA-42BA-A8B6-AB092D9CE18F}" name="Avg P" dataDxfId="368">
      <calculatedColumnFormula>AA29/($AA$27-Table2[[#This Row],[Missed Games]])</calculatedColumnFormula>
    </tableColumn>
    <tableColumn id="7" xr3:uid="{693AF117-21F6-4887-B78D-D59235BABA44}" name="Avg F" dataDxfId="367">
      <calculatedColumnFormula>AB29/($AA$27-Table2[[#This Row],[Missed Games]])</calculatedColumnFormula>
    </tableColumn>
    <tableColumn id="8" xr3:uid="{02AC8FBF-EBB3-4AFC-BAC5-B773E33B7279}" name="Avg M" dataDxfId="366">
      <calculatedColumnFormula>AC29/($AA$27-Table2[[#This Row],[Missed Games]])</calculatedColumnFormula>
    </tableColumn>
    <tableColumn id="9" xr3:uid="{CCF75EB4-34C4-4D47-9D51-E8D85C07E38B}" name="Avg T" dataDxfId="365">
      <calculatedColumnFormula>AD29/($AA$27-Table2[[#This Row],[Missed Games]])</calculatedColumnFormula>
    </tableColumn>
    <tableColumn id="10" xr3:uid="{1A786A5C-D0C2-4ABC-904C-983180542D5F}" name="Missed Games" dataDxfId="364">
      <calculatedColumnFormula>COUNTIF('Preseason 1'!V3, "TRUE")+COUNTIF('Preseason 2'!V3, "TRUE")+COUNTIF('Preseason 3'!V3, "TRUE")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F39EBA-1E74-46F4-A6E5-473672128124}" name="Table211" displayName="Table211" ref="AK28:AT45" totalsRowShown="0" headerRowDxfId="363" dataDxfId="362">
  <autoFilter ref="AK28:AT45" xr:uid="{46F39EBA-1E74-46F4-A6E5-473672128124}"/>
  <tableColumns count="10">
    <tableColumn id="1" xr3:uid="{5D003608-C1C2-4694-9447-8632FB8D7348}" name="Scoring" dataDxfId="361"/>
    <tableColumn id="2" xr3:uid="{D15F4085-CED5-4CDD-B43B-BF7EB59B45A3}" name="Points" dataDxfId="360">
      <calculatedColumnFormula>'1707'!R3+'1807'!R3+'1907'!R3+'2007'!R3</calculatedColumnFormula>
    </tableColumn>
    <tableColumn id="3" xr3:uid="{2D436F37-54B6-4820-9145-F48B4EF9B294}" name="Finishes" dataDxfId="359">
      <calculatedColumnFormula>'1707'!S3+'1807'!S3+'1907'!S3+'2007'!S3</calculatedColumnFormula>
    </tableColumn>
    <tableColumn id="4" xr3:uid="{1D9B6A22-B682-47F3-B738-7C138F317A41}" name="Midranges" dataDxfId="358">
      <calculatedColumnFormula>'1707'!T3+'1807'!T3+'1907'!T3+'2007'!T3</calculatedColumnFormula>
    </tableColumn>
    <tableColumn id="5" xr3:uid="{9966C9A0-3872-44E9-BB39-05DE197EAA68}" name="Threes" dataDxfId="357">
      <calculatedColumnFormula>'1707'!U3+'1807'!U3+'1907'!U3+'2007'!U3</calculatedColumnFormula>
    </tableColumn>
    <tableColumn id="6" xr3:uid="{CC4AB646-735F-425F-8528-C5EFE7FE11DC}" name="Avg P" dataDxfId="356">
      <calculatedColumnFormula>AL29/($AL$27-Table211[[#This Row],[Missed Games]])</calculatedColumnFormula>
    </tableColumn>
    <tableColumn id="7" xr3:uid="{F8D0247E-C6F7-467A-9F38-46084D44F8AB}" name="Avg F" dataDxfId="355">
      <calculatedColumnFormula>AM29/($AL$27-Table211[[#This Row],[Missed Games]])</calculatedColumnFormula>
    </tableColumn>
    <tableColumn id="8" xr3:uid="{7CCF1C77-9DB0-4EB2-B7D0-FD0BDBEBFA0E}" name="Avg M" dataDxfId="354">
      <calculatedColumnFormula>AN29/($AL$27-Table211[[#This Row],[Missed Games]])</calculatedColumnFormula>
    </tableColumn>
    <tableColumn id="9" xr3:uid="{582A1A4E-5383-4383-A480-735408867046}" name="Avg T" dataDxfId="353">
      <calculatedColumnFormula>AO29/($AL$27-Table211[[#This Row],[Missed Games]])</calculatedColumnFormula>
    </tableColumn>
    <tableColumn id="10" xr3:uid="{E547AEB5-F9BA-4C5F-8DCE-34B6A8FF303A}" name="Missed Games" dataDxfId="352">
      <calculatedColumnFormula>COUNTIF('1707'!V3, "TRUE")+COUNTIF('1807'!V3, "TRUE")+COUNTIF('1907'!V3, "TRUE")+COUNTIF('2007'!V3, "TRUE")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27C125F-71B2-44D9-9F7A-9BED67755DD3}" name="Table21123" displayName="Table21123" ref="Z48:AI65" totalsRowShown="0" headerRowDxfId="351" dataDxfId="350">
  <autoFilter ref="Z48:AI65" xr:uid="{D27C125F-71B2-44D9-9F7A-9BED67755DD3}"/>
  <tableColumns count="10">
    <tableColumn id="1" xr3:uid="{0B0344E8-2677-4FAB-9B03-4745991FB5AE}" name="Scoring" dataDxfId="349"/>
    <tableColumn id="2" xr3:uid="{58CA1107-8BB4-4A5D-BA00-31619C8D3973}" name="Points" dataDxfId="348">
      <calculatedColumnFormula>'2407'!R3+'2607'!R3+'2707'!R3</calculatedColumnFormula>
    </tableColumn>
    <tableColumn id="3" xr3:uid="{8090861E-1FDF-44F4-9DB6-BB814E32C754}" name="Finishes" dataDxfId="347">
      <calculatedColumnFormula>'2407'!S3+'2607'!S3+'2707'!S3</calculatedColumnFormula>
    </tableColumn>
    <tableColumn id="4" xr3:uid="{972D0347-DAB3-4985-A738-E5D78740D498}" name="Midranges" dataDxfId="346">
      <calculatedColumnFormula>'2407'!T3+'2607'!T3+'2707'!T3</calculatedColumnFormula>
    </tableColumn>
    <tableColumn id="5" xr3:uid="{48F5F884-1753-4988-9056-632B5EB6BBCB}" name="Threes" dataDxfId="345">
      <calculatedColumnFormula>'2407'!U3+'2607'!U3+'2707'!U3</calculatedColumnFormula>
    </tableColumn>
    <tableColumn id="6" xr3:uid="{6953B627-EA05-418F-A758-FD59263EA60D}" name="Avg P" dataDxfId="344">
      <calculatedColumnFormula>Table21123[[#This Row],[Points]]/($AA$47-Table21123[[#This Row],[Missed Games]])</calculatedColumnFormula>
    </tableColumn>
    <tableColumn id="7" xr3:uid="{BE057C9C-5ECD-4AC2-A9C0-18C89CFB52BC}" name="Avg F" dataDxfId="343">
      <calculatedColumnFormula>Table21123[[#This Row],[Finishes]]/($AA$47-Table21123[[#This Row],[Missed Games]])</calculatedColumnFormula>
    </tableColumn>
    <tableColumn id="8" xr3:uid="{0FDEBEE7-CD5E-4A44-A0AE-74F044F1FF46}" name="Avg M" dataDxfId="342">
      <calculatedColumnFormula>Table21123[[#This Row],[Midranges]]/($AA$47-Table21123[[#This Row],[Missed Games]])</calculatedColumnFormula>
    </tableColumn>
    <tableColumn id="9" xr3:uid="{76975BB6-3677-41A8-BC24-7536B1D876D3}" name="Avg T" dataDxfId="341">
      <calculatedColumnFormula>Table21123[[#This Row],[Threes]]/($AA$47-Table21123[[#This Row],[Missed Games]])</calculatedColumnFormula>
    </tableColumn>
    <tableColumn id="10" xr3:uid="{E5ADB69B-3BA2-4019-8C83-8B02221F187E}" name="Missed Games" dataDxfId="340">
      <calculatedColumnFormula>COUNTIF('2407'!V3, "TRUE")+COUNTIF('2607'!V3, "TRUE")+COUNTIF('2707'!V3, "TRUE")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B89D2C-1B74-4036-A4ED-A5E61F1B3AAC}" name="Table21124" displayName="Table21124" ref="AK48:AT65" totalsRowShown="0" headerRowDxfId="339" dataDxfId="338">
  <autoFilter ref="AK48:AT65" xr:uid="{22B89D2C-1B74-4036-A4ED-A5E61F1B3AAC}"/>
  <tableColumns count="10">
    <tableColumn id="1" xr3:uid="{3D35891E-3654-497A-8DB2-BF0BD916CA29}" name="Scoring" dataDxfId="337"/>
    <tableColumn id="2" xr3:uid="{54B5B6AF-372A-4E07-B4D6-DFC66F7E20C5}" name="Points" dataDxfId="336">
      <calculatedColumnFormula>'3107'!R3+'0108'!R3+'0208'!R3+'0308'!R3</calculatedColumnFormula>
    </tableColumn>
    <tableColumn id="3" xr3:uid="{6CA15B41-F560-4B43-8836-163F5BB5689C}" name="Finishes" dataDxfId="335">
      <calculatedColumnFormula>'3107'!S3+'0108'!S3+'0208'!S3+'0308'!S3</calculatedColumnFormula>
    </tableColumn>
    <tableColumn id="4" xr3:uid="{8FF05262-0051-44F7-966E-8D405318BA69}" name="Midranges" dataDxfId="334">
      <calculatedColumnFormula>'3107'!T3+'0108'!T3+'0208'!T3+'0308'!T3</calculatedColumnFormula>
    </tableColumn>
    <tableColumn id="5" xr3:uid="{F0D843FC-7A93-4C9A-BCCF-E789F7811B3B}" name="Threes" dataDxfId="333">
      <calculatedColumnFormula>'3107'!U3+'0108'!U3+'0208'!U3+'0308'!U3</calculatedColumnFormula>
    </tableColumn>
    <tableColumn id="6" xr3:uid="{F0498F8A-F646-4C1F-A3CF-E89E73750FC1}" name="Avg P" dataDxfId="332">
      <calculatedColumnFormula>AL49/($AL$47-Table21124[[#This Row],[Missed Games]])</calculatedColumnFormula>
    </tableColumn>
    <tableColumn id="7" xr3:uid="{A387BC88-F45C-4386-8503-EFEA33BDAC38}" name="Avg F" dataDxfId="331">
      <calculatedColumnFormula>AM49/($AL$47-Table21124[[#This Row],[Missed Games]])</calculatedColumnFormula>
    </tableColumn>
    <tableColumn id="8" xr3:uid="{BEA82919-0828-4351-A01A-D72E13E63FAB}" name="Avg M" dataDxfId="330">
      <calculatedColumnFormula>AN49/($AL$47-Table21124[[#This Row],[Missed Games]])</calculatedColumnFormula>
    </tableColumn>
    <tableColumn id="9" xr3:uid="{ABEBCE01-BCA4-4342-966C-27301889B607}" name="Avg T" dataDxfId="329">
      <calculatedColumnFormula>AO49/($AL$47-Table21124[[#This Row],[Missed Games]])</calculatedColumnFormula>
    </tableColumn>
    <tableColumn id="10" xr3:uid="{65E7A8E7-4C51-42E4-AB0F-B7FF6099D70A}" name="Missed Games" dataDxfId="328">
      <calculatedColumnFormula>COUNTIF('3107'!V3, "TRUE")+COUNTIF('0108'!V3, "TRUE")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8C7D514-96DE-4BA6-B019-3E860ED143EC}" name="Table21125" displayName="Table21125" ref="AK68:AT85" totalsRowShown="0" headerRowDxfId="327" dataDxfId="326">
  <autoFilter ref="AK68:AT85" xr:uid="{18C7D514-96DE-4BA6-B019-3E860ED143EC}"/>
  <tableColumns count="10">
    <tableColumn id="1" xr3:uid="{D144EF14-69FD-4E71-90C7-56F49F45FAE5}" name="Scoring" dataDxfId="325"/>
    <tableColumn id="2" xr3:uid="{34D1D392-F3E0-4C36-9EED-849D5B1149E6}" name="Points" dataDxfId="324">
      <calculatedColumnFormula>'1408'!R3+'1508'!R3+'1708'!R3</calculatedColumnFormula>
    </tableColumn>
    <tableColumn id="3" xr3:uid="{E91D98A2-80BD-4E5C-9036-2FCC8185369F}" name="Finishes" dataDxfId="323">
      <calculatedColumnFormula>'1408'!S3+'1508'!S3+'1708'!S3</calculatedColumnFormula>
    </tableColumn>
    <tableColumn id="4" xr3:uid="{D2E5029E-4811-4E9B-9A2D-5F5F8F322B0D}" name="Midranges" dataDxfId="322">
      <calculatedColumnFormula>'1408'!T3+'1508'!T3+'1708'!T3</calculatedColumnFormula>
    </tableColumn>
    <tableColumn id="5" xr3:uid="{B3E76CEE-33DA-4B18-8DCE-8EBC7EE592D7}" name="Threes" dataDxfId="321">
      <calculatedColumnFormula>'1408'!U3+'1508'!U3+'1708'!U3</calculatedColumnFormula>
    </tableColumn>
    <tableColumn id="6" xr3:uid="{6ABE1879-8018-4498-A9A1-22CF831F0364}" name="Avg P" dataDxfId="320">
      <calculatedColumnFormula>Table21125[[#This Row],[Points]]/($AL$67-Table21125[[#This Row],[Missed Games]])</calculatedColumnFormula>
    </tableColumn>
    <tableColumn id="7" xr3:uid="{8DA4DD79-8A2A-49E4-996F-C1ACCED3C565}" name="Avg F" dataDxfId="319">
      <calculatedColumnFormula>Table21125[[#This Row],[Finishes]]/($AL$67-Table21125[[#This Row],[Missed Games]])</calculatedColumnFormula>
    </tableColumn>
    <tableColumn id="8" xr3:uid="{256EA4BC-BA61-49E2-969F-0786AA9AA6EA}" name="Avg M" dataDxfId="318">
      <calculatedColumnFormula>Table21125[[#This Row],[Midranges]]/($AL$67-Table21125[[#This Row],[Missed Games]])</calculatedColumnFormula>
    </tableColumn>
    <tableColumn id="9" xr3:uid="{0E5566B2-99EC-4B03-A074-8705C4EDA484}" name="Avg T" dataDxfId="317">
      <calculatedColumnFormula>Table21125[[#This Row],[Threes]]/($AL$67-Table21125[[#This Row],[Missed Games]])</calculatedColumnFormula>
    </tableColumn>
    <tableColumn id="10" xr3:uid="{3E2357F0-493E-401D-AC75-9AAB260F684E}" name="Missed Games" dataDxfId="316">
      <calculatedColumnFormula>COUNTIF('1408'!V3, TRUE)+COUNTIF('1508'!V3, TRUE)+COUNTIF('1708'!V3,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18BED8-7AAF-4E55-A61F-C75C69A64AAE}" name="Table21126" displayName="Table21126" ref="Z68:AI85" totalsRowShown="0" headerRowDxfId="315" dataDxfId="314">
  <autoFilter ref="Z68:AI85" xr:uid="{F118BED8-7AAF-4E55-A61F-C75C69A64AAE}"/>
  <tableColumns count="10">
    <tableColumn id="1" xr3:uid="{7723929D-65B3-40BB-8FDD-C4533243706C}" name="Scoring" dataDxfId="313"/>
    <tableColumn id="2" xr3:uid="{EC28DE3D-619E-4930-A3AF-7AD1BE1D4843}" name="Points" dataDxfId="312">
      <calculatedColumnFormula>'0808'!R3+'0908'!R3+'1008'!R3</calculatedColumnFormula>
    </tableColumn>
    <tableColumn id="3" xr3:uid="{9537269D-8C1D-42B5-866F-D03CE61A8512}" name="Finishes" dataDxfId="311">
      <calculatedColumnFormula>'0808'!S3+'0908'!S3+'1008'!S3</calculatedColumnFormula>
    </tableColumn>
    <tableColumn id="4" xr3:uid="{AC590DDB-BE19-4A14-8B98-1E5E2430AA45}" name="Midranges" dataDxfId="310">
      <calculatedColumnFormula>'0808'!T3+'0908'!T3+'1008'!T3</calculatedColumnFormula>
    </tableColumn>
    <tableColumn id="5" xr3:uid="{C96D3ACD-F34D-477E-86DE-4650EE56BC94}" name="Threes" dataDxfId="309">
      <calculatedColumnFormula>'0808'!U3+'0908'!U3+'1008'!U3</calculatedColumnFormula>
    </tableColumn>
    <tableColumn id="6" xr3:uid="{A43DE5E9-BB01-49FA-A204-66EE7BAA2E9F}" name="Avg P" dataDxfId="308">
      <calculatedColumnFormula>Table21126[[#This Row],[Points]]/($AA$67-Table21126[[#This Row],[Missed Games]])</calculatedColumnFormula>
    </tableColumn>
    <tableColumn id="7" xr3:uid="{C75A19FF-6041-45C2-BACB-E347F06B6329}" name="Avg F" dataDxfId="307">
      <calculatedColumnFormula>Table21126[[#This Row],[Finishes]]/($AA$67-Table21126[[#This Row],[Missed Games]])</calculatedColumnFormula>
    </tableColumn>
    <tableColumn id="8" xr3:uid="{00D3FCFC-C9C5-4C96-BE0E-8E1FDC95D07C}" name="Avg M" dataDxfId="306">
      <calculatedColumnFormula>Table21126[[#This Row],[Midranges]]/($AA$67-Table21126[[#This Row],[Missed Games]])</calculatedColumnFormula>
    </tableColumn>
    <tableColumn id="9" xr3:uid="{0448FF4E-9D2D-47F6-89B7-F17D36B05E8A}" name="Avg T" dataDxfId="305">
      <calculatedColumnFormula>Table21126[[#This Row],[Threes]]/($AA$67-Table21126[[#This Row],[Missed Games]])</calculatedColumnFormula>
    </tableColumn>
    <tableColumn id="10" xr3:uid="{D5BDFA2D-095B-44F8-8567-15B3B1520E5A}" name="Missed Games" dataDxfId="304">
      <calculatedColumnFormula>COUNTIF('0808'!V3, TRUE)+COUNTIF('0908'!V3, TRUE)+COUNTIF('1008'!V3,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D2E472-3925-41A7-BECD-3315E6E71ECC}" name="Table21127" displayName="Table21127" ref="Z88:AI105" totalsRowShown="0" headerRowDxfId="303" dataDxfId="302">
  <autoFilter ref="Z88:AI105" xr:uid="{BDD2E472-3925-41A7-BECD-3315E6E71ECC}"/>
  <tableColumns count="10">
    <tableColumn id="1" xr3:uid="{9DBD966D-620C-4B97-A502-29D00ABE150B}" name="Scoring" dataDxfId="301"/>
    <tableColumn id="2" xr3:uid="{F8F81F0E-16B3-4472-9D90-A92149C763E4}" name="Points" dataDxfId="300">
      <calculatedColumnFormula>'Finals 1'!S3+'Finals 2'!S3+'Finals 3'!S3</calculatedColumnFormula>
    </tableColumn>
    <tableColumn id="3" xr3:uid="{09859CE1-290D-4977-B02C-46F4E5A6FDC2}" name="Finishes" dataDxfId="299">
      <calculatedColumnFormula>'Finals 1'!T3+'Finals 2'!T3+'Finals 3'!T3</calculatedColumnFormula>
    </tableColumn>
    <tableColumn id="4" xr3:uid="{7D751A0E-2895-46DF-B5E2-5A8AA5531CD2}" name="Midranges" dataDxfId="298">
      <calculatedColumnFormula>'Finals 1'!U3+'Finals 2'!U3+'Finals 3'!U3</calculatedColumnFormula>
    </tableColumn>
    <tableColumn id="5" xr3:uid="{591CDC71-B0EA-413B-B6C1-77884E7E50D4}" name="Threes" dataDxfId="297">
      <calculatedColumnFormula>'Finals 1'!V3+'Finals 2'!V3+'Finals 3'!V3</calculatedColumnFormula>
    </tableColumn>
    <tableColumn id="6" xr3:uid="{52ED768C-5557-42DC-9824-7A4D9B547153}" name="Avg P" dataDxfId="296">
      <calculatedColumnFormula>Table21127[[#This Row],[Points]]/($AA$87-Table21127[[#This Row],[Missed Games]])</calculatedColumnFormula>
    </tableColumn>
    <tableColumn id="7" xr3:uid="{FC79BE87-72E2-4F5E-83D6-CDCE645EB943}" name="Avg F" dataDxfId="295">
      <calculatedColumnFormula>Table21127[[#This Row],[Finishes]]/($AA$87-Table21127[[#This Row],[Missed Games]])</calculatedColumnFormula>
    </tableColumn>
    <tableColumn id="8" xr3:uid="{BA012C22-0D65-4C11-98A7-4F958703D04B}" name="Avg M" dataDxfId="294">
      <calculatedColumnFormula>Table21127[[#This Row],[Midranges]]/($AA$87-Table21127[[#This Row],[Missed Games]])</calculatedColumnFormula>
    </tableColumn>
    <tableColumn id="9" xr3:uid="{63344F2B-5D94-417D-85E2-C2BFBACE3E7E}" name="Avg T" dataDxfId="293">
      <calculatedColumnFormula>Table21127[[#This Row],[Threes]]/($AA$87-Table21127[[#This Row],[Missed Games]])</calculatedColumnFormula>
    </tableColumn>
    <tableColumn id="10" xr3:uid="{1AD5A604-8909-45B3-8E43-11D407451CEA}" name="Missed Games" dataDxfId="292">
      <calculatedColumnFormula>COUNTIF('Finals 1'!W3, TRUE)+COUNTIF('Finals 2'!W3, TRUE)+COUNTIF('Finals 3'!W3, TRUE)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9183685-60DE-4163-AA62-BE4F563EE570}" name="Table21128" displayName="Table21128" ref="AK88:AT105" totalsRowShown="0" headerRowDxfId="291" dataDxfId="290">
  <autoFilter ref="AK88:AT105" xr:uid="{F9183685-60DE-4163-AA62-BE4F563EE570}"/>
  <tableColumns count="10">
    <tableColumn id="1" xr3:uid="{E62FBAA0-D6F6-4997-96C9-B6B13FAA9B6E}" name="Scoring" dataDxfId="289"/>
    <tableColumn id="2" xr3:uid="{0A655F6F-9A21-4167-85B6-B9F7DC2070CA}" name="Points" dataDxfId="288">
      <calculatedColumnFormula>Template!AC63</calculatedColumnFormula>
    </tableColumn>
    <tableColumn id="3" xr3:uid="{460771D3-3BD8-4DA3-AF1B-1A0F98EF1499}" name="Finishes" dataDxfId="287">
      <calculatedColumnFormula>Template!AD63</calculatedColumnFormula>
    </tableColumn>
    <tableColumn id="4" xr3:uid="{3C08B2D7-823D-49C3-A627-A5848E664B2F}" name="Midranges" dataDxfId="286">
      <calculatedColumnFormula>Template!AE63</calculatedColumnFormula>
    </tableColumn>
    <tableColumn id="5" xr3:uid="{E88F45FB-4C46-4674-86D5-74808E7E5368}" name="Threes" dataDxfId="285">
      <calculatedColumnFormula>Template!AF63</calculatedColumnFormula>
    </tableColumn>
    <tableColumn id="6" xr3:uid="{0C0E8016-1E6E-4F25-9675-4EE061FFD0F7}" name="Avg P" dataDxfId="284">
      <calculatedColumnFormula>AL89/$AA$27</calculatedColumnFormula>
    </tableColumn>
    <tableColumn id="7" xr3:uid="{F7AC350B-AE4B-4912-B21D-16D99E2AE8BF}" name="Avg F" dataDxfId="283">
      <calculatedColumnFormula>AM89/$AA$27</calculatedColumnFormula>
    </tableColumn>
    <tableColumn id="8" xr3:uid="{F451E5CA-B9C4-4EFA-A647-CEDB2FB39550}" name="Avg M" dataDxfId="282">
      <calculatedColumnFormula>AN89/$AA$27</calculatedColumnFormula>
    </tableColumn>
    <tableColumn id="9" xr3:uid="{ED1D92B5-05F1-40CE-A89F-E6627FAB4A59}" name="Avg T" dataDxfId="281">
      <calculatedColumnFormula>AO89/$AA$27</calculatedColumnFormula>
    </tableColumn>
    <tableColumn id="10" xr3:uid="{48A4808A-3DE6-4644-83F5-C2AEDDFC3E5E}" name="Missed Games" dataDxfId="280">
      <calculatedColumnFormula>COUNTIF(Template!AG63, "TRUE")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B06DCA-2A57-491D-9968-278FF3FBD78A}" name="Table4" displayName="Table4" ref="AW7:BC24" totalsRowShown="0" headerRowDxfId="279">
  <autoFilter ref="AW7:BC24" xr:uid="{96B06DCA-2A57-491D-9968-278FF3FBD78A}"/>
  <tableColumns count="7">
    <tableColumn id="1" xr3:uid="{FE52DA28-AC9B-4385-A502-8DDB5D1FBA9E}" name="Name" dataDxfId="278"/>
    <tableColumn id="2" xr3:uid="{D93DA907-1A5C-4FC6-A721-6072347E34BF}" name="Total R" dataDxfId="277">
      <calculatedColumnFormula>'1707'!AC4+'1807'!AC4+'2407'!AC4+'2607'!AC4</calculatedColumnFormula>
    </tableColumn>
    <tableColumn id="3" xr3:uid="{EBD2E9CC-2367-4D50-957C-38F9CE276205}" name="Total A" dataDxfId="276">
      <calculatedColumnFormula>'1707'!AD4+'1807'!AD4+'2407'!AD4+'2607'!AD4</calculatedColumnFormula>
    </tableColumn>
    <tableColumn id="4" xr3:uid="{7DF9F4A1-F7D8-44DD-8445-ABFA3454613B}" name="Total S" dataDxfId="275">
      <calculatedColumnFormula>'1707'!AE4+'1807'!AE4+'2407'!AE4+'2607'!AE4</calculatedColumnFormula>
    </tableColumn>
    <tableColumn id="5" xr3:uid="{1AAD62E4-FA3F-4F41-8BD0-85F54409C489}" name="Avg R" dataDxfId="274"/>
    <tableColumn id="6" xr3:uid="{A7FAC3B0-7CC3-42D1-9DC4-0DB3E64C9F6B}" name="Avg A">
      <calculatedColumnFormula>Table4[[#This Row],[Total A]]/$AX$6</calculatedColumnFormula>
    </tableColumn>
    <tableColumn id="7" xr3:uid="{ED9BE042-B573-4A87-A75D-9820182698C9}" name="Avg S">
      <calculatedColumnFormula>Table4[[#This Row],[Total S]]/$AX$6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4FF78C-74B5-4798-AD3D-741E3ACB43CF}" name="Table1114" displayName="Table1114" ref="R3:AA8" totalsRowShown="0" headerRowDxfId="273" dataDxfId="272">
  <autoFilter ref="R3:AA8" xr:uid="{744FF78C-74B5-4798-AD3D-741E3ACB43CF}"/>
  <tableColumns count="10">
    <tableColumn id="1" xr3:uid="{B3B5C08C-655A-460A-A171-B3B0C826FF04}" name="Name" dataDxfId="271"/>
    <tableColumn id="2" xr3:uid="{427944B0-44CA-4325-A406-29F83026BA5E}" name="Points" dataDxfId="270">
      <calculatedColumnFormula>'Stats Global'!AA22</calculatedColumnFormula>
    </tableColumn>
    <tableColumn id="3" xr3:uid="{5E06D173-4DBE-4045-9072-0A0A77D19C84}" name="Average" dataDxfId="269"/>
    <tableColumn id="4" xr3:uid="{E74131A4-1DCA-4A89-8989-A4CF80175582}" name="Finishes" dataDxfId="268"/>
    <tableColumn id="5" xr3:uid="{FC3336D4-2CB5-4673-A345-7C9CCED7ADEE}" name="Averages" dataDxfId="267"/>
    <tableColumn id="6" xr3:uid="{BD6313A7-5D92-4B66-9B85-7ABC12DE9691}" name="Midranges" dataDxfId="266"/>
    <tableColumn id="7" xr3:uid="{6D0293BC-7E06-45CE-9D4B-FE4769DF9D9F}" name="Averages2" dataDxfId="265"/>
    <tableColumn id="8" xr3:uid="{89C1C64B-DD66-482C-BCDE-8B912D2676EF}" name="Threes" dataDxfId="264"/>
    <tableColumn id="9" xr3:uid="{7748B87C-1833-4BD6-9162-76373407E655}" name="Averages3" dataDxfId="263"/>
    <tableColumn id="10" xr3:uid="{D870E191-A52F-442E-AA52-A42CFAD05573}" name="Missed Games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FC47C7-DFD7-4A9F-A1A5-1CA685184237}" name="Table3" displayName="Table3" ref="AC2:AO14" totalsRowShown="0" headerRowDxfId="261" dataDxfId="260" tableBorderDxfId="259">
  <autoFilter ref="AC2:AO14" xr:uid="{1FFC47C7-DFD7-4A9F-A1A5-1CA685184237}"/>
  <tableColumns count="13">
    <tableColumn id="1" xr3:uid="{FB71619C-EB39-4988-B4DB-5EDC829403C2}" name="Against Us" dataDxfId="258"/>
    <tableColumn id="2" xr3:uid="{A05D2E0F-7123-4E1F-B29C-F30D2F0BF127}" name="Points" dataDxfId="257">
      <calculatedColumnFormula>'1707'!AC24+'1807'!AC24+'1907'!AC24+'2007'!AC24+'2407'!AC24+'2607'!AC24+'2707'!AC24+'3107'!AC24+'0108'!AC24+'0208'!AC24+'0308'!AC24+'0808'!AC24+'0908'!AC24+'1008'!AC24</calculatedColumnFormula>
    </tableColumn>
    <tableColumn id="3" xr3:uid="{9E27C520-1719-432D-9A55-0688C4455300}" name="Finishes" dataDxfId="256">
      <calculatedColumnFormula>'1707'!AD24+'1807'!AD24+'1907'!AD24+'2007'!AD24+'2407'!AD24+'2607'!AD24+'2707'!AD24+'3107'!AD24+'0108'!AD24+'0208'!AD24+'0308'!AD24+'0808'!AD24+'0908'!AD24+'1008'!AD24</calculatedColumnFormula>
    </tableColumn>
    <tableColumn id="4" xr3:uid="{FE221777-AF13-4647-8B84-5F40FADA84BA}" name="Midranges" dataDxfId="255">
      <calculatedColumnFormula>'1707'!AE24+'1807'!AE24+'1907'!AE24+'2007'!AE24+'2407'!AE24+'2607'!AE24+'2707'!AE24+'3107'!AE24+'0108'!AE24+'0208'!AE24+'0308'!AE24+'0808'!AE24+'0908'!AE24+'1008'!AE24</calculatedColumnFormula>
    </tableColumn>
    <tableColumn id="5" xr3:uid="{6F18A523-C406-4ABC-8DDC-55BC55EFCF8A}" name="Threes" dataDxfId="254">
      <calculatedColumnFormula>'1707'!AF24+'1807'!AF24+'1907'!AF24+'2007'!AF24+'2407'!AF24+'2607'!AF24+'2707'!AF24+'3107'!AF24+'0108'!AF24+'0208'!AF24+'0308'!AF24+'0808'!AF24+'0908'!AF24+'1008'!AF24</calculatedColumnFormula>
    </tableColumn>
    <tableColumn id="6" xr3:uid="{DA844D2F-07B6-48DB-9909-51BADCB119CB}" name="AVG P" dataDxfId="253">
      <calculatedColumnFormula>Table3[[#This Row],[Points]]/('Stats Global'!$AA$6-'Stats Global'!$AJ$10)</calculatedColumnFormula>
    </tableColumn>
    <tableColumn id="7" xr3:uid="{C5F438D0-3649-45D5-96FD-9D3510FBA489}" name="AVG F" dataDxfId="252"/>
    <tableColumn id="8" xr3:uid="{4FE2170E-9694-4785-914B-948DCD739ABA}" name="AVG M" dataDxfId="251"/>
    <tableColumn id="9" xr3:uid="{2E746532-8EE6-4676-8881-EEE8EA96A6B2}" name="AVG T" dataDxfId="250"/>
    <tableColumn id="10" xr3:uid="{12C6BBBE-13C7-4FFC-B357-00756FCC2217}" name="Difference P" dataDxfId="249">
      <calculatedColumnFormula>'Stats Global'!AB10-Table3[[#This Row],[AVG P]]</calculatedColumnFormula>
    </tableColumn>
    <tableColumn id="11" xr3:uid="{B6506F90-A35B-444D-8607-68FB9AC442F9}" name="Difference F" dataDxfId="248"/>
    <tableColumn id="12" xr3:uid="{090A7971-5A51-4381-ADE6-805EDA460DAB}" name="Difference M" dataDxfId="247"/>
    <tableColumn id="13" xr3:uid="{455AB6FD-A12D-42D6-A826-A5BA8E9EE48E}" name="Difference T" dataDxfId="2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759C84-3153-4DC9-9240-E2749AA0D92B}" name="Table1113" displayName="Table1113" ref="O3:X10" totalsRowShown="0" headerRowDxfId="245" dataDxfId="244">
  <autoFilter ref="O3:X10" xr:uid="{54759C84-3153-4DC9-9240-E2749AA0D92B}"/>
  <tableColumns count="10">
    <tableColumn id="1" xr3:uid="{7790729E-C8E5-45C1-8784-25212A2654AA}" name="Name" dataDxfId="243"/>
    <tableColumn id="2" xr3:uid="{52A67B2B-967C-4970-8D83-8F8E9CC61522}" name="Points" dataDxfId="242"/>
    <tableColumn id="3" xr3:uid="{BA1FA2C8-AEC0-4644-83DB-5097750D7188}" name="Average" dataDxfId="241"/>
    <tableColumn id="4" xr3:uid="{4CF66F5D-BF10-4CBD-88FF-CCD38730E1CD}" name="Finishes" dataDxfId="240"/>
    <tableColumn id="5" xr3:uid="{BC246D5B-7E78-41A6-B796-C93ED8E53DF9}" name="Averages" dataDxfId="239"/>
    <tableColumn id="6" xr3:uid="{AB819419-CC06-4A40-8DED-E231125129C0}" name="Midranges" dataDxfId="238"/>
    <tableColumn id="7" xr3:uid="{064AA562-C451-4362-805E-D12DC76C3530}" name="Averages2" dataDxfId="237"/>
    <tableColumn id="8" xr3:uid="{BD0D8BAE-15E4-4B38-87FE-B682D7BAEE75}" name="Threes" dataDxfId="236"/>
    <tableColumn id="9" xr3:uid="{541E391B-4B08-4E98-A63F-753C11193269}" name="Averages3" dataDxfId="235"/>
    <tableColumn id="10" xr3:uid="{999BB5D2-D6FB-4EB9-A268-D62EA72F939D}" name="Missed Games" dataDxfId="23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2CFC3F-7D59-4C0F-8D43-3F8ACD58C2BD}" name="Table11" displayName="Table11" ref="L4:U10" totalsRowShown="0" headerRowDxfId="233" dataDxfId="232">
  <autoFilter ref="L4:U10" xr:uid="{C12CFC3F-7D59-4C0F-8D43-3F8ACD58C2BD}"/>
  <tableColumns count="10">
    <tableColumn id="1" xr3:uid="{CE15C23D-9493-4B21-9D40-1A25D210C18E}" name="Name" dataDxfId="231"/>
    <tableColumn id="2" xr3:uid="{6BB170B1-AA38-4699-9B96-400D2947EE9C}" name="Points" dataDxfId="230"/>
    <tableColumn id="3" xr3:uid="{EC8B6CBB-FCC9-416C-AEA6-738419DFE531}" name="Average" dataDxfId="229"/>
    <tableColumn id="4" xr3:uid="{315DA055-9A43-468A-A501-1092626F523F}" name="Finishes" dataDxfId="228"/>
    <tableColumn id="5" xr3:uid="{56B6FF4D-95D4-4550-88E4-C781ABDA83A6}" name="Averages" dataDxfId="227"/>
    <tableColumn id="6" xr3:uid="{F7B5C0B8-FBE2-44B0-A372-112C7776FCCF}" name="Midranges" dataDxfId="226"/>
    <tableColumn id="7" xr3:uid="{1A1C2126-FEB1-408F-8523-049E53028B4E}" name="Averages2" dataDxfId="225"/>
    <tableColumn id="8" xr3:uid="{AE94036B-3777-4C1B-97D5-7BFA1037C0BF}" name="Threes" dataDxfId="224"/>
    <tableColumn id="9" xr3:uid="{448B0903-7F66-40BA-809F-74ADBF397B45}" name="Averages3" dataDxfId="223"/>
    <tableColumn id="10" xr3:uid="{E0CAC55D-8398-4928-A219-C01706996D48}" name="Missed Games" dataDxfId="22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3FD7CD8-C40D-411F-89C3-F53649174B3A}" name="Table631" displayName="Table631" ref="AB23:AF35" totalsRowShown="0" headerRowDxfId="221" dataDxfId="219" headerRowBorderDxfId="220" tableBorderDxfId="218" totalsRowBorderDxfId="217">
  <autoFilter ref="AB23:AF35" xr:uid="{13FD7CD8-C40D-411F-89C3-F53649174B3A}"/>
  <tableColumns count="5">
    <tableColumn id="1" xr3:uid="{55112290-2A71-4FFD-A96D-ED94D1FAD6CA}" name="Name" dataDxfId="216"/>
    <tableColumn id="2" xr3:uid="{92074427-DAC9-482D-B452-A84499E2326C}" name="Points" dataDxfId="215">
      <calculatedColumnFormula>Table631[[#This Row],[Finishes]]+Table631[[#This Row],[Midranges]]+Table631[[#This Row],[Threes]]+Table631[[#This Row],[Threes]]</calculatedColumnFormula>
    </tableColumn>
    <tableColumn id="3" xr3:uid="{14EB9C92-86B6-4F91-A756-8E901645DDF4}" name="Finishes" dataDxfId="214">
      <calculatedColumnFormula>COUNTIFS(E$4:E$35,AB24,F$4:F$35,"Finish")</calculatedColumnFormula>
    </tableColumn>
    <tableColumn id="4" xr3:uid="{F5E1BC98-B8DA-4352-AA36-948EEFB2D6BE}" name="Midranges" dataDxfId="213">
      <calculatedColumnFormula>COUNTIFS(E$4:E$35,AB24,F$4:F$35,"Midrange")</calculatedColumnFormula>
    </tableColumn>
    <tableColumn id="5" xr3:uid="{792FABB2-60F3-4593-AE66-08C16949FD78}" name="Threes" dataDxfId="21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B8B7F39-2C3A-40A8-B657-A420C89C98BF}" name="Table631343537" displayName="Table631343537" ref="AC23:AG35" totalsRowShown="0" headerRowDxfId="211" dataDxfId="209" headerRowBorderDxfId="210" tableBorderDxfId="208" totalsRowBorderDxfId="207">
  <autoFilter ref="AC23:AG35" xr:uid="{6B8B7F39-2C3A-40A8-B657-A420C89C98BF}"/>
  <tableColumns count="5">
    <tableColumn id="1" xr3:uid="{7E46181B-86B7-46AA-9DDB-8AF59D958688}" name="Name" dataDxfId="206"/>
    <tableColumn id="2" xr3:uid="{2FD21375-E481-4DBC-A77E-9C69967436B9}" name="Points" dataDxfId="205">
      <calculatedColumnFormula>Table631343537[[#This Row],[Finishes]]+Table631343537[[#This Row],[Midranges]]+Table631343537[[#This Row],[Threes]]+Table631343537[[#This Row],[Threes]]</calculatedColumnFormula>
    </tableColumn>
    <tableColumn id="3" xr3:uid="{8FC82A54-7001-48B5-9055-63F13BE958B0}" name="Finishes" dataDxfId="204">
      <calculatedColumnFormula>COUNTIFS(E$4:E$35,AC24,F$4:F$35,"Finish")</calculatedColumnFormula>
    </tableColumn>
    <tableColumn id="4" xr3:uid="{774383B4-9899-4633-981B-D846A6AA37F8}" name="Midranges" dataDxfId="203">
      <calculatedColumnFormula>COUNTIFS(E$4:E$35,AC24,F$4:F$35,"Midrange")</calculatedColumnFormula>
    </tableColumn>
    <tableColumn id="5" xr3:uid="{305716DF-4E61-4BCC-BEB4-92CCB5FAFFEC}" name="Threes" dataDxfId="202">
      <calculatedColumnFormula>COUNTIFS(E$4:E$35,AC24,F$4:F$35,"Three Pointer")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7C0A5F9-CA12-4267-A564-AAED3273734C}" name="Table6313435" displayName="Table6313435" ref="AC23:AG35" totalsRowShown="0" headerRowDxfId="201" dataDxfId="199" headerRowBorderDxfId="200" tableBorderDxfId="198" totalsRowBorderDxfId="197">
  <autoFilter ref="AC23:AG35" xr:uid="{13FD7CD8-C40D-411F-89C3-F53649174B3A}"/>
  <tableColumns count="5">
    <tableColumn id="1" xr3:uid="{AA537C55-6BD8-4E52-B11D-EC80EBF0F9DA}" name="Name" dataDxfId="196"/>
    <tableColumn id="2" xr3:uid="{577B4867-2C4C-4E58-9A1F-0D5BAC71BBA0}" name="Points" dataDxfId="195">
      <calculatedColumnFormula>Table6313435[[#This Row],[Finishes]]+Table6313435[[#This Row],[Midranges]]+Table6313435[[#This Row],[Threes]]+Table6313435[[#This Row],[Threes]]</calculatedColumnFormula>
    </tableColumn>
    <tableColumn id="3" xr3:uid="{2389C5DE-FFC9-415F-8ECF-91603FA49A3D}" name="Finishes" dataDxfId="194">
      <calculatedColumnFormula>COUNTIFS(E$4:E$35,AC24,F$4:F$35,"Finish")</calculatedColumnFormula>
    </tableColumn>
    <tableColumn id="4" xr3:uid="{6D3532CE-F61A-4287-BF69-5434C1567F43}" name="Midranges" dataDxfId="193">
      <calculatedColumnFormula>COUNTIFS(E$4:E$35,AC24,F$4:F$35,"Midrange")</calculatedColumnFormula>
    </tableColumn>
    <tableColumn id="5" xr3:uid="{40913FB1-BF41-4346-BA89-3058C5F4C26A}" name="Threes" dataDxfId="192">
      <calculatedColumnFormula>COUNTIFS(E$4:E$35,AC24,F$4:F$35,"Three Pointer")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E990EEA-BFE3-4E06-B0FA-752B92E60DBD}" name="Table63134" displayName="Table63134" ref="AC23:AG35" totalsRowShown="0" headerRowDxfId="191" dataDxfId="189" headerRowBorderDxfId="190" tableBorderDxfId="188" totalsRowBorderDxfId="187">
  <autoFilter ref="AC23:AG35" xr:uid="{13FD7CD8-C40D-411F-89C3-F53649174B3A}"/>
  <tableColumns count="5">
    <tableColumn id="1" xr3:uid="{5722898C-8B7C-4F0E-B206-8584C19CF3F0}" name="Name" dataDxfId="186"/>
    <tableColumn id="2" xr3:uid="{0B64D802-5FC2-4AA1-A62E-B6CF28717633}" name="Points" dataDxfId="185">
      <calculatedColumnFormula>Table63134[[#This Row],[Finishes]]+Table63134[[#This Row],[Midranges]]+Table63134[[#This Row],[Threes]]+Table63134[[#This Row],[Threes]]</calculatedColumnFormula>
    </tableColumn>
    <tableColumn id="3" xr3:uid="{B7BF31E5-7B67-4CBC-A36E-37978A20C40F}" name="Finishes" dataDxfId="184">
      <calculatedColumnFormula>COUNTIFS(E$4:E$35,AC24,F$4:F$35,"Finish")</calculatedColumnFormula>
    </tableColumn>
    <tableColumn id="4" xr3:uid="{1EB8037A-001D-4FEE-A67C-37F522BB9F3B}" name="Midranges" dataDxfId="183">
      <calculatedColumnFormula>COUNTIFS(E$4:E$35,AC24,F$4:F$35,"Midrange")</calculatedColumnFormula>
    </tableColumn>
    <tableColumn id="5" xr3:uid="{21DC8F64-C38B-4516-B315-723E408E3841}" name="Threes" dataDxfId="182">
      <calculatedColumnFormula>COUNTIFS(E$4:E$35,AC24,F$4:F$35,"Three Pointer")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4460559-EE55-4CF5-85D3-F8A1545DCA0F}" name="Table63133" displayName="Table63133" ref="AB23:AF35" totalsRowShown="0" headerRowDxfId="181" dataDxfId="179" headerRowBorderDxfId="180" tableBorderDxfId="178" totalsRowBorderDxfId="177">
  <autoFilter ref="AB23:AF35" xr:uid="{13FD7CD8-C40D-411F-89C3-F53649174B3A}"/>
  <tableColumns count="5">
    <tableColumn id="1" xr3:uid="{574C6AFA-0DD5-4E48-92F8-1F51665EBF50}" name="Name" dataDxfId="176"/>
    <tableColumn id="2" xr3:uid="{73CC7313-6932-4808-B503-006EA032F725}" name="Points" dataDxfId="175">
      <calculatedColumnFormula>Table63133[[#This Row],[Finishes]]+Table63133[[#This Row],[Midranges]]+Table63133[[#This Row],[Threes]]+Table63133[[#This Row],[Threes]]</calculatedColumnFormula>
    </tableColumn>
    <tableColumn id="3" xr3:uid="{8ED0236E-CA3C-46C1-90EE-E9237B6994E8}" name="Finishes" dataDxfId="174">
      <calculatedColumnFormula>COUNTIFS(E$4:E$35,AB24,F$4:F$35,"Finish")</calculatedColumnFormula>
    </tableColumn>
    <tableColumn id="4" xr3:uid="{5B87B6E1-7107-49A4-83EF-5808FD74997E}" name="Midranges" dataDxfId="173">
      <calculatedColumnFormula>COUNTIFS(E$4:E$35,AB24,F$4:F$35,"Midrange")</calculatedColumnFormula>
    </tableColumn>
    <tableColumn id="5" xr3:uid="{325B3640-0298-4E89-A2F0-E49C7B0A3C4C}" name="Threes" dataDxfId="17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724D180-39C3-4F3D-96E3-77D487A24A65}" name="Table63132" displayName="Table63132" ref="AB23:AF35" totalsRowShown="0" headerRowDxfId="171" dataDxfId="169" headerRowBorderDxfId="170" tableBorderDxfId="168" totalsRowBorderDxfId="167">
  <autoFilter ref="AB23:AF35" xr:uid="{13FD7CD8-C40D-411F-89C3-F53649174B3A}"/>
  <tableColumns count="5">
    <tableColumn id="1" xr3:uid="{91C5C250-A408-4754-A8CE-26D442D6CDAA}" name="Name" dataDxfId="166"/>
    <tableColumn id="2" xr3:uid="{30358CE6-D7D2-4D5C-8B2B-68CC2496D5EE}" name="Points" dataDxfId="165">
      <calculatedColumnFormula>Table63132[[#This Row],[Finishes]]+Table63132[[#This Row],[Midranges]]+Table63132[[#This Row],[Threes]]+Table63132[[#This Row],[Threes]]</calculatedColumnFormula>
    </tableColumn>
    <tableColumn id="3" xr3:uid="{F78A778B-268E-44CD-92E3-050552424A21}" name="Finishes" dataDxfId="164">
      <calculatedColumnFormula>COUNTIFS(E$4:E$35,AB24,F$4:F$35,"Finish")</calculatedColumnFormula>
    </tableColumn>
    <tableColumn id="4" xr3:uid="{A81D1110-5FEE-4844-939E-93EEBD082E97}" name="Midranges" dataDxfId="163">
      <calculatedColumnFormula>COUNTIFS(E$4:E$35,AB24,F$4:F$35,"Midrange")</calculatedColumnFormula>
    </tableColumn>
    <tableColumn id="5" xr3:uid="{21615588-C03B-492D-9E7F-96AAEBF7CCB0}" name="Threes" dataDxfId="16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E82EA-4698-4EB6-81EF-494FF4C3CF0A}" name="Table6316" displayName="Table6316" ref="AB23:AF35" totalsRowShown="0" headerRowDxfId="161" dataDxfId="159" headerRowBorderDxfId="160" tableBorderDxfId="158" totalsRowBorderDxfId="157">
  <autoFilter ref="AB23:AF35" xr:uid="{13FD7CD8-C40D-411F-89C3-F53649174B3A}"/>
  <tableColumns count="5">
    <tableColumn id="1" xr3:uid="{72B8CB40-987E-41F5-A060-5823CF015223}" name="Name" dataDxfId="156"/>
    <tableColumn id="2" xr3:uid="{33F2A167-F049-4052-A26F-5C3D436136E1}" name="Points" dataDxfId="155">
      <calculatedColumnFormula>Table6316[[#This Row],[Finishes]]+Table6316[[#This Row],[Midranges]]+Table6316[[#This Row],[Threes]]+Table6316[[#This Row],[Threes]]</calculatedColumnFormula>
    </tableColumn>
    <tableColumn id="3" xr3:uid="{1D77F709-F1FC-4693-BA0C-F6322F99B47A}" name="Finishes" dataDxfId="154">
      <calculatedColumnFormula>COUNTIFS(E$4:E$35,AB24,F$4:F$35,"Finish")</calculatedColumnFormula>
    </tableColumn>
    <tableColumn id="4" xr3:uid="{8C55320D-B379-4351-AC73-977A4AAF9956}" name="Midranges" dataDxfId="153">
      <calculatedColumnFormula>COUNTIFS(E$4:E$35,AB24,F$4:F$35,"Midrange")</calculatedColumnFormula>
    </tableColumn>
    <tableColumn id="5" xr3:uid="{9ED51C54-01E7-4718-9C8E-3E59C8E64B2E}" name="Threes" dataDxfId="15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58502EA-6343-4A42-B904-BF5AA09EF1C9}" name="Table630" displayName="Table630" ref="AB23:AF35" totalsRowShown="0" headerRowDxfId="151" dataDxfId="149" headerRowBorderDxfId="150" tableBorderDxfId="148" totalsRowBorderDxfId="147">
  <autoFilter ref="AB23:AF35" xr:uid="{A58502EA-6343-4A42-B904-BF5AA09EF1C9}"/>
  <tableColumns count="5">
    <tableColumn id="1" xr3:uid="{C42AD260-96D1-4BAD-8582-9EB233D448AD}" name="Name" dataDxfId="146"/>
    <tableColumn id="2" xr3:uid="{119BAC15-6DB1-4EED-9491-B9735D1A1CCD}" name="Points" dataDxfId="145">
      <calculatedColumnFormula>Table630[[#This Row],[Finishes]]+Table630[[#This Row],[Midranges]]+Table630[[#This Row],[Threes]]+Table630[[#This Row],[Threes]]</calculatedColumnFormula>
    </tableColumn>
    <tableColumn id="3" xr3:uid="{E755F90B-098B-45BA-B9C8-09B72ACE6E1C}" name="Finishes" dataDxfId="144">
      <calculatedColumnFormula>COUNTIFS(E$4:E$35,AB24,F$4:F$35,"Finish")</calculatedColumnFormula>
    </tableColumn>
    <tableColumn id="4" xr3:uid="{28ADA3B1-482E-43CA-AD2A-02F7A09CACFD}" name="Midranges" dataDxfId="143">
      <calculatedColumnFormula>COUNTIFS(E$4:E$35,AB24,F$4:F$35,"Midrange")</calculatedColumnFormula>
    </tableColumn>
    <tableColumn id="5" xr3:uid="{C9AC02A1-010E-43D2-BDCE-C22B864C549F}" name="Threes" dataDxfId="14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E76429B-169B-468D-824D-A87B796442C0}" name="Table629" displayName="Table629" ref="AB23:AF35" totalsRowShown="0" headerRowDxfId="141" dataDxfId="139" headerRowBorderDxfId="140" tableBorderDxfId="138" totalsRowBorderDxfId="137">
  <autoFilter ref="AB23:AF35" xr:uid="{6E76429B-169B-468D-824D-A87B796442C0}"/>
  <tableColumns count="5">
    <tableColumn id="1" xr3:uid="{702D6C1A-EF35-4C14-A8EC-BBE79BC5BE81}" name="Name" dataDxfId="136"/>
    <tableColumn id="2" xr3:uid="{9BD04D9B-64B3-4165-9C75-3A9A0F304D9A}" name="Points" dataDxfId="135">
      <calculatedColumnFormula>Table629[[#This Row],[Finishes]]+Table629[[#This Row],[Midranges]]+Table629[[#This Row],[Threes]]+Table629[[#This Row],[Threes]]</calculatedColumnFormula>
    </tableColumn>
    <tableColumn id="3" xr3:uid="{AEA5A0D1-9783-4821-B0B2-D45218D76E25}" name="Finishes" dataDxfId="134">
      <calculatedColumnFormula>COUNTIFS(E$4:E$35,AB24,F$4:F$35,"Finish")</calculatedColumnFormula>
    </tableColumn>
    <tableColumn id="4" xr3:uid="{179483FA-F4DC-46F6-9EBD-2B72684FBED5}" name="Midranges" dataDxfId="133">
      <calculatedColumnFormula>COUNTIFS(E$4:E$35,AB24,F$4:F$35,"Midrange")</calculatedColumnFormula>
    </tableColumn>
    <tableColumn id="5" xr3:uid="{82BFCC2E-BA97-42C7-9C9C-9D4A2257CC8D}" name="Threes" dataDxfId="13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11C1840-2FF8-49B4-9F4B-8223C0525289}" name="Table622" displayName="Table622" ref="AB23:AF35" totalsRowShown="0" headerRowDxfId="131" dataDxfId="129" headerRowBorderDxfId="130" tableBorderDxfId="128" totalsRowBorderDxfId="127">
  <autoFilter ref="AB23:AF35" xr:uid="{711C1840-2FF8-49B4-9F4B-8223C0525289}"/>
  <tableColumns count="5">
    <tableColumn id="1" xr3:uid="{0B03E012-9A8E-4767-A04A-C16CD3CCDC33}" name="Name" dataDxfId="126"/>
    <tableColumn id="2" xr3:uid="{A2B7E625-74CD-4FF7-8B9D-7F3ACC55103A}" name="Points" dataDxfId="125">
      <calculatedColumnFormula>Table622[[#This Row],[Finishes]]+Table622[[#This Row],[Midranges]]+Table622[[#This Row],[Threes]]+Table622[[#This Row],[Threes]]</calculatedColumnFormula>
    </tableColumn>
    <tableColumn id="3" xr3:uid="{535825F8-C373-4F79-BA5C-5860758B1DD1}" name="Finishes" dataDxfId="124">
      <calculatedColumnFormula>COUNTIFS(E$4:E$35,AB24,F$4:F$35,"Finish")</calculatedColumnFormula>
    </tableColumn>
    <tableColumn id="4" xr3:uid="{D078A61B-1896-43FA-8563-E4D3FCD6B4DD}" name="Midranges" dataDxfId="123">
      <calculatedColumnFormula>COUNTIFS(E$4:E$35,AB24,F$4:F$35,"Midrange")</calculatedColumnFormula>
    </tableColumn>
    <tableColumn id="5" xr3:uid="{A9701953-19FF-4D79-8455-76372461AB88}" name="Threes" dataDxfId="12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26177D-8CDE-4D62-99F6-2C9B80BCEAD6}" name="Table621" displayName="Table621" ref="AB23:AF35" totalsRowShown="0" headerRowDxfId="121" dataDxfId="119" headerRowBorderDxfId="120" tableBorderDxfId="118" totalsRowBorderDxfId="117">
  <autoFilter ref="AB23:AF35" xr:uid="{AE26177D-8CDE-4D62-99F6-2C9B80BCEAD6}"/>
  <tableColumns count="5">
    <tableColumn id="1" xr3:uid="{4C6C9C10-76EC-4EDA-B740-1EF5587C01D1}" name="Name" dataDxfId="116"/>
    <tableColumn id="2" xr3:uid="{6B881634-AC7D-412B-9F02-D156A1201211}" name="Points" dataDxfId="115">
      <calculatedColumnFormula>Table621[[#This Row],[Finishes]]+Table621[[#This Row],[Midranges]]+Table621[[#This Row],[Threes]]+Table621[[#This Row],[Threes]]</calculatedColumnFormula>
    </tableColumn>
    <tableColumn id="3" xr3:uid="{A31AAFFC-6AE6-40F9-A505-6B3F5D62C04B}" name="Finishes" dataDxfId="114">
      <calculatedColumnFormula>COUNTIFS(E$4:E$35,AB24,F$4:F$35,"Finish")</calculatedColumnFormula>
    </tableColumn>
    <tableColumn id="4" xr3:uid="{B1AB5C9D-3E0B-4B27-ADFF-1DF93EE6CC84}" name="Midranges" dataDxfId="113">
      <calculatedColumnFormula>COUNTIFS(E$4:E$35,AB24,F$4:F$35,"Midrange")</calculatedColumnFormula>
    </tableColumn>
    <tableColumn id="5" xr3:uid="{7C0B5A5A-E056-494F-86B0-CBEB8D1475C9}" name="Threes" dataDxfId="11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5046DB-B0F1-42B0-86FE-D063621EE515}" name="Table620" displayName="Table620" ref="AB23:AF35" totalsRowShown="0" headerRowDxfId="111" dataDxfId="109" headerRowBorderDxfId="110" tableBorderDxfId="108" totalsRowBorderDxfId="107">
  <autoFilter ref="AB23:AF35" xr:uid="{A35046DB-B0F1-42B0-86FE-D063621EE515}"/>
  <tableColumns count="5">
    <tableColumn id="1" xr3:uid="{27893731-032B-4D12-B452-2AA29EA44EC6}" name="Name" dataDxfId="106"/>
    <tableColumn id="2" xr3:uid="{E8C49AAC-F230-4F21-AC21-34B9ED55BD7B}" name="Points" dataDxfId="105">
      <calculatedColumnFormula>Table620[[#This Row],[Finishes]]+Table620[[#This Row],[Midranges]]+Table620[[#This Row],[Threes]]+Table620[[#This Row],[Threes]]</calculatedColumnFormula>
    </tableColumn>
    <tableColumn id="3" xr3:uid="{39EEDED5-431E-407F-8250-66EB4AF17F83}" name="Finishes" dataDxfId="104">
      <calculatedColumnFormula>COUNTIFS(E$4:E$35,AB24,F$4:F$35,"Finish")</calculatedColumnFormula>
    </tableColumn>
    <tableColumn id="4" xr3:uid="{74575A80-2AA7-42B7-B656-A6420844C111}" name="Midranges" dataDxfId="103">
      <calculatedColumnFormula>COUNTIFS(E$4:E$35,AB24,F$4:F$35,"Midrange")</calculatedColumnFormula>
    </tableColumn>
    <tableColumn id="5" xr3:uid="{FF198C28-8745-4B95-8E6C-BFE1083D2908}" name="Threes" dataDxfId="10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14D4D3-70C5-4A24-9A4E-A2AAB9CF35E3}" name="Table619" displayName="Table619" ref="AB23:AF35" totalsRowShown="0" headerRowDxfId="101" dataDxfId="99" headerRowBorderDxfId="100" tableBorderDxfId="98" totalsRowBorderDxfId="97">
  <autoFilter ref="AB23:AF35" xr:uid="{1714D4D3-70C5-4A24-9A4E-A2AAB9CF35E3}"/>
  <tableColumns count="5">
    <tableColumn id="1" xr3:uid="{B8B5BD79-26B0-4FEE-85E2-FC16FA5B1C5A}" name="Name" dataDxfId="96"/>
    <tableColumn id="2" xr3:uid="{34EEB8C6-0E0C-432C-AC65-35959B908E48}" name="Points" dataDxfId="95">
      <calculatedColumnFormula>Table619[[#This Row],[Finishes]]+Table619[[#This Row],[Midranges]]+Table619[[#This Row],[Threes]]+Table619[[#This Row],[Threes]]</calculatedColumnFormula>
    </tableColumn>
    <tableColumn id="3" xr3:uid="{7DA29E21-99D4-48A2-9AFD-8AFB065E3248}" name="Finishes" dataDxfId="94">
      <calculatedColumnFormula>COUNTIFS(E$4:E$35,AB24,F$4:F$35,"Finish")</calculatedColumnFormula>
    </tableColumn>
    <tableColumn id="4" xr3:uid="{8013E110-47EC-40EA-9D63-E2D90CA59A8E}" name="Midranges" dataDxfId="93">
      <calculatedColumnFormula>COUNTIFS(E$4:E$35,AB24,F$4:F$35,"Midrange")</calculatedColumnFormula>
    </tableColumn>
    <tableColumn id="5" xr3:uid="{48311BF4-567F-401E-B8D3-DAB12DC49017}" name="Threes" dataDxfId="9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3E2669-BFE0-4C11-83AB-A66D3AD911D5}" name="Table618" displayName="Table618" ref="AB23:AF35" totalsRowShown="0" headerRowDxfId="91" dataDxfId="89" headerRowBorderDxfId="90" tableBorderDxfId="88" totalsRowBorderDxfId="87">
  <autoFilter ref="AB23:AF35" xr:uid="{303E2669-BFE0-4C11-83AB-A66D3AD911D5}"/>
  <tableColumns count="5">
    <tableColumn id="1" xr3:uid="{0ACC658A-A2E6-4822-B4CF-E42B064307EC}" name="Name" dataDxfId="86"/>
    <tableColumn id="2" xr3:uid="{69E1B66B-C7C3-4733-9803-F7800D41C7AE}" name="Points" dataDxfId="85">
      <calculatedColumnFormula>Table618[[#This Row],[Finishes]]+Table618[[#This Row],[Midranges]]+Table618[[#This Row],[Threes]]+Table618[[#This Row],[Threes]]</calculatedColumnFormula>
    </tableColumn>
    <tableColumn id="3" xr3:uid="{6C1F5B14-3219-42DE-A30D-9BA63C3A6909}" name="Finishes" dataDxfId="84">
      <calculatedColumnFormula>COUNTIFS(E$4:E$35,AB24,F$4:F$35,"Finish")</calculatedColumnFormula>
    </tableColumn>
    <tableColumn id="4" xr3:uid="{ADB45E9B-AC7D-4069-B639-5DC6C0CF2238}" name="Midranges" dataDxfId="83">
      <calculatedColumnFormula>COUNTIFS(E$4:E$35,AB24,F$4:F$35,"Midrange")</calculatedColumnFormula>
    </tableColumn>
    <tableColumn id="5" xr3:uid="{551A75D2-68CD-46CD-B2A5-EA83451074D7}" name="Threes" dataDxfId="8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607A1D-5CBE-4AF6-B74F-A17EBEC2C394}" name="Table617" displayName="Table617" ref="AB23:AF35" totalsRowShown="0" headerRowDxfId="81" dataDxfId="79" headerRowBorderDxfId="80" tableBorderDxfId="78" totalsRowBorderDxfId="77">
  <autoFilter ref="AB23:AF35" xr:uid="{2C607A1D-5CBE-4AF6-B74F-A17EBEC2C394}"/>
  <tableColumns count="5">
    <tableColumn id="1" xr3:uid="{CA259BF9-3B7B-4C35-8EB0-8FC507F52620}" name="Name" dataDxfId="76"/>
    <tableColumn id="2" xr3:uid="{ACDF4FA4-A3AA-4EBC-A234-FB46076B438E}" name="Points" dataDxfId="75">
      <calculatedColumnFormula>Table617[[#This Row],[Finishes]]+Table617[[#This Row],[Midranges]]+Table617[[#This Row],[Threes]]+Table617[[#This Row],[Threes]]</calculatedColumnFormula>
    </tableColumn>
    <tableColumn id="3" xr3:uid="{64B58B67-DBD5-4B89-9B4B-6AAADDF43822}" name="Finishes" dataDxfId="74">
      <calculatedColumnFormula>COUNTIFS(E$4:E$35,AB24,F$4:F$35,"Finish")</calculatedColumnFormula>
    </tableColumn>
    <tableColumn id="4" xr3:uid="{0A3A77CE-3099-4A7B-981B-6A0F44B14D11}" name="Midranges" dataDxfId="73">
      <calculatedColumnFormula>COUNTIFS(E$4:E$35,AB24,F$4:F$35,"Midrange")</calculatedColumnFormula>
    </tableColumn>
    <tableColumn id="5" xr3:uid="{013E6D90-7B5B-4FB5-B0D3-D87F11C976DB}" name="Threes" dataDxfId="7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118DB3-D0FB-483A-9EB4-32A2F2A95163}" name="Table616" displayName="Table616" ref="AB23:AF35" totalsRowShown="0" headerRowDxfId="71" dataDxfId="69" headerRowBorderDxfId="70" tableBorderDxfId="68" totalsRowBorderDxfId="67">
  <autoFilter ref="AB23:AF35" xr:uid="{68118DB3-D0FB-483A-9EB4-32A2F2A95163}"/>
  <tableColumns count="5">
    <tableColumn id="1" xr3:uid="{CE47220C-0A23-4BEF-BE09-10F142B36862}" name="Name" dataDxfId="66"/>
    <tableColumn id="2" xr3:uid="{DF770B97-23E2-457C-9D37-5E9A3C3679DB}" name="Points" dataDxfId="65">
      <calculatedColumnFormula>Table616[[#This Row],[Finishes]]+Table616[[#This Row],[Midranges]]+Table616[[#This Row],[Threes]]+Table616[[#This Row],[Threes]]</calculatedColumnFormula>
    </tableColumn>
    <tableColumn id="3" xr3:uid="{A8F99EA4-30AD-4E66-BF37-A668A831C791}" name="Finishes" dataDxfId="64">
      <calculatedColumnFormula>COUNTIFS(E$4:E$35,AB24,F$4:F$35,"Finish")</calculatedColumnFormula>
    </tableColumn>
    <tableColumn id="4" xr3:uid="{9D32120F-F6FF-46CE-AE03-4EFA07E2703A}" name="Midranges" dataDxfId="63">
      <calculatedColumnFormula>COUNTIFS(E$4:E$35,AB24,F$4:F$35,"Midrange")</calculatedColumnFormula>
    </tableColumn>
    <tableColumn id="5" xr3:uid="{B0534804-3982-48F8-9692-9B112C42BBA4}" name="Threes" dataDxfId="6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F1906A-B3B3-4BEF-9867-FBF932269708}" name="Table615" displayName="Table615" ref="AB23:AF35" totalsRowShown="0" headerRowDxfId="61" dataDxfId="59" headerRowBorderDxfId="60" tableBorderDxfId="58" totalsRowBorderDxfId="57">
  <autoFilter ref="AB23:AF35" xr:uid="{9EF1906A-B3B3-4BEF-9867-FBF932269708}"/>
  <tableColumns count="5">
    <tableColumn id="1" xr3:uid="{19D780D9-93BA-439D-92CE-5E0011FC94C9}" name="Name" dataDxfId="56"/>
    <tableColumn id="2" xr3:uid="{F8FAB1B7-4D3F-462E-A255-9B298AE0F23D}" name="Points" dataDxfId="55">
      <calculatedColumnFormula>Table615[[#This Row],[Finishes]]+Table615[[#This Row],[Midranges]]+Table615[[#This Row],[Threes]]+Table615[[#This Row],[Threes]]</calculatedColumnFormula>
    </tableColumn>
    <tableColumn id="3" xr3:uid="{E528C7B8-3C64-482B-97B3-C38F2BF27186}" name="Finishes" dataDxfId="54">
      <calculatedColumnFormula>COUNTIFS(E$4:E$35,AB24,F$4:F$35,"Finish")</calculatedColumnFormula>
    </tableColumn>
    <tableColumn id="4" xr3:uid="{B84E09E7-4B7B-46CB-A382-B3A5B718B665}" name="Midranges" dataDxfId="53">
      <calculatedColumnFormula>COUNTIFS(E$4:E$35,AB24,F$4:F$35,"Midrange")</calculatedColumnFormula>
    </tableColumn>
    <tableColumn id="5" xr3:uid="{E05FF50D-26D5-4849-BD53-F8BE653947F2}" name="Threes" dataDxfId="5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DAA49A-970D-45E7-8776-FCD763C64D3D}" name="Table610" displayName="Table610" ref="AB23:AF35" totalsRowShown="0" headerRowDxfId="51" dataDxfId="49" headerRowBorderDxfId="50" tableBorderDxfId="48" totalsRowBorderDxfId="47">
  <autoFilter ref="AB23:AF35" xr:uid="{3CDAA49A-970D-45E7-8776-FCD763C64D3D}"/>
  <tableColumns count="5">
    <tableColumn id="1" xr3:uid="{BE7D80F2-C167-4417-ABD8-DE86C19C3613}" name="Name" dataDxfId="46"/>
    <tableColumn id="2" xr3:uid="{073E7847-0F0B-4218-ADFE-40B8292E2D26}" name="Points" dataDxfId="45">
      <calculatedColumnFormula>Table610[[#This Row],[Finishes]]+Table610[[#This Row],[Midranges]]+Table610[[#This Row],[Threes]]+Table610[[#This Row],[Threes]]</calculatedColumnFormula>
    </tableColumn>
    <tableColumn id="3" xr3:uid="{0385D241-2930-4B13-9640-63D0DB0487EF}" name="Finishes" dataDxfId="44">
      <calculatedColumnFormula>COUNTIFS(E$4:E$35,AB24,F$4:F$35,"Finish")</calculatedColumnFormula>
    </tableColumn>
    <tableColumn id="4" xr3:uid="{64DD9251-F793-4491-85A1-6DBBF9E100BF}" name="Midranges" dataDxfId="43">
      <calculatedColumnFormula>COUNTIFS(E$4:E$35,AB24,F$4:F$35,"Midrange")</calculatedColumnFormula>
    </tableColumn>
    <tableColumn id="5" xr3:uid="{762904B8-CD39-408A-B16D-C23402BF9CDD}" name="Threes" dataDxfId="4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A4DFB5-74A3-4A64-AACD-91CE9502F555}" name="Table69" displayName="Table69" ref="AB23:AF35" totalsRowShown="0" headerRowDxfId="41" dataDxfId="39" headerRowBorderDxfId="40" tableBorderDxfId="38" totalsRowBorderDxfId="37">
  <autoFilter ref="AB23:AF35" xr:uid="{C6A4DFB5-74A3-4A64-AACD-91CE9502F555}"/>
  <tableColumns count="5">
    <tableColumn id="1" xr3:uid="{0299C96A-7BCA-47EB-AD86-241664A4F514}" name="Name" dataDxfId="36"/>
    <tableColumn id="2" xr3:uid="{5098BEB7-25CA-4164-914A-AC4AFA7BF2BC}" name="Points" dataDxfId="35">
      <calculatedColumnFormula>Table69[[#This Row],[Finishes]]+Table69[[#This Row],[Midranges]]+Table69[[#This Row],[Threes]]+Table69[[#This Row],[Threes]]</calculatedColumnFormula>
    </tableColumn>
    <tableColumn id="3" xr3:uid="{0E2A5E1E-5A68-48E5-B12A-1D2CC3EC6A00}" name="Finishes" dataDxfId="34">
      <calculatedColumnFormula>COUNTIFS(E$4:E$35,AB24,F$4:F$35,"Finish")</calculatedColumnFormula>
    </tableColumn>
    <tableColumn id="4" xr3:uid="{AB612CFA-1FA9-4ADE-AE53-130B2B192FB9}" name="Midranges" dataDxfId="33">
      <calculatedColumnFormula>COUNTIFS(E$4:E$35,AB24,F$4:F$35,"Midrange")</calculatedColumnFormula>
    </tableColumn>
    <tableColumn id="5" xr3:uid="{7E81C066-5B3D-4F5F-AA57-F66CFF5F91A1}" name="Threes" dataDxfId="3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350964-0408-4154-ACAC-3710508D9D87}" name="Table68" displayName="Table68" ref="AB23:AF35" totalsRowShown="0" headerRowDxfId="31" dataDxfId="29" headerRowBorderDxfId="30" tableBorderDxfId="28" totalsRowBorderDxfId="27">
  <autoFilter ref="AB23:AF35" xr:uid="{AD350964-0408-4154-ACAC-3710508D9D87}"/>
  <tableColumns count="5">
    <tableColumn id="1" xr3:uid="{16BEA131-6137-4539-A2D9-4DB11B2311B6}" name="Name" dataDxfId="26"/>
    <tableColumn id="2" xr3:uid="{6AEC6A03-BBB8-42C1-A1C9-687F7E0DE182}" name="Points" dataDxfId="25">
      <calculatedColumnFormula>Table68[[#This Row],[Finishes]]+Table68[[#This Row],[Midranges]]+Table68[[#This Row],[Threes]]+Table68[[#This Row],[Threes]]</calculatedColumnFormula>
    </tableColumn>
    <tableColumn id="3" xr3:uid="{AD7A2EA0-C824-4230-8A99-443A7A5F0C10}" name="Finishes" dataDxfId="24">
      <calculatedColumnFormula>COUNTIFS(E$4:E$35,AB24,F$4:F$35,"Finish")</calculatedColumnFormula>
    </tableColumn>
    <tableColumn id="4" xr3:uid="{01AC69BC-B8B8-4D13-9632-3DA4330300C1}" name="Midranges" dataDxfId="23">
      <calculatedColumnFormula>COUNTIFS(E$4:E$35,AB24,F$4:F$35,"Midrange")</calculatedColumnFormula>
    </tableColumn>
    <tableColumn id="5" xr3:uid="{563C2D33-CBB1-4A24-AD12-1F7EB0B8E5B4}" name="Threes" dataDxfId="2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72D610-9C91-48B2-AE6A-0F3391E34A4D}" name="Table6" displayName="Table6" ref="AB23:AF35" totalsRowShown="0" headerRowDxfId="21" dataDxfId="19" headerRowBorderDxfId="20" tableBorderDxfId="18" totalsRowBorderDxfId="17">
  <autoFilter ref="AB23:AF35" xr:uid="{BA72D610-9C91-48B2-AE6A-0F3391E34A4D}"/>
  <tableColumns count="5">
    <tableColumn id="1" xr3:uid="{51F1B0CF-10E2-4194-85E6-583F7CE73389}" name="Name" dataDxfId="16"/>
    <tableColumn id="2" xr3:uid="{45797C8D-217B-47BB-9393-DBE33DBFD489}" name="Points" dataDxfId="15">
      <calculatedColumnFormula>Table6[[#This Row],[Finishes]]+Table6[[#This Row],[Midranges]]+Table6[[#This Row],[Threes]]+Table6[[#This Row],[Threes]]</calculatedColumnFormula>
    </tableColumn>
    <tableColumn id="3" xr3:uid="{4E387F6C-6886-4A03-8286-16B290D4937B}" name="Finishes" dataDxfId="14">
      <calculatedColumnFormula>COUNTIFS(E$4:E$35,AB24,F$4:F$35,"Finish")</calculatedColumnFormula>
    </tableColumn>
    <tableColumn id="4" xr3:uid="{67931CF6-4491-412B-9EC1-E1177336345D}" name="Midranges" dataDxfId="13">
      <calculatedColumnFormula>COUNTIFS(E$4:E$35,AB24,F$4:F$35,"Midrange")</calculatedColumnFormula>
    </tableColumn>
    <tableColumn id="5" xr3:uid="{55B3E858-EE70-46D9-B721-DC47897AA8BB}" name="Threes" dataDxfId="12">
      <calculatedColumnFormula>COUNTIFS(E$4:E$35,AB24,F$4:F$35,"Three Pointer")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85F-ECE9-4FE5-9060-0824930AEC25}">
  <dimension ref="A1:AI135"/>
  <sheetViews>
    <sheetView tabSelected="1" zoomScale="40" zoomScaleNormal="40" workbookViewId="0">
      <selection activeCell="AI102" sqref="AI102"/>
    </sheetView>
  </sheetViews>
  <sheetFormatPr defaultColWidth="15.59765625" defaultRowHeight="14.25" x14ac:dyDescent="0.45"/>
  <sheetData>
    <row r="1" spans="1:29" x14ac:dyDescent="0.45">
      <c r="A1" s="25" t="s">
        <v>296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 s="189" t="s">
        <v>323</v>
      </c>
    </row>
    <row r="2" spans="1:29" x14ac:dyDescent="0.45">
      <c r="A2" s="25" t="s">
        <v>58</v>
      </c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 t="s">
        <v>312</v>
      </c>
      <c r="H2" t="s">
        <v>313</v>
      </c>
      <c r="I2" t="s">
        <v>314</v>
      </c>
      <c r="J2" t="s">
        <v>315</v>
      </c>
      <c r="R2" s="188" t="s">
        <v>45</v>
      </c>
      <c r="S2">
        <f t="shared" ref="S2:S18" si="0">(S$1*COUNTIF(A$2:A$11, ("*"&amp;$R2&amp;"*")))</f>
        <v>0</v>
      </c>
      <c r="T2" s="16">
        <f t="shared" ref="T2:T18" si="1">(T$1*COUNTIF(B$2:B$11, ("*"&amp;$R2&amp;"*")))</f>
        <v>0</v>
      </c>
      <c r="U2" s="16">
        <f t="shared" ref="U2:U18" si="2">(U$1*COUNTIF(C$2:C$11, ("*"&amp;$R2&amp;"*")))</f>
        <v>8</v>
      </c>
      <c r="V2" s="16">
        <f t="shared" ref="V2:V18" si="3">(V$1*COUNTIF(D$2:D$11, ("*"&amp;$R2&amp;"*")))</f>
        <v>0</v>
      </c>
      <c r="W2" s="16">
        <f t="shared" ref="W2:W18" si="4">(W$1*COUNTIF(E$2:E$11, ("*"&amp;$R2&amp;"*")))</f>
        <v>6</v>
      </c>
      <c r="X2" s="16">
        <f t="shared" ref="X2:X18" si="5">(X$1*COUNTIF(F$2:F$11, ("*"&amp;$R2&amp;"*")))</f>
        <v>0</v>
      </c>
      <c r="Y2" s="16">
        <f t="shared" ref="Y2:Y18" si="6">(Y$1*COUNTIF(G$2:G$11, ("*"&amp;$R2&amp;"*")))</f>
        <v>8</v>
      </c>
      <c r="Z2" s="16">
        <f t="shared" ref="Z2:Z18" si="7">(Z$1*COUNTIF(H$2:H$11, ("*"&amp;$R2&amp;"*")))</f>
        <v>6</v>
      </c>
      <c r="AA2" s="16">
        <f t="shared" ref="AA2:AA18" si="8">(AA$1*COUNTIF(I$2:I$11, ("*"&amp;$R2&amp;"*")))</f>
        <v>6</v>
      </c>
      <c r="AB2" s="16">
        <f t="shared" ref="AB2:AB18" si="9">(AB$1*COUNTIF(J$2:J$11, ("*"&amp;$R2&amp;"*")))</f>
        <v>1</v>
      </c>
      <c r="AC2" s="16">
        <f>SUM(S2:AB2)</f>
        <v>35</v>
      </c>
    </row>
    <row r="3" spans="1:29" x14ac:dyDescent="0.45">
      <c r="A3" s="25" t="s">
        <v>44</v>
      </c>
      <c r="B3" t="s">
        <v>316</v>
      </c>
      <c r="C3" t="s">
        <v>308</v>
      </c>
      <c r="D3" t="s">
        <v>311</v>
      </c>
      <c r="E3" t="s">
        <v>309</v>
      </c>
      <c r="F3" t="s">
        <v>310</v>
      </c>
      <c r="G3" t="s">
        <v>312</v>
      </c>
      <c r="H3" t="s">
        <v>313</v>
      </c>
      <c r="I3" t="s">
        <v>314</v>
      </c>
      <c r="J3" t="s">
        <v>315</v>
      </c>
      <c r="R3" s="188" t="s">
        <v>49</v>
      </c>
      <c r="S3" s="16">
        <f t="shared" si="0"/>
        <v>0</v>
      </c>
      <c r="T3" s="16">
        <f t="shared" si="1"/>
        <v>0</v>
      </c>
      <c r="U3" s="16">
        <f t="shared" si="2"/>
        <v>8</v>
      </c>
      <c r="V3" s="16">
        <f t="shared" si="3"/>
        <v>21</v>
      </c>
      <c r="W3" s="16">
        <f t="shared" si="4"/>
        <v>6</v>
      </c>
      <c r="X3" s="16">
        <f t="shared" si="5"/>
        <v>10</v>
      </c>
      <c r="Y3" s="16">
        <f t="shared" si="6"/>
        <v>0</v>
      </c>
      <c r="Z3" s="16">
        <f t="shared" si="7"/>
        <v>3</v>
      </c>
      <c r="AA3" s="16">
        <f t="shared" si="8"/>
        <v>2</v>
      </c>
      <c r="AB3" s="16">
        <f t="shared" si="9"/>
        <v>1</v>
      </c>
      <c r="AC3" s="16">
        <f t="shared" ref="AC3:AC18" si="10">SUM(S3:AB3)</f>
        <v>51</v>
      </c>
    </row>
    <row r="4" spans="1:29" x14ac:dyDescent="0.45">
      <c r="A4" s="25" t="s">
        <v>58</v>
      </c>
      <c r="B4" t="s">
        <v>309</v>
      </c>
      <c r="C4" t="s">
        <v>308</v>
      </c>
      <c r="D4" t="s">
        <v>311</v>
      </c>
      <c r="E4" t="s">
        <v>312</v>
      </c>
      <c r="F4" t="s">
        <v>310</v>
      </c>
      <c r="G4" t="s">
        <v>307</v>
      </c>
      <c r="H4" t="s">
        <v>314</v>
      </c>
      <c r="I4" t="s">
        <v>315</v>
      </c>
      <c r="J4" t="s">
        <v>313</v>
      </c>
      <c r="R4" s="188" t="s">
        <v>51</v>
      </c>
      <c r="S4" s="16">
        <f t="shared" si="0"/>
        <v>0</v>
      </c>
      <c r="T4" s="16">
        <f t="shared" si="1"/>
        <v>0</v>
      </c>
      <c r="U4" s="16">
        <f t="shared" si="2"/>
        <v>0</v>
      </c>
      <c r="V4" s="16">
        <f t="shared" si="3"/>
        <v>0</v>
      </c>
      <c r="W4" s="16">
        <f t="shared" si="4"/>
        <v>0</v>
      </c>
      <c r="X4" s="16">
        <f t="shared" si="5"/>
        <v>0</v>
      </c>
      <c r="Y4" s="16">
        <f t="shared" si="6"/>
        <v>0</v>
      </c>
      <c r="Z4" s="16">
        <f t="shared" si="7"/>
        <v>0</v>
      </c>
      <c r="AA4" s="16">
        <f t="shared" si="8"/>
        <v>0</v>
      </c>
      <c r="AB4" s="16">
        <f t="shared" si="9"/>
        <v>0</v>
      </c>
      <c r="AC4" s="16">
        <f t="shared" si="10"/>
        <v>0</v>
      </c>
    </row>
    <row r="5" spans="1:29" x14ac:dyDescent="0.45">
      <c r="A5" s="25" t="s">
        <v>58</v>
      </c>
      <c r="B5" t="s">
        <v>308</v>
      </c>
      <c r="C5" t="s">
        <v>309</v>
      </c>
      <c r="D5" t="s">
        <v>307</v>
      </c>
      <c r="E5" t="s">
        <v>311</v>
      </c>
      <c r="F5" t="s">
        <v>310</v>
      </c>
      <c r="G5" t="s">
        <v>314</v>
      </c>
      <c r="H5" t="s">
        <v>315</v>
      </c>
      <c r="I5" t="s">
        <v>313</v>
      </c>
      <c r="J5" t="s">
        <v>312</v>
      </c>
      <c r="R5" s="188" t="s">
        <v>54</v>
      </c>
      <c r="S5" s="16">
        <f t="shared" si="0"/>
        <v>0</v>
      </c>
      <c r="T5" s="16">
        <f t="shared" si="1"/>
        <v>0</v>
      </c>
      <c r="U5" s="16">
        <f t="shared" si="2"/>
        <v>0</v>
      </c>
      <c r="V5" s="16">
        <f t="shared" si="3"/>
        <v>0</v>
      </c>
      <c r="W5" s="16">
        <f t="shared" si="4"/>
        <v>0</v>
      </c>
      <c r="X5" s="16">
        <f t="shared" si="5"/>
        <v>0</v>
      </c>
      <c r="Y5" s="16">
        <f t="shared" si="6"/>
        <v>0</v>
      </c>
      <c r="Z5" s="16">
        <f t="shared" si="7"/>
        <v>0</v>
      </c>
      <c r="AA5" s="16">
        <f t="shared" si="8"/>
        <v>0</v>
      </c>
      <c r="AB5" s="16">
        <f t="shared" si="9"/>
        <v>0</v>
      </c>
      <c r="AC5" s="16">
        <f t="shared" si="10"/>
        <v>0</v>
      </c>
    </row>
    <row r="6" spans="1:29" x14ac:dyDescent="0.45">
      <c r="A6" s="25" t="s">
        <v>55</v>
      </c>
      <c r="B6" t="s">
        <v>316</v>
      </c>
      <c r="C6" t="s">
        <v>310</v>
      </c>
      <c r="D6" t="s">
        <v>311</v>
      </c>
      <c r="E6" t="s">
        <v>309</v>
      </c>
      <c r="F6" t="s">
        <v>312</v>
      </c>
      <c r="G6" t="s">
        <v>313</v>
      </c>
      <c r="H6" t="s">
        <v>314</v>
      </c>
      <c r="I6" t="s">
        <v>315</v>
      </c>
      <c r="J6" t="s">
        <v>307</v>
      </c>
      <c r="R6" s="188" t="s">
        <v>57</v>
      </c>
      <c r="S6" s="16">
        <f t="shared" si="0"/>
        <v>0</v>
      </c>
      <c r="T6" s="16">
        <f t="shared" si="1"/>
        <v>0</v>
      </c>
      <c r="U6" s="16">
        <f t="shared" si="2"/>
        <v>0</v>
      </c>
      <c r="V6" s="16">
        <f t="shared" si="3"/>
        <v>0</v>
      </c>
      <c r="W6" s="16">
        <f t="shared" si="4"/>
        <v>0</v>
      </c>
      <c r="X6" s="16">
        <f t="shared" si="5"/>
        <v>0</v>
      </c>
      <c r="Y6" s="16">
        <f t="shared" si="6"/>
        <v>0</v>
      </c>
      <c r="Z6" s="16">
        <f t="shared" si="7"/>
        <v>0</v>
      </c>
      <c r="AA6" s="16">
        <f t="shared" si="8"/>
        <v>0</v>
      </c>
      <c r="AB6" s="16">
        <f t="shared" si="9"/>
        <v>0</v>
      </c>
      <c r="AC6" s="16">
        <f t="shared" si="10"/>
        <v>0</v>
      </c>
    </row>
    <row r="7" spans="1:29" x14ac:dyDescent="0.45">
      <c r="A7" s="25" t="s">
        <v>44</v>
      </c>
      <c r="B7" t="s">
        <v>308</v>
      </c>
      <c r="C7" t="s">
        <v>310</v>
      </c>
      <c r="D7" t="s">
        <v>316</v>
      </c>
      <c r="E7" t="s">
        <v>314</v>
      </c>
      <c r="F7" t="s">
        <v>311</v>
      </c>
      <c r="G7" t="s">
        <v>309</v>
      </c>
      <c r="H7" t="s">
        <v>312</v>
      </c>
      <c r="I7" t="s">
        <v>315</v>
      </c>
      <c r="J7" t="s">
        <v>313</v>
      </c>
      <c r="R7" s="188" t="s">
        <v>60</v>
      </c>
      <c r="S7" s="16">
        <f t="shared" si="0"/>
        <v>10</v>
      </c>
      <c r="T7" s="16">
        <f t="shared" si="1"/>
        <v>9</v>
      </c>
      <c r="U7" s="16">
        <f t="shared" si="2"/>
        <v>16</v>
      </c>
      <c r="V7" s="16">
        <f t="shared" si="3"/>
        <v>14</v>
      </c>
      <c r="W7" s="16">
        <f t="shared" si="4"/>
        <v>12</v>
      </c>
      <c r="X7" s="16">
        <f t="shared" si="5"/>
        <v>0</v>
      </c>
      <c r="Y7" s="16">
        <f t="shared" si="6"/>
        <v>8</v>
      </c>
      <c r="Z7" s="16">
        <f t="shared" si="7"/>
        <v>0</v>
      </c>
      <c r="AA7" s="16">
        <f t="shared" si="8"/>
        <v>0</v>
      </c>
      <c r="AB7" s="16">
        <f t="shared" si="9"/>
        <v>0</v>
      </c>
      <c r="AC7" s="16">
        <f t="shared" si="10"/>
        <v>69</v>
      </c>
    </row>
    <row r="8" spans="1:29" x14ac:dyDescent="0.45">
      <c r="A8" s="25" t="s">
        <v>58</v>
      </c>
      <c r="B8" t="s">
        <v>312</v>
      </c>
      <c r="C8" t="s">
        <v>311</v>
      </c>
      <c r="D8" t="s">
        <v>310</v>
      </c>
      <c r="E8" t="s">
        <v>307</v>
      </c>
      <c r="F8" t="s">
        <v>308</v>
      </c>
      <c r="G8" t="s">
        <v>309</v>
      </c>
      <c r="H8" t="s">
        <v>313</v>
      </c>
      <c r="I8" t="s">
        <v>315</v>
      </c>
      <c r="J8" t="s">
        <v>314</v>
      </c>
      <c r="R8" s="188" t="s">
        <v>93</v>
      </c>
      <c r="S8" s="16">
        <f t="shared" si="0"/>
        <v>0</v>
      </c>
      <c r="T8" s="16">
        <f t="shared" si="1"/>
        <v>0</v>
      </c>
      <c r="U8" s="16">
        <f t="shared" si="2"/>
        <v>0</v>
      </c>
      <c r="V8" s="16">
        <f t="shared" si="3"/>
        <v>0</v>
      </c>
      <c r="W8" s="16">
        <f t="shared" si="4"/>
        <v>0</v>
      </c>
      <c r="X8" s="16">
        <f t="shared" si="5"/>
        <v>0</v>
      </c>
      <c r="Y8" s="16">
        <f t="shared" si="6"/>
        <v>0</v>
      </c>
      <c r="Z8" s="16">
        <f t="shared" si="7"/>
        <v>0</v>
      </c>
      <c r="AA8" s="16">
        <f t="shared" si="8"/>
        <v>0</v>
      </c>
      <c r="AB8" s="16">
        <f t="shared" si="9"/>
        <v>0</v>
      </c>
      <c r="AC8" s="16">
        <f t="shared" si="10"/>
        <v>0</v>
      </c>
    </row>
    <row r="9" spans="1:29" x14ac:dyDescent="0.45">
      <c r="A9" s="25" t="s">
        <v>58</v>
      </c>
      <c r="B9" t="s">
        <v>308</v>
      </c>
      <c r="C9" t="s">
        <v>309</v>
      </c>
      <c r="D9" t="s">
        <v>312</v>
      </c>
      <c r="E9" t="s">
        <v>307</v>
      </c>
      <c r="F9" t="s">
        <v>310</v>
      </c>
      <c r="G9" t="s">
        <v>314</v>
      </c>
      <c r="H9" t="s">
        <v>313</v>
      </c>
      <c r="I9" t="s">
        <v>311</v>
      </c>
      <c r="J9" t="s">
        <v>315</v>
      </c>
      <c r="R9" s="188" t="s">
        <v>63</v>
      </c>
      <c r="S9" s="16">
        <f t="shared" si="0"/>
        <v>20</v>
      </c>
      <c r="T9" s="16">
        <f t="shared" si="1"/>
        <v>9</v>
      </c>
      <c r="U9" s="16">
        <f t="shared" si="2"/>
        <v>0</v>
      </c>
      <c r="V9" s="16">
        <f t="shared" si="3"/>
        <v>14</v>
      </c>
      <c r="W9" s="16">
        <f t="shared" si="4"/>
        <v>12</v>
      </c>
      <c r="X9" s="16">
        <f t="shared" si="5"/>
        <v>5</v>
      </c>
      <c r="Y9" s="16">
        <f t="shared" si="6"/>
        <v>4</v>
      </c>
      <c r="Z9" s="16">
        <f t="shared" si="7"/>
        <v>0</v>
      </c>
      <c r="AA9" s="16">
        <f t="shared" si="8"/>
        <v>0</v>
      </c>
      <c r="AB9" s="16">
        <f t="shared" si="9"/>
        <v>1</v>
      </c>
      <c r="AC9" s="16">
        <f t="shared" si="10"/>
        <v>65</v>
      </c>
    </row>
    <row r="10" spans="1:29" x14ac:dyDescent="0.45">
      <c r="A10" s="25" t="s">
        <v>42</v>
      </c>
      <c r="B10" t="s">
        <v>308</v>
      </c>
      <c r="C10" t="s">
        <v>316</v>
      </c>
      <c r="D10" t="s">
        <v>307</v>
      </c>
      <c r="E10" t="s">
        <v>312</v>
      </c>
      <c r="F10" t="s">
        <v>313</v>
      </c>
      <c r="G10" t="s">
        <v>310</v>
      </c>
      <c r="H10" t="s">
        <v>311</v>
      </c>
      <c r="I10" t="s">
        <v>314</v>
      </c>
      <c r="J10" t="s">
        <v>315</v>
      </c>
      <c r="R10" s="188" t="s">
        <v>66</v>
      </c>
      <c r="S10" s="16">
        <f t="shared" si="0"/>
        <v>0</v>
      </c>
      <c r="T10" s="16">
        <f t="shared" si="1"/>
        <v>0</v>
      </c>
      <c r="U10" s="16">
        <f t="shared" si="2"/>
        <v>0</v>
      </c>
      <c r="V10" s="16">
        <f t="shared" si="3"/>
        <v>0</v>
      </c>
      <c r="W10" s="16">
        <f t="shared" si="4"/>
        <v>0</v>
      </c>
      <c r="X10" s="16">
        <f t="shared" si="5"/>
        <v>0</v>
      </c>
      <c r="Y10" s="16">
        <f t="shared" si="6"/>
        <v>0</v>
      </c>
      <c r="Z10" s="16">
        <f t="shared" si="7"/>
        <v>0</v>
      </c>
      <c r="AA10" s="16">
        <f t="shared" si="8"/>
        <v>0</v>
      </c>
      <c r="AB10" s="16">
        <f t="shared" si="9"/>
        <v>0</v>
      </c>
      <c r="AC10" s="16">
        <f t="shared" si="10"/>
        <v>0</v>
      </c>
    </row>
    <row r="11" spans="1:29" x14ac:dyDescent="0.45">
      <c r="A11" s="25" t="s">
        <v>58</v>
      </c>
      <c r="B11" t="s">
        <v>312</v>
      </c>
      <c r="C11" t="s">
        <v>314</v>
      </c>
      <c r="D11" t="s">
        <v>309</v>
      </c>
      <c r="E11" t="s">
        <v>315</v>
      </c>
      <c r="F11" t="s">
        <v>307</v>
      </c>
      <c r="G11" t="s">
        <v>308</v>
      </c>
      <c r="H11" t="s">
        <v>310</v>
      </c>
      <c r="I11" t="s">
        <v>313</v>
      </c>
      <c r="J11" t="s">
        <v>311</v>
      </c>
      <c r="R11" s="188" t="s">
        <v>68</v>
      </c>
      <c r="S11" s="16">
        <f t="shared" si="0"/>
        <v>0</v>
      </c>
      <c r="T11" s="16">
        <f t="shared" si="1"/>
        <v>0</v>
      </c>
      <c r="U11" s="16">
        <f t="shared" si="2"/>
        <v>0</v>
      </c>
      <c r="V11" s="16">
        <f t="shared" si="3"/>
        <v>0</v>
      </c>
      <c r="W11" s="16">
        <f t="shared" si="4"/>
        <v>0</v>
      </c>
      <c r="X11" s="16">
        <f t="shared" si="5"/>
        <v>0</v>
      </c>
      <c r="Y11" s="16">
        <f t="shared" si="6"/>
        <v>0</v>
      </c>
      <c r="Z11" s="16">
        <f t="shared" si="7"/>
        <v>0</v>
      </c>
      <c r="AA11" s="16">
        <f t="shared" si="8"/>
        <v>0</v>
      </c>
      <c r="AB11" s="16">
        <f t="shared" si="9"/>
        <v>0</v>
      </c>
      <c r="AC11" s="16">
        <f t="shared" si="10"/>
        <v>0</v>
      </c>
    </row>
    <row r="12" spans="1:29" x14ac:dyDescent="0.45">
      <c r="A12" s="25" t="s">
        <v>42</v>
      </c>
      <c r="B12" t="s">
        <v>316</v>
      </c>
      <c r="C12" t="s">
        <v>311</v>
      </c>
      <c r="D12" t="s">
        <v>308</v>
      </c>
      <c r="E12" t="s">
        <v>310</v>
      </c>
      <c r="F12" t="s">
        <v>307</v>
      </c>
      <c r="G12" t="s">
        <v>312</v>
      </c>
      <c r="H12" t="s">
        <v>313</v>
      </c>
      <c r="I12" t="s">
        <v>314</v>
      </c>
      <c r="J12" t="s">
        <v>315</v>
      </c>
      <c r="R12" s="188" t="s">
        <v>69</v>
      </c>
      <c r="S12" s="16">
        <f t="shared" si="0"/>
        <v>0</v>
      </c>
      <c r="T12" s="16">
        <f t="shared" si="1"/>
        <v>0</v>
      </c>
      <c r="U12" s="16">
        <f t="shared" si="2"/>
        <v>16</v>
      </c>
      <c r="V12" s="16">
        <f t="shared" si="3"/>
        <v>7</v>
      </c>
      <c r="W12" s="16">
        <f t="shared" si="4"/>
        <v>6</v>
      </c>
      <c r="X12" s="16">
        <f t="shared" si="5"/>
        <v>20</v>
      </c>
      <c r="Y12" s="16">
        <f t="shared" si="6"/>
        <v>4</v>
      </c>
      <c r="Z12" s="16">
        <f t="shared" si="7"/>
        <v>3</v>
      </c>
      <c r="AA12" s="16">
        <f t="shared" si="8"/>
        <v>0</v>
      </c>
      <c r="AB12" s="16">
        <f t="shared" si="9"/>
        <v>0</v>
      </c>
      <c r="AC12" s="16">
        <f t="shared" si="10"/>
        <v>56</v>
      </c>
    </row>
    <row r="13" spans="1:29" x14ac:dyDescent="0.45">
      <c r="A13" s="25" t="s">
        <v>58</v>
      </c>
      <c r="B13" t="s">
        <v>309</v>
      </c>
      <c r="C13" t="s">
        <v>311</v>
      </c>
      <c r="D13" t="s">
        <v>312</v>
      </c>
      <c r="E13" t="s">
        <v>314</v>
      </c>
      <c r="F13" t="s">
        <v>310</v>
      </c>
      <c r="G13" t="s">
        <v>308</v>
      </c>
      <c r="H13" t="s">
        <v>313</v>
      </c>
      <c r="I13" t="s">
        <v>315</v>
      </c>
      <c r="J13" t="s">
        <v>307</v>
      </c>
      <c r="R13" s="188" t="s">
        <v>200</v>
      </c>
      <c r="S13" s="16">
        <f t="shared" si="0"/>
        <v>0</v>
      </c>
      <c r="T13" s="16">
        <f t="shared" si="1"/>
        <v>0</v>
      </c>
      <c r="U13" s="16">
        <f t="shared" si="2"/>
        <v>0</v>
      </c>
      <c r="V13" s="16">
        <f t="shared" si="3"/>
        <v>0</v>
      </c>
      <c r="W13" s="16">
        <f t="shared" si="4"/>
        <v>0</v>
      </c>
      <c r="X13" s="16">
        <f t="shared" si="5"/>
        <v>0</v>
      </c>
      <c r="Y13" s="16">
        <f t="shared" si="6"/>
        <v>0</v>
      </c>
      <c r="Z13" s="16">
        <f t="shared" si="7"/>
        <v>0</v>
      </c>
      <c r="AA13" s="16">
        <f t="shared" si="8"/>
        <v>0</v>
      </c>
      <c r="AB13" s="16">
        <f t="shared" si="9"/>
        <v>0</v>
      </c>
      <c r="AC13" s="16">
        <f t="shared" si="10"/>
        <v>0</v>
      </c>
    </row>
    <row r="14" spans="1:29" x14ac:dyDescent="0.45">
      <c r="A14" s="25" t="s">
        <v>58</v>
      </c>
      <c r="B14" t="s">
        <v>311</v>
      </c>
      <c r="C14" t="s">
        <v>309</v>
      </c>
      <c r="D14" t="s">
        <v>307</v>
      </c>
      <c r="E14" t="s">
        <v>312</v>
      </c>
      <c r="F14" t="s">
        <v>308</v>
      </c>
      <c r="G14" t="s">
        <v>310</v>
      </c>
      <c r="H14" t="s">
        <v>313</v>
      </c>
      <c r="I14" t="s">
        <v>315</v>
      </c>
      <c r="J14" t="s">
        <v>314</v>
      </c>
      <c r="R14" s="188" t="s">
        <v>128</v>
      </c>
      <c r="S14" s="16">
        <f t="shared" si="0"/>
        <v>10</v>
      </c>
      <c r="T14" s="16">
        <f t="shared" si="1"/>
        <v>36</v>
      </c>
      <c r="U14" s="16">
        <f t="shared" si="2"/>
        <v>24</v>
      </c>
      <c r="V14" s="16">
        <f t="shared" si="3"/>
        <v>0</v>
      </c>
      <c r="W14" s="16">
        <f t="shared" si="4"/>
        <v>0</v>
      </c>
      <c r="X14" s="16">
        <f t="shared" si="5"/>
        <v>5</v>
      </c>
      <c r="Y14" s="16">
        <f t="shared" si="6"/>
        <v>4</v>
      </c>
      <c r="Z14" s="16">
        <f t="shared" si="7"/>
        <v>0</v>
      </c>
      <c r="AA14" s="16">
        <f t="shared" si="8"/>
        <v>0</v>
      </c>
      <c r="AB14" s="16">
        <f t="shared" si="9"/>
        <v>0</v>
      </c>
      <c r="AC14" s="16">
        <f t="shared" si="10"/>
        <v>79</v>
      </c>
    </row>
    <row r="15" spans="1:29" x14ac:dyDescent="0.45">
      <c r="A15" s="25" t="s">
        <v>42</v>
      </c>
      <c r="B15" t="s">
        <v>315</v>
      </c>
      <c r="C15" t="s">
        <v>314</v>
      </c>
      <c r="D15" t="s">
        <v>311</v>
      </c>
      <c r="E15" t="s">
        <v>312</v>
      </c>
      <c r="F15" t="s">
        <v>310</v>
      </c>
      <c r="G15" t="s">
        <v>308</v>
      </c>
      <c r="H15" t="s">
        <v>316</v>
      </c>
      <c r="I15" t="s">
        <v>307</v>
      </c>
      <c r="J15" t="s">
        <v>313</v>
      </c>
      <c r="R15" s="188" t="s">
        <v>127</v>
      </c>
      <c r="S15" s="16">
        <f t="shared" si="0"/>
        <v>60</v>
      </c>
      <c r="T15" s="16">
        <f t="shared" si="1"/>
        <v>18</v>
      </c>
      <c r="U15" s="16">
        <f t="shared" si="2"/>
        <v>8</v>
      </c>
      <c r="V15" s="16">
        <f t="shared" si="3"/>
        <v>7</v>
      </c>
      <c r="W15" s="16">
        <f t="shared" si="4"/>
        <v>0</v>
      </c>
      <c r="X15" s="16">
        <f t="shared" si="5"/>
        <v>0</v>
      </c>
      <c r="Y15" s="16">
        <f t="shared" si="6"/>
        <v>0</v>
      </c>
      <c r="Z15" s="16">
        <f t="shared" si="7"/>
        <v>0</v>
      </c>
      <c r="AA15" s="16">
        <f t="shared" si="8"/>
        <v>0</v>
      </c>
      <c r="AB15" s="16">
        <f t="shared" si="9"/>
        <v>0</v>
      </c>
      <c r="AC15" s="16">
        <f t="shared" si="10"/>
        <v>93</v>
      </c>
    </row>
    <row r="16" spans="1:29" x14ac:dyDescent="0.45">
      <c r="A16" s="25" t="s">
        <v>28</v>
      </c>
      <c r="B16" t="s">
        <v>316</v>
      </c>
      <c r="C16" t="s">
        <v>310</v>
      </c>
      <c r="D16" t="s">
        <v>308</v>
      </c>
      <c r="E16" t="s">
        <v>309</v>
      </c>
      <c r="F16" t="s">
        <v>307</v>
      </c>
      <c r="G16" t="s">
        <v>312</v>
      </c>
      <c r="H16" t="s">
        <v>314</v>
      </c>
      <c r="I16" t="s">
        <v>315</v>
      </c>
      <c r="J16" t="s">
        <v>313</v>
      </c>
      <c r="R16" s="188" t="s">
        <v>73</v>
      </c>
      <c r="S16" s="16">
        <f t="shared" si="0"/>
        <v>0</v>
      </c>
      <c r="T16" s="16">
        <f t="shared" si="1"/>
        <v>0</v>
      </c>
      <c r="U16" s="16">
        <f t="shared" si="2"/>
        <v>0</v>
      </c>
      <c r="V16" s="16">
        <f t="shared" si="3"/>
        <v>0</v>
      </c>
      <c r="W16" s="16">
        <f t="shared" si="4"/>
        <v>0</v>
      </c>
      <c r="X16" s="16">
        <f t="shared" si="5"/>
        <v>0</v>
      </c>
      <c r="Y16" s="16">
        <f t="shared" si="6"/>
        <v>0</v>
      </c>
      <c r="Z16" s="16">
        <f t="shared" si="7"/>
        <v>0</v>
      </c>
      <c r="AA16" s="16">
        <f t="shared" si="8"/>
        <v>0</v>
      </c>
      <c r="AB16" s="16">
        <f t="shared" si="9"/>
        <v>0</v>
      </c>
      <c r="AC16" s="16">
        <f t="shared" si="10"/>
        <v>0</v>
      </c>
    </row>
    <row r="17" spans="1:29" x14ac:dyDescent="0.45">
      <c r="R17" s="188" t="s">
        <v>324</v>
      </c>
      <c r="S17" s="16">
        <f t="shared" si="0"/>
        <v>0</v>
      </c>
      <c r="T17" s="16">
        <f t="shared" si="1"/>
        <v>0</v>
      </c>
      <c r="U17" s="16">
        <f t="shared" si="2"/>
        <v>0</v>
      </c>
      <c r="V17" s="16">
        <f t="shared" si="3"/>
        <v>0</v>
      </c>
      <c r="W17" s="16">
        <f t="shared" si="4"/>
        <v>6</v>
      </c>
      <c r="X17" s="16">
        <f t="shared" si="5"/>
        <v>0</v>
      </c>
      <c r="Y17" s="16">
        <f t="shared" si="6"/>
        <v>0</v>
      </c>
      <c r="Z17" s="16">
        <f t="shared" si="7"/>
        <v>3</v>
      </c>
      <c r="AA17" s="16">
        <f t="shared" si="8"/>
        <v>8</v>
      </c>
      <c r="AB17" s="16">
        <f t="shared" si="9"/>
        <v>4</v>
      </c>
      <c r="AC17" s="16">
        <f t="shared" si="10"/>
        <v>21</v>
      </c>
    </row>
    <row r="18" spans="1:29" x14ac:dyDescent="0.45">
      <c r="R18" s="188" t="s">
        <v>75</v>
      </c>
      <c r="S18" s="16">
        <f t="shared" si="0"/>
        <v>0</v>
      </c>
      <c r="T18" s="16">
        <f t="shared" si="1"/>
        <v>0</v>
      </c>
      <c r="U18" s="16">
        <f t="shared" si="2"/>
        <v>0</v>
      </c>
      <c r="V18" s="16">
        <f t="shared" si="3"/>
        <v>0</v>
      </c>
      <c r="W18" s="16">
        <f t="shared" si="4"/>
        <v>0</v>
      </c>
      <c r="X18" s="16">
        <f t="shared" si="5"/>
        <v>5</v>
      </c>
      <c r="Y18" s="16">
        <f t="shared" si="6"/>
        <v>4</v>
      </c>
      <c r="Z18" s="16">
        <f t="shared" si="7"/>
        <v>12</v>
      </c>
      <c r="AA18" s="16">
        <f t="shared" si="8"/>
        <v>4</v>
      </c>
      <c r="AB18" s="16">
        <f t="shared" si="9"/>
        <v>2</v>
      </c>
      <c r="AC18" s="16">
        <f t="shared" si="10"/>
        <v>27</v>
      </c>
    </row>
    <row r="20" spans="1:29" x14ac:dyDescent="0.45">
      <c r="A20" s="25" t="s">
        <v>297</v>
      </c>
      <c r="R20" s="16"/>
      <c r="S20" s="16">
        <v>1</v>
      </c>
      <c r="T20" s="16">
        <v>1</v>
      </c>
      <c r="U20" s="16">
        <v>1</v>
      </c>
      <c r="V20" s="189" t="s">
        <v>323</v>
      </c>
      <c r="W20" s="16"/>
      <c r="X20" s="16"/>
      <c r="Y20" s="16"/>
      <c r="Z20" s="16"/>
      <c r="AA20" s="16"/>
      <c r="AB20" s="16"/>
      <c r="AC20" s="189"/>
    </row>
    <row r="21" spans="1:29" x14ac:dyDescent="0.45">
      <c r="A21" s="25" t="s">
        <v>44</v>
      </c>
      <c r="B21" t="s">
        <v>316</v>
      </c>
      <c r="C21" t="s">
        <v>312</v>
      </c>
      <c r="R21" s="188" t="s">
        <v>45</v>
      </c>
      <c r="S21" s="16">
        <f>(S$20*COUNTIF(A$21:A$30, ("*"&amp;$R21&amp;"*")))</f>
        <v>0</v>
      </c>
      <c r="T21" s="16">
        <f t="shared" ref="T21:U36" si="11">(T$20*COUNTIF(B$21:B$30, ("*"&amp;$R21&amp;"*")))</f>
        <v>0</v>
      </c>
      <c r="U21" s="16">
        <f t="shared" si="11"/>
        <v>2</v>
      </c>
      <c r="V21" s="16">
        <f t="shared" ref="V21:V37" si="12">SUM(S21:U21)</f>
        <v>2</v>
      </c>
      <c r="W21" s="16"/>
      <c r="X21" s="16"/>
      <c r="Y21" s="16"/>
      <c r="Z21" s="16"/>
      <c r="AA21" s="16"/>
      <c r="AB21" s="16"/>
    </row>
    <row r="22" spans="1:29" x14ac:dyDescent="0.45">
      <c r="A22" s="25" t="s">
        <v>28</v>
      </c>
      <c r="B22" t="s">
        <v>307</v>
      </c>
      <c r="C22" t="s">
        <v>310</v>
      </c>
      <c r="R22" s="188" t="s">
        <v>49</v>
      </c>
      <c r="S22" s="16">
        <f t="shared" ref="S22:S37" si="13">(S$20*COUNTIF(A$21:A$30, ("*"&amp;$R22&amp;"*")))</f>
        <v>4</v>
      </c>
      <c r="T22" s="16">
        <f t="shared" si="11"/>
        <v>0</v>
      </c>
      <c r="U22" s="16">
        <f t="shared" si="11"/>
        <v>0</v>
      </c>
      <c r="V22" s="16">
        <f t="shared" si="12"/>
        <v>4</v>
      </c>
      <c r="W22" s="16"/>
      <c r="X22" s="16"/>
      <c r="Y22" s="16"/>
      <c r="Z22" s="16"/>
      <c r="AA22" s="16"/>
      <c r="AB22" s="16"/>
    </row>
    <row r="23" spans="1:29" x14ac:dyDescent="0.45">
      <c r="A23" s="25" t="s">
        <v>28</v>
      </c>
      <c r="B23" t="s">
        <v>312</v>
      </c>
      <c r="C23" t="s">
        <v>316</v>
      </c>
      <c r="R23" s="188" t="s">
        <v>51</v>
      </c>
      <c r="S23" s="16">
        <f t="shared" si="13"/>
        <v>0</v>
      </c>
      <c r="T23" s="16">
        <f t="shared" si="11"/>
        <v>0</v>
      </c>
      <c r="U23" s="16">
        <f t="shared" si="11"/>
        <v>0</v>
      </c>
      <c r="V23" s="16">
        <f t="shared" si="12"/>
        <v>0</v>
      </c>
      <c r="W23" s="16"/>
      <c r="X23" s="16"/>
      <c r="Y23" s="16"/>
      <c r="Z23" s="16"/>
      <c r="AA23" s="16"/>
      <c r="AB23" s="16"/>
    </row>
    <row r="24" spans="1:29" x14ac:dyDescent="0.45">
      <c r="A24" s="25" t="s">
        <v>28</v>
      </c>
      <c r="B24" t="s">
        <v>315</v>
      </c>
      <c r="C24" t="s">
        <v>314</v>
      </c>
      <c r="R24" s="188" t="s">
        <v>54</v>
      </c>
      <c r="S24" s="16">
        <f t="shared" si="13"/>
        <v>0</v>
      </c>
      <c r="T24" s="16">
        <f t="shared" si="11"/>
        <v>0</v>
      </c>
      <c r="U24" s="16">
        <f t="shared" si="11"/>
        <v>0</v>
      </c>
      <c r="V24" s="16">
        <f t="shared" si="12"/>
        <v>0</v>
      </c>
      <c r="W24" s="16"/>
      <c r="X24" s="16"/>
      <c r="Y24" s="16"/>
      <c r="Z24" s="16"/>
      <c r="AA24" s="16"/>
      <c r="AB24" s="16"/>
    </row>
    <row r="25" spans="1:29" x14ac:dyDescent="0.45">
      <c r="A25" s="25" t="s">
        <v>115</v>
      </c>
      <c r="B25" t="s">
        <v>308</v>
      </c>
      <c r="C25" t="s">
        <v>313</v>
      </c>
      <c r="R25" s="188" t="s">
        <v>57</v>
      </c>
      <c r="S25" s="16">
        <f t="shared" si="13"/>
        <v>0</v>
      </c>
      <c r="T25" s="16">
        <f t="shared" si="11"/>
        <v>0</v>
      </c>
      <c r="U25" s="16">
        <f t="shared" si="11"/>
        <v>0</v>
      </c>
      <c r="V25" s="16">
        <f t="shared" si="12"/>
        <v>0</v>
      </c>
      <c r="W25" s="16"/>
      <c r="X25" s="16"/>
      <c r="Y25" s="16"/>
      <c r="Z25" s="16"/>
      <c r="AA25" s="16"/>
      <c r="AB25" s="16"/>
    </row>
    <row r="26" spans="1:29" x14ac:dyDescent="0.45">
      <c r="A26" s="25" t="s">
        <v>115</v>
      </c>
      <c r="B26" t="s">
        <v>310</v>
      </c>
      <c r="C26" t="s">
        <v>313</v>
      </c>
      <c r="R26" s="188" t="s">
        <v>60</v>
      </c>
      <c r="S26" s="16">
        <f t="shared" si="13"/>
        <v>0</v>
      </c>
      <c r="T26" s="16">
        <f t="shared" si="11"/>
        <v>0</v>
      </c>
      <c r="U26" s="16">
        <f t="shared" si="11"/>
        <v>1</v>
      </c>
      <c r="V26" s="16">
        <f t="shared" si="12"/>
        <v>1</v>
      </c>
      <c r="W26" s="16"/>
      <c r="X26" s="16"/>
      <c r="Y26" s="16"/>
      <c r="Z26" s="16"/>
      <c r="AA26" s="16"/>
      <c r="AB26" s="16"/>
    </row>
    <row r="27" spans="1:29" x14ac:dyDescent="0.45">
      <c r="A27" s="25" t="s">
        <v>28</v>
      </c>
      <c r="B27" t="s">
        <v>312</v>
      </c>
      <c r="C27" t="s">
        <v>310</v>
      </c>
      <c r="R27" s="188" t="s">
        <v>93</v>
      </c>
      <c r="S27" s="16">
        <f t="shared" si="13"/>
        <v>0</v>
      </c>
      <c r="T27" s="16">
        <f t="shared" si="11"/>
        <v>0</v>
      </c>
      <c r="U27" s="16">
        <f t="shared" si="11"/>
        <v>0</v>
      </c>
      <c r="V27" s="16">
        <f t="shared" si="12"/>
        <v>0</v>
      </c>
      <c r="W27" s="16"/>
      <c r="X27" s="16"/>
      <c r="Y27" s="16"/>
      <c r="Z27" s="16"/>
      <c r="AA27" s="16"/>
      <c r="AB27" s="16"/>
    </row>
    <row r="28" spans="1:29" x14ac:dyDescent="0.45">
      <c r="A28" s="25" t="s">
        <v>115</v>
      </c>
      <c r="B28" t="s">
        <v>310</v>
      </c>
      <c r="C28" t="s">
        <v>314</v>
      </c>
      <c r="R28" s="188" t="s">
        <v>63</v>
      </c>
      <c r="S28" s="16">
        <f t="shared" si="13"/>
        <v>1</v>
      </c>
      <c r="T28" s="16">
        <f t="shared" si="11"/>
        <v>1</v>
      </c>
      <c r="U28" s="16">
        <f t="shared" si="11"/>
        <v>0</v>
      </c>
      <c r="V28" s="16">
        <f t="shared" si="12"/>
        <v>2</v>
      </c>
      <c r="W28" s="16"/>
      <c r="X28" s="16"/>
      <c r="Y28" s="16"/>
      <c r="Z28" s="16"/>
      <c r="AA28" s="16"/>
      <c r="AB28" s="16"/>
    </row>
    <row r="29" spans="1:29" x14ac:dyDescent="0.45">
      <c r="A29" s="25" t="s">
        <v>115</v>
      </c>
      <c r="B29" t="s">
        <v>313</v>
      </c>
      <c r="C29" t="s">
        <v>316</v>
      </c>
      <c r="R29" s="188" t="s">
        <v>66</v>
      </c>
      <c r="S29" s="16">
        <f t="shared" si="13"/>
        <v>0</v>
      </c>
      <c r="T29" s="16">
        <f t="shared" si="11"/>
        <v>0</v>
      </c>
      <c r="U29" s="16">
        <f t="shared" si="11"/>
        <v>0</v>
      </c>
      <c r="V29" s="16">
        <f t="shared" si="12"/>
        <v>0</v>
      </c>
      <c r="W29" s="16"/>
      <c r="X29" s="16"/>
      <c r="Y29" s="16"/>
      <c r="Z29" s="16"/>
      <c r="AA29" s="16"/>
      <c r="AB29" s="16"/>
    </row>
    <row r="30" spans="1:29" x14ac:dyDescent="0.45">
      <c r="A30" s="25" t="s">
        <v>58</v>
      </c>
      <c r="B30" t="s">
        <v>312</v>
      </c>
      <c r="C30" t="s">
        <v>309</v>
      </c>
      <c r="R30" s="188" t="s">
        <v>68</v>
      </c>
      <c r="S30" s="16">
        <f t="shared" si="13"/>
        <v>0</v>
      </c>
      <c r="T30" s="16">
        <f t="shared" si="11"/>
        <v>0</v>
      </c>
      <c r="U30" s="16">
        <f t="shared" si="11"/>
        <v>0</v>
      </c>
      <c r="V30" s="16">
        <f t="shared" si="12"/>
        <v>0</v>
      </c>
      <c r="W30" s="16"/>
      <c r="X30" s="16"/>
      <c r="Y30" s="16"/>
      <c r="Z30" s="16"/>
      <c r="AA30" s="16"/>
      <c r="AB30" s="16"/>
    </row>
    <row r="31" spans="1:29" x14ac:dyDescent="0.45">
      <c r="A31" s="25" t="s">
        <v>202</v>
      </c>
      <c r="B31" t="s">
        <v>316</v>
      </c>
      <c r="C31" t="s">
        <v>309</v>
      </c>
      <c r="R31" s="188" t="s">
        <v>69</v>
      </c>
      <c r="S31" s="16">
        <f t="shared" si="13"/>
        <v>0</v>
      </c>
      <c r="T31" s="16">
        <f t="shared" si="11"/>
        <v>2</v>
      </c>
      <c r="U31" s="16">
        <f t="shared" si="11"/>
        <v>2</v>
      </c>
      <c r="V31" s="16">
        <f t="shared" si="12"/>
        <v>4</v>
      </c>
      <c r="W31" s="16"/>
      <c r="X31" s="16"/>
      <c r="Y31" s="16"/>
      <c r="Z31" s="16"/>
      <c r="AA31" s="16"/>
      <c r="AB31" s="16"/>
    </row>
    <row r="32" spans="1:29" x14ac:dyDescent="0.45">
      <c r="A32" s="25" t="s">
        <v>28</v>
      </c>
      <c r="B32" t="s">
        <v>315</v>
      </c>
      <c r="C32" t="s">
        <v>316</v>
      </c>
      <c r="R32" s="188" t="s">
        <v>200</v>
      </c>
      <c r="S32" s="16">
        <f t="shared" si="13"/>
        <v>0</v>
      </c>
      <c r="T32" s="16">
        <f t="shared" si="11"/>
        <v>0</v>
      </c>
      <c r="U32" s="16">
        <f t="shared" si="11"/>
        <v>0</v>
      </c>
      <c r="V32" s="16">
        <f t="shared" si="12"/>
        <v>0</v>
      </c>
      <c r="W32" s="16"/>
      <c r="X32" s="16"/>
      <c r="Y32" s="16"/>
      <c r="Z32" s="16"/>
      <c r="AA32" s="16"/>
      <c r="AB32" s="16"/>
    </row>
    <row r="33" spans="1:29" x14ac:dyDescent="0.45">
      <c r="A33" s="25" t="s">
        <v>28</v>
      </c>
      <c r="B33" t="s">
        <v>312</v>
      </c>
      <c r="C33" t="s">
        <v>316</v>
      </c>
      <c r="R33" s="188" t="s">
        <v>128</v>
      </c>
      <c r="S33" s="16">
        <f t="shared" si="13"/>
        <v>0</v>
      </c>
      <c r="T33" s="16">
        <f t="shared" si="11"/>
        <v>1</v>
      </c>
      <c r="U33" s="16">
        <f t="shared" si="11"/>
        <v>0</v>
      </c>
      <c r="V33" s="16">
        <f t="shared" si="12"/>
        <v>1</v>
      </c>
      <c r="W33" s="16"/>
      <c r="X33" s="16"/>
      <c r="Y33" s="16"/>
      <c r="Z33" s="16"/>
      <c r="AA33" s="16"/>
      <c r="AB33" s="16"/>
    </row>
    <row r="34" spans="1:29" x14ac:dyDescent="0.45">
      <c r="A34" s="25" t="s">
        <v>44</v>
      </c>
      <c r="B34" t="s">
        <v>312</v>
      </c>
      <c r="C34" t="s">
        <v>315</v>
      </c>
      <c r="R34" s="188" t="s">
        <v>127</v>
      </c>
      <c r="S34" s="16">
        <f t="shared" si="13"/>
        <v>1</v>
      </c>
      <c r="T34" s="16">
        <f t="shared" si="11"/>
        <v>1</v>
      </c>
      <c r="U34" s="16">
        <f t="shared" si="11"/>
        <v>2</v>
      </c>
      <c r="V34" s="16">
        <f t="shared" si="12"/>
        <v>4</v>
      </c>
      <c r="W34" s="16"/>
      <c r="X34" s="16"/>
      <c r="Y34" s="16"/>
      <c r="Z34" s="16"/>
      <c r="AA34" s="16"/>
      <c r="AB34" s="16"/>
    </row>
    <row r="35" spans="1:29" x14ac:dyDescent="0.45">
      <c r="A35" s="25" t="s">
        <v>28</v>
      </c>
      <c r="B35" t="s">
        <v>316</v>
      </c>
      <c r="C35" t="s">
        <v>312</v>
      </c>
      <c r="R35" s="188" t="s">
        <v>73</v>
      </c>
      <c r="S35" s="16">
        <f t="shared" si="13"/>
        <v>0</v>
      </c>
      <c r="T35" s="16">
        <f t="shared" si="11"/>
        <v>0</v>
      </c>
      <c r="U35" s="16">
        <f t="shared" si="11"/>
        <v>0</v>
      </c>
      <c r="V35" s="16">
        <f t="shared" si="12"/>
        <v>0</v>
      </c>
      <c r="W35" s="16"/>
      <c r="X35" s="16"/>
      <c r="Y35" s="16"/>
      <c r="Z35" s="16"/>
      <c r="AA35" s="16"/>
      <c r="AB35" s="16"/>
    </row>
    <row r="36" spans="1:29" x14ac:dyDescent="0.45">
      <c r="R36" s="188" t="s">
        <v>324</v>
      </c>
      <c r="S36" s="16">
        <f t="shared" si="13"/>
        <v>0</v>
      </c>
      <c r="T36" s="16">
        <f t="shared" si="11"/>
        <v>1</v>
      </c>
      <c r="U36" s="16">
        <f t="shared" si="11"/>
        <v>0</v>
      </c>
      <c r="V36" s="16">
        <f t="shared" si="12"/>
        <v>1</v>
      </c>
      <c r="W36" s="16"/>
      <c r="X36" s="16"/>
      <c r="Y36" s="16"/>
      <c r="Z36" s="16"/>
      <c r="AA36" s="16"/>
      <c r="AB36" s="16"/>
    </row>
    <row r="37" spans="1:29" x14ac:dyDescent="0.45">
      <c r="R37" s="188" t="s">
        <v>75</v>
      </c>
      <c r="S37" s="16">
        <f t="shared" si="13"/>
        <v>0</v>
      </c>
      <c r="T37" s="16">
        <f t="shared" ref="T37" si="14">(T$20*COUNTIF(B$21:B$30, ("*"&amp;$R37&amp;"*")))</f>
        <v>1</v>
      </c>
      <c r="U37" s="16">
        <f t="shared" ref="U37" si="15">(U$20*COUNTIF(C$21:C$30, ("*"&amp;$R37&amp;"*")))</f>
        <v>2</v>
      </c>
      <c r="V37" s="16">
        <f t="shared" si="12"/>
        <v>3</v>
      </c>
      <c r="W37" s="16"/>
      <c r="X37" s="16"/>
      <c r="Y37" s="16"/>
      <c r="Z37" s="16"/>
      <c r="AA37" s="16"/>
      <c r="AB37" s="16"/>
    </row>
    <row r="40" spans="1:29" x14ac:dyDescent="0.45">
      <c r="A40" s="25" t="s">
        <v>298</v>
      </c>
      <c r="R40" s="16"/>
      <c r="S40" s="16">
        <v>1</v>
      </c>
      <c r="T40" s="16">
        <v>1</v>
      </c>
      <c r="U40" s="16">
        <v>1</v>
      </c>
      <c r="V40" s="189" t="s">
        <v>323</v>
      </c>
      <c r="W40" s="16"/>
      <c r="X40" s="16"/>
      <c r="Y40" s="16"/>
      <c r="Z40" s="16"/>
      <c r="AA40" s="16"/>
      <c r="AB40" s="16"/>
      <c r="AC40" s="189"/>
    </row>
    <row r="41" spans="1:29" x14ac:dyDescent="0.45">
      <c r="A41" s="25" t="s">
        <v>28</v>
      </c>
      <c r="B41" t="s">
        <v>312</v>
      </c>
      <c r="C41" t="s">
        <v>307</v>
      </c>
      <c r="R41" s="188" t="s">
        <v>45</v>
      </c>
      <c r="S41" s="16">
        <f>(S$40*COUNTIF(A$41:A$50, ("*"&amp;$R41&amp;"*")))</f>
        <v>0</v>
      </c>
      <c r="T41" s="16">
        <f t="shared" ref="T41:U56" si="16">(T$40*COUNTIF(B$41:B$50, ("*"&amp;$R41&amp;"*")))</f>
        <v>0</v>
      </c>
      <c r="U41" s="16">
        <f t="shared" si="16"/>
        <v>0</v>
      </c>
      <c r="V41" s="16">
        <f t="shared" ref="V41:V57" si="17">SUM(S41:U41)</f>
        <v>0</v>
      </c>
      <c r="W41" s="16"/>
      <c r="X41" s="16"/>
      <c r="Y41" s="16"/>
      <c r="Z41" s="16"/>
      <c r="AA41" s="16"/>
      <c r="AB41" s="16"/>
      <c r="AC41" s="16"/>
    </row>
    <row r="42" spans="1:29" x14ac:dyDescent="0.45">
      <c r="A42" s="25" t="s">
        <v>44</v>
      </c>
      <c r="B42" t="s">
        <v>316</v>
      </c>
      <c r="C42" t="s">
        <v>309</v>
      </c>
      <c r="R42" s="188" t="s">
        <v>49</v>
      </c>
      <c r="S42" s="16">
        <f t="shared" ref="S42:S57" si="18">(S$40*COUNTIF(A$41:A$50, ("*"&amp;$R42&amp;"*")))</f>
        <v>1</v>
      </c>
      <c r="T42" s="16">
        <f t="shared" si="16"/>
        <v>0</v>
      </c>
      <c r="U42" s="16">
        <f t="shared" si="16"/>
        <v>1</v>
      </c>
      <c r="V42" s="16">
        <f t="shared" si="17"/>
        <v>2</v>
      </c>
      <c r="W42" s="16"/>
      <c r="X42" s="16"/>
      <c r="Y42" s="16"/>
      <c r="Z42" s="16"/>
      <c r="AA42" s="16"/>
      <c r="AB42" s="16"/>
      <c r="AC42" s="16"/>
    </row>
    <row r="43" spans="1:29" x14ac:dyDescent="0.45">
      <c r="A43" s="25" t="s">
        <v>44</v>
      </c>
      <c r="B43" t="s">
        <v>312</v>
      </c>
      <c r="C43" t="s">
        <v>311</v>
      </c>
      <c r="R43" s="188" t="s">
        <v>51</v>
      </c>
      <c r="S43" s="16">
        <f t="shared" si="18"/>
        <v>0</v>
      </c>
      <c r="T43" s="16">
        <f t="shared" si="16"/>
        <v>0</v>
      </c>
      <c r="U43" s="16">
        <f t="shared" si="16"/>
        <v>0</v>
      </c>
      <c r="V43" s="16">
        <f t="shared" si="17"/>
        <v>0</v>
      </c>
      <c r="W43" s="16"/>
      <c r="X43" s="16"/>
      <c r="Y43" s="16"/>
      <c r="Z43" s="16"/>
      <c r="AA43" s="16"/>
      <c r="AB43" s="16"/>
      <c r="AC43" s="16"/>
    </row>
    <row r="44" spans="1:29" x14ac:dyDescent="0.45">
      <c r="A44" s="25" t="s">
        <v>55</v>
      </c>
      <c r="B44" t="s">
        <v>316</v>
      </c>
      <c r="C44" t="s">
        <v>307</v>
      </c>
      <c r="R44" s="188" t="s">
        <v>54</v>
      </c>
      <c r="S44" s="16">
        <f t="shared" si="18"/>
        <v>0</v>
      </c>
      <c r="T44" s="16">
        <f t="shared" si="16"/>
        <v>0</v>
      </c>
      <c r="U44" s="16">
        <f t="shared" si="16"/>
        <v>0</v>
      </c>
      <c r="V44" s="16">
        <f t="shared" si="17"/>
        <v>0</v>
      </c>
      <c r="W44" s="16"/>
      <c r="X44" s="16"/>
      <c r="Y44" s="16"/>
      <c r="Z44" s="16"/>
      <c r="AA44" s="16"/>
      <c r="AB44" s="16"/>
      <c r="AC44" s="16"/>
    </row>
    <row r="45" spans="1:29" x14ac:dyDescent="0.45">
      <c r="A45" s="25" t="s">
        <v>67</v>
      </c>
      <c r="B45" t="s">
        <v>308</v>
      </c>
      <c r="C45" t="s">
        <v>310</v>
      </c>
      <c r="R45" s="188" t="s">
        <v>57</v>
      </c>
      <c r="S45" s="16">
        <f t="shared" si="18"/>
        <v>0</v>
      </c>
      <c r="T45" s="16">
        <f t="shared" si="16"/>
        <v>0</v>
      </c>
      <c r="U45" s="16">
        <f t="shared" si="16"/>
        <v>0</v>
      </c>
      <c r="V45" s="16">
        <f t="shared" si="17"/>
        <v>0</v>
      </c>
      <c r="W45" s="16"/>
      <c r="X45" s="16"/>
      <c r="Y45" s="16"/>
      <c r="Z45" s="16"/>
      <c r="AA45" s="16"/>
      <c r="AB45" s="16"/>
      <c r="AC45" s="16"/>
    </row>
    <row r="46" spans="1:29" x14ac:dyDescent="0.45">
      <c r="A46" s="25" t="s">
        <v>67</v>
      </c>
      <c r="B46" t="s">
        <v>310</v>
      </c>
      <c r="C46" t="s">
        <v>307</v>
      </c>
      <c r="R46" s="188" t="s">
        <v>60</v>
      </c>
      <c r="S46" s="16">
        <f t="shared" si="18"/>
        <v>0</v>
      </c>
      <c r="T46" s="16">
        <f t="shared" si="16"/>
        <v>0</v>
      </c>
      <c r="U46" s="16">
        <f t="shared" si="16"/>
        <v>1</v>
      </c>
      <c r="V46" s="16">
        <f t="shared" si="17"/>
        <v>1</v>
      </c>
      <c r="W46" s="16"/>
      <c r="X46" s="16"/>
      <c r="Y46" s="16"/>
      <c r="Z46" s="16"/>
      <c r="AA46" s="16"/>
      <c r="AB46" s="16"/>
      <c r="AC46" s="16"/>
    </row>
    <row r="47" spans="1:29" x14ac:dyDescent="0.45">
      <c r="A47" s="25" t="s">
        <v>44</v>
      </c>
      <c r="B47" t="s">
        <v>316</v>
      </c>
      <c r="C47" t="s">
        <v>308</v>
      </c>
      <c r="R47" s="188" t="s">
        <v>93</v>
      </c>
      <c r="S47" s="16">
        <f t="shared" si="18"/>
        <v>0</v>
      </c>
      <c r="T47" s="16">
        <f t="shared" si="16"/>
        <v>0</v>
      </c>
      <c r="U47" s="16">
        <f t="shared" si="16"/>
        <v>0</v>
      </c>
      <c r="V47" s="16">
        <f t="shared" si="17"/>
        <v>0</v>
      </c>
      <c r="W47" s="16"/>
      <c r="X47" s="16"/>
      <c r="Y47" s="16"/>
      <c r="Z47" s="16"/>
      <c r="AA47" s="16"/>
      <c r="AB47" s="16"/>
      <c r="AC47" s="16"/>
    </row>
    <row r="48" spans="1:29" x14ac:dyDescent="0.45">
      <c r="A48" s="25" t="s">
        <v>58</v>
      </c>
      <c r="B48" t="s">
        <v>308</v>
      </c>
      <c r="C48" t="s">
        <v>307</v>
      </c>
      <c r="R48" s="188" t="s">
        <v>63</v>
      </c>
      <c r="S48" s="16">
        <f t="shared" si="18"/>
        <v>5</v>
      </c>
      <c r="T48" s="16">
        <f t="shared" si="16"/>
        <v>0</v>
      </c>
      <c r="U48" s="16">
        <f t="shared" si="16"/>
        <v>4</v>
      </c>
      <c r="V48" s="16">
        <f t="shared" si="17"/>
        <v>9</v>
      </c>
      <c r="W48" s="16"/>
      <c r="X48" s="16"/>
      <c r="Y48" s="16"/>
      <c r="Z48" s="16"/>
      <c r="AA48" s="16"/>
      <c r="AB48" s="16"/>
      <c r="AC48" s="16"/>
    </row>
    <row r="49" spans="1:35" x14ac:dyDescent="0.45">
      <c r="A49" s="25" t="s">
        <v>44</v>
      </c>
      <c r="B49" t="s">
        <v>312</v>
      </c>
      <c r="C49" t="s">
        <v>310</v>
      </c>
      <c r="R49" s="188" t="s">
        <v>66</v>
      </c>
      <c r="S49" s="16">
        <f t="shared" si="18"/>
        <v>0</v>
      </c>
      <c r="T49" s="16">
        <f t="shared" si="16"/>
        <v>0</v>
      </c>
      <c r="U49" s="16">
        <f t="shared" si="16"/>
        <v>0</v>
      </c>
      <c r="V49" s="16">
        <f t="shared" si="17"/>
        <v>0</v>
      </c>
      <c r="W49" s="16"/>
      <c r="X49" s="16"/>
      <c r="Y49" s="16"/>
      <c r="Z49" s="16"/>
      <c r="AA49" s="16"/>
      <c r="AB49" s="16"/>
      <c r="AC49" s="16"/>
    </row>
    <row r="50" spans="1:35" x14ac:dyDescent="0.45">
      <c r="A50" s="25" t="s">
        <v>44</v>
      </c>
      <c r="B50" t="s">
        <v>312</v>
      </c>
      <c r="C50" t="s">
        <v>316</v>
      </c>
      <c r="R50" s="188" t="s">
        <v>68</v>
      </c>
      <c r="S50" s="16">
        <f t="shared" si="18"/>
        <v>0</v>
      </c>
      <c r="T50" s="16">
        <f t="shared" si="16"/>
        <v>0</v>
      </c>
      <c r="U50" s="16">
        <f t="shared" si="16"/>
        <v>0</v>
      </c>
      <c r="V50" s="16">
        <f t="shared" si="17"/>
        <v>0</v>
      </c>
      <c r="W50" s="16"/>
      <c r="X50" s="16"/>
      <c r="Y50" s="16"/>
      <c r="Z50" s="16"/>
      <c r="AA50" s="16"/>
      <c r="AB50" s="16"/>
      <c r="AC50" s="16"/>
    </row>
    <row r="51" spans="1:35" x14ac:dyDescent="0.45">
      <c r="A51" s="25" t="s">
        <v>325</v>
      </c>
      <c r="R51" s="188" t="s">
        <v>69</v>
      </c>
      <c r="S51" s="16">
        <f t="shared" si="18"/>
        <v>0</v>
      </c>
      <c r="T51" s="16">
        <f t="shared" si="16"/>
        <v>1</v>
      </c>
      <c r="U51" s="16">
        <f t="shared" si="16"/>
        <v>2</v>
      </c>
      <c r="V51" s="16">
        <f t="shared" si="17"/>
        <v>3</v>
      </c>
      <c r="W51" s="16"/>
      <c r="X51" s="16"/>
      <c r="Y51" s="16"/>
      <c r="Z51" s="16"/>
      <c r="AA51" s="16"/>
      <c r="AB51" s="16"/>
      <c r="AC51" s="16"/>
    </row>
    <row r="52" spans="1:35" x14ac:dyDescent="0.45">
      <c r="A52" s="25" t="s">
        <v>326</v>
      </c>
      <c r="R52" s="188" t="s">
        <v>200</v>
      </c>
      <c r="S52" s="16">
        <f t="shared" si="18"/>
        <v>0</v>
      </c>
      <c r="T52" s="16">
        <f t="shared" si="16"/>
        <v>0</v>
      </c>
      <c r="U52" s="16">
        <f t="shared" si="16"/>
        <v>0</v>
      </c>
      <c r="V52" s="16">
        <f t="shared" si="17"/>
        <v>0</v>
      </c>
      <c r="W52" s="16"/>
      <c r="X52" s="16"/>
      <c r="Y52" s="16"/>
      <c r="Z52" s="16"/>
      <c r="AA52" s="16"/>
      <c r="AB52" s="16"/>
      <c r="AC52" s="16"/>
    </row>
    <row r="53" spans="1:35" x14ac:dyDescent="0.45">
      <c r="A53" s="25" t="s">
        <v>327</v>
      </c>
      <c r="R53" s="188" t="s">
        <v>128</v>
      </c>
      <c r="S53" s="16">
        <f t="shared" si="18"/>
        <v>1</v>
      </c>
      <c r="T53" s="16">
        <f t="shared" si="16"/>
        <v>2</v>
      </c>
      <c r="U53" s="16">
        <f t="shared" si="16"/>
        <v>1</v>
      </c>
      <c r="V53" s="16">
        <f t="shared" si="17"/>
        <v>4</v>
      </c>
      <c r="W53" s="16"/>
      <c r="X53" s="16"/>
      <c r="Y53" s="16"/>
      <c r="Z53" s="16"/>
      <c r="AA53" s="16"/>
      <c r="AB53" s="16"/>
      <c r="AC53" s="16"/>
    </row>
    <row r="54" spans="1:35" x14ac:dyDescent="0.45">
      <c r="A54" s="25" t="s">
        <v>328</v>
      </c>
      <c r="R54" s="188" t="s">
        <v>127</v>
      </c>
      <c r="S54" s="16">
        <f t="shared" si="18"/>
        <v>1</v>
      </c>
      <c r="T54" s="16">
        <f t="shared" si="16"/>
        <v>3</v>
      </c>
      <c r="U54" s="16">
        <f t="shared" si="16"/>
        <v>1</v>
      </c>
      <c r="V54" s="16">
        <f t="shared" si="17"/>
        <v>5</v>
      </c>
      <c r="W54" s="16"/>
      <c r="X54" s="16"/>
      <c r="Y54" s="16"/>
      <c r="Z54" s="16"/>
      <c r="AA54" s="16"/>
      <c r="AB54" s="16"/>
      <c r="AC54" s="16"/>
    </row>
    <row r="55" spans="1:35" x14ac:dyDescent="0.45">
      <c r="A55" s="25" t="s">
        <v>329</v>
      </c>
      <c r="R55" s="188" t="s">
        <v>73</v>
      </c>
      <c r="S55" s="16">
        <f t="shared" si="18"/>
        <v>0</v>
      </c>
      <c r="T55" s="16">
        <f t="shared" si="16"/>
        <v>0</v>
      </c>
      <c r="U55" s="16">
        <f t="shared" si="16"/>
        <v>0</v>
      </c>
      <c r="V55" s="16">
        <f t="shared" si="17"/>
        <v>0</v>
      </c>
      <c r="W55" s="16"/>
      <c r="X55" s="16"/>
      <c r="Y55" s="16"/>
      <c r="Z55" s="16"/>
      <c r="AA55" s="16"/>
      <c r="AB55" s="16"/>
      <c r="AC55" s="16"/>
    </row>
    <row r="56" spans="1:35" x14ac:dyDescent="0.45">
      <c r="R56" s="188" t="s">
        <v>324</v>
      </c>
      <c r="S56" s="16">
        <f t="shared" si="18"/>
        <v>0</v>
      </c>
      <c r="T56" s="16">
        <f t="shared" si="16"/>
        <v>0</v>
      </c>
      <c r="U56" s="16">
        <f t="shared" si="16"/>
        <v>0</v>
      </c>
      <c r="V56" s="16">
        <f t="shared" si="17"/>
        <v>0</v>
      </c>
      <c r="W56" s="16"/>
      <c r="X56" s="16"/>
      <c r="Y56" s="16"/>
      <c r="Z56" s="16"/>
      <c r="AA56" s="16"/>
      <c r="AB56" s="16"/>
      <c r="AC56" s="16"/>
    </row>
    <row r="57" spans="1:35" x14ac:dyDescent="0.45">
      <c r="R57" s="188" t="s">
        <v>75</v>
      </c>
      <c r="S57" s="16">
        <f t="shared" si="18"/>
        <v>2</v>
      </c>
      <c r="T57" s="16">
        <f t="shared" ref="T57" si="19">(T$40*COUNTIF(B$41:B$50, ("*"&amp;$R57&amp;"*")))</f>
        <v>0</v>
      </c>
      <c r="U57" s="16">
        <f t="shared" ref="U57" si="20">(U$40*COUNTIF(C$41:C$50, ("*"&amp;$R57&amp;"*")))</f>
        <v>0</v>
      </c>
      <c r="V57" s="16">
        <f t="shared" si="17"/>
        <v>2</v>
      </c>
      <c r="W57" s="16"/>
      <c r="X57" s="16"/>
      <c r="Y57" s="16"/>
      <c r="Z57" s="16"/>
      <c r="AA57" s="16"/>
      <c r="AB57" s="16"/>
      <c r="AC57" s="16"/>
    </row>
    <row r="60" spans="1:35" x14ac:dyDescent="0.45">
      <c r="A60" s="25" t="s">
        <v>299</v>
      </c>
      <c r="R60" s="16"/>
      <c r="S60" s="16">
        <v>16</v>
      </c>
      <c r="T60" s="16">
        <v>15</v>
      </c>
      <c r="U60" s="16">
        <v>14</v>
      </c>
      <c r="V60" s="16">
        <v>13</v>
      </c>
      <c r="W60" s="16">
        <v>12</v>
      </c>
      <c r="X60" s="16">
        <v>11</v>
      </c>
      <c r="Y60" s="16">
        <v>10</v>
      </c>
      <c r="Z60" s="16">
        <v>9</v>
      </c>
      <c r="AA60" s="16">
        <v>8</v>
      </c>
      <c r="AB60" s="16">
        <v>7</v>
      </c>
      <c r="AC60" s="16">
        <v>6</v>
      </c>
      <c r="AD60" s="16">
        <v>5</v>
      </c>
      <c r="AE60" s="16">
        <v>4</v>
      </c>
      <c r="AF60" s="16">
        <v>3</v>
      </c>
      <c r="AG60" s="16">
        <v>2</v>
      </c>
      <c r="AH60" s="16">
        <v>1</v>
      </c>
      <c r="AI60" s="189" t="s">
        <v>323</v>
      </c>
    </row>
    <row r="61" spans="1:35" x14ac:dyDescent="0.45">
      <c r="A61" s="25" t="s">
        <v>50</v>
      </c>
      <c r="B61" t="s">
        <v>317</v>
      </c>
      <c r="C61" t="s">
        <v>318</v>
      </c>
      <c r="D61" t="s">
        <v>319</v>
      </c>
      <c r="E61" t="s">
        <v>320</v>
      </c>
      <c r="F61" t="s">
        <v>321</v>
      </c>
      <c r="G61" t="s">
        <v>307</v>
      </c>
      <c r="H61" t="s">
        <v>308</v>
      </c>
      <c r="I61" t="s">
        <v>316</v>
      </c>
      <c r="J61" t="s">
        <v>309</v>
      </c>
      <c r="K61" t="s">
        <v>312</v>
      </c>
      <c r="L61" t="s">
        <v>310</v>
      </c>
      <c r="M61" t="s">
        <v>311</v>
      </c>
      <c r="N61" t="s">
        <v>313</v>
      </c>
      <c r="O61" t="s">
        <v>314</v>
      </c>
      <c r="P61" t="s">
        <v>315</v>
      </c>
      <c r="R61" s="188" t="s">
        <v>45</v>
      </c>
      <c r="S61" s="16">
        <f>(S$60*COUNTIF(A$61:A$70, ("*"&amp;$R61&amp;"*")))</f>
        <v>0</v>
      </c>
      <c r="T61" s="16">
        <f t="shared" ref="T61:AH76" si="21">(T$60*COUNTIF(B$61:B$70, ("*"&amp;$R61&amp;"*")))</f>
        <v>0</v>
      </c>
      <c r="U61" s="16">
        <f t="shared" si="21"/>
        <v>0</v>
      </c>
      <c r="V61" s="16">
        <f t="shared" si="21"/>
        <v>0</v>
      </c>
      <c r="W61" s="16">
        <f t="shared" si="21"/>
        <v>0</v>
      </c>
      <c r="X61" s="16">
        <f t="shared" si="21"/>
        <v>0</v>
      </c>
      <c r="Y61" s="16">
        <f t="shared" si="21"/>
        <v>0</v>
      </c>
      <c r="Z61" s="16">
        <f t="shared" si="21"/>
        <v>0</v>
      </c>
      <c r="AA61" s="16">
        <f t="shared" si="21"/>
        <v>0</v>
      </c>
      <c r="AB61" s="16">
        <f t="shared" si="21"/>
        <v>7</v>
      </c>
      <c r="AC61" s="16">
        <f t="shared" si="21"/>
        <v>6</v>
      </c>
      <c r="AD61" s="16">
        <f t="shared" si="21"/>
        <v>5</v>
      </c>
      <c r="AE61" s="16">
        <f t="shared" si="21"/>
        <v>16</v>
      </c>
      <c r="AF61" s="16">
        <f t="shared" si="21"/>
        <v>0</v>
      </c>
      <c r="AG61" s="16">
        <f t="shared" si="21"/>
        <v>4</v>
      </c>
      <c r="AH61" s="16">
        <f t="shared" si="21"/>
        <v>1</v>
      </c>
      <c r="AI61" s="16">
        <f>SUM(S61:AH61)</f>
        <v>39</v>
      </c>
    </row>
    <row r="62" spans="1:35" x14ac:dyDescent="0.45">
      <c r="A62" s="25" t="s">
        <v>61</v>
      </c>
      <c r="B62" t="s">
        <v>322</v>
      </c>
      <c r="C62" t="s">
        <v>319</v>
      </c>
      <c r="D62" t="s">
        <v>318</v>
      </c>
      <c r="E62" t="s">
        <v>320</v>
      </c>
      <c r="F62" t="s">
        <v>321</v>
      </c>
      <c r="G62" t="s">
        <v>307</v>
      </c>
      <c r="H62" t="s">
        <v>316</v>
      </c>
      <c r="I62" t="s">
        <v>309</v>
      </c>
      <c r="J62" t="s">
        <v>308</v>
      </c>
      <c r="K62" t="s">
        <v>311</v>
      </c>
      <c r="L62" t="s">
        <v>310</v>
      </c>
      <c r="M62" t="s">
        <v>314</v>
      </c>
      <c r="N62" t="s">
        <v>312</v>
      </c>
      <c r="O62" t="s">
        <v>315</v>
      </c>
      <c r="P62" t="s">
        <v>313</v>
      </c>
      <c r="R62" s="188" t="s">
        <v>49</v>
      </c>
      <c r="S62" s="16">
        <f t="shared" ref="S62:S77" si="22">(S$60*COUNTIF(A$61:A$70, ("*"&amp;$R62&amp;"*")))</f>
        <v>0</v>
      </c>
      <c r="T62" s="16">
        <f t="shared" si="21"/>
        <v>0</v>
      </c>
      <c r="U62" s="16">
        <f t="shared" si="21"/>
        <v>0</v>
      </c>
      <c r="V62" s="16">
        <f t="shared" si="21"/>
        <v>0</v>
      </c>
      <c r="W62" s="16">
        <f t="shared" si="21"/>
        <v>0</v>
      </c>
      <c r="X62" s="16">
        <f t="shared" si="21"/>
        <v>0</v>
      </c>
      <c r="Y62" s="16">
        <f t="shared" si="21"/>
        <v>0</v>
      </c>
      <c r="Z62" s="16">
        <f t="shared" si="21"/>
        <v>0</v>
      </c>
      <c r="AA62" s="16">
        <f t="shared" si="21"/>
        <v>0</v>
      </c>
      <c r="AB62" s="16">
        <f t="shared" si="21"/>
        <v>0</v>
      </c>
      <c r="AC62" s="16">
        <f t="shared" si="21"/>
        <v>12</v>
      </c>
      <c r="AD62" s="16">
        <f t="shared" si="21"/>
        <v>10</v>
      </c>
      <c r="AE62" s="16">
        <f t="shared" si="21"/>
        <v>4</v>
      </c>
      <c r="AF62" s="16">
        <f t="shared" si="21"/>
        <v>9</v>
      </c>
      <c r="AG62" s="16">
        <f t="shared" si="21"/>
        <v>2</v>
      </c>
      <c r="AH62" s="16">
        <f t="shared" si="21"/>
        <v>1</v>
      </c>
      <c r="AI62" s="16">
        <f t="shared" ref="AI62:AI77" si="23">SUM(S62:AH62)</f>
        <v>38</v>
      </c>
    </row>
    <row r="63" spans="1:35" x14ac:dyDescent="0.45">
      <c r="A63" s="25" t="s">
        <v>50</v>
      </c>
      <c r="B63" t="s">
        <v>317</v>
      </c>
      <c r="C63" t="s">
        <v>318</v>
      </c>
      <c r="D63" t="s">
        <v>319</v>
      </c>
      <c r="E63" t="s">
        <v>320</v>
      </c>
      <c r="F63" t="s">
        <v>316</v>
      </c>
      <c r="G63" t="s">
        <v>321</v>
      </c>
      <c r="H63" t="s">
        <v>309</v>
      </c>
      <c r="I63" t="s">
        <v>308</v>
      </c>
      <c r="J63" t="s">
        <v>314</v>
      </c>
      <c r="K63" t="s">
        <v>311</v>
      </c>
      <c r="L63" t="s">
        <v>312</v>
      </c>
      <c r="M63" t="s">
        <v>307</v>
      </c>
      <c r="N63" t="s">
        <v>310</v>
      </c>
      <c r="O63" t="s">
        <v>315</v>
      </c>
      <c r="P63" t="s">
        <v>313</v>
      </c>
      <c r="R63" s="188" t="s">
        <v>51</v>
      </c>
      <c r="S63" s="16">
        <f t="shared" si="22"/>
        <v>0</v>
      </c>
      <c r="T63" s="16">
        <f t="shared" si="21"/>
        <v>30</v>
      </c>
      <c r="U63" s="16">
        <f t="shared" si="21"/>
        <v>84</v>
      </c>
      <c r="V63" s="16">
        <f t="shared" si="21"/>
        <v>13</v>
      </c>
      <c r="W63" s="16">
        <f t="shared" si="21"/>
        <v>0</v>
      </c>
      <c r="X63" s="16">
        <f t="shared" si="21"/>
        <v>11</v>
      </c>
      <c r="Y63" s="16">
        <f t="shared" si="21"/>
        <v>0</v>
      </c>
      <c r="Z63" s="16">
        <f t="shared" si="21"/>
        <v>0</v>
      </c>
      <c r="AA63" s="16">
        <f t="shared" si="21"/>
        <v>0</v>
      </c>
      <c r="AB63" s="16">
        <f t="shared" si="21"/>
        <v>0</v>
      </c>
      <c r="AC63" s="16">
        <f t="shared" si="21"/>
        <v>0</v>
      </c>
      <c r="AD63" s="16">
        <f t="shared" si="21"/>
        <v>0</v>
      </c>
      <c r="AE63" s="16">
        <f t="shared" si="21"/>
        <v>0</v>
      </c>
      <c r="AF63" s="16">
        <f t="shared" si="21"/>
        <v>0</v>
      </c>
      <c r="AG63" s="16">
        <f t="shared" si="21"/>
        <v>0</v>
      </c>
      <c r="AH63" s="16">
        <f t="shared" si="21"/>
        <v>0</v>
      </c>
      <c r="AI63" s="16">
        <f t="shared" si="23"/>
        <v>138</v>
      </c>
    </row>
    <row r="64" spans="1:35" x14ac:dyDescent="0.45">
      <c r="A64" s="25" t="s">
        <v>50</v>
      </c>
      <c r="B64" t="s">
        <v>317</v>
      </c>
      <c r="C64" t="s">
        <v>318</v>
      </c>
      <c r="D64" t="s">
        <v>316</v>
      </c>
      <c r="E64" t="s">
        <v>320</v>
      </c>
      <c r="F64" t="s">
        <v>319</v>
      </c>
      <c r="G64" t="s">
        <v>321</v>
      </c>
      <c r="H64" t="s">
        <v>308</v>
      </c>
      <c r="I64" t="s">
        <v>309</v>
      </c>
      <c r="J64" t="s">
        <v>307</v>
      </c>
      <c r="K64" t="s">
        <v>312</v>
      </c>
      <c r="L64" t="s">
        <v>313</v>
      </c>
      <c r="M64" t="s">
        <v>315</v>
      </c>
      <c r="N64" t="s">
        <v>311</v>
      </c>
      <c r="O64" t="s">
        <v>310</v>
      </c>
      <c r="P64" t="s">
        <v>314</v>
      </c>
      <c r="R64" s="188" t="s">
        <v>54</v>
      </c>
      <c r="S64" s="16">
        <f t="shared" si="22"/>
        <v>0</v>
      </c>
      <c r="T64" s="16">
        <f t="shared" si="21"/>
        <v>30</v>
      </c>
      <c r="U64" s="16">
        <f t="shared" si="21"/>
        <v>42</v>
      </c>
      <c r="V64" s="16">
        <f t="shared" si="21"/>
        <v>39</v>
      </c>
      <c r="W64" s="16">
        <f t="shared" si="21"/>
        <v>0</v>
      </c>
      <c r="X64" s="16">
        <f t="shared" si="21"/>
        <v>22</v>
      </c>
      <c r="Y64" s="16">
        <f t="shared" si="21"/>
        <v>0</v>
      </c>
      <c r="Z64" s="16">
        <f t="shared" si="21"/>
        <v>0</v>
      </c>
      <c r="AA64" s="16">
        <f t="shared" si="21"/>
        <v>0</v>
      </c>
      <c r="AB64" s="16">
        <f t="shared" si="21"/>
        <v>0</v>
      </c>
      <c r="AC64" s="16">
        <f t="shared" si="21"/>
        <v>0</v>
      </c>
      <c r="AD64" s="16">
        <f t="shared" si="21"/>
        <v>0</v>
      </c>
      <c r="AE64" s="16">
        <f t="shared" si="21"/>
        <v>0</v>
      </c>
      <c r="AF64" s="16">
        <f t="shared" si="21"/>
        <v>0</v>
      </c>
      <c r="AG64" s="16">
        <f t="shared" si="21"/>
        <v>0</v>
      </c>
      <c r="AH64" s="16">
        <f t="shared" si="21"/>
        <v>0</v>
      </c>
      <c r="AI64" s="16">
        <f t="shared" si="23"/>
        <v>133</v>
      </c>
    </row>
    <row r="65" spans="1:35" x14ac:dyDescent="0.45">
      <c r="A65" s="25" t="s">
        <v>50</v>
      </c>
      <c r="B65" t="s">
        <v>318</v>
      </c>
      <c r="C65" t="s">
        <v>317</v>
      </c>
      <c r="D65" t="s">
        <v>321</v>
      </c>
      <c r="E65" t="s">
        <v>307</v>
      </c>
      <c r="F65" t="s">
        <v>319</v>
      </c>
      <c r="G65" t="s">
        <v>320</v>
      </c>
      <c r="H65" t="s">
        <v>308</v>
      </c>
      <c r="I65" t="s">
        <v>309</v>
      </c>
      <c r="J65" t="s">
        <v>310</v>
      </c>
      <c r="K65" t="s">
        <v>316</v>
      </c>
      <c r="L65" t="s">
        <v>313</v>
      </c>
      <c r="M65" t="s">
        <v>314</v>
      </c>
      <c r="N65" t="s">
        <v>312</v>
      </c>
      <c r="O65" t="s">
        <v>311</v>
      </c>
      <c r="P65" t="s">
        <v>315</v>
      </c>
      <c r="R65" s="188" t="s">
        <v>57</v>
      </c>
      <c r="S65" s="16">
        <f t="shared" si="22"/>
        <v>0</v>
      </c>
      <c r="T65" s="16">
        <f t="shared" si="21"/>
        <v>0</v>
      </c>
      <c r="U65" s="16">
        <f t="shared" si="21"/>
        <v>0</v>
      </c>
      <c r="V65" s="16">
        <f t="shared" si="21"/>
        <v>0</v>
      </c>
      <c r="W65" s="16">
        <f t="shared" si="21"/>
        <v>72</v>
      </c>
      <c r="X65" s="16">
        <f t="shared" si="21"/>
        <v>22</v>
      </c>
      <c r="Y65" s="16">
        <f t="shared" si="21"/>
        <v>20</v>
      </c>
      <c r="Z65" s="16">
        <f t="shared" si="21"/>
        <v>0</v>
      </c>
      <c r="AA65" s="16">
        <f t="shared" si="21"/>
        <v>0</v>
      </c>
      <c r="AB65" s="16">
        <f t="shared" si="21"/>
        <v>0</v>
      </c>
      <c r="AC65" s="16">
        <f t="shared" si="21"/>
        <v>0</v>
      </c>
      <c r="AD65" s="16">
        <f t="shared" si="21"/>
        <v>0</v>
      </c>
      <c r="AE65" s="16">
        <f t="shared" si="21"/>
        <v>0</v>
      </c>
      <c r="AF65" s="16">
        <f t="shared" si="21"/>
        <v>0</v>
      </c>
      <c r="AG65" s="16">
        <f t="shared" si="21"/>
        <v>0</v>
      </c>
      <c r="AH65" s="16">
        <f t="shared" si="21"/>
        <v>0</v>
      </c>
      <c r="AI65" s="16">
        <f t="shared" si="23"/>
        <v>114</v>
      </c>
    </row>
    <row r="66" spans="1:35" x14ac:dyDescent="0.45">
      <c r="A66" s="25" t="s">
        <v>50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  <c r="G66" t="s">
        <v>307</v>
      </c>
      <c r="H66" t="s">
        <v>310</v>
      </c>
      <c r="I66" t="s">
        <v>309</v>
      </c>
      <c r="J66" t="s">
        <v>308</v>
      </c>
      <c r="K66" t="s">
        <v>316</v>
      </c>
      <c r="L66" t="s">
        <v>311</v>
      </c>
      <c r="M66" t="s">
        <v>314</v>
      </c>
      <c r="N66" t="s">
        <v>312</v>
      </c>
      <c r="O66" t="s">
        <v>313</v>
      </c>
      <c r="P66" t="s">
        <v>315</v>
      </c>
      <c r="R66" s="188" t="s">
        <v>60</v>
      </c>
      <c r="S66" s="16">
        <f t="shared" si="22"/>
        <v>0</v>
      </c>
      <c r="T66" s="16">
        <f t="shared" si="21"/>
        <v>0</v>
      </c>
      <c r="U66" s="16">
        <f t="shared" si="21"/>
        <v>0</v>
      </c>
      <c r="V66" s="16">
        <f t="shared" si="21"/>
        <v>0</v>
      </c>
      <c r="W66" s="16">
        <f t="shared" si="21"/>
        <v>0</v>
      </c>
      <c r="X66" s="16">
        <f t="shared" si="21"/>
        <v>11</v>
      </c>
      <c r="Y66" s="16">
        <f t="shared" si="21"/>
        <v>20</v>
      </c>
      <c r="Z66" s="16">
        <f t="shared" si="21"/>
        <v>9</v>
      </c>
      <c r="AA66" s="16">
        <f t="shared" si="21"/>
        <v>32</v>
      </c>
      <c r="AB66" s="16">
        <f t="shared" si="21"/>
        <v>7</v>
      </c>
      <c r="AC66" s="16">
        <f t="shared" si="21"/>
        <v>0</v>
      </c>
      <c r="AD66" s="16">
        <f t="shared" si="21"/>
        <v>0</v>
      </c>
      <c r="AE66" s="16">
        <f t="shared" si="21"/>
        <v>0</v>
      </c>
      <c r="AF66" s="16">
        <f t="shared" si="21"/>
        <v>3</v>
      </c>
      <c r="AG66" s="16">
        <f t="shared" si="21"/>
        <v>0</v>
      </c>
      <c r="AH66" s="16">
        <f t="shared" si="21"/>
        <v>0</v>
      </c>
      <c r="AI66" s="16">
        <f t="shared" si="23"/>
        <v>82</v>
      </c>
    </row>
    <row r="67" spans="1:35" x14ac:dyDescent="0.45">
      <c r="A67" s="25" t="s">
        <v>61</v>
      </c>
      <c r="B67" t="s">
        <v>322</v>
      </c>
      <c r="C67" t="s">
        <v>319</v>
      </c>
      <c r="D67" t="s">
        <v>321</v>
      </c>
      <c r="E67" t="s">
        <v>320</v>
      </c>
      <c r="F67" t="s">
        <v>318</v>
      </c>
      <c r="G67" t="s">
        <v>316</v>
      </c>
      <c r="H67" t="s">
        <v>310</v>
      </c>
      <c r="I67" t="s">
        <v>307</v>
      </c>
      <c r="J67" t="s">
        <v>312</v>
      </c>
      <c r="K67" t="s">
        <v>308</v>
      </c>
      <c r="L67" t="s">
        <v>311</v>
      </c>
      <c r="M67" t="s">
        <v>314</v>
      </c>
      <c r="N67" t="s">
        <v>309</v>
      </c>
      <c r="O67" t="s">
        <v>315</v>
      </c>
      <c r="P67" t="s">
        <v>313</v>
      </c>
      <c r="R67" s="188" t="s">
        <v>93</v>
      </c>
      <c r="S67" s="16">
        <f t="shared" si="22"/>
        <v>0</v>
      </c>
      <c r="T67" s="16">
        <f t="shared" si="21"/>
        <v>0</v>
      </c>
      <c r="U67" s="16">
        <f t="shared" si="21"/>
        <v>0</v>
      </c>
      <c r="V67" s="16">
        <f t="shared" si="21"/>
        <v>0</v>
      </c>
      <c r="W67" s="16">
        <f t="shared" si="21"/>
        <v>0</v>
      </c>
      <c r="X67" s="16">
        <f t="shared" si="21"/>
        <v>0</v>
      </c>
      <c r="Y67" s="16">
        <f t="shared" si="21"/>
        <v>0</v>
      </c>
      <c r="Z67" s="16">
        <f t="shared" si="21"/>
        <v>0</v>
      </c>
      <c r="AA67" s="16">
        <f t="shared" si="21"/>
        <v>0</v>
      </c>
      <c r="AB67" s="16">
        <f t="shared" si="21"/>
        <v>0</v>
      </c>
      <c r="AC67" s="16">
        <f t="shared" si="21"/>
        <v>0</v>
      </c>
      <c r="AD67" s="16">
        <f t="shared" si="21"/>
        <v>0</v>
      </c>
      <c r="AE67" s="16">
        <f t="shared" si="21"/>
        <v>0</v>
      </c>
      <c r="AF67" s="16">
        <f t="shared" si="21"/>
        <v>0</v>
      </c>
      <c r="AG67" s="16">
        <f t="shared" si="21"/>
        <v>0</v>
      </c>
      <c r="AH67" s="16">
        <f t="shared" si="21"/>
        <v>0</v>
      </c>
      <c r="AI67" s="16">
        <f t="shared" si="23"/>
        <v>0</v>
      </c>
    </row>
    <row r="68" spans="1:35" x14ac:dyDescent="0.45">
      <c r="A68" s="25" t="s">
        <v>61</v>
      </c>
      <c r="B68" t="s">
        <v>319</v>
      </c>
      <c r="C68" t="s">
        <v>318</v>
      </c>
      <c r="D68" t="s">
        <v>322</v>
      </c>
      <c r="E68" t="s">
        <v>321</v>
      </c>
      <c r="F68" t="s">
        <v>320</v>
      </c>
      <c r="G68" t="s">
        <v>309</v>
      </c>
      <c r="H68" t="s">
        <v>307</v>
      </c>
      <c r="I68" t="s">
        <v>316</v>
      </c>
      <c r="J68" t="s">
        <v>310</v>
      </c>
      <c r="K68" t="s">
        <v>308</v>
      </c>
      <c r="L68" t="s">
        <v>314</v>
      </c>
      <c r="M68" t="s">
        <v>312</v>
      </c>
      <c r="N68" t="s">
        <v>311</v>
      </c>
      <c r="O68" t="s">
        <v>313</v>
      </c>
      <c r="P68" t="s">
        <v>315</v>
      </c>
      <c r="R68" s="188" t="s">
        <v>63</v>
      </c>
      <c r="S68" s="16">
        <f t="shared" si="22"/>
        <v>0</v>
      </c>
      <c r="T68" s="16">
        <f t="shared" si="21"/>
        <v>0</v>
      </c>
      <c r="U68" s="16">
        <f t="shared" si="21"/>
        <v>0</v>
      </c>
      <c r="V68" s="16">
        <f t="shared" si="21"/>
        <v>0</v>
      </c>
      <c r="W68" s="16">
        <f t="shared" si="21"/>
        <v>12</v>
      </c>
      <c r="X68" s="16">
        <f t="shared" si="21"/>
        <v>0</v>
      </c>
      <c r="Y68" s="16">
        <f t="shared" si="21"/>
        <v>30</v>
      </c>
      <c r="Z68" s="16">
        <f t="shared" si="21"/>
        <v>9</v>
      </c>
      <c r="AA68" s="16">
        <f t="shared" si="21"/>
        <v>8</v>
      </c>
      <c r="AB68" s="16">
        <f t="shared" si="21"/>
        <v>21</v>
      </c>
      <c r="AC68" s="16">
        <f t="shared" si="21"/>
        <v>0</v>
      </c>
      <c r="AD68" s="16">
        <f t="shared" si="21"/>
        <v>0</v>
      </c>
      <c r="AE68" s="16">
        <f t="shared" si="21"/>
        <v>4</v>
      </c>
      <c r="AF68" s="16">
        <f t="shared" si="21"/>
        <v>0</v>
      </c>
      <c r="AG68" s="16">
        <f t="shared" si="21"/>
        <v>0</v>
      </c>
      <c r="AH68" s="16">
        <f t="shared" si="21"/>
        <v>0</v>
      </c>
      <c r="AI68" s="16">
        <f t="shared" si="23"/>
        <v>84</v>
      </c>
    </row>
    <row r="69" spans="1:35" x14ac:dyDescent="0.45">
      <c r="A69" s="25" t="s">
        <v>50</v>
      </c>
      <c r="B69" t="s">
        <v>319</v>
      </c>
      <c r="C69" t="s">
        <v>318</v>
      </c>
      <c r="D69" t="s">
        <v>317</v>
      </c>
      <c r="E69" t="s">
        <v>321</v>
      </c>
      <c r="F69" t="s">
        <v>309</v>
      </c>
      <c r="G69" t="s">
        <v>320</v>
      </c>
      <c r="H69" t="s">
        <v>308</v>
      </c>
      <c r="I69" t="s">
        <v>316</v>
      </c>
      <c r="J69" t="s">
        <v>307</v>
      </c>
      <c r="K69" t="s">
        <v>312</v>
      </c>
      <c r="L69" t="s">
        <v>310</v>
      </c>
      <c r="M69" t="s">
        <v>313</v>
      </c>
      <c r="N69" t="s">
        <v>311</v>
      </c>
      <c r="O69" t="s">
        <v>314</v>
      </c>
      <c r="P69" t="s">
        <v>315</v>
      </c>
      <c r="R69" s="188" t="s">
        <v>66</v>
      </c>
      <c r="S69" s="16">
        <f t="shared" si="22"/>
        <v>0</v>
      </c>
      <c r="T69" s="16">
        <f t="shared" si="21"/>
        <v>0</v>
      </c>
      <c r="U69" s="16">
        <f t="shared" si="21"/>
        <v>0</v>
      </c>
      <c r="V69" s="16">
        <f t="shared" si="21"/>
        <v>0</v>
      </c>
      <c r="W69" s="16">
        <f t="shared" si="21"/>
        <v>0</v>
      </c>
      <c r="X69" s="16">
        <f t="shared" si="21"/>
        <v>0</v>
      </c>
      <c r="Y69" s="16">
        <f t="shared" si="21"/>
        <v>0</v>
      </c>
      <c r="Z69" s="16">
        <f t="shared" si="21"/>
        <v>0</v>
      </c>
      <c r="AA69" s="16">
        <f t="shared" si="21"/>
        <v>0</v>
      </c>
      <c r="AB69" s="16">
        <f t="shared" si="21"/>
        <v>0</v>
      </c>
      <c r="AC69" s="16">
        <f t="shared" si="21"/>
        <v>0</v>
      </c>
      <c r="AD69" s="16">
        <f t="shared" si="21"/>
        <v>0</v>
      </c>
      <c r="AE69" s="16">
        <f t="shared" si="21"/>
        <v>0</v>
      </c>
      <c r="AF69" s="16">
        <f t="shared" si="21"/>
        <v>0</v>
      </c>
      <c r="AG69" s="16">
        <f t="shared" si="21"/>
        <v>0</v>
      </c>
      <c r="AH69" s="16">
        <f t="shared" si="21"/>
        <v>0</v>
      </c>
      <c r="AI69" s="16">
        <f t="shared" si="23"/>
        <v>0</v>
      </c>
    </row>
    <row r="70" spans="1:35" x14ac:dyDescent="0.45">
      <c r="A70" s="25" t="s">
        <v>61</v>
      </c>
      <c r="B70" t="s">
        <v>318</v>
      </c>
      <c r="C70" t="s">
        <v>319</v>
      </c>
      <c r="D70" t="s">
        <v>321</v>
      </c>
      <c r="E70" t="s">
        <v>322</v>
      </c>
      <c r="F70" t="s">
        <v>320</v>
      </c>
      <c r="G70" t="s">
        <v>309</v>
      </c>
      <c r="H70" t="s">
        <v>316</v>
      </c>
      <c r="I70" t="s">
        <v>312</v>
      </c>
      <c r="J70" t="s">
        <v>307</v>
      </c>
      <c r="K70" t="s">
        <v>314</v>
      </c>
      <c r="L70" t="s">
        <v>310</v>
      </c>
      <c r="M70" t="s">
        <v>308</v>
      </c>
      <c r="N70" t="s">
        <v>315</v>
      </c>
      <c r="O70" t="s">
        <v>313</v>
      </c>
      <c r="P70" t="s">
        <v>311</v>
      </c>
      <c r="R70" s="188" t="s">
        <v>68</v>
      </c>
      <c r="S70" s="16">
        <f t="shared" si="22"/>
        <v>0</v>
      </c>
      <c r="T70" s="16">
        <f t="shared" si="21"/>
        <v>0</v>
      </c>
      <c r="U70" s="16">
        <f t="shared" si="21"/>
        <v>0</v>
      </c>
      <c r="V70" s="16">
        <f t="shared" si="21"/>
        <v>0</v>
      </c>
      <c r="W70" s="16">
        <f t="shared" si="21"/>
        <v>0</v>
      </c>
      <c r="X70" s="16">
        <f t="shared" si="21"/>
        <v>0</v>
      </c>
      <c r="Y70" s="16">
        <f t="shared" si="21"/>
        <v>0</v>
      </c>
      <c r="Z70" s="16">
        <f t="shared" si="21"/>
        <v>0</v>
      </c>
      <c r="AA70" s="16">
        <f t="shared" si="21"/>
        <v>0</v>
      </c>
      <c r="AB70" s="16">
        <f t="shared" si="21"/>
        <v>0</v>
      </c>
      <c r="AC70" s="16">
        <f t="shared" si="21"/>
        <v>0</v>
      </c>
      <c r="AD70" s="16">
        <f t="shared" si="21"/>
        <v>0</v>
      </c>
      <c r="AE70" s="16">
        <f t="shared" si="21"/>
        <v>0</v>
      </c>
      <c r="AF70" s="16">
        <f t="shared" si="21"/>
        <v>0</v>
      </c>
      <c r="AG70" s="16">
        <f t="shared" si="21"/>
        <v>0</v>
      </c>
      <c r="AH70" s="16">
        <f t="shared" si="21"/>
        <v>0</v>
      </c>
      <c r="AI70" s="16">
        <f t="shared" si="23"/>
        <v>0</v>
      </c>
    </row>
    <row r="71" spans="1:35" x14ac:dyDescent="0.45">
      <c r="A71" s="25" t="s">
        <v>61</v>
      </c>
      <c r="B71" t="s">
        <v>322</v>
      </c>
      <c r="C71" t="s">
        <v>319</v>
      </c>
      <c r="D71" t="s">
        <v>318</v>
      </c>
      <c r="E71" t="s">
        <v>321</v>
      </c>
      <c r="F71" t="s">
        <v>309</v>
      </c>
      <c r="G71" t="s">
        <v>316</v>
      </c>
      <c r="H71" t="s">
        <v>308</v>
      </c>
      <c r="I71" t="s">
        <v>320</v>
      </c>
      <c r="J71" t="s">
        <v>310</v>
      </c>
      <c r="K71" t="s">
        <v>311</v>
      </c>
      <c r="L71" t="s">
        <v>307</v>
      </c>
      <c r="M71" t="s">
        <v>314</v>
      </c>
      <c r="N71" t="s">
        <v>312</v>
      </c>
      <c r="O71" t="s">
        <v>313</v>
      </c>
      <c r="P71" t="s">
        <v>315</v>
      </c>
      <c r="R71" s="188" t="s">
        <v>69</v>
      </c>
      <c r="S71" s="16">
        <f t="shared" si="22"/>
        <v>0</v>
      </c>
      <c r="T71" s="16">
        <f t="shared" si="21"/>
        <v>0</v>
      </c>
      <c r="U71" s="16">
        <f t="shared" si="21"/>
        <v>0</v>
      </c>
      <c r="V71" s="16">
        <f t="shared" si="21"/>
        <v>0</v>
      </c>
      <c r="W71" s="16">
        <f t="shared" si="21"/>
        <v>0</v>
      </c>
      <c r="X71" s="16">
        <f t="shared" si="21"/>
        <v>0</v>
      </c>
      <c r="Y71" s="16">
        <f t="shared" si="21"/>
        <v>0</v>
      </c>
      <c r="Z71" s="16">
        <f t="shared" si="21"/>
        <v>18</v>
      </c>
      <c r="AA71" s="16">
        <f t="shared" si="21"/>
        <v>0</v>
      </c>
      <c r="AB71" s="16">
        <f t="shared" si="21"/>
        <v>14</v>
      </c>
      <c r="AC71" s="16">
        <f t="shared" si="21"/>
        <v>0</v>
      </c>
      <c r="AD71" s="16">
        <f t="shared" si="21"/>
        <v>20</v>
      </c>
      <c r="AE71" s="16">
        <f t="shared" si="21"/>
        <v>0</v>
      </c>
      <c r="AF71" s="16">
        <f t="shared" si="21"/>
        <v>3</v>
      </c>
      <c r="AG71" s="16">
        <f t="shared" si="21"/>
        <v>2</v>
      </c>
      <c r="AH71" s="16">
        <f t="shared" si="21"/>
        <v>0</v>
      </c>
      <c r="AI71" s="16">
        <f t="shared" si="23"/>
        <v>57</v>
      </c>
    </row>
    <row r="72" spans="1:35" x14ac:dyDescent="0.45">
      <c r="A72" s="25" t="s">
        <v>61</v>
      </c>
      <c r="B72" t="s">
        <v>321</v>
      </c>
      <c r="C72" t="s">
        <v>319</v>
      </c>
      <c r="D72" t="s">
        <v>322</v>
      </c>
      <c r="E72" t="s">
        <v>318</v>
      </c>
      <c r="F72" t="s">
        <v>309</v>
      </c>
      <c r="G72" t="s">
        <v>316</v>
      </c>
      <c r="H72" t="s">
        <v>311</v>
      </c>
      <c r="I72" t="s">
        <v>308</v>
      </c>
      <c r="J72" t="s">
        <v>320</v>
      </c>
      <c r="K72" t="s">
        <v>312</v>
      </c>
      <c r="L72" t="s">
        <v>313</v>
      </c>
      <c r="M72" t="s">
        <v>314</v>
      </c>
      <c r="N72" t="s">
        <v>315</v>
      </c>
      <c r="O72" t="s">
        <v>310</v>
      </c>
      <c r="P72" t="s">
        <v>307</v>
      </c>
      <c r="R72" s="188" t="s">
        <v>200</v>
      </c>
      <c r="S72" s="16">
        <f t="shared" si="22"/>
        <v>0</v>
      </c>
      <c r="T72" s="16">
        <f t="shared" si="21"/>
        <v>0</v>
      </c>
      <c r="U72" s="16">
        <f t="shared" si="21"/>
        <v>0</v>
      </c>
      <c r="V72" s="16">
        <f t="shared" si="21"/>
        <v>0</v>
      </c>
      <c r="W72" s="16">
        <f t="shared" si="21"/>
        <v>0</v>
      </c>
      <c r="X72" s="16">
        <f t="shared" si="21"/>
        <v>0</v>
      </c>
      <c r="Y72" s="16">
        <f t="shared" si="21"/>
        <v>0</v>
      </c>
      <c r="Z72" s="16">
        <f t="shared" si="21"/>
        <v>0</v>
      </c>
      <c r="AA72" s="16">
        <f t="shared" si="21"/>
        <v>0</v>
      </c>
      <c r="AB72" s="16">
        <f t="shared" si="21"/>
        <v>0</v>
      </c>
      <c r="AC72" s="16">
        <f t="shared" si="21"/>
        <v>0</v>
      </c>
      <c r="AD72" s="16">
        <f t="shared" si="21"/>
        <v>0</v>
      </c>
      <c r="AE72" s="16">
        <f t="shared" si="21"/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3"/>
        <v>0</v>
      </c>
    </row>
    <row r="73" spans="1:35" x14ac:dyDescent="0.45">
      <c r="A73" s="25" t="s">
        <v>50</v>
      </c>
      <c r="B73" t="s">
        <v>318</v>
      </c>
      <c r="C73" t="s">
        <v>317</v>
      </c>
      <c r="D73" t="s">
        <v>319</v>
      </c>
      <c r="E73" t="s">
        <v>321</v>
      </c>
      <c r="F73" t="s">
        <v>316</v>
      </c>
      <c r="G73" t="s">
        <v>311</v>
      </c>
      <c r="H73" t="s">
        <v>320</v>
      </c>
      <c r="I73" t="s">
        <v>309</v>
      </c>
      <c r="J73" t="s">
        <v>312</v>
      </c>
      <c r="K73" t="s">
        <v>307</v>
      </c>
      <c r="L73" t="s">
        <v>310</v>
      </c>
      <c r="M73" t="s">
        <v>308</v>
      </c>
      <c r="N73" t="s">
        <v>315</v>
      </c>
      <c r="O73" t="s">
        <v>313</v>
      </c>
      <c r="P73" t="s">
        <v>314</v>
      </c>
      <c r="R73" s="188" t="s">
        <v>128</v>
      </c>
      <c r="S73" s="16">
        <f t="shared" si="22"/>
        <v>0</v>
      </c>
      <c r="T73" s="16">
        <f t="shared" si="21"/>
        <v>0</v>
      </c>
      <c r="U73" s="16">
        <f t="shared" si="21"/>
        <v>0</v>
      </c>
      <c r="V73" s="16">
        <f t="shared" si="21"/>
        <v>0</v>
      </c>
      <c r="W73" s="16">
        <f t="shared" si="21"/>
        <v>0</v>
      </c>
      <c r="X73" s="16">
        <f t="shared" si="21"/>
        <v>0</v>
      </c>
      <c r="Y73" s="16">
        <f t="shared" si="21"/>
        <v>0</v>
      </c>
      <c r="Z73" s="16">
        <f t="shared" si="21"/>
        <v>36</v>
      </c>
      <c r="AA73" s="16">
        <f t="shared" si="21"/>
        <v>8</v>
      </c>
      <c r="AB73" s="16">
        <f t="shared" si="21"/>
        <v>14</v>
      </c>
      <c r="AC73" s="16">
        <f t="shared" si="21"/>
        <v>12</v>
      </c>
      <c r="AD73" s="16">
        <f t="shared" si="21"/>
        <v>0</v>
      </c>
      <c r="AE73" s="16">
        <f t="shared" si="21"/>
        <v>4</v>
      </c>
      <c r="AF73" s="16">
        <f t="shared" si="21"/>
        <v>0</v>
      </c>
      <c r="AG73" s="16">
        <f t="shared" si="21"/>
        <v>0</v>
      </c>
      <c r="AH73" s="16">
        <f t="shared" si="21"/>
        <v>0</v>
      </c>
      <c r="AI73" s="16">
        <f t="shared" si="23"/>
        <v>74</v>
      </c>
    </row>
    <row r="74" spans="1:35" x14ac:dyDescent="0.45">
      <c r="A74" s="25" t="s">
        <v>202</v>
      </c>
      <c r="B74" t="s">
        <v>314</v>
      </c>
      <c r="C74" t="s">
        <v>311</v>
      </c>
      <c r="D74" t="s">
        <v>318</v>
      </c>
      <c r="E74" t="s">
        <v>319</v>
      </c>
      <c r="F74" t="s">
        <v>320</v>
      </c>
      <c r="G74" t="s">
        <v>309</v>
      </c>
      <c r="H74" t="s">
        <v>312</v>
      </c>
      <c r="I74" t="s">
        <v>307</v>
      </c>
      <c r="J74" t="s">
        <v>321</v>
      </c>
      <c r="K74" t="s">
        <v>322</v>
      </c>
      <c r="L74" t="s">
        <v>310</v>
      </c>
      <c r="M74" t="s">
        <v>308</v>
      </c>
      <c r="N74" t="s">
        <v>316</v>
      </c>
      <c r="O74" t="s">
        <v>317</v>
      </c>
      <c r="P74" t="s">
        <v>313</v>
      </c>
      <c r="R74" s="188" t="s">
        <v>127</v>
      </c>
      <c r="S74" s="16">
        <f t="shared" si="22"/>
        <v>0</v>
      </c>
      <c r="T74" s="16">
        <f t="shared" si="21"/>
        <v>0</v>
      </c>
      <c r="U74" s="16">
        <f t="shared" si="21"/>
        <v>0</v>
      </c>
      <c r="V74" s="16">
        <f t="shared" si="21"/>
        <v>13</v>
      </c>
      <c r="W74" s="16">
        <f t="shared" si="21"/>
        <v>0</v>
      </c>
      <c r="X74" s="16">
        <f t="shared" si="21"/>
        <v>11</v>
      </c>
      <c r="Y74" s="16">
        <f t="shared" si="21"/>
        <v>10</v>
      </c>
      <c r="Z74" s="16">
        <f t="shared" si="21"/>
        <v>18</v>
      </c>
      <c r="AA74" s="16">
        <f t="shared" si="21"/>
        <v>24</v>
      </c>
      <c r="AB74" s="16">
        <f t="shared" si="21"/>
        <v>0</v>
      </c>
      <c r="AC74" s="16">
        <f t="shared" si="21"/>
        <v>12</v>
      </c>
      <c r="AD74" s="16">
        <f t="shared" si="21"/>
        <v>0</v>
      </c>
      <c r="AE74" s="16">
        <f t="shared" si="21"/>
        <v>0</v>
      </c>
      <c r="AF74" s="16">
        <f t="shared" si="21"/>
        <v>0</v>
      </c>
      <c r="AG74" s="16">
        <f t="shared" si="21"/>
        <v>0</v>
      </c>
      <c r="AH74" s="16">
        <f t="shared" si="21"/>
        <v>0</v>
      </c>
      <c r="AI74" s="16">
        <f t="shared" si="23"/>
        <v>88</v>
      </c>
    </row>
    <row r="75" spans="1:35" x14ac:dyDescent="0.45">
      <c r="A75" s="25" t="s">
        <v>50</v>
      </c>
      <c r="B75" t="s">
        <v>317</v>
      </c>
      <c r="C75" t="s">
        <v>318</v>
      </c>
      <c r="D75" t="s">
        <v>321</v>
      </c>
      <c r="E75" t="s">
        <v>319</v>
      </c>
      <c r="F75" t="s">
        <v>320</v>
      </c>
      <c r="G75" t="s">
        <v>316</v>
      </c>
      <c r="H75" t="s">
        <v>309</v>
      </c>
      <c r="I75" t="s">
        <v>308</v>
      </c>
      <c r="J75" t="s">
        <v>307</v>
      </c>
      <c r="K75" t="s">
        <v>311</v>
      </c>
      <c r="L75" t="s">
        <v>314</v>
      </c>
      <c r="M75" t="s">
        <v>312</v>
      </c>
      <c r="N75" t="s">
        <v>310</v>
      </c>
      <c r="O75" t="s">
        <v>313</v>
      </c>
      <c r="P75" t="s">
        <v>315</v>
      </c>
      <c r="R75" s="188" t="s">
        <v>73</v>
      </c>
      <c r="S75" s="16">
        <f t="shared" si="22"/>
        <v>64</v>
      </c>
      <c r="T75" s="16">
        <f t="shared" si="21"/>
        <v>60</v>
      </c>
      <c r="U75" s="16">
        <f t="shared" si="21"/>
        <v>14</v>
      </c>
      <c r="V75" s="16">
        <f t="shared" si="21"/>
        <v>13</v>
      </c>
      <c r="W75" s="16">
        <f t="shared" si="21"/>
        <v>0</v>
      </c>
      <c r="X75" s="16">
        <f t="shared" si="21"/>
        <v>0</v>
      </c>
      <c r="Y75" s="16">
        <f t="shared" si="21"/>
        <v>0</v>
      </c>
      <c r="Z75" s="16">
        <f t="shared" si="21"/>
        <v>0</v>
      </c>
      <c r="AA75" s="16">
        <f t="shared" si="21"/>
        <v>0</v>
      </c>
      <c r="AB75" s="16">
        <f t="shared" si="21"/>
        <v>0</v>
      </c>
      <c r="AC75" s="16">
        <f t="shared" si="21"/>
        <v>0</v>
      </c>
      <c r="AD75" s="16">
        <f t="shared" si="21"/>
        <v>0</v>
      </c>
      <c r="AE75" s="16">
        <f t="shared" si="21"/>
        <v>0</v>
      </c>
      <c r="AF75" s="16">
        <f t="shared" si="21"/>
        <v>0</v>
      </c>
      <c r="AG75" s="16">
        <f t="shared" si="21"/>
        <v>0</v>
      </c>
      <c r="AH75" s="16">
        <f t="shared" si="21"/>
        <v>0</v>
      </c>
      <c r="AI75" s="16">
        <f t="shared" si="23"/>
        <v>151</v>
      </c>
    </row>
    <row r="76" spans="1:35" x14ac:dyDescent="0.45">
      <c r="R76" s="188" t="s">
        <v>324</v>
      </c>
      <c r="S76" s="16">
        <f t="shared" si="22"/>
        <v>0</v>
      </c>
      <c r="T76" s="16">
        <f t="shared" si="21"/>
        <v>0</v>
      </c>
      <c r="U76" s="16">
        <f t="shared" si="21"/>
        <v>0</v>
      </c>
      <c r="V76" s="16">
        <f t="shared" si="21"/>
        <v>0</v>
      </c>
      <c r="W76" s="16">
        <f t="shared" si="21"/>
        <v>0</v>
      </c>
      <c r="X76" s="16">
        <f t="shared" si="21"/>
        <v>0</v>
      </c>
      <c r="Y76" s="16">
        <f t="shared" si="21"/>
        <v>0</v>
      </c>
      <c r="Z76" s="16">
        <f t="shared" si="21"/>
        <v>0</v>
      </c>
      <c r="AA76" s="16">
        <f t="shared" si="21"/>
        <v>0</v>
      </c>
      <c r="AB76" s="16">
        <f t="shared" si="21"/>
        <v>0</v>
      </c>
      <c r="AC76" s="16">
        <f t="shared" si="21"/>
        <v>0</v>
      </c>
      <c r="AD76" s="16">
        <f t="shared" si="21"/>
        <v>0</v>
      </c>
      <c r="AE76" s="16">
        <f t="shared" si="21"/>
        <v>4</v>
      </c>
      <c r="AF76" s="16">
        <f t="shared" si="21"/>
        <v>3</v>
      </c>
      <c r="AG76" s="16">
        <f t="shared" si="21"/>
        <v>6</v>
      </c>
      <c r="AH76" s="16">
        <f t="shared" si="21"/>
        <v>5</v>
      </c>
      <c r="AI76" s="16">
        <f t="shared" si="23"/>
        <v>18</v>
      </c>
    </row>
    <row r="77" spans="1:35" x14ac:dyDescent="0.45">
      <c r="R77" s="188" t="s">
        <v>75</v>
      </c>
      <c r="S77" s="16">
        <f t="shared" si="22"/>
        <v>0</v>
      </c>
      <c r="T77" s="16">
        <f t="shared" ref="T77" si="24">(T$60*COUNTIF(B$61:B$70, ("*"&amp;$R77&amp;"*")))</f>
        <v>0</v>
      </c>
      <c r="U77" s="16">
        <f t="shared" ref="U77" si="25">(U$60*COUNTIF(C$61:C$70, ("*"&amp;$R77&amp;"*")))</f>
        <v>0</v>
      </c>
      <c r="V77" s="16">
        <f t="shared" ref="V77" si="26">(V$60*COUNTIF(D$61:D$70, ("*"&amp;$R77&amp;"*")))</f>
        <v>0</v>
      </c>
      <c r="W77" s="16">
        <f t="shared" ref="W77" si="27">(W$60*COUNTIF(E$61:E$70, ("*"&amp;$R77&amp;"*")))</f>
        <v>0</v>
      </c>
      <c r="X77" s="16">
        <f t="shared" ref="X77" si="28">(X$60*COUNTIF(F$61:F$70, ("*"&amp;$R77&amp;"*")))</f>
        <v>0</v>
      </c>
      <c r="Y77" s="16">
        <f t="shared" ref="Y77" si="29">(Y$60*COUNTIF(G$61:G$70, ("*"&amp;$R77&amp;"*")))</f>
        <v>0</v>
      </c>
      <c r="Z77" s="16">
        <f t="shared" ref="Z77" si="30">(Z$60*COUNTIF(H$61:H$70, ("*"&amp;$R77&amp;"*")))</f>
        <v>0</v>
      </c>
      <c r="AA77" s="16">
        <f t="shared" ref="AA77" si="31">(AA$60*COUNTIF(I$61:I$70, ("*"&amp;$R77&amp;"*")))</f>
        <v>0</v>
      </c>
      <c r="AB77" s="16">
        <f t="shared" ref="AB77" si="32">(AB$60*COUNTIF(J$61:J$70, ("*"&amp;$R77&amp;"*")))</f>
        <v>0</v>
      </c>
      <c r="AC77" s="16">
        <f t="shared" ref="AC77" si="33">(AC$60*COUNTIF(K$61:K$70, ("*"&amp;$R77&amp;"*")))</f>
        <v>0</v>
      </c>
      <c r="AD77" s="16">
        <f t="shared" ref="AD77" si="34">(AD$60*COUNTIF(L$61:L$70, ("*"&amp;$R77&amp;"*")))</f>
        <v>10</v>
      </c>
      <c r="AE77" s="16">
        <f t="shared" ref="AE77" si="35">(AE$60*COUNTIF(M$61:M$70, ("*"&amp;$R77&amp;"*")))</f>
        <v>4</v>
      </c>
      <c r="AF77" s="16">
        <f t="shared" ref="AF77" si="36">(AF$60*COUNTIF(N$61:N$70, ("*"&amp;$R77&amp;"*")))</f>
        <v>3</v>
      </c>
      <c r="AG77" s="16">
        <f t="shared" ref="AG77" si="37">(AG$60*COUNTIF(O$61:O$70, ("*"&amp;$R77&amp;"*")))</f>
        <v>6</v>
      </c>
      <c r="AH77" s="16">
        <f t="shared" ref="AH77" si="38">(AH$60*COUNTIF(P$61:P$70, ("*"&amp;$R77&amp;"*")))</f>
        <v>3</v>
      </c>
      <c r="AI77" s="16">
        <f t="shared" si="23"/>
        <v>26</v>
      </c>
    </row>
    <row r="80" spans="1:35" x14ac:dyDescent="0.45">
      <c r="A80" s="25" t="s">
        <v>300</v>
      </c>
      <c r="R80" s="16"/>
      <c r="S80" s="16">
        <v>16</v>
      </c>
      <c r="T80" s="16">
        <v>15</v>
      </c>
      <c r="U80" s="16">
        <v>14</v>
      </c>
      <c r="V80" s="16">
        <v>13</v>
      </c>
      <c r="W80" s="16">
        <v>12</v>
      </c>
      <c r="X80" s="16">
        <v>11</v>
      </c>
      <c r="Y80" s="16">
        <v>10</v>
      </c>
      <c r="Z80" s="16">
        <v>9</v>
      </c>
      <c r="AA80" s="16">
        <v>8</v>
      </c>
      <c r="AB80" s="16">
        <v>7</v>
      </c>
      <c r="AC80" s="16">
        <v>6</v>
      </c>
      <c r="AD80" s="16">
        <v>5</v>
      </c>
      <c r="AE80" s="16">
        <v>4</v>
      </c>
      <c r="AF80" s="16">
        <v>3</v>
      </c>
      <c r="AG80" s="16">
        <v>2</v>
      </c>
      <c r="AH80" s="16">
        <v>1</v>
      </c>
      <c r="AI80" s="189" t="s">
        <v>323</v>
      </c>
    </row>
    <row r="81" spans="1:35" x14ac:dyDescent="0.45">
      <c r="A81" s="25" t="s">
        <v>30</v>
      </c>
      <c r="B81" t="s">
        <v>319</v>
      </c>
      <c r="C81" t="s">
        <v>317</v>
      </c>
      <c r="D81" t="s">
        <v>322</v>
      </c>
      <c r="E81" t="s">
        <v>321</v>
      </c>
      <c r="F81" t="s">
        <v>320</v>
      </c>
      <c r="G81" t="s">
        <v>311</v>
      </c>
      <c r="H81" t="s">
        <v>316</v>
      </c>
      <c r="I81" t="s">
        <v>309</v>
      </c>
      <c r="J81" t="s">
        <v>307</v>
      </c>
      <c r="K81" t="s">
        <v>308</v>
      </c>
      <c r="L81" t="s">
        <v>310</v>
      </c>
      <c r="M81" t="s">
        <v>312</v>
      </c>
      <c r="N81" t="s">
        <v>313</v>
      </c>
      <c r="O81" t="s">
        <v>314</v>
      </c>
      <c r="P81" t="s">
        <v>315</v>
      </c>
      <c r="R81" s="188" t="s">
        <v>45</v>
      </c>
      <c r="S81" s="16">
        <f>(S$80*COUNTIF(A$81:A$90, ("*"&amp;$R81&amp;"*")))</f>
        <v>0</v>
      </c>
      <c r="T81" s="16">
        <f t="shared" ref="T81:AH96" si="39">(T$80*COUNTIF(B$81:B$90, ("*"&amp;$R81&amp;"*")))</f>
        <v>0</v>
      </c>
      <c r="U81" s="16">
        <f t="shared" si="39"/>
        <v>0</v>
      </c>
      <c r="V81" s="16">
        <f t="shared" si="39"/>
        <v>0</v>
      </c>
      <c r="W81" s="16">
        <f t="shared" si="39"/>
        <v>0</v>
      </c>
      <c r="X81" s="16">
        <f t="shared" si="39"/>
        <v>0</v>
      </c>
      <c r="Y81" s="16">
        <f t="shared" si="39"/>
        <v>0</v>
      </c>
      <c r="Z81" s="16">
        <f t="shared" si="39"/>
        <v>0</v>
      </c>
      <c r="AA81" s="16">
        <f t="shared" si="39"/>
        <v>8</v>
      </c>
      <c r="AB81" s="16">
        <f t="shared" si="39"/>
        <v>7</v>
      </c>
      <c r="AC81" s="16">
        <f t="shared" si="39"/>
        <v>6</v>
      </c>
      <c r="AD81" s="16">
        <f t="shared" si="39"/>
        <v>0</v>
      </c>
      <c r="AE81" s="16">
        <f t="shared" si="39"/>
        <v>4</v>
      </c>
      <c r="AF81" s="16">
        <f t="shared" si="39"/>
        <v>9</v>
      </c>
      <c r="AG81" s="16">
        <f t="shared" si="39"/>
        <v>4</v>
      </c>
      <c r="AH81" s="16">
        <f t="shared" si="39"/>
        <v>1</v>
      </c>
      <c r="AI81" s="16">
        <f>SUM(S81:AH81)</f>
        <v>39</v>
      </c>
    </row>
    <row r="82" spans="1:35" x14ac:dyDescent="0.45">
      <c r="A82" s="25" t="s">
        <v>30</v>
      </c>
      <c r="B82" t="s">
        <v>317</v>
      </c>
      <c r="C82" t="s">
        <v>319</v>
      </c>
      <c r="D82" t="s">
        <v>322</v>
      </c>
      <c r="E82" t="s">
        <v>321</v>
      </c>
      <c r="F82" t="s">
        <v>320</v>
      </c>
      <c r="G82" t="s">
        <v>307</v>
      </c>
      <c r="H82" t="s">
        <v>310</v>
      </c>
      <c r="I82" t="s">
        <v>316</v>
      </c>
      <c r="J82" t="s">
        <v>311</v>
      </c>
      <c r="K82" t="s">
        <v>309</v>
      </c>
      <c r="L82" t="s">
        <v>308</v>
      </c>
      <c r="M82" t="s">
        <v>314</v>
      </c>
      <c r="N82" t="s">
        <v>312</v>
      </c>
      <c r="O82" t="s">
        <v>315</v>
      </c>
      <c r="P82" t="s">
        <v>313</v>
      </c>
      <c r="R82" s="188" t="s">
        <v>49</v>
      </c>
      <c r="S82" s="16">
        <f t="shared" ref="S82:S97" si="40">(S$80*COUNTIF(A$81:A$90, ("*"&amp;$R82&amp;"*")))</f>
        <v>0</v>
      </c>
      <c r="T82" s="16">
        <f t="shared" si="39"/>
        <v>0</v>
      </c>
      <c r="U82" s="16">
        <f t="shared" si="39"/>
        <v>0</v>
      </c>
      <c r="V82" s="16">
        <f t="shared" si="39"/>
        <v>0</v>
      </c>
      <c r="W82" s="16">
        <f t="shared" si="39"/>
        <v>0</v>
      </c>
      <c r="X82" s="16">
        <f t="shared" si="39"/>
        <v>0</v>
      </c>
      <c r="Y82" s="16">
        <f t="shared" si="39"/>
        <v>10</v>
      </c>
      <c r="Z82" s="16">
        <f t="shared" si="39"/>
        <v>0</v>
      </c>
      <c r="AA82" s="16">
        <f t="shared" si="39"/>
        <v>8</v>
      </c>
      <c r="AB82" s="16">
        <f t="shared" si="39"/>
        <v>14</v>
      </c>
      <c r="AC82" s="16">
        <f t="shared" si="39"/>
        <v>0</v>
      </c>
      <c r="AD82" s="16">
        <f t="shared" si="39"/>
        <v>10</v>
      </c>
      <c r="AE82" s="16">
        <f t="shared" si="39"/>
        <v>4</v>
      </c>
      <c r="AF82" s="16">
        <f t="shared" si="39"/>
        <v>3</v>
      </c>
      <c r="AG82" s="16">
        <f t="shared" si="39"/>
        <v>2</v>
      </c>
      <c r="AH82" s="16">
        <f t="shared" si="39"/>
        <v>1</v>
      </c>
      <c r="AI82" s="16">
        <f t="shared" ref="AI82:AI97" si="41">SUM(S82:AH82)</f>
        <v>52</v>
      </c>
    </row>
    <row r="83" spans="1:35" x14ac:dyDescent="0.45">
      <c r="A83" s="25" t="s">
        <v>35</v>
      </c>
      <c r="B83" t="s">
        <v>318</v>
      </c>
      <c r="C83" t="s">
        <v>317</v>
      </c>
      <c r="D83" t="s">
        <v>322</v>
      </c>
      <c r="E83" t="s">
        <v>320</v>
      </c>
      <c r="F83" t="s">
        <v>316</v>
      </c>
      <c r="G83" t="s">
        <v>309</v>
      </c>
      <c r="H83" t="s">
        <v>308</v>
      </c>
      <c r="I83" t="s">
        <v>314</v>
      </c>
      <c r="J83" t="s">
        <v>311</v>
      </c>
      <c r="K83" t="s">
        <v>312</v>
      </c>
      <c r="L83" t="s">
        <v>307</v>
      </c>
      <c r="M83" t="s">
        <v>321</v>
      </c>
      <c r="N83" t="s">
        <v>310</v>
      </c>
      <c r="O83" t="s">
        <v>315</v>
      </c>
      <c r="P83" t="s">
        <v>313</v>
      </c>
      <c r="R83" s="188" t="s">
        <v>51</v>
      </c>
      <c r="S83" s="16">
        <f t="shared" si="40"/>
        <v>64</v>
      </c>
      <c r="T83" s="16">
        <f t="shared" si="39"/>
        <v>30</v>
      </c>
      <c r="U83" s="16">
        <f t="shared" si="39"/>
        <v>28</v>
      </c>
      <c r="V83" s="16">
        <f t="shared" si="39"/>
        <v>13</v>
      </c>
      <c r="W83" s="16">
        <f t="shared" si="39"/>
        <v>0</v>
      </c>
      <c r="X83" s="16">
        <f t="shared" si="39"/>
        <v>0</v>
      </c>
      <c r="Y83" s="16">
        <f t="shared" si="39"/>
        <v>0</v>
      </c>
      <c r="Z83" s="16">
        <f t="shared" si="39"/>
        <v>0</v>
      </c>
      <c r="AA83" s="16">
        <f t="shared" si="39"/>
        <v>0</v>
      </c>
      <c r="AB83" s="16">
        <f t="shared" si="39"/>
        <v>7</v>
      </c>
      <c r="AC83" s="16">
        <f t="shared" si="39"/>
        <v>0</v>
      </c>
      <c r="AD83" s="16">
        <f t="shared" si="39"/>
        <v>0</v>
      </c>
      <c r="AE83" s="16">
        <f t="shared" si="39"/>
        <v>0</v>
      </c>
      <c r="AF83" s="16">
        <f t="shared" si="39"/>
        <v>0</v>
      </c>
      <c r="AG83" s="16">
        <f t="shared" si="39"/>
        <v>0</v>
      </c>
      <c r="AH83" s="16">
        <f t="shared" si="39"/>
        <v>0</v>
      </c>
      <c r="AI83" s="16">
        <f t="shared" si="41"/>
        <v>142</v>
      </c>
    </row>
    <row r="84" spans="1:35" x14ac:dyDescent="0.45">
      <c r="A84" s="25" t="s">
        <v>30</v>
      </c>
      <c r="B84" t="s">
        <v>317</v>
      </c>
      <c r="C84" t="s">
        <v>319</v>
      </c>
      <c r="D84" t="s">
        <v>322</v>
      </c>
      <c r="E84" t="s">
        <v>321</v>
      </c>
      <c r="F84" t="s">
        <v>320</v>
      </c>
      <c r="G84" t="s">
        <v>309</v>
      </c>
      <c r="H84" t="s">
        <v>310</v>
      </c>
      <c r="I84" t="s">
        <v>308</v>
      </c>
      <c r="J84" t="s">
        <v>316</v>
      </c>
      <c r="K84" t="s">
        <v>307</v>
      </c>
      <c r="L84" t="s">
        <v>312</v>
      </c>
      <c r="M84" t="s">
        <v>313</v>
      </c>
      <c r="N84" t="s">
        <v>315</v>
      </c>
      <c r="O84" t="s">
        <v>311</v>
      </c>
      <c r="P84" t="s">
        <v>314</v>
      </c>
      <c r="R84" s="188" t="s">
        <v>54</v>
      </c>
      <c r="S84" s="16">
        <f t="shared" si="40"/>
        <v>64</v>
      </c>
      <c r="T84" s="16">
        <f t="shared" si="39"/>
        <v>45</v>
      </c>
      <c r="U84" s="16">
        <f t="shared" si="39"/>
        <v>42</v>
      </c>
      <c r="V84" s="16">
        <f t="shared" si="39"/>
        <v>0</v>
      </c>
      <c r="W84" s="16">
        <f t="shared" si="39"/>
        <v>0</v>
      </c>
      <c r="X84" s="16">
        <f t="shared" si="39"/>
        <v>0</v>
      </c>
      <c r="Y84" s="16">
        <f t="shared" si="39"/>
        <v>0</v>
      </c>
      <c r="Z84" s="16">
        <f t="shared" si="39"/>
        <v>0</v>
      </c>
      <c r="AA84" s="16">
        <f t="shared" si="39"/>
        <v>0</v>
      </c>
      <c r="AB84" s="16">
        <f t="shared" si="39"/>
        <v>0</v>
      </c>
      <c r="AC84" s="16">
        <f t="shared" si="39"/>
        <v>0</v>
      </c>
      <c r="AD84" s="16">
        <f t="shared" si="39"/>
        <v>0</v>
      </c>
      <c r="AE84" s="16">
        <f t="shared" si="39"/>
        <v>0</v>
      </c>
      <c r="AF84" s="16">
        <f t="shared" si="39"/>
        <v>0</v>
      </c>
      <c r="AG84" s="16">
        <f t="shared" si="39"/>
        <v>0</v>
      </c>
      <c r="AH84" s="16">
        <f t="shared" si="39"/>
        <v>0</v>
      </c>
      <c r="AI84" s="16">
        <f t="shared" si="41"/>
        <v>151</v>
      </c>
    </row>
    <row r="85" spans="1:35" x14ac:dyDescent="0.45">
      <c r="A85" s="25" t="s">
        <v>35</v>
      </c>
      <c r="B85" t="s">
        <v>322</v>
      </c>
      <c r="C85" t="s">
        <v>317</v>
      </c>
      <c r="D85" t="s">
        <v>318</v>
      </c>
      <c r="E85" t="s">
        <v>321</v>
      </c>
      <c r="F85" t="s">
        <v>320</v>
      </c>
      <c r="G85" t="s">
        <v>307</v>
      </c>
      <c r="H85" t="s">
        <v>309</v>
      </c>
      <c r="I85" t="s">
        <v>311</v>
      </c>
      <c r="J85" t="s">
        <v>308</v>
      </c>
      <c r="K85" t="s">
        <v>310</v>
      </c>
      <c r="L85" t="s">
        <v>316</v>
      </c>
      <c r="M85" t="s">
        <v>313</v>
      </c>
      <c r="N85" t="s">
        <v>314</v>
      </c>
      <c r="O85" t="s">
        <v>312</v>
      </c>
      <c r="P85" t="s">
        <v>315</v>
      </c>
      <c r="R85" s="188" t="s">
        <v>57</v>
      </c>
      <c r="S85" s="16">
        <f t="shared" si="40"/>
        <v>0</v>
      </c>
      <c r="T85" s="16">
        <f t="shared" si="39"/>
        <v>0</v>
      </c>
      <c r="U85" s="16">
        <f t="shared" si="39"/>
        <v>0</v>
      </c>
      <c r="V85" s="16">
        <f t="shared" si="39"/>
        <v>0</v>
      </c>
      <c r="W85" s="16">
        <f t="shared" si="39"/>
        <v>48</v>
      </c>
      <c r="X85" s="16">
        <f t="shared" si="39"/>
        <v>55</v>
      </c>
      <c r="Y85" s="16">
        <f t="shared" si="39"/>
        <v>10</v>
      </c>
      <c r="Z85" s="16">
        <f t="shared" si="39"/>
        <v>0</v>
      </c>
      <c r="AA85" s="16">
        <f t="shared" si="39"/>
        <v>0</v>
      </c>
      <c r="AB85" s="16">
        <f t="shared" si="39"/>
        <v>0</v>
      </c>
      <c r="AC85" s="16">
        <f t="shared" si="39"/>
        <v>0</v>
      </c>
      <c r="AD85" s="16">
        <f t="shared" si="39"/>
        <v>0</v>
      </c>
      <c r="AE85" s="16">
        <f t="shared" si="39"/>
        <v>0</v>
      </c>
      <c r="AF85" s="16">
        <f t="shared" si="39"/>
        <v>0</v>
      </c>
      <c r="AG85" s="16">
        <f t="shared" si="39"/>
        <v>0</v>
      </c>
      <c r="AH85" s="16">
        <f t="shared" si="39"/>
        <v>0</v>
      </c>
      <c r="AI85" s="16">
        <f t="shared" si="41"/>
        <v>113</v>
      </c>
    </row>
    <row r="86" spans="1:35" x14ac:dyDescent="0.45">
      <c r="A86" s="25" t="s">
        <v>35</v>
      </c>
      <c r="B86" t="s">
        <v>318</v>
      </c>
      <c r="C86" t="s">
        <v>310</v>
      </c>
      <c r="D86" t="s">
        <v>317</v>
      </c>
      <c r="E86" t="s">
        <v>321</v>
      </c>
      <c r="F86" t="s">
        <v>322</v>
      </c>
      <c r="G86" t="s">
        <v>320</v>
      </c>
      <c r="H86" t="s">
        <v>307</v>
      </c>
      <c r="I86" t="s">
        <v>308</v>
      </c>
      <c r="J86" t="s">
        <v>316</v>
      </c>
      <c r="K86" t="s">
        <v>314</v>
      </c>
      <c r="L86" t="s">
        <v>311</v>
      </c>
      <c r="M86" t="s">
        <v>309</v>
      </c>
      <c r="N86" t="s">
        <v>313</v>
      </c>
      <c r="O86" t="s">
        <v>312</v>
      </c>
      <c r="P86" t="s">
        <v>315</v>
      </c>
      <c r="R86" s="188" t="s">
        <v>60</v>
      </c>
      <c r="S86" s="16">
        <f t="shared" si="40"/>
        <v>0</v>
      </c>
      <c r="T86" s="16">
        <f t="shared" si="39"/>
        <v>0</v>
      </c>
      <c r="U86" s="16">
        <f t="shared" si="39"/>
        <v>0</v>
      </c>
      <c r="V86" s="16">
        <f t="shared" si="39"/>
        <v>0</v>
      </c>
      <c r="W86" s="16">
        <f t="shared" si="39"/>
        <v>0</v>
      </c>
      <c r="X86" s="16">
        <f t="shared" si="39"/>
        <v>11</v>
      </c>
      <c r="Y86" s="16">
        <f t="shared" si="39"/>
        <v>20</v>
      </c>
      <c r="Z86" s="16">
        <f t="shared" si="39"/>
        <v>9</v>
      </c>
      <c r="AA86" s="16">
        <f t="shared" si="39"/>
        <v>24</v>
      </c>
      <c r="AB86" s="16">
        <f t="shared" si="39"/>
        <v>0</v>
      </c>
      <c r="AC86" s="16">
        <f t="shared" si="39"/>
        <v>6</v>
      </c>
      <c r="AD86" s="16">
        <f t="shared" si="39"/>
        <v>5</v>
      </c>
      <c r="AE86" s="16">
        <f t="shared" si="39"/>
        <v>4</v>
      </c>
      <c r="AF86" s="16">
        <f t="shared" si="39"/>
        <v>0</v>
      </c>
      <c r="AG86" s="16">
        <f t="shared" si="39"/>
        <v>0</v>
      </c>
      <c r="AH86" s="16">
        <f t="shared" si="39"/>
        <v>0</v>
      </c>
      <c r="AI86" s="16">
        <f t="shared" si="41"/>
        <v>79</v>
      </c>
    </row>
    <row r="87" spans="1:35" x14ac:dyDescent="0.45">
      <c r="A87" s="25" t="s">
        <v>61</v>
      </c>
      <c r="B87" t="s">
        <v>322</v>
      </c>
      <c r="C87" t="s">
        <v>319</v>
      </c>
      <c r="D87" t="s">
        <v>310</v>
      </c>
      <c r="E87" t="s">
        <v>320</v>
      </c>
      <c r="F87" t="s">
        <v>321</v>
      </c>
      <c r="G87" t="s">
        <v>308</v>
      </c>
      <c r="H87" t="s">
        <v>312</v>
      </c>
      <c r="I87" t="s">
        <v>316</v>
      </c>
      <c r="J87" t="s">
        <v>318</v>
      </c>
      <c r="K87" t="s">
        <v>307</v>
      </c>
      <c r="L87" t="s">
        <v>309</v>
      </c>
      <c r="M87" t="s">
        <v>311</v>
      </c>
      <c r="N87" t="s">
        <v>314</v>
      </c>
      <c r="O87" t="s">
        <v>315</v>
      </c>
      <c r="P87" t="s">
        <v>313</v>
      </c>
      <c r="R87" s="188" t="s">
        <v>93</v>
      </c>
      <c r="S87" s="16">
        <f t="shared" si="40"/>
        <v>0</v>
      </c>
      <c r="T87" s="16">
        <f t="shared" si="39"/>
        <v>0</v>
      </c>
      <c r="U87" s="16">
        <f t="shared" si="39"/>
        <v>0</v>
      </c>
      <c r="V87" s="16">
        <f t="shared" si="39"/>
        <v>0</v>
      </c>
      <c r="W87" s="16">
        <f t="shared" si="39"/>
        <v>0</v>
      </c>
      <c r="X87" s="16">
        <f t="shared" si="39"/>
        <v>0</v>
      </c>
      <c r="Y87" s="16">
        <f t="shared" si="39"/>
        <v>0</v>
      </c>
      <c r="Z87" s="16">
        <f t="shared" si="39"/>
        <v>0</v>
      </c>
      <c r="AA87" s="16">
        <f t="shared" si="39"/>
        <v>0</v>
      </c>
      <c r="AB87" s="16">
        <f t="shared" si="39"/>
        <v>0</v>
      </c>
      <c r="AC87" s="16">
        <f t="shared" si="39"/>
        <v>0</v>
      </c>
      <c r="AD87" s="16">
        <f t="shared" si="39"/>
        <v>0</v>
      </c>
      <c r="AE87" s="16">
        <f t="shared" si="39"/>
        <v>0</v>
      </c>
      <c r="AF87" s="16">
        <f t="shared" si="39"/>
        <v>0</v>
      </c>
      <c r="AG87" s="16">
        <f t="shared" si="39"/>
        <v>0</v>
      </c>
      <c r="AH87" s="16">
        <f t="shared" si="39"/>
        <v>0</v>
      </c>
      <c r="AI87" s="16">
        <f t="shared" si="41"/>
        <v>0</v>
      </c>
    </row>
    <row r="88" spans="1:35" x14ac:dyDescent="0.45">
      <c r="A88" s="25" t="s">
        <v>61</v>
      </c>
      <c r="B88" t="s">
        <v>319</v>
      </c>
      <c r="C88" t="s">
        <v>318</v>
      </c>
      <c r="D88" t="s">
        <v>322</v>
      </c>
      <c r="E88" t="s">
        <v>320</v>
      </c>
      <c r="F88" t="s">
        <v>308</v>
      </c>
      <c r="G88" t="s">
        <v>310</v>
      </c>
      <c r="H88" t="s">
        <v>321</v>
      </c>
      <c r="I88" t="s">
        <v>309</v>
      </c>
      <c r="J88" t="s">
        <v>314</v>
      </c>
      <c r="K88" t="s">
        <v>316</v>
      </c>
      <c r="L88" t="s">
        <v>313</v>
      </c>
      <c r="M88" t="s">
        <v>307</v>
      </c>
      <c r="N88" t="s">
        <v>311</v>
      </c>
      <c r="O88" t="s">
        <v>312</v>
      </c>
      <c r="P88" t="s">
        <v>315</v>
      </c>
      <c r="R88" s="188" t="s">
        <v>63</v>
      </c>
      <c r="S88" s="16">
        <f t="shared" si="40"/>
        <v>0</v>
      </c>
      <c r="T88" s="16">
        <f t="shared" si="39"/>
        <v>0</v>
      </c>
      <c r="U88" s="16">
        <f t="shared" si="39"/>
        <v>0</v>
      </c>
      <c r="V88" s="16">
        <f t="shared" si="39"/>
        <v>0</v>
      </c>
      <c r="W88" s="16">
        <f t="shared" si="39"/>
        <v>0</v>
      </c>
      <c r="X88" s="16">
        <f t="shared" si="39"/>
        <v>0</v>
      </c>
      <c r="Y88" s="16">
        <f t="shared" si="39"/>
        <v>20</v>
      </c>
      <c r="Z88" s="16">
        <f t="shared" si="39"/>
        <v>27</v>
      </c>
      <c r="AA88" s="16">
        <f t="shared" si="39"/>
        <v>0</v>
      </c>
      <c r="AB88" s="16">
        <f t="shared" si="39"/>
        <v>7</v>
      </c>
      <c r="AC88" s="16">
        <f t="shared" si="39"/>
        <v>12</v>
      </c>
      <c r="AD88" s="16">
        <f t="shared" si="39"/>
        <v>5</v>
      </c>
      <c r="AE88" s="16">
        <f t="shared" si="39"/>
        <v>4</v>
      </c>
      <c r="AF88" s="16">
        <f t="shared" si="39"/>
        <v>0</v>
      </c>
      <c r="AG88" s="16">
        <f t="shared" si="39"/>
        <v>0</v>
      </c>
      <c r="AH88" s="16">
        <f t="shared" si="39"/>
        <v>0</v>
      </c>
      <c r="AI88" s="16">
        <f t="shared" si="41"/>
        <v>75</v>
      </c>
    </row>
    <row r="89" spans="1:35" x14ac:dyDescent="0.45">
      <c r="A89" s="25" t="s">
        <v>30</v>
      </c>
      <c r="B89" t="s">
        <v>319</v>
      </c>
      <c r="C89" t="s">
        <v>317</v>
      </c>
      <c r="D89" t="s">
        <v>322</v>
      </c>
      <c r="E89" t="s">
        <v>321</v>
      </c>
      <c r="F89" t="s">
        <v>320</v>
      </c>
      <c r="G89" t="s">
        <v>308</v>
      </c>
      <c r="H89" t="s">
        <v>307</v>
      </c>
      <c r="I89" t="s">
        <v>309</v>
      </c>
      <c r="J89" t="s">
        <v>316</v>
      </c>
      <c r="K89" t="s">
        <v>310</v>
      </c>
      <c r="L89" t="s">
        <v>311</v>
      </c>
      <c r="M89" t="s">
        <v>312</v>
      </c>
      <c r="N89" t="s">
        <v>313</v>
      </c>
      <c r="O89" t="s">
        <v>314</v>
      </c>
      <c r="P89" t="s">
        <v>315</v>
      </c>
      <c r="R89" s="188" t="s">
        <v>66</v>
      </c>
      <c r="S89" s="16">
        <f t="shared" si="40"/>
        <v>0</v>
      </c>
      <c r="T89" s="16">
        <f t="shared" si="39"/>
        <v>0</v>
      </c>
      <c r="U89" s="16">
        <f t="shared" si="39"/>
        <v>0</v>
      </c>
      <c r="V89" s="16">
        <f t="shared" si="39"/>
        <v>0</v>
      </c>
      <c r="W89" s="16">
        <f t="shared" si="39"/>
        <v>0</v>
      </c>
      <c r="X89" s="16">
        <f t="shared" si="39"/>
        <v>0</v>
      </c>
      <c r="Y89" s="16">
        <f t="shared" si="39"/>
        <v>0</v>
      </c>
      <c r="Z89" s="16">
        <f t="shared" si="39"/>
        <v>0</v>
      </c>
      <c r="AA89" s="16">
        <f t="shared" si="39"/>
        <v>0</v>
      </c>
      <c r="AB89" s="16">
        <f t="shared" si="39"/>
        <v>0</v>
      </c>
      <c r="AC89" s="16">
        <f t="shared" si="39"/>
        <v>0</v>
      </c>
      <c r="AD89" s="16">
        <f t="shared" si="39"/>
        <v>0</v>
      </c>
      <c r="AE89" s="16">
        <f t="shared" si="39"/>
        <v>0</v>
      </c>
      <c r="AF89" s="16">
        <f t="shared" si="39"/>
        <v>0</v>
      </c>
      <c r="AG89" s="16">
        <f t="shared" si="39"/>
        <v>0</v>
      </c>
      <c r="AH89" s="16">
        <f t="shared" si="39"/>
        <v>0</v>
      </c>
      <c r="AI89" s="16">
        <f t="shared" si="41"/>
        <v>0</v>
      </c>
    </row>
    <row r="90" spans="1:35" x14ac:dyDescent="0.45">
      <c r="A90" s="25" t="s">
        <v>35</v>
      </c>
      <c r="B90" t="s">
        <v>317</v>
      </c>
      <c r="C90" t="s">
        <v>318</v>
      </c>
      <c r="D90" t="s">
        <v>322</v>
      </c>
      <c r="E90" t="s">
        <v>320</v>
      </c>
      <c r="F90" t="s">
        <v>309</v>
      </c>
      <c r="G90" t="s">
        <v>312</v>
      </c>
      <c r="H90" t="s">
        <v>307</v>
      </c>
      <c r="I90" t="s">
        <v>321</v>
      </c>
      <c r="J90" t="s">
        <v>310</v>
      </c>
      <c r="K90" t="s">
        <v>308</v>
      </c>
      <c r="L90" t="s">
        <v>316</v>
      </c>
      <c r="M90" t="s">
        <v>315</v>
      </c>
      <c r="N90" t="s">
        <v>314</v>
      </c>
      <c r="O90" t="s">
        <v>313</v>
      </c>
      <c r="P90" t="s">
        <v>311</v>
      </c>
      <c r="R90" s="188" t="s">
        <v>68</v>
      </c>
      <c r="S90" s="16">
        <f t="shared" si="40"/>
        <v>0</v>
      </c>
      <c r="T90" s="16">
        <f t="shared" si="39"/>
        <v>0</v>
      </c>
      <c r="U90" s="16">
        <f t="shared" si="39"/>
        <v>0</v>
      </c>
      <c r="V90" s="16">
        <f t="shared" si="39"/>
        <v>0</v>
      </c>
      <c r="W90" s="16">
        <f t="shared" si="39"/>
        <v>0</v>
      </c>
      <c r="X90" s="16">
        <f t="shared" si="39"/>
        <v>0</v>
      </c>
      <c r="Y90" s="16">
        <f t="shared" si="39"/>
        <v>0</v>
      </c>
      <c r="Z90" s="16">
        <f t="shared" si="39"/>
        <v>0</v>
      </c>
      <c r="AA90" s="16">
        <f t="shared" si="39"/>
        <v>0</v>
      </c>
      <c r="AB90" s="16">
        <f t="shared" si="39"/>
        <v>0</v>
      </c>
      <c r="AC90" s="16">
        <f t="shared" si="39"/>
        <v>0</v>
      </c>
      <c r="AD90" s="16">
        <f t="shared" si="39"/>
        <v>0</v>
      </c>
      <c r="AE90" s="16">
        <f t="shared" si="39"/>
        <v>0</v>
      </c>
      <c r="AF90" s="16">
        <f t="shared" si="39"/>
        <v>0</v>
      </c>
      <c r="AG90" s="16">
        <f t="shared" si="39"/>
        <v>0</v>
      </c>
      <c r="AH90" s="16">
        <f t="shared" si="39"/>
        <v>0</v>
      </c>
      <c r="AI90" s="16">
        <f t="shared" si="41"/>
        <v>0</v>
      </c>
    </row>
    <row r="91" spans="1:35" x14ac:dyDescent="0.45">
      <c r="A91" s="25" t="s">
        <v>30</v>
      </c>
      <c r="B91" t="s">
        <v>319</v>
      </c>
      <c r="C91" t="s">
        <v>317</v>
      </c>
      <c r="D91" t="s">
        <v>322</v>
      </c>
      <c r="E91" t="s">
        <v>308</v>
      </c>
      <c r="F91" t="s">
        <v>310</v>
      </c>
      <c r="G91" t="s">
        <v>321</v>
      </c>
      <c r="H91" t="s">
        <v>320</v>
      </c>
      <c r="I91" t="s">
        <v>316</v>
      </c>
      <c r="J91" t="s">
        <v>311</v>
      </c>
      <c r="K91" t="s">
        <v>309</v>
      </c>
      <c r="L91" t="s">
        <v>307</v>
      </c>
      <c r="M91" t="s">
        <v>312</v>
      </c>
      <c r="N91" t="s">
        <v>314</v>
      </c>
      <c r="O91" t="s">
        <v>313</v>
      </c>
      <c r="P91" t="s">
        <v>315</v>
      </c>
      <c r="R91" s="188" t="s">
        <v>69</v>
      </c>
      <c r="S91" s="16">
        <f t="shared" si="40"/>
        <v>0</v>
      </c>
      <c r="T91" s="16">
        <f t="shared" si="39"/>
        <v>0</v>
      </c>
      <c r="U91" s="16">
        <f t="shared" si="39"/>
        <v>14</v>
      </c>
      <c r="V91" s="16">
        <f t="shared" si="39"/>
        <v>13</v>
      </c>
      <c r="W91" s="16">
        <f t="shared" si="39"/>
        <v>0</v>
      </c>
      <c r="X91" s="16">
        <f t="shared" si="39"/>
        <v>0</v>
      </c>
      <c r="Y91" s="16">
        <f t="shared" si="39"/>
        <v>10</v>
      </c>
      <c r="Z91" s="16">
        <f t="shared" si="39"/>
        <v>18</v>
      </c>
      <c r="AA91" s="16">
        <f t="shared" si="39"/>
        <v>0</v>
      </c>
      <c r="AB91" s="16">
        <f t="shared" si="39"/>
        <v>7</v>
      </c>
      <c r="AC91" s="16">
        <f t="shared" si="39"/>
        <v>12</v>
      </c>
      <c r="AD91" s="16">
        <f t="shared" si="39"/>
        <v>5</v>
      </c>
      <c r="AE91" s="16">
        <f t="shared" si="39"/>
        <v>0</v>
      </c>
      <c r="AF91" s="16">
        <f t="shared" si="39"/>
        <v>3</v>
      </c>
      <c r="AG91" s="16">
        <f t="shared" si="39"/>
        <v>0</v>
      </c>
      <c r="AH91" s="16">
        <f t="shared" si="39"/>
        <v>0</v>
      </c>
      <c r="AI91" s="16">
        <f t="shared" si="41"/>
        <v>82</v>
      </c>
    </row>
    <row r="92" spans="1:35" x14ac:dyDescent="0.45">
      <c r="A92" s="25" t="s">
        <v>61</v>
      </c>
      <c r="B92" t="s">
        <v>318</v>
      </c>
      <c r="C92" t="s">
        <v>322</v>
      </c>
      <c r="D92" t="s">
        <v>321</v>
      </c>
      <c r="E92" t="s">
        <v>310</v>
      </c>
      <c r="F92" t="s">
        <v>319</v>
      </c>
      <c r="G92" t="s">
        <v>316</v>
      </c>
      <c r="H92" t="s">
        <v>308</v>
      </c>
      <c r="I92" t="s">
        <v>309</v>
      </c>
      <c r="J92" t="s">
        <v>312</v>
      </c>
      <c r="K92" t="s">
        <v>314</v>
      </c>
      <c r="L92" t="s">
        <v>311</v>
      </c>
      <c r="M92" t="s">
        <v>315</v>
      </c>
      <c r="N92" t="s">
        <v>320</v>
      </c>
      <c r="O92" t="s">
        <v>313</v>
      </c>
      <c r="P92" t="s">
        <v>307</v>
      </c>
      <c r="R92" s="188" t="s">
        <v>200</v>
      </c>
      <c r="S92" s="16">
        <f t="shared" si="40"/>
        <v>0</v>
      </c>
      <c r="T92" s="16">
        <f t="shared" si="39"/>
        <v>0</v>
      </c>
      <c r="U92" s="16">
        <f t="shared" si="39"/>
        <v>0</v>
      </c>
      <c r="V92" s="16">
        <f t="shared" si="39"/>
        <v>0</v>
      </c>
      <c r="W92" s="16">
        <f t="shared" si="39"/>
        <v>0</v>
      </c>
      <c r="X92" s="16">
        <f t="shared" si="39"/>
        <v>0</v>
      </c>
      <c r="Y92" s="16">
        <f t="shared" si="39"/>
        <v>0</v>
      </c>
      <c r="Z92" s="16">
        <f t="shared" si="39"/>
        <v>0</v>
      </c>
      <c r="AA92" s="16">
        <f t="shared" si="39"/>
        <v>0</v>
      </c>
      <c r="AB92" s="16">
        <f t="shared" si="39"/>
        <v>0</v>
      </c>
      <c r="AC92" s="16">
        <f t="shared" si="39"/>
        <v>0</v>
      </c>
      <c r="AD92" s="16">
        <f t="shared" si="39"/>
        <v>0</v>
      </c>
      <c r="AE92" s="16">
        <f t="shared" si="39"/>
        <v>0</v>
      </c>
      <c r="AF92" s="16">
        <f t="shared" si="39"/>
        <v>0</v>
      </c>
      <c r="AG92" s="16">
        <f t="shared" si="39"/>
        <v>0</v>
      </c>
      <c r="AH92" s="16">
        <f t="shared" si="39"/>
        <v>0</v>
      </c>
      <c r="AI92" s="16">
        <f t="shared" si="41"/>
        <v>0</v>
      </c>
    </row>
    <row r="93" spans="1:35" x14ac:dyDescent="0.45">
      <c r="A93" s="25" t="s">
        <v>30</v>
      </c>
      <c r="B93" t="s">
        <v>317</v>
      </c>
      <c r="C93" t="s">
        <v>319</v>
      </c>
      <c r="D93" t="s">
        <v>322</v>
      </c>
      <c r="E93" t="s">
        <v>321</v>
      </c>
      <c r="F93" t="s">
        <v>320</v>
      </c>
      <c r="G93" t="s">
        <v>309</v>
      </c>
      <c r="H93" t="s">
        <v>308</v>
      </c>
      <c r="I93" t="s">
        <v>316</v>
      </c>
      <c r="J93" t="s">
        <v>311</v>
      </c>
      <c r="K93" t="s">
        <v>312</v>
      </c>
      <c r="L93" t="s">
        <v>307</v>
      </c>
      <c r="M93" t="s">
        <v>310</v>
      </c>
      <c r="N93" t="s">
        <v>315</v>
      </c>
      <c r="O93" t="s">
        <v>313</v>
      </c>
      <c r="P93" t="s">
        <v>314</v>
      </c>
      <c r="R93" s="188" t="s">
        <v>128</v>
      </c>
      <c r="S93" s="16">
        <f t="shared" si="40"/>
        <v>0</v>
      </c>
      <c r="T93" s="16">
        <f t="shared" si="39"/>
        <v>0</v>
      </c>
      <c r="U93" s="16">
        <f t="shared" si="39"/>
        <v>0</v>
      </c>
      <c r="V93" s="16">
        <f t="shared" si="39"/>
        <v>0</v>
      </c>
      <c r="W93" s="16">
        <f t="shared" si="39"/>
        <v>0</v>
      </c>
      <c r="X93" s="16">
        <f t="shared" si="39"/>
        <v>11</v>
      </c>
      <c r="Y93" s="16">
        <f t="shared" si="39"/>
        <v>20</v>
      </c>
      <c r="Z93" s="16">
        <f t="shared" si="39"/>
        <v>9</v>
      </c>
      <c r="AA93" s="16">
        <f t="shared" si="39"/>
        <v>16</v>
      </c>
      <c r="AB93" s="16">
        <f t="shared" si="39"/>
        <v>7</v>
      </c>
      <c r="AC93" s="16">
        <f t="shared" si="39"/>
        <v>12</v>
      </c>
      <c r="AD93" s="16">
        <f t="shared" si="39"/>
        <v>5</v>
      </c>
      <c r="AE93" s="16">
        <f t="shared" si="39"/>
        <v>0</v>
      </c>
      <c r="AF93" s="16">
        <f t="shared" si="39"/>
        <v>0</v>
      </c>
      <c r="AG93" s="16">
        <f t="shared" si="39"/>
        <v>0</v>
      </c>
      <c r="AH93" s="16">
        <f t="shared" si="39"/>
        <v>0</v>
      </c>
      <c r="AI93" s="16">
        <f t="shared" si="41"/>
        <v>80</v>
      </c>
    </row>
    <row r="94" spans="1:35" x14ac:dyDescent="0.45">
      <c r="A94" s="25" t="s">
        <v>202</v>
      </c>
      <c r="B94" t="s">
        <v>314</v>
      </c>
      <c r="C94" t="s">
        <v>311</v>
      </c>
      <c r="D94" t="s">
        <v>318</v>
      </c>
      <c r="E94" t="s">
        <v>319</v>
      </c>
      <c r="F94" t="s">
        <v>320</v>
      </c>
      <c r="G94" t="s">
        <v>309</v>
      </c>
      <c r="H94" t="s">
        <v>312</v>
      </c>
      <c r="I94" t="s">
        <v>307</v>
      </c>
      <c r="J94" t="s">
        <v>321</v>
      </c>
      <c r="K94" t="s">
        <v>322</v>
      </c>
      <c r="L94" t="s">
        <v>310</v>
      </c>
      <c r="M94" t="s">
        <v>308</v>
      </c>
      <c r="N94" t="s">
        <v>316</v>
      </c>
      <c r="O94" t="s">
        <v>317</v>
      </c>
      <c r="P94" t="s">
        <v>313</v>
      </c>
      <c r="R94" s="188" t="s">
        <v>127</v>
      </c>
      <c r="S94" s="16">
        <f t="shared" si="40"/>
        <v>0</v>
      </c>
      <c r="T94" s="16">
        <f t="shared" si="39"/>
        <v>0</v>
      </c>
      <c r="U94" s="16">
        <f t="shared" si="39"/>
        <v>0</v>
      </c>
      <c r="V94" s="16">
        <f t="shared" si="39"/>
        <v>0</v>
      </c>
      <c r="W94" s="16">
        <f t="shared" si="39"/>
        <v>0</v>
      </c>
      <c r="X94" s="16">
        <f t="shared" si="39"/>
        <v>11</v>
      </c>
      <c r="Y94" s="16">
        <f t="shared" si="39"/>
        <v>0</v>
      </c>
      <c r="Z94" s="16">
        <f t="shared" si="39"/>
        <v>9</v>
      </c>
      <c r="AA94" s="16">
        <f t="shared" si="39"/>
        <v>16</v>
      </c>
      <c r="AB94" s="16">
        <f t="shared" si="39"/>
        <v>21</v>
      </c>
      <c r="AC94" s="16">
        <f t="shared" si="39"/>
        <v>6</v>
      </c>
      <c r="AD94" s="16">
        <f t="shared" si="39"/>
        <v>10</v>
      </c>
      <c r="AE94" s="16">
        <f t="shared" si="39"/>
        <v>0</v>
      </c>
      <c r="AF94" s="16">
        <f t="shared" si="39"/>
        <v>0</v>
      </c>
      <c r="AG94" s="16">
        <f t="shared" si="39"/>
        <v>0</v>
      </c>
      <c r="AH94" s="16">
        <f t="shared" si="39"/>
        <v>0</v>
      </c>
      <c r="AI94" s="16">
        <f t="shared" si="41"/>
        <v>73</v>
      </c>
    </row>
    <row r="95" spans="1:35" x14ac:dyDescent="0.45">
      <c r="A95" s="25" t="s">
        <v>61</v>
      </c>
      <c r="B95" t="s">
        <v>318</v>
      </c>
      <c r="C95" t="s">
        <v>322</v>
      </c>
      <c r="D95" t="s">
        <v>321</v>
      </c>
      <c r="E95" t="s">
        <v>319</v>
      </c>
      <c r="F95" t="s">
        <v>320</v>
      </c>
      <c r="G95" t="s">
        <v>316</v>
      </c>
      <c r="H95" t="s">
        <v>311</v>
      </c>
      <c r="I95" t="s">
        <v>309</v>
      </c>
      <c r="J95" t="s">
        <v>310</v>
      </c>
      <c r="K95" t="s">
        <v>308</v>
      </c>
      <c r="L95" t="s">
        <v>313</v>
      </c>
      <c r="M95" t="s">
        <v>312</v>
      </c>
      <c r="N95" t="s">
        <v>314</v>
      </c>
      <c r="O95" t="s">
        <v>315</v>
      </c>
      <c r="P95" t="s">
        <v>307</v>
      </c>
      <c r="R95" s="188" t="s">
        <v>73</v>
      </c>
      <c r="S95" s="16">
        <f t="shared" si="40"/>
        <v>32</v>
      </c>
      <c r="T95" s="16">
        <f t="shared" si="39"/>
        <v>45</v>
      </c>
      <c r="U95" s="16">
        <f t="shared" si="39"/>
        <v>56</v>
      </c>
      <c r="V95" s="16">
        <f t="shared" si="39"/>
        <v>13</v>
      </c>
      <c r="W95" s="16">
        <f t="shared" si="39"/>
        <v>0</v>
      </c>
      <c r="X95" s="16">
        <f t="shared" si="39"/>
        <v>0</v>
      </c>
      <c r="Y95" s="16">
        <f t="shared" si="39"/>
        <v>0</v>
      </c>
      <c r="Z95" s="16">
        <f t="shared" si="39"/>
        <v>0</v>
      </c>
      <c r="AA95" s="16">
        <f t="shared" si="39"/>
        <v>0</v>
      </c>
      <c r="AB95" s="16">
        <f t="shared" si="39"/>
        <v>0</v>
      </c>
      <c r="AC95" s="16">
        <f t="shared" si="39"/>
        <v>0</v>
      </c>
      <c r="AD95" s="16">
        <f t="shared" si="39"/>
        <v>0</v>
      </c>
      <c r="AE95" s="16">
        <f t="shared" si="39"/>
        <v>0</v>
      </c>
      <c r="AF95" s="16">
        <f t="shared" si="39"/>
        <v>0</v>
      </c>
      <c r="AG95" s="16">
        <f t="shared" si="39"/>
        <v>0</v>
      </c>
      <c r="AH95" s="16">
        <f t="shared" si="39"/>
        <v>0</v>
      </c>
      <c r="AI95" s="16">
        <f t="shared" si="41"/>
        <v>146</v>
      </c>
    </row>
    <row r="96" spans="1:35" x14ac:dyDescent="0.45">
      <c r="R96" s="188" t="s">
        <v>324</v>
      </c>
      <c r="S96" s="16">
        <f t="shared" si="40"/>
        <v>0</v>
      </c>
      <c r="T96" s="16">
        <f t="shared" si="39"/>
        <v>0</v>
      </c>
      <c r="U96" s="16">
        <f t="shared" si="39"/>
        <v>0</v>
      </c>
      <c r="V96" s="16">
        <f t="shared" si="39"/>
        <v>0</v>
      </c>
      <c r="W96" s="16">
        <f t="shared" si="39"/>
        <v>0</v>
      </c>
      <c r="X96" s="16">
        <f t="shared" si="39"/>
        <v>0</v>
      </c>
      <c r="Y96" s="16">
        <f t="shared" si="39"/>
        <v>0</v>
      </c>
      <c r="Z96" s="16">
        <f t="shared" si="39"/>
        <v>0</v>
      </c>
      <c r="AA96" s="16">
        <f t="shared" si="39"/>
        <v>0</v>
      </c>
      <c r="AB96" s="16">
        <f t="shared" si="39"/>
        <v>0</v>
      </c>
      <c r="AC96" s="16">
        <f t="shared" si="39"/>
        <v>0</v>
      </c>
      <c r="AD96" s="16">
        <f t="shared" si="39"/>
        <v>0</v>
      </c>
      <c r="AE96" s="16">
        <f t="shared" si="39"/>
        <v>4</v>
      </c>
      <c r="AF96" s="16">
        <f t="shared" si="39"/>
        <v>3</v>
      </c>
      <c r="AG96" s="16">
        <f t="shared" si="39"/>
        <v>6</v>
      </c>
      <c r="AH96" s="16">
        <f t="shared" si="39"/>
        <v>5</v>
      </c>
      <c r="AI96" s="16">
        <f t="shared" si="41"/>
        <v>18</v>
      </c>
    </row>
    <row r="97" spans="1:35" x14ac:dyDescent="0.45">
      <c r="R97" s="188" t="s">
        <v>75</v>
      </c>
      <c r="S97" s="16">
        <f t="shared" si="40"/>
        <v>0</v>
      </c>
      <c r="T97" s="16">
        <f t="shared" ref="T97" si="42">(T$80*COUNTIF(B$81:B$90, ("*"&amp;$R97&amp;"*")))</f>
        <v>0</v>
      </c>
      <c r="U97" s="16">
        <f t="shared" ref="U97" si="43">(U$80*COUNTIF(C$81:C$90, ("*"&amp;$R97&amp;"*")))</f>
        <v>0</v>
      </c>
      <c r="V97" s="16">
        <f t="shared" ref="V97" si="44">(V$80*COUNTIF(D$81:D$90, ("*"&amp;$R97&amp;"*")))</f>
        <v>0</v>
      </c>
      <c r="W97" s="16">
        <f t="shared" ref="W97" si="45">(W$80*COUNTIF(E$81:E$90, ("*"&amp;$R97&amp;"*")))</f>
        <v>0</v>
      </c>
      <c r="X97" s="16">
        <f t="shared" ref="X97" si="46">(X$80*COUNTIF(F$81:F$90, ("*"&amp;$R97&amp;"*")))</f>
        <v>0</v>
      </c>
      <c r="Y97" s="16">
        <f t="shared" ref="Y97" si="47">(Y$80*COUNTIF(G$81:G$90, ("*"&amp;$R97&amp;"*")))</f>
        <v>0</v>
      </c>
      <c r="Z97" s="16">
        <f t="shared" ref="Z97" si="48">(Z$80*COUNTIF(H$81:H$90, ("*"&amp;$R97&amp;"*")))</f>
        <v>0</v>
      </c>
      <c r="AA97" s="16">
        <f t="shared" ref="AA97" si="49">(AA$80*COUNTIF(I$81:I$90, ("*"&amp;$R97&amp;"*")))</f>
        <v>0</v>
      </c>
      <c r="AB97" s="16">
        <f t="shared" ref="AB97" si="50">(AB$80*COUNTIF(J$81:J$90, ("*"&amp;$R97&amp;"*")))</f>
        <v>0</v>
      </c>
      <c r="AC97" s="16">
        <f t="shared" ref="AC97" si="51">(AC$80*COUNTIF(K$81:K$90, ("*"&amp;$R97&amp;"*")))</f>
        <v>0</v>
      </c>
      <c r="AD97" s="16">
        <f t="shared" ref="AD97" si="52">(AD$80*COUNTIF(L$81:L$90, ("*"&amp;$R97&amp;"*")))</f>
        <v>5</v>
      </c>
      <c r="AE97" s="16">
        <f t="shared" ref="AE97" si="53">(AE$80*COUNTIF(M$81:M$90, ("*"&amp;$R97&amp;"*")))</f>
        <v>8</v>
      </c>
      <c r="AF97" s="16">
        <f t="shared" ref="AF97" si="54">(AF$80*COUNTIF(N$81:N$90, ("*"&amp;$R97&amp;"*")))</f>
        <v>9</v>
      </c>
      <c r="AG97" s="16">
        <f t="shared" ref="AG97" si="55">(AG$80*COUNTIF(O$81:O$90, ("*"&amp;$R97&amp;"*")))</f>
        <v>2</v>
      </c>
      <c r="AH97" s="16">
        <f t="shared" ref="AH97" si="56">(AH$80*COUNTIF(P$81:P$90, ("*"&amp;$R97&amp;"*")))</f>
        <v>3</v>
      </c>
      <c r="AI97" s="16">
        <f t="shared" si="41"/>
        <v>27</v>
      </c>
    </row>
    <row r="100" spans="1:35" x14ac:dyDescent="0.45">
      <c r="A100" s="25" t="s">
        <v>301</v>
      </c>
      <c r="R100" s="16"/>
      <c r="S100" s="16">
        <v>1</v>
      </c>
      <c r="T100" s="16">
        <v>1</v>
      </c>
      <c r="U100" s="16">
        <v>1</v>
      </c>
      <c r="V100" s="189" t="s">
        <v>323</v>
      </c>
    </row>
    <row r="101" spans="1:35" x14ac:dyDescent="0.45">
      <c r="A101" s="25" t="s">
        <v>202</v>
      </c>
      <c r="B101" t="s">
        <v>312</v>
      </c>
      <c r="C101" t="s">
        <v>314</v>
      </c>
      <c r="R101" s="188" t="s">
        <v>45</v>
      </c>
      <c r="S101" s="16">
        <f>(S$100*COUNTIF(A$101:A$110, ("*"&amp;$R101&amp;"*")))</f>
        <v>0</v>
      </c>
      <c r="T101" s="16">
        <f t="shared" ref="T101:U116" si="57">(T$100*COUNTIF(B$101:B$110, ("*"&amp;$R101&amp;"*")))</f>
        <v>0</v>
      </c>
      <c r="U101" s="16">
        <f t="shared" si="57"/>
        <v>2</v>
      </c>
      <c r="V101" s="16">
        <f t="shared" ref="V101:V117" si="58">SUM(S101:U101)</f>
        <v>2</v>
      </c>
    </row>
    <row r="102" spans="1:35" x14ac:dyDescent="0.45">
      <c r="A102" s="25" t="s">
        <v>30</v>
      </c>
      <c r="B102" t="s">
        <v>320</v>
      </c>
      <c r="C102" t="s">
        <v>315</v>
      </c>
      <c r="R102" s="188" t="s">
        <v>49</v>
      </c>
      <c r="S102" s="16">
        <f t="shared" ref="S102:S117" si="59">(S$100*COUNTIF(A$101:A$110, ("*"&amp;$R102&amp;"*")))</f>
        <v>0</v>
      </c>
      <c r="T102" s="16">
        <f t="shared" si="57"/>
        <v>0</v>
      </c>
      <c r="U102" s="16">
        <f t="shared" si="57"/>
        <v>1</v>
      </c>
      <c r="V102" s="16">
        <f t="shared" si="58"/>
        <v>1</v>
      </c>
    </row>
    <row r="103" spans="1:35" x14ac:dyDescent="0.45">
      <c r="A103" s="25" t="s">
        <v>202</v>
      </c>
      <c r="B103" t="s">
        <v>322</v>
      </c>
      <c r="C103" t="s">
        <v>312</v>
      </c>
      <c r="R103" s="188" t="s">
        <v>51</v>
      </c>
      <c r="S103" s="16">
        <f t="shared" si="59"/>
        <v>2</v>
      </c>
      <c r="T103" s="16">
        <f t="shared" si="57"/>
        <v>0</v>
      </c>
      <c r="U103" s="16">
        <f t="shared" si="57"/>
        <v>0</v>
      </c>
      <c r="V103" s="16">
        <f t="shared" si="58"/>
        <v>2</v>
      </c>
    </row>
    <row r="104" spans="1:35" x14ac:dyDescent="0.45">
      <c r="A104" s="25" t="s">
        <v>50</v>
      </c>
      <c r="B104" t="s">
        <v>309</v>
      </c>
      <c r="C104" t="s">
        <v>315</v>
      </c>
      <c r="R104" s="188" t="s">
        <v>54</v>
      </c>
      <c r="S104" s="16">
        <f t="shared" si="59"/>
        <v>0</v>
      </c>
      <c r="T104" s="16">
        <f t="shared" si="57"/>
        <v>0</v>
      </c>
      <c r="U104" s="16">
        <f t="shared" si="57"/>
        <v>0</v>
      </c>
      <c r="V104" s="16">
        <f t="shared" si="58"/>
        <v>0</v>
      </c>
    </row>
    <row r="105" spans="1:35" x14ac:dyDescent="0.45">
      <c r="A105" s="25" t="s">
        <v>202</v>
      </c>
      <c r="B105" t="s">
        <v>312</v>
      </c>
      <c r="C105" t="s">
        <v>311</v>
      </c>
      <c r="R105" s="188" t="s">
        <v>57</v>
      </c>
      <c r="S105" s="16">
        <f t="shared" si="59"/>
        <v>0</v>
      </c>
      <c r="T105" s="16">
        <f t="shared" si="57"/>
        <v>2</v>
      </c>
      <c r="U105" s="16">
        <f t="shared" si="57"/>
        <v>0</v>
      </c>
      <c r="V105" s="16">
        <f t="shared" si="58"/>
        <v>2</v>
      </c>
    </row>
    <row r="106" spans="1:35" x14ac:dyDescent="0.45">
      <c r="A106" s="25" t="s">
        <v>44</v>
      </c>
      <c r="B106" t="s">
        <v>315</v>
      </c>
      <c r="C106" t="s">
        <v>313</v>
      </c>
      <c r="R106" s="188" t="s">
        <v>60</v>
      </c>
      <c r="S106" s="16">
        <f t="shared" si="59"/>
        <v>0</v>
      </c>
      <c r="T106" s="16">
        <f t="shared" si="57"/>
        <v>1</v>
      </c>
      <c r="U106" s="16">
        <f t="shared" si="57"/>
        <v>0</v>
      </c>
      <c r="V106" s="16">
        <f t="shared" si="58"/>
        <v>1</v>
      </c>
    </row>
    <row r="107" spans="1:35" x14ac:dyDescent="0.45">
      <c r="A107" s="25" t="s">
        <v>202</v>
      </c>
      <c r="B107" t="s">
        <v>312</v>
      </c>
      <c r="C107" t="s">
        <v>314</v>
      </c>
      <c r="R107" s="188" t="s">
        <v>93</v>
      </c>
      <c r="S107" s="16">
        <f t="shared" si="59"/>
        <v>0</v>
      </c>
      <c r="T107" s="16">
        <f t="shared" si="57"/>
        <v>0</v>
      </c>
      <c r="U107" s="16">
        <f t="shared" si="57"/>
        <v>0</v>
      </c>
      <c r="V107" s="16">
        <f t="shared" si="58"/>
        <v>0</v>
      </c>
    </row>
    <row r="108" spans="1:35" x14ac:dyDescent="0.45">
      <c r="A108" s="25" t="s">
        <v>30</v>
      </c>
      <c r="B108" t="s">
        <v>320</v>
      </c>
      <c r="C108" t="s">
        <v>321</v>
      </c>
      <c r="R108" s="188" t="s">
        <v>63</v>
      </c>
      <c r="S108" s="16">
        <f t="shared" si="59"/>
        <v>2</v>
      </c>
      <c r="T108" s="16">
        <f t="shared" si="57"/>
        <v>0</v>
      </c>
      <c r="U108" s="16">
        <f t="shared" si="57"/>
        <v>0</v>
      </c>
      <c r="V108" s="16">
        <f t="shared" si="58"/>
        <v>2</v>
      </c>
    </row>
    <row r="109" spans="1:35" x14ac:dyDescent="0.45">
      <c r="A109" s="25" t="s">
        <v>202</v>
      </c>
      <c r="B109" t="s">
        <v>308</v>
      </c>
      <c r="C109" t="s">
        <v>312</v>
      </c>
      <c r="R109" s="188" t="s">
        <v>66</v>
      </c>
      <c r="S109" s="16">
        <f t="shared" si="59"/>
        <v>0</v>
      </c>
      <c r="T109" s="16">
        <f t="shared" si="57"/>
        <v>0</v>
      </c>
      <c r="U109" s="16">
        <f t="shared" si="57"/>
        <v>0</v>
      </c>
      <c r="V109" s="16">
        <f t="shared" si="58"/>
        <v>0</v>
      </c>
    </row>
    <row r="110" spans="1:35" x14ac:dyDescent="0.45">
      <c r="A110" s="25" t="s">
        <v>44</v>
      </c>
      <c r="B110" t="s">
        <v>315</v>
      </c>
      <c r="C110" t="s">
        <v>308</v>
      </c>
      <c r="R110" s="188" t="s">
        <v>68</v>
      </c>
      <c r="S110" s="16">
        <f t="shared" si="59"/>
        <v>0</v>
      </c>
      <c r="T110" s="16">
        <f t="shared" si="57"/>
        <v>0</v>
      </c>
      <c r="U110" s="16">
        <f t="shared" si="57"/>
        <v>0</v>
      </c>
      <c r="V110" s="16">
        <f t="shared" si="58"/>
        <v>0</v>
      </c>
    </row>
    <row r="111" spans="1:35" x14ac:dyDescent="0.45">
      <c r="A111" s="25" t="s">
        <v>30</v>
      </c>
      <c r="B111" t="s">
        <v>322</v>
      </c>
      <c r="C111" t="s">
        <v>319</v>
      </c>
      <c r="R111" s="188" t="s">
        <v>69</v>
      </c>
      <c r="S111" s="16">
        <f t="shared" si="59"/>
        <v>0</v>
      </c>
      <c r="T111" s="16">
        <f t="shared" si="57"/>
        <v>0</v>
      </c>
      <c r="U111" s="16">
        <f t="shared" si="57"/>
        <v>0</v>
      </c>
      <c r="V111" s="16">
        <f t="shared" si="58"/>
        <v>0</v>
      </c>
    </row>
    <row r="112" spans="1:35" x14ac:dyDescent="0.45">
      <c r="A112" s="25" t="s">
        <v>30</v>
      </c>
      <c r="B112" t="s">
        <v>317</v>
      </c>
      <c r="C112" t="s">
        <v>322</v>
      </c>
      <c r="R112" s="188" t="s">
        <v>200</v>
      </c>
      <c r="S112" s="16">
        <f t="shared" si="59"/>
        <v>0</v>
      </c>
      <c r="T112" s="16">
        <f t="shared" si="57"/>
        <v>0</v>
      </c>
      <c r="U112" s="16">
        <f t="shared" si="57"/>
        <v>0</v>
      </c>
      <c r="V112" s="16">
        <f t="shared" si="58"/>
        <v>0</v>
      </c>
    </row>
    <row r="113" spans="1:22" x14ac:dyDescent="0.45">
      <c r="A113" s="25" t="s">
        <v>61</v>
      </c>
      <c r="B113" t="s">
        <v>316</v>
      </c>
      <c r="C113" t="s">
        <v>321</v>
      </c>
      <c r="R113" s="188" t="s">
        <v>128</v>
      </c>
      <c r="S113" s="16">
        <f t="shared" si="59"/>
        <v>0</v>
      </c>
      <c r="T113" s="16">
        <f t="shared" si="57"/>
        <v>1</v>
      </c>
      <c r="U113" s="16">
        <f t="shared" si="57"/>
        <v>1</v>
      </c>
      <c r="V113" s="16">
        <f t="shared" si="58"/>
        <v>2</v>
      </c>
    </row>
    <row r="114" spans="1:22" x14ac:dyDescent="0.45">
      <c r="A114" s="25" t="s">
        <v>202</v>
      </c>
      <c r="B114" t="s">
        <v>314</v>
      </c>
      <c r="C114" t="s">
        <v>311</v>
      </c>
      <c r="R114" s="188" t="s">
        <v>127</v>
      </c>
      <c r="S114" s="16">
        <f t="shared" si="59"/>
        <v>0</v>
      </c>
      <c r="T114" s="16">
        <f t="shared" si="57"/>
        <v>0</v>
      </c>
      <c r="U114" s="16">
        <f t="shared" si="57"/>
        <v>0</v>
      </c>
      <c r="V114" s="16">
        <f t="shared" si="58"/>
        <v>0</v>
      </c>
    </row>
    <row r="115" spans="1:22" x14ac:dyDescent="0.45">
      <c r="A115" s="25" t="s">
        <v>28</v>
      </c>
      <c r="B115" t="s">
        <v>312</v>
      </c>
      <c r="C115" t="s">
        <v>320</v>
      </c>
      <c r="R115" s="188" t="s">
        <v>73</v>
      </c>
      <c r="S115" s="16">
        <f t="shared" si="59"/>
        <v>0</v>
      </c>
      <c r="T115" s="16">
        <f t="shared" si="57"/>
        <v>0</v>
      </c>
      <c r="U115" s="16">
        <f t="shared" si="57"/>
        <v>0</v>
      </c>
      <c r="V115" s="16">
        <f t="shared" si="58"/>
        <v>0</v>
      </c>
    </row>
    <row r="116" spans="1:22" x14ac:dyDescent="0.45">
      <c r="R116" s="188" t="s">
        <v>324</v>
      </c>
      <c r="S116" s="16">
        <f t="shared" si="59"/>
        <v>5</v>
      </c>
      <c r="T116" s="16">
        <f t="shared" si="57"/>
        <v>2</v>
      </c>
      <c r="U116" s="16">
        <f t="shared" si="57"/>
        <v>2</v>
      </c>
      <c r="V116" s="16">
        <f t="shared" si="58"/>
        <v>9</v>
      </c>
    </row>
    <row r="117" spans="1:22" x14ac:dyDescent="0.45">
      <c r="R117" s="188" t="s">
        <v>75</v>
      </c>
      <c r="S117" s="16">
        <f t="shared" si="59"/>
        <v>0</v>
      </c>
      <c r="T117" s="16">
        <f t="shared" ref="T117" si="60">(T$100*COUNTIF(B$101:B$110, ("*"&amp;$R117&amp;"*")))</f>
        <v>0</v>
      </c>
      <c r="U117" s="16">
        <f t="shared" ref="U117" si="61">(U$100*COUNTIF(C$101:C$110, ("*"&amp;$R117&amp;"*")))</f>
        <v>1</v>
      </c>
      <c r="V117" s="16">
        <f t="shared" si="58"/>
        <v>1</v>
      </c>
    </row>
    <row r="120" spans="1:22" x14ac:dyDescent="0.45">
      <c r="A120" s="25" t="s">
        <v>302</v>
      </c>
      <c r="B120" s="25"/>
    </row>
    <row r="121" spans="1:22" x14ac:dyDescent="0.45">
      <c r="A121" s="25" t="s">
        <v>303</v>
      </c>
      <c r="B121" s="25"/>
    </row>
    <row r="122" spans="1:22" x14ac:dyDescent="0.45">
      <c r="A122" s="25" t="s">
        <v>303</v>
      </c>
      <c r="B122" s="25"/>
    </row>
    <row r="123" spans="1:22" x14ac:dyDescent="0.45">
      <c r="A123" s="25" t="s">
        <v>303</v>
      </c>
      <c r="B123" s="25"/>
    </row>
    <row r="124" spans="1:22" x14ac:dyDescent="0.45">
      <c r="A124" s="25" t="s">
        <v>303</v>
      </c>
      <c r="B124" s="25"/>
    </row>
    <row r="125" spans="1:22" x14ac:dyDescent="0.45">
      <c r="A125" s="25" t="s">
        <v>304</v>
      </c>
      <c r="B125" s="25"/>
    </row>
    <row r="126" spans="1:22" x14ac:dyDescent="0.45">
      <c r="A126" s="25" t="s">
        <v>305</v>
      </c>
      <c r="B126" s="25"/>
    </row>
    <row r="127" spans="1:22" x14ac:dyDescent="0.45">
      <c r="A127" s="25" t="s">
        <v>304</v>
      </c>
      <c r="B127" s="25"/>
    </row>
    <row r="128" spans="1:22" x14ac:dyDescent="0.45">
      <c r="A128" s="25" t="s">
        <v>303</v>
      </c>
      <c r="B128" s="25"/>
    </row>
    <row r="129" spans="1:2" x14ac:dyDescent="0.45">
      <c r="A129" s="25" t="s">
        <v>303</v>
      </c>
      <c r="B129" s="25"/>
    </row>
    <row r="130" spans="1:2" x14ac:dyDescent="0.45">
      <c r="A130" s="25" t="s">
        <v>306</v>
      </c>
      <c r="B130" s="25"/>
    </row>
    <row r="131" spans="1:2" x14ac:dyDescent="0.45">
      <c r="A131" s="25" t="s">
        <v>303</v>
      </c>
    </row>
    <row r="132" spans="1:2" x14ac:dyDescent="0.45">
      <c r="A132" s="25" t="s">
        <v>306</v>
      </c>
    </row>
    <row r="133" spans="1:2" x14ac:dyDescent="0.45">
      <c r="A133" s="25" t="s">
        <v>303</v>
      </c>
    </row>
    <row r="134" spans="1:2" x14ac:dyDescent="0.45">
      <c r="A134" s="25" t="s">
        <v>304</v>
      </c>
    </row>
    <row r="135" spans="1:2" x14ac:dyDescent="0.45">
      <c r="A135" s="25" t="s">
        <v>306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Y1000"/>
  <sheetViews>
    <sheetView zoomScale="40" zoomScaleNormal="40" workbookViewId="0">
      <selection activeCell="B27" sqref="B27:B34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5" ht="14.25" customHeight="1" x14ac:dyDescent="0.45">
      <c r="D1" s="1" t="s">
        <v>0</v>
      </c>
      <c r="F1" s="1" t="s">
        <v>1</v>
      </c>
      <c r="H1" s="1" t="s">
        <v>2</v>
      </c>
      <c r="J1" s="1" t="s">
        <v>3</v>
      </c>
    </row>
    <row r="2" spans="2:25" ht="14.25" customHeigh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6" t="s">
        <v>225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2:25" ht="14.25" customHeight="1" x14ac:dyDescent="0.45">
      <c r="B3" s="2" t="s">
        <v>25</v>
      </c>
      <c r="C3" s="106" t="s">
        <v>47</v>
      </c>
      <c r="D3" s="7">
        <f>'Stats Global'!AB8</f>
        <v>0.15</v>
      </c>
      <c r="E3" s="1">
        <f>'Stats Global'!AA8</f>
        <v>3</v>
      </c>
      <c r="F3" s="7">
        <f>'Stats Global'!AD8</f>
        <v>0</v>
      </c>
      <c r="G3" s="11">
        <f>'Stats Global'!AC8</f>
        <v>0</v>
      </c>
      <c r="H3" s="7">
        <f>'Stats Global'!AF8</f>
        <v>0.15</v>
      </c>
      <c r="I3" s="11">
        <f>'Stats Global'!AE8</f>
        <v>3</v>
      </c>
      <c r="J3" s="7">
        <f>'Stats Global'!AH8</f>
        <v>0</v>
      </c>
      <c r="K3" s="11">
        <f>'Stats Global'!AG8</f>
        <v>0</v>
      </c>
      <c r="L3" s="18">
        <f>'Stats Global'!AJ8</f>
        <v>0</v>
      </c>
      <c r="U3" s="1" t="s">
        <v>196</v>
      </c>
      <c r="V3" s="1" t="str">
        <f t="shared" ref="V3:V19" si="0">IF(C3="5 Musketeers", $Y$3, IF(C3="Loose Gooses", $Y$4, IF(C3="Wet Willies", $Y$5, $Y$6)))</f>
        <v>../Images/LG_Final.png</v>
      </c>
      <c r="W3" s="1" t="str">
        <f t="shared" ref="W3:W19" si="1">Y$8&amp;Y10&amp;".png"</f>
        <v>../Images/Players/Jasper.png</v>
      </c>
      <c r="Y3" s="2" t="s">
        <v>27</v>
      </c>
    </row>
    <row r="4" spans="2:25" ht="14.25" customHeight="1" x14ac:dyDescent="0.45">
      <c r="B4" s="2" t="s">
        <v>28</v>
      </c>
      <c r="C4" s="106" t="s">
        <v>47</v>
      </c>
      <c r="D4" s="7">
        <f>'Stats Global'!AB9</f>
        <v>0.94444444444444442</v>
      </c>
      <c r="E4" s="11">
        <f>'Stats Global'!AA9</f>
        <v>17</v>
      </c>
      <c r="F4" s="7">
        <f>'Stats Global'!AD9</f>
        <v>0.88888888888888884</v>
      </c>
      <c r="G4" s="11">
        <f>'Stats Global'!AC9</f>
        <v>16</v>
      </c>
      <c r="H4" s="7">
        <f>'Stats Global'!AF9</f>
        <v>5.5555555555555552E-2</v>
      </c>
      <c r="I4" s="11">
        <f>'Stats Global'!AE9</f>
        <v>1</v>
      </c>
      <c r="J4" s="7">
        <f>'Stats Global'!AH9</f>
        <v>0</v>
      </c>
      <c r="K4" s="11">
        <f>'Stats Global'!AG9</f>
        <v>0</v>
      </c>
      <c r="L4" s="18">
        <f>'Stats Global'!AJ9</f>
        <v>2</v>
      </c>
      <c r="U4" s="11" t="s">
        <v>196</v>
      </c>
      <c r="V4" s="11" t="str">
        <f t="shared" si="0"/>
        <v>../Images/LG_Final.png</v>
      </c>
      <c r="W4" s="1" t="str">
        <f t="shared" si="1"/>
        <v>../Images/Players/Conor.png</v>
      </c>
      <c r="Y4" s="2" t="s">
        <v>29</v>
      </c>
    </row>
    <row r="5" spans="2:25" ht="14.25" customHeight="1" x14ac:dyDescent="0.45">
      <c r="B5" s="2" t="s">
        <v>30</v>
      </c>
      <c r="C5" s="105" t="s">
        <v>26</v>
      </c>
      <c r="D5" s="7">
        <f>'Stats Global'!AB10</f>
        <v>3.25</v>
      </c>
      <c r="E5" s="11">
        <f>'Stats Global'!AA10</f>
        <v>39</v>
      </c>
      <c r="F5" s="7">
        <f>'Stats Global'!AD10</f>
        <v>3</v>
      </c>
      <c r="G5" s="11">
        <f>'Stats Global'!AC10</f>
        <v>36</v>
      </c>
      <c r="H5" s="7">
        <f>'Stats Global'!AF10</f>
        <v>8.3333333333333329E-2</v>
      </c>
      <c r="I5" s="11">
        <f>'Stats Global'!AE10</f>
        <v>1</v>
      </c>
      <c r="J5" s="7">
        <f>'Stats Global'!AH10</f>
        <v>8.3333333333333329E-2</v>
      </c>
      <c r="K5" s="11">
        <f>'Stats Global'!AG10</f>
        <v>1</v>
      </c>
      <c r="L5" s="18">
        <f>'Stats Global'!AJ10</f>
        <v>8</v>
      </c>
      <c r="M5" s="2" t="s">
        <v>32</v>
      </c>
      <c r="N5" s="2" t="s">
        <v>33</v>
      </c>
      <c r="O5" s="16" t="s">
        <v>153</v>
      </c>
      <c r="P5" s="16" t="s">
        <v>154</v>
      </c>
      <c r="U5" s="1" t="s">
        <v>193</v>
      </c>
      <c r="V5" s="11" t="str">
        <f t="shared" si="0"/>
        <v>../Images/5M_Final.png</v>
      </c>
      <c r="W5" s="1" t="str">
        <f t="shared" si="1"/>
        <v>../Images/Players/Alex.png</v>
      </c>
      <c r="Y5" s="2" t="s">
        <v>34</v>
      </c>
    </row>
    <row r="6" spans="2:25" ht="14.25" customHeight="1" x14ac:dyDescent="0.45">
      <c r="B6" s="2" t="s">
        <v>35</v>
      </c>
      <c r="C6" s="2" t="s">
        <v>31</v>
      </c>
      <c r="D6" s="7">
        <f>'Stats Global'!AB11</f>
        <v>1.3571428571428572</v>
      </c>
      <c r="E6" s="11">
        <f>'Stats Global'!AA11</f>
        <v>19</v>
      </c>
      <c r="F6" s="7">
        <f>'Stats Global'!AD11</f>
        <v>1.3571428571428572</v>
      </c>
      <c r="G6" s="11">
        <f>'Stats Global'!AC11</f>
        <v>19</v>
      </c>
      <c r="H6" s="7">
        <f>'Stats Global'!AF11</f>
        <v>0</v>
      </c>
      <c r="I6" s="11">
        <f>'Stats Global'!AE11</f>
        <v>0</v>
      </c>
      <c r="J6" s="7">
        <f>'Stats Global'!AH11</f>
        <v>0</v>
      </c>
      <c r="K6" s="11">
        <f>'Stats Global'!AG11</f>
        <v>0</v>
      </c>
      <c r="L6" s="18">
        <f>'Stats Global'!AJ11</f>
        <v>6</v>
      </c>
      <c r="M6" s="2" t="s">
        <v>36</v>
      </c>
      <c r="N6" s="2" t="s">
        <v>32</v>
      </c>
      <c r="O6" s="2" t="s">
        <v>33</v>
      </c>
      <c r="P6" s="16" t="s">
        <v>153</v>
      </c>
      <c r="Q6" s="16" t="s">
        <v>154</v>
      </c>
      <c r="R6" s="16" t="s">
        <v>157</v>
      </c>
      <c r="S6" s="16" t="s">
        <v>40</v>
      </c>
      <c r="U6" s="95" t="s">
        <v>189</v>
      </c>
      <c r="V6" s="11" t="str">
        <f t="shared" si="0"/>
        <v>../Images/WW_Final.png</v>
      </c>
      <c r="W6" s="1" t="str">
        <f t="shared" si="1"/>
        <v>../Images/Players/Rudy.png</v>
      </c>
      <c r="Y6" s="2" t="s">
        <v>163</v>
      </c>
    </row>
    <row r="7" spans="2:25" ht="14.25" customHeight="1" x14ac:dyDescent="0.45">
      <c r="B7" s="2" t="s">
        <v>37</v>
      </c>
      <c r="C7" s="105" t="s">
        <v>31</v>
      </c>
      <c r="D7" s="7">
        <f>'Stats Global'!AB12</f>
        <v>1.1111111111111112</v>
      </c>
      <c r="E7" s="11">
        <f>'Stats Global'!AA12</f>
        <v>20</v>
      </c>
      <c r="F7" s="7">
        <f>'Stats Global'!AD12</f>
        <v>0.5</v>
      </c>
      <c r="G7" s="11">
        <f>'Stats Global'!AC12</f>
        <v>9</v>
      </c>
      <c r="H7" s="7">
        <f>'Stats Global'!AF12</f>
        <v>0.3888888888888889</v>
      </c>
      <c r="I7" s="11">
        <f>'Stats Global'!AE12</f>
        <v>7</v>
      </c>
      <c r="J7" s="7">
        <f>'Stats Global'!AH12</f>
        <v>0.1111111111111111</v>
      </c>
      <c r="K7" s="11">
        <f>'Stats Global'!AG12</f>
        <v>2</v>
      </c>
      <c r="L7" s="18">
        <f>'Stats Global'!AJ12</f>
        <v>2</v>
      </c>
      <c r="M7" s="2" t="s">
        <v>38</v>
      </c>
      <c r="N7" s="2" t="s">
        <v>39</v>
      </c>
      <c r="O7" s="16" t="s">
        <v>153</v>
      </c>
      <c r="P7" s="16" t="s">
        <v>155</v>
      </c>
      <c r="U7" s="105" t="s">
        <v>194</v>
      </c>
      <c r="V7" s="11" t="str">
        <f t="shared" si="0"/>
        <v>../Images/WW_Final.png</v>
      </c>
      <c r="W7" s="1" t="str">
        <f t="shared" si="1"/>
        <v>../Images/Players/Michael.png</v>
      </c>
    </row>
    <row r="8" spans="2:25" ht="14.25" customHeight="1" x14ac:dyDescent="0.45">
      <c r="B8" s="2" t="s">
        <v>42</v>
      </c>
      <c r="C8" s="141" t="s">
        <v>26</v>
      </c>
      <c r="D8" s="7">
        <f>'Stats Global'!AB13</f>
        <v>0.94117647058823528</v>
      </c>
      <c r="E8" s="11">
        <f>'Stats Global'!AA13</f>
        <v>16</v>
      </c>
      <c r="F8" s="7">
        <f>'Stats Global'!AD13</f>
        <v>0.76470588235294112</v>
      </c>
      <c r="G8" s="11">
        <f>'Stats Global'!AC13</f>
        <v>13</v>
      </c>
      <c r="H8" s="7">
        <f>'Stats Global'!AF13</f>
        <v>0.17647058823529413</v>
      </c>
      <c r="I8" s="11">
        <f>'Stats Global'!AE13</f>
        <v>3</v>
      </c>
      <c r="J8" s="7">
        <f>'Stats Global'!AH13</f>
        <v>0</v>
      </c>
      <c r="K8" s="11">
        <f>'Stats Global'!AG13</f>
        <v>0</v>
      </c>
      <c r="L8" s="18">
        <f>'Stats Global'!AJ13</f>
        <v>3</v>
      </c>
      <c r="M8" s="2" t="s">
        <v>43</v>
      </c>
      <c r="N8" s="2" t="s">
        <v>36</v>
      </c>
      <c r="O8" s="16" t="s">
        <v>156</v>
      </c>
      <c r="U8" s="141" t="s">
        <v>239</v>
      </c>
      <c r="V8" s="11" t="str">
        <f t="shared" si="0"/>
        <v>../Images/5M_Final.png</v>
      </c>
      <c r="W8" s="1" t="str">
        <f t="shared" si="1"/>
        <v>../Images/Players/Lukas.png</v>
      </c>
      <c r="Y8" s="2" t="s">
        <v>41</v>
      </c>
    </row>
    <row r="9" spans="2:25" ht="14.25" customHeight="1" x14ac:dyDescent="0.45">
      <c r="B9" s="16" t="s">
        <v>115</v>
      </c>
      <c r="C9" s="106" t="s">
        <v>26</v>
      </c>
      <c r="D9" s="7">
        <f>'Stats Global'!AB14</f>
        <v>0.6</v>
      </c>
      <c r="E9" s="11">
        <f>'Stats Global'!AA14</f>
        <v>12</v>
      </c>
      <c r="F9" s="7">
        <f>'Stats Global'!AD14</f>
        <v>0.3</v>
      </c>
      <c r="G9" s="11">
        <f>'Stats Global'!AC14</f>
        <v>6</v>
      </c>
      <c r="H9" s="7">
        <f>'Stats Global'!AF14</f>
        <v>0.2</v>
      </c>
      <c r="I9" s="11">
        <f>'Stats Global'!AE14</f>
        <v>4</v>
      </c>
      <c r="J9" s="7">
        <f>'Stats Global'!AH14</f>
        <v>0.05</v>
      </c>
      <c r="K9" s="11">
        <f>'Stats Global'!AG14</f>
        <v>1</v>
      </c>
      <c r="L9" s="18">
        <f>'Stats Global'!AJ14</f>
        <v>0</v>
      </c>
      <c r="M9" s="16" t="s">
        <v>212</v>
      </c>
      <c r="N9" s="16" t="s">
        <v>158</v>
      </c>
      <c r="U9" s="106" t="s">
        <v>199</v>
      </c>
      <c r="V9" s="11" t="str">
        <f t="shared" si="0"/>
        <v>../Images/5M_Final.png</v>
      </c>
      <c r="W9" s="11" t="str">
        <f t="shared" si="1"/>
        <v>../Images/Players/SamJ.png</v>
      </c>
    </row>
    <row r="10" spans="2:25" ht="14.25" customHeight="1" x14ac:dyDescent="0.45">
      <c r="B10" s="2" t="s">
        <v>44</v>
      </c>
      <c r="C10" s="106" t="s">
        <v>31</v>
      </c>
      <c r="D10" s="7">
        <f>'Stats Global'!AB15</f>
        <v>1.3571428571428572</v>
      </c>
      <c r="E10" s="11">
        <f>'Stats Global'!AA15</f>
        <v>19</v>
      </c>
      <c r="F10" s="7">
        <f>'Stats Global'!AD15</f>
        <v>7.1428571428571425E-2</v>
      </c>
      <c r="G10" s="11">
        <f>'Stats Global'!AC15</f>
        <v>1</v>
      </c>
      <c r="H10" s="7">
        <f>'Stats Global'!AF15</f>
        <v>0.14285714285714285</v>
      </c>
      <c r="I10" s="11">
        <f>'Stats Global'!AE15</f>
        <v>2</v>
      </c>
      <c r="J10" s="7">
        <f>'Stats Global'!AH15</f>
        <v>0.5714285714285714</v>
      </c>
      <c r="K10" s="11">
        <f>'Stats Global'!AG15</f>
        <v>8</v>
      </c>
      <c r="L10" s="18">
        <f>'Stats Global'!AJ15</f>
        <v>6</v>
      </c>
      <c r="M10" s="16" t="s">
        <v>161</v>
      </c>
      <c r="N10" s="2" t="s">
        <v>33</v>
      </c>
      <c r="O10" s="2" t="s">
        <v>160</v>
      </c>
      <c r="P10" s="16" t="s">
        <v>152</v>
      </c>
      <c r="Q10" s="16" t="s">
        <v>156</v>
      </c>
      <c r="R10" s="16" t="s">
        <v>155</v>
      </c>
      <c r="S10" s="16" t="s">
        <v>158</v>
      </c>
      <c r="U10" s="106" t="s">
        <v>198</v>
      </c>
      <c r="V10" s="11" t="str">
        <f t="shared" si="0"/>
        <v>../Images/WW_Final.png</v>
      </c>
      <c r="W10" s="1" t="str">
        <f t="shared" si="1"/>
        <v>../Images/Players/Clarrie.png</v>
      </c>
      <c r="Y10" s="2" t="s">
        <v>45</v>
      </c>
    </row>
    <row r="11" spans="2:25" ht="14.25" customHeight="1" x14ac:dyDescent="0.45">
      <c r="B11" s="2" t="s">
        <v>46</v>
      </c>
      <c r="C11" s="105" t="s">
        <v>47</v>
      </c>
      <c r="D11" s="7">
        <f>'Stats Global'!AB16</f>
        <v>2.1666666666666665</v>
      </c>
      <c r="E11" s="11">
        <f>'Stats Global'!AA16</f>
        <v>39</v>
      </c>
      <c r="F11" s="7">
        <f>'Stats Global'!AD16</f>
        <v>0.94444444444444442</v>
      </c>
      <c r="G11" s="11">
        <f>'Stats Global'!AC16</f>
        <v>17</v>
      </c>
      <c r="H11" s="7">
        <f>'Stats Global'!AF16</f>
        <v>0.88888888888888884</v>
      </c>
      <c r="I11" s="11">
        <f>'Stats Global'!AE16</f>
        <v>16</v>
      </c>
      <c r="J11" s="7">
        <f>'Stats Global'!AH16</f>
        <v>0.16666666666666666</v>
      </c>
      <c r="K11" s="11">
        <f>'Stats Global'!AG16</f>
        <v>3</v>
      </c>
      <c r="L11" s="18">
        <f>'Stats Global'!AJ16</f>
        <v>2</v>
      </c>
      <c r="M11" s="2" t="s">
        <v>48</v>
      </c>
      <c r="N11" s="2" t="s">
        <v>36</v>
      </c>
      <c r="O11" s="2" t="s">
        <v>32</v>
      </c>
      <c r="P11" s="16" t="s">
        <v>156</v>
      </c>
      <c r="Q11" s="16" t="s">
        <v>154</v>
      </c>
      <c r="R11" s="16" t="s">
        <v>158</v>
      </c>
      <c r="S11" s="16" t="s">
        <v>159</v>
      </c>
      <c r="U11" s="11" t="s">
        <v>195</v>
      </c>
      <c r="V11" s="11" t="str">
        <f t="shared" si="0"/>
        <v>../Images/LG_Final.png</v>
      </c>
      <c r="W11" s="1" t="str">
        <f t="shared" si="1"/>
        <v>../Images/Players/Kimmy.png</v>
      </c>
      <c r="Y11" s="2" t="s">
        <v>49</v>
      </c>
    </row>
    <row r="12" spans="2:25" ht="14.25" customHeight="1" x14ac:dyDescent="0.45">
      <c r="B12" s="2" t="s">
        <v>50</v>
      </c>
      <c r="C12" s="2" t="s">
        <v>26</v>
      </c>
      <c r="D12" s="7">
        <f>'Stats Global'!AB17</f>
        <v>3.4736842105263159</v>
      </c>
      <c r="E12" s="11">
        <f>'Stats Global'!AA17</f>
        <v>66</v>
      </c>
      <c r="F12" s="7">
        <f>'Stats Global'!AD17</f>
        <v>0.84210526315789469</v>
      </c>
      <c r="G12" s="11">
        <f>'Stats Global'!AC17</f>
        <v>16</v>
      </c>
      <c r="H12" s="7">
        <f>'Stats Global'!AF17</f>
        <v>2.1052631578947367</v>
      </c>
      <c r="I12" s="11">
        <f>'Stats Global'!AE17</f>
        <v>40</v>
      </c>
      <c r="J12" s="7">
        <f>'Stats Global'!AH17</f>
        <v>0.26315789473684209</v>
      </c>
      <c r="K12" s="11">
        <f>'Stats Global'!AG17</f>
        <v>5</v>
      </c>
      <c r="L12" s="18">
        <f>'Stats Global'!AJ17</f>
        <v>1</v>
      </c>
      <c r="M12" s="2" t="s">
        <v>40</v>
      </c>
      <c r="N12" s="2" t="s">
        <v>36</v>
      </c>
      <c r="O12" s="2" t="s">
        <v>32</v>
      </c>
      <c r="P12" s="16" t="s">
        <v>153</v>
      </c>
      <c r="Q12" s="16" t="s">
        <v>154</v>
      </c>
      <c r="U12" s="96" t="s">
        <v>190</v>
      </c>
      <c r="V12" s="11" t="str">
        <f t="shared" si="0"/>
        <v>../Images/5M_Final.png</v>
      </c>
      <c r="W12" s="1" t="str">
        <f t="shared" si="1"/>
        <v>../Images/Players/SamM.png</v>
      </c>
      <c r="Y12" s="2" t="s">
        <v>51</v>
      </c>
    </row>
    <row r="13" spans="2:25" ht="14.25" customHeight="1" x14ac:dyDescent="0.45">
      <c r="B13" s="2" t="s">
        <v>52</v>
      </c>
      <c r="C13" s="106" t="s">
        <v>31</v>
      </c>
      <c r="D13" s="7">
        <f>'Stats Global'!AB18</f>
        <v>0.55000000000000004</v>
      </c>
      <c r="E13" s="11">
        <f>'Stats Global'!AA18</f>
        <v>11</v>
      </c>
      <c r="F13" s="7">
        <f>'Stats Global'!AD18</f>
        <v>0.15</v>
      </c>
      <c r="G13" s="11">
        <f>'Stats Global'!AC18</f>
        <v>3</v>
      </c>
      <c r="H13" s="7">
        <f>'Stats Global'!AF18</f>
        <v>0.4</v>
      </c>
      <c r="I13" s="11">
        <f>'Stats Global'!AE18</f>
        <v>8</v>
      </c>
      <c r="J13" s="7">
        <f>'Stats Global'!AH18</f>
        <v>0</v>
      </c>
      <c r="K13" s="11">
        <f>'Stats Global'!AG18</f>
        <v>0</v>
      </c>
      <c r="L13" s="18">
        <f>'Stats Global'!AJ18</f>
        <v>0</v>
      </c>
      <c r="M13" s="2" t="s">
        <v>53</v>
      </c>
      <c r="N13" s="2" t="s">
        <v>33</v>
      </c>
      <c r="O13" s="16"/>
      <c r="U13" s="107" t="s">
        <v>197</v>
      </c>
      <c r="V13" s="11" t="str">
        <f t="shared" si="0"/>
        <v>../Images/WW_Final.png</v>
      </c>
      <c r="W13" s="1" t="str">
        <f t="shared" si="1"/>
        <v>../Images/Players/Ryan.png</v>
      </c>
      <c r="Y13" s="2" t="s">
        <v>54</v>
      </c>
    </row>
    <row r="14" spans="2:25" ht="14.25" customHeight="1" x14ac:dyDescent="0.45">
      <c r="B14" s="2" t="s">
        <v>200</v>
      </c>
      <c r="C14" s="135" t="s">
        <v>26</v>
      </c>
      <c r="D14" s="7">
        <f>'Stats Global'!AB19</f>
        <v>0.16666666666666666</v>
      </c>
      <c r="E14" s="11">
        <f>'Stats Global'!AA19</f>
        <v>1</v>
      </c>
      <c r="F14" s="7">
        <f>'Stats Global'!AD19</f>
        <v>0</v>
      </c>
      <c r="G14" s="11">
        <f>'Stats Global'!AC19</f>
        <v>0</v>
      </c>
      <c r="H14" s="7">
        <f>'Stats Global'!AF19</f>
        <v>0.16666666666666666</v>
      </c>
      <c r="I14" s="11">
        <f>'Stats Global'!AE19</f>
        <v>1</v>
      </c>
      <c r="J14" s="7">
        <f>'Stats Global'!AH19</f>
        <v>0</v>
      </c>
      <c r="K14" s="11">
        <f>'Stats Global'!AG19</f>
        <v>0</v>
      </c>
      <c r="L14" s="18">
        <f>'Stats Global'!AJ19</f>
        <v>14</v>
      </c>
      <c r="M14" s="16" t="s">
        <v>211</v>
      </c>
      <c r="N14" s="2"/>
      <c r="O14" s="16"/>
      <c r="P14" s="16"/>
      <c r="Q14" s="16"/>
      <c r="R14" s="16"/>
      <c r="S14" s="16"/>
      <c r="T14" s="16"/>
      <c r="U14" s="136" t="s">
        <v>239</v>
      </c>
      <c r="V14" s="11" t="str">
        <f t="shared" si="0"/>
        <v>../Images/5M_Final.png</v>
      </c>
      <c r="W14" s="11" t="str">
        <f t="shared" si="1"/>
        <v>../Images/Players/Will.png</v>
      </c>
      <c r="Y14" s="2" t="s">
        <v>57</v>
      </c>
    </row>
    <row r="15" spans="2:25" ht="14.25" customHeight="1" x14ac:dyDescent="0.45">
      <c r="B15" s="2" t="s">
        <v>55</v>
      </c>
      <c r="C15" s="141" t="s">
        <v>31</v>
      </c>
      <c r="D15" s="7">
        <f>'Stats Global'!AB20</f>
        <v>0.82352941176470584</v>
      </c>
      <c r="E15" s="11">
        <f>'Stats Global'!AA20</f>
        <v>14</v>
      </c>
      <c r="F15" s="7">
        <f>'Stats Global'!AD20</f>
        <v>0.52941176470588236</v>
      </c>
      <c r="G15" s="11">
        <f>'Stats Global'!AC20</f>
        <v>9</v>
      </c>
      <c r="H15" s="7">
        <f>'Stats Global'!AF20</f>
        <v>5.8823529411764705E-2</v>
      </c>
      <c r="I15" s="11">
        <f>'Stats Global'!AE20</f>
        <v>1</v>
      </c>
      <c r="J15" s="7">
        <f>'Stats Global'!AH20</f>
        <v>0.11764705882352941</v>
      </c>
      <c r="K15" s="11">
        <f>'Stats Global'!AG20</f>
        <v>2</v>
      </c>
      <c r="L15" s="18">
        <f>'Stats Global'!AJ20</f>
        <v>3</v>
      </c>
      <c r="M15" s="2" t="s">
        <v>56</v>
      </c>
      <c r="N15" s="2" t="s">
        <v>33</v>
      </c>
      <c r="O15" s="16" t="s">
        <v>150</v>
      </c>
      <c r="P15" s="16" t="s">
        <v>151</v>
      </c>
      <c r="Q15" s="16" t="s">
        <v>156</v>
      </c>
      <c r="R15" s="16" t="s">
        <v>155</v>
      </c>
      <c r="U15" s="142" t="s">
        <v>238</v>
      </c>
      <c r="V15" s="11" t="str">
        <f t="shared" si="0"/>
        <v>../Images/WW_Final.png</v>
      </c>
      <c r="W15" s="1" t="str">
        <f t="shared" si="1"/>
        <v>../Images/Players/Nick.png</v>
      </c>
      <c r="Y15" s="2" t="s">
        <v>60</v>
      </c>
    </row>
    <row r="16" spans="2:25" ht="14.25" customHeight="1" x14ac:dyDescent="0.45">
      <c r="B16" s="2" t="s">
        <v>58</v>
      </c>
      <c r="C16" s="106" t="s">
        <v>47</v>
      </c>
      <c r="D16" s="7">
        <f>'Stats Global'!AB21</f>
        <v>1.1499999999999999</v>
      </c>
      <c r="E16" s="11">
        <f>'Stats Global'!AA21</f>
        <v>23</v>
      </c>
      <c r="F16" s="7">
        <f>'Stats Global'!AD21</f>
        <v>0.8</v>
      </c>
      <c r="G16" s="11">
        <f>'Stats Global'!AC21</f>
        <v>16</v>
      </c>
      <c r="H16" s="7">
        <f>'Stats Global'!AF21</f>
        <v>0.25</v>
      </c>
      <c r="I16" s="11">
        <f>'Stats Global'!AE21</f>
        <v>5</v>
      </c>
      <c r="J16" s="7">
        <f>'Stats Global'!AH21</f>
        <v>0.05</v>
      </c>
      <c r="K16" s="11">
        <f>'Stats Global'!AG21</f>
        <v>1</v>
      </c>
      <c r="L16" s="18">
        <f>'Stats Global'!AJ21</f>
        <v>0</v>
      </c>
      <c r="M16" s="2" t="s">
        <v>59</v>
      </c>
      <c r="N16" s="16" t="s">
        <v>147</v>
      </c>
      <c r="O16" s="16" t="s">
        <v>148</v>
      </c>
      <c r="P16" s="16" t="s">
        <v>156</v>
      </c>
      <c r="Q16" s="16" t="s">
        <v>155</v>
      </c>
      <c r="R16" s="16" t="s">
        <v>158</v>
      </c>
      <c r="U16" s="107" t="s">
        <v>196</v>
      </c>
      <c r="V16" s="11" t="str">
        <f t="shared" si="0"/>
        <v>../Images/LG_Final.png</v>
      </c>
      <c r="W16" s="1" t="str">
        <f t="shared" si="1"/>
        <v>../Images/Players/Chris.png</v>
      </c>
      <c r="Y16" s="16" t="s">
        <v>93</v>
      </c>
    </row>
    <row r="17" spans="2:25" ht="14.25" customHeight="1" x14ac:dyDescent="0.45">
      <c r="B17" s="2" t="s">
        <v>61</v>
      </c>
      <c r="C17" s="2" t="s">
        <v>47</v>
      </c>
      <c r="D17" s="7">
        <f>'Stats Global'!AB22</f>
        <v>2.8421052631578947</v>
      </c>
      <c r="E17" s="11">
        <f>'Stats Global'!AA22</f>
        <v>54</v>
      </c>
      <c r="F17" s="7">
        <f>'Stats Global'!AD22</f>
        <v>1.5789473684210527</v>
      </c>
      <c r="G17" s="11">
        <f>'Stats Global'!AC22</f>
        <v>30</v>
      </c>
      <c r="H17" s="7">
        <f>'Stats Global'!AF22</f>
        <v>0.52631578947368418</v>
      </c>
      <c r="I17" s="11">
        <f>'Stats Global'!AE22</f>
        <v>10</v>
      </c>
      <c r="J17" s="7">
        <f>'Stats Global'!AH22</f>
        <v>0.36842105263157893</v>
      </c>
      <c r="K17" s="11">
        <f>'Stats Global'!AG22</f>
        <v>7</v>
      </c>
      <c r="L17" s="18">
        <f>'Stats Global'!AJ22</f>
        <v>1</v>
      </c>
      <c r="M17" s="2" t="s">
        <v>162</v>
      </c>
      <c r="N17" s="2" t="s">
        <v>40</v>
      </c>
      <c r="O17" s="2" t="s">
        <v>36</v>
      </c>
      <c r="P17" s="2" t="s">
        <v>32</v>
      </c>
      <c r="Q17" s="2" t="s">
        <v>62</v>
      </c>
      <c r="R17" s="16" t="s">
        <v>153</v>
      </c>
      <c r="S17" s="16" t="s">
        <v>154</v>
      </c>
      <c r="T17" s="16" t="s">
        <v>158</v>
      </c>
      <c r="U17" s="95" t="s">
        <v>191</v>
      </c>
      <c r="V17" s="11" t="str">
        <f t="shared" si="0"/>
        <v>../Images/LG_Final.png</v>
      </c>
      <c r="W17" s="1" t="str">
        <f t="shared" si="1"/>
        <v>../Images/Players/Angus.png</v>
      </c>
      <c r="Y17" s="2" t="s">
        <v>63</v>
      </c>
    </row>
    <row r="18" spans="2:25" ht="14.25" customHeight="1" x14ac:dyDescent="0.45">
      <c r="B18" s="2" t="s">
        <v>64</v>
      </c>
      <c r="C18" s="149" t="s">
        <v>26</v>
      </c>
      <c r="D18" s="7">
        <f>'Stats Global'!AB23</f>
        <v>0.05</v>
      </c>
      <c r="E18" s="11">
        <f>'Stats Global'!AA23</f>
        <v>1</v>
      </c>
      <c r="F18" s="7">
        <f>'Stats Global'!AD23</f>
        <v>0</v>
      </c>
      <c r="G18" s="11">
        <f>'Stats Global'!AC23</f>
        <v>0</v>
      </c>
      <c r="H18" s="7">
        <f>'Stats Global'!AF23</f>
        <v>0.05</v>
      </c>
      <c r="I18" s="11">
        <f>'Stats Global'!AE23</f>
        <v>1</v>
      </c>
      <c r="J18" s="7">
        <f>'Stats Global'!AH23</f>
        <v>0</v>
      </c>
      <c r="K18" s="11">
        <f>'Stats Global'!AG23</f>
        <v>0</v>
      </c>
      <c r="L18" s="18">
        <f>'Stats Global'!AJ23</f>
        <v>0</v>
      </c>
      <c r="M18" s="2" t="s">
        <v>65</v>
      </c>
      <c r="N18" s="2" t="s">
        <v>33</v>
      </c>
      <c r="O18" s="16" t="s">
        <v>149</v>
      </c>
      <c r="U18" s="149" t="s">
        <v>269</v>
      </c>
      <c r="V18" s="11" t="str">
        <f t="shared" si="0"/>
        <v>../Images/5M_Final.png</v>
      </c>
      <c r="W18" s="1" t="str">
        <f t="shared" si="1"/>
        <v>../Images/Players/Willie.png</v>
      </c>
      <c r="Y18" s="2" t="s">
        <v>66</v>
      </c>
    </row>
    <row r="19" spans="2:25" ht="14.25" customHeight="1" x14ac:dyDescent="0.45">
      <c r="B19" s="2" t="s">
        <v>67</v>
      </c>
      <c r="C19" s="135" t="s">
        <v>31</v>
      </c>
      <c r="D19" s="7">
        <f>'Stats Global'!AB24</f>
        <v>0.46153846153846156</v>
      </c>
      <c r="E19" s="11">
        <f>'Stats Global'!AA24</f>
        <v>6</v>
      </c>
      <c r="F19" s="7">
        <f>'Stats Global'!AD24</f>
        <v>0.30769230769230771</v>
      </c>
      <c r="G19" s="11">
        <f>'Stats Global'!AC24</f>
        <v>4</v>
      </c>
      <c r="H19" s="7">
        <f>'Stats Global'!AF24</f>
        <v>0</v>
      </c>
      <c r="I19" s="11">
        <f>'Stats Global'!AE24</f>
        <v>0</v>
      </c>
      <c r="J19" s="7">
        <f>'Stats Global'!AH24</f>
        <v>7.6923076923076927E-2</v>
      </c>
      <c r="K19" s="11">
        <f>'Stats Global'!AG24</f>
        <v>1</v>
      </c>
      <c r="L19" s="18">
        <f>'Stats Global'!AJ24</f>
        <v>7</v>
      </c>
      <c r="M19" s="16" t="s">
        <v>155</v>
      </c>
      <c r="N19" s="16" t="s">
        <v>158</v>
      </c>
      <c r="U19" s="135" t="s">
        <v>238</v>
      </c>
      <c r="V19" s="11" t="str">
        <f t="shared" si="0"/>
        <v>../Images/WW_Final.png</v>
      </c>
      <c r="W19" s="1" t="str">
        <f t="shared" si="1"/>
        <v>../Images/Players/Mitch.png</v>
      </c>
      <c r="Y19" s="2" t="s">
        <v>68</v>
      </c>
    </row>
    <row r="20" spans="2:25" ht="14.25" customHeight="1" x14ac:dyDescent="0.45">
      <c r="B20" s="1"/>
      <c r="D20" s="17"/>
      <c r="F20" s="17"/>
      <c r="H20" s="17"/>
      <c r="I20" s="15"/>
      <c r="J20" s="17"/>
      <c r="K20" s="15"/>
      <c r="Y20" s="2" t="s">
        <v>69</v>
      </c>
    </row>
    <row r="21" spans="2:25" ht="14.25" customHeight="1" x14ac:dyDescent="0.45">
      <c r="Y21" s="16" t="s">
        <v>210</v>
      </c>
    </row>
    <row r="22" spans="2:25" ht="14.25" customHeight="1" x14ac:dyDescent="0.9">
      <c r="B22" s="190" t="s">
        <v>119</v>
      </c>
      <c r="C22" s="190"/>
      <c r="D22" s="94"/>
      <c r="Y22" s="2" t="s">
        <v>70</v>
      </c>
    </row>
    <row r="23" spans="2:25" ht="14.25" customHeight="1" x14ac:dyDescent="0.9">
      <c r="B23" s="190"/>
      <c r="C23" s="190"/>
      <c r="D23" s="94"/>
      <c r="Y23" s="2" t="s">
        <v>71</v>
      </c>
    </row>
    <row r="24" spans="2:25" ht="14.25" customHeight="1" x14ac:dyDescent="0.9">
      <c r="B24" s="16"/>
      <c r="C24" s="49"/>
      <c r="D24" s="49"/>
      <c r="X24" s="16"/>
      <c r="Y24" s="2" t="s">
        <v>73</v>
      </c>
    </row>
    <row r="25" spans="2:25" ht="14.25" customHeight="1" x14ac:dyDescent="0.9">
      <c r="B25" s="17" t="str">
        <f>B49&amp;":["&amp;B50&amp;B51&amp;B52&amp;B53&amp;B54&amp;B55&amp;B56&amp;B57&amp;B58&amp;B59&amp;B60&amp;B61&amp;B62&amp;B63&amp;B64&amp;B65&amp;B66&amp;"],"</f>
        <v>"Name":["Jasper Collier","Conor Farrington","Alexander Galt","Rudy Hoschke","Michael Iffland","Lukas Johnston","Sam James","Clarrie Jones","William Kim","Samuel McConaghy","Ryan Pattemore","William Scott","Nicholas Szogi","Christopher Tomkinson","Angus Walker","Willie Weekes","Mitch Yue"],</v>
      </c>
      <c r="C25" s="16"/>
      <c r="D25" s="16"/>
      <c r="F25" s="49"/>
      <c r="G25" s="17"/>
      <c r="H25" s="17"/>
      <c r="I25" s="17"/>
      <c r="J25" s="17"/>
      <c r="K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 t="s">
        <v>74</v>
      </c>
    </row>
    <row r="26" spans="2:25" ht="14.25" customHeight="1" x14ac:dyDescent="0.9">
      <c r="B26" s="17" t="str">
        <f>C49&amp;":["&amp;C50&amp;C51&amp;C52&amp;C53&amp;C54&amp;C55&amp;C56&amp;C57&amp;C58&amp;C59&amp;C60&amp;C61&amp;C62&amp;C63&amp;C64&amp;C65&amp;C66&amp;"],"</f>
        <v>"Team":["Loose Gooses","Loose Gooses","5 Musketeers","Wet Willies","Wet Willies","5 Musketeers","5 Musketeers","Wet Willies","Loose Gooses","5 Musketeers","Wet Willies","5 Musketeers","Wet Willies","Loose Gooses","Loose Gooses","5 Musketeers","Wet Willies"],</v>
      </c>
      <c r="C26" s="16"/>
      <c r="D26" s="16"/>
      <c r="F26" s="49"/>
      <c r="G26" s="16"/>
      <c r="H26" s="16"/>
      <c r="I26" s="16"/>
      <c r="J26" s="16"/>
      <c r="K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2" t="s">
        <v>75</v>
      </c>
    </row>
    <row r="27" spans="2:25" ht="14.25" customHeight="1" x14ac:dyDescent="0.45">
      <c r="B27" s="17" t="str">
        <f>D49&amp;":["&amp;D50&amp;D51&amp;D52&amp;D53&amp;D54&amp;D55&amp;D56&amp;D57&amp;D58&amp;D59&amp;D60&amp;D61&amp;D62&amp;D63&amp;D64&amp;D65&amp;D66&amp;"],"</f>
        <v>"PPG":[0.15,0.94,3.25,1.36,1.11,0.94,0.6,1.36,2.17,3.47,0.55,0.17,0.82,1.15,2.84,0.05,0.46],</v>
      </c>
      <c r="C27" s="16"/>
      <c r="D27" s="16"/>
      <c r="F27" s="16"/>
      <c r="G27" s="16"/>
      <c r="H27" s="16"/>
      <c r="I27" s="16"/>
      <c r="J27" s="16"/>
      <c r="K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2:25" ht="14.25" customHeight="1" x14ac:dyDescent="0.45">
      <c r="B28" s="16" t="str">
        <f>E49&amp;":["&amp;E50&amp;E51&amp;E52&amp;E53&amp;E54&amp;E55&amp;E56&amp;E57&amp;E58&amp;E59&amp;E60&amp;E61&amp;E62&amp;E63&amp;E64&amp;E65&amp;E66&amp;"],"</f>
        <v>"TP":[3,17,39,19,20,16,12,19,39,66,11,1,14,23,54,1,6],</v>
      </c>
      <c r="C28" s="16"/>
      <c r="D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2:25" ht="14.25" customHeight="1" x14ac:dyDescent="0.45">
      <c r="B29" s="16" t="str">
        <f>F49&amp;":["&amp;F50&amp;F51&amp;F52&amp;F53&amp;F54&amp;F55&amp;F56&amp;F57&amp;F58&amp;F59&amp;F60&amp;F61&amp;F62&amp;F63&amp;F64&amp;F65&amp;F66&amp;"],"</f>
        <v>"FPG":[0,0.89,3,1.36,0.5,0.76,0.3,0.07,0.94,0.84,0.15,0,0.53,0.8,1.58,0,0.31],</v>
      </c>
      <c r="C29" s="16"/>
      <c r="D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2:25" ht="14.25" customHeight="1" x14ac:dyDescent="0.45">
      <c r="B30" s="16" t="str">
        <f>G49&amp;":["&amp;G50&amp;G51&amp;G52&amp;G53&amp;G54&amp;G55&amp;G56&amp;G57&amp;G58&amp;G59&amp;G60&amp;G61&amp;G62&amp;G63&amp;G64&amp;G65&amp;G66&amp;"],"</f>
        <v>"TF":[0,16,36,19,9,13,6,1,17,16,3,0,9,16,30,0,4],</v>
      </c>
      <c r="C30" s="16"/>
      <c r="D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2:25" ht="14.25" customHeight="1" x14ac:dyDescent="0.45">
      <c r="B31" s="16" t="str">
        <f>H49&amp;":["&amp;H50&amp;H51&amp;H52&amp;H53&amp;H54&amp;H55&amp;H56&amp;H57&amp;H58&amp;H59&amp;H60&amp;H61&amp;H62&amp;H63&amp;H64&amp;H65&amp;H66&amp;"],"</f>
        <v>"MPG":[0.15,0.06,0.08,0,0.39,0.18,0.2,0.14,0.89,2.11,0.4,0.17,0.06,0.25,0.53,0.05,0],</v>
      </c>
      <c r="C31" s="16"/>
      <c r="D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2:25" ht="14.25" customHeight="1" x14ac:dyDescent="0.45">
      <c r="B32" s="16" t="str">
        <f>I49&amp;":["&amp;I50&amp;I51&amp;I52&amp;I53&amp;I54&amp;I55&amp;I56&amp;I57&amp;I58&amp;I59&amp;I60&amp;I61&amp;I62&amp;I63&amp;I64&amp;I65&amp;I66&amp;"],"</f>
        <v>"TM":[3,1,1,0,7,3,4,2,16,40,8,1,1,5,10,1,0],</v>
      </c>
      <c r="C32" s="16"/>
      <c r="D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2:23" ht="14.25" customHeight="1" x14ac:dyDescent="0.45">
      <c r="B33" s="16" t="str">
        <f>J49&amp;":["&amp;J50&amp;J51&amp;J52&amp;J53&amp;J54&amp;J55&amp;J56&amp;J57&amp;J58&amp;J59&amp;J60&amp;J61&amp;J62&amp;J63&amp;J64&amp;J65&amp;J66&amp;"],"</f>
        <v>"TPG":[0,0,0.08,0,0.11,0,0.05,0.57,0.17,0.26,0,0,0.12,0.05,0.37,0,0.08],</v>
      </c>
      <c r="C33" s="16"/>
      <c r="D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2:23" ht="14.25" customHeight="1" x14ac:dyDescent="0.45">
      <c r="B34" s="16" t="str">
        <f>K49&amp;":["&amp;K50&amp;K51&amp;K52&amp;K53&amp;K54&amp;K55&amp;K56&amp;K57&amp;K58&amp;K59&amp;K60&amp;K61&amp;K62&amp;K63&amp;K64&amp;K65&amp;K66&amp;"],"</f>
        <v>"TT":[0,0,1,0,2,0,1,8,3,5,0,0,2,1,7,0,1],</v>
      </c>
      <c r="C34" s="16"/>
      <c r="D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2:23" ht="14.25" customHeight="1" x14ac:dyDescent="0.45">
      <c r="B35" s="16" t="str">
        <f>L49&amp;":["&amp;L50&amp;L51&amp;L52&amp;L53&amp;L54&amp;L55&amp;L56&amp;L57&amp;L58&amp;L59&amp;L60&amp;L61&amp;L62&amp;L63&amp;L64&amp;L65&amp;L66&amp;"],"</f>
        <v>"Missed":[0,2,8,6,2,3,0,6,2,1,0,14,3,0,1,0,7],</v>
      </c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2:23" ht="14.25" customHeight="1" x14ac:dyDescent="0.45">
      <c r="B36" s="16" t="str">
        <f>M49&amp;":["&amp;M50&amp;M51&amp;M52&amp;M53&amp;M54&amp;M55&amp;M56&amp;M57&amp;M58&amp;M59&amp;M60&amp;M61&amp;M62&amp;M63&amp;M64&amp;M65&amp;M66&amp;"],"</f>
        <v>"AccoladesOne":["","","All-Defence Team T1","All-Offence Team T1","Playmaker T1","MVP Runner Up T1","Miles Morales","LTBO Manager","MVP T1","GM","Perimeter T1","LTBO Photographer","The Biggest Bird","MIP T1","LTBO CEO","Teammate T1","All-2nd-Defence Team T2"],</v>
      </c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2:23" ht="14.25" customHeight="1" x14ac:dyDescent="0.45">
      <c r="B37" s="16" t="str">
        <f>N49&amp;":["&amp;N50&amp;N51&amp;N52&amp;N53&amp;N54&amp;N55&amp;N56&amp;N57&amp;N58&amp;N59&amp;N60&amp;N61&amp;N62&amp;N63&amp;N64&amp;N65&amp;N66&amp;"],"</f>
        <v>"AccoladesTwo":["","","Champion T1","All-Defence Team T1","Thirdman T1","All-Offence Team T1","Champion T2","Champion T1","All-Offence Team T1","All-Offence Team T1","Champion T1","","Champion T1","MIP T2","GM","Champion T1","Champion T2"],</v>
      </c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2:23" ht="14.25" customHeight="1" x14ac:dyDescent="0.45">
      <c r="B38" s="16" t="str">
        <f>O49&amp;":["&amp;O50&amp;O51&amp;O52&amp;O53&amp;O54&amp;O55&amp;O56&amp;O57&amp;O58&amp;O59&amp;O60&amp;O61&amp;O62&amp;O63&amp;O64&amp;O65&amp;O66&amp;"],"</f>
        <v>"AccoladesThree":["","","All-Offence Team T2","Champion T1","All-Offence Team T2","All-2nd-Offence Team T2","","Finals MVP T1","All-Defence Team T1","All-Defence Team T1","","","MVP Runner Up T2","MVP T2","All-Offence Team T1","Teammate T2",""],</v>
      </c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2:23" ht="14.25" customHeight="1" x14ac:dyDescent="0.45">
      <c r="B39" s="16" t="str">
        <f>P49&amp;":["&amp;P50&amp;P51&amp;P52&amp;P53&amp;P54&amp;P55&amp;P56&amp;P57&amp;P58&amp;P59&amp;P60&amp;P61&amp;P62&amp;P63&amp;P64&amp;P65&amp;P66&amp;"],"</f>
        <v>"AccoladesFour":["","","All-Defence Team T2","All-Offence Team T2","All-2nd-Defence Team T2","","","Fifthman T2","All-2nd-Offence Team T2","All-Offence Team T2","","","X-Factor T2","All-2nd-Offence Team T2","All-Defence Team T1","",""],</v>
      </c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2:23" ht="14.25" customHeight="1" x14ac:dyDescent="0.45">
      <c r="B40" s="16" t="str">
        <f>Q49&amp;":["&amp;Q50&amp;Q51&amp;Q52&amp;Q53&amp;Q54&amp;Q55&amp;Q56&amp;Q57&amp;Q58&amp;Q59&amp;Q60&amp;Q61&amp;Q62&amp;Q63&amp;Q64&amp;Q65&amp;Q66&amp;"],"</f>
        <v>"AccoladesFive":["","","","All-Defence Team T2","","","","All-2nd-Offence Team T2","All-Defence Team T2","All-Defence Team T2","","","All-2nd-Offence Team T2","All-2nd-Defence Team T2","Scoring Champ T1","",""],</v>
      </c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2:23" ht="14.25" customHeight="1" x14ac:dyDescent="0.45">
      <c r="B41" s="16" t="str">
        <f>R49&amp;":["&amp;R50&amp;R51&amp;R52&amp;R53&amp;R54&amp;R55&amp;R56&amp;R57&amp;R58&amp;R59&amp;R60&amp;R61&amp;R62&amp;R63&amp;R64&amp;R65&amp;R66&amp;"],"</f>
        <v>"AccoladesSix":["","","","Scoring Champ T2","","","","All-2nd-Defence Team T2","Champion T2","","","","All-2nd-Defence Team T2","Champion T2","All-Offence Team T2","",""],</v>
      </c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2:23" ht="14.25" customHeight="1" x14ac:dyDescent="0.45">
      <c r="B42" s="16" t="str">
        <f>S49&amp;":["&amp;S50&amp;S51&amp;S52&amp;S53&amp;S54&amp;S55&amp;S56&amp;S57&amp;S58&amp;S59&amp;S60&amp;S61&amp;S62&amp;S63&amp;S64&amp;S65&amp;S66&amp;"],"</f>
        <v>"AccoladesSeven":["","","","GM","","","","Champion T2","Finals MVP T2","","","","","","All-Defence Team T2","",""],</v>
      </c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2:23" ht="14.25" customHeight="1" x14ac:dyDescent="0.45">
      <c r="B43" s="16" t="str">
        <f>T49&amp;":["&amp;T50&amp;T51&amp;T52&amp;T53&amp;T54&amp;T55&amp;T56&amp;T57&amp;T58&amp;T59&amp;T60&amp;T61&amp;T62&amp;T63&amp;T64&amp;T65&amp;T66&amp;"],"</f>
        <v>"AccoladesEight":["","","","","","","","","","","","","","","Champion T2","",""],</v>
      </c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2:23" ht="14.25" customHeight="1" x14ac:dyDescent="0.45">
      <c r="B44" s="16" t="str">
        <f>U49&amp;":["&amp;U50&amp;U51&amp;U52&amp;U53&amp;U54&amp;U55&amp;U56&amp;U57&amp;U58&amp;U59&amp;U60&amp;U61&amp;U62&amp;U63&amp;U64&amp;U65&amp;U66&amp;"],"</f>
        <v>"History":["Drafted by Loose Gooses","Drafted by Loose Gooses","Retained by 5 Musketeers","GM of Wet Willies","Retained by Wet Willies","Drafted by Wet Willies. Traded to 5 Musketeers","Drafted by 5 Musketeers","Out due to injury. Signed by Wet Willies","Retained by Loose Gooses","GM of 5 Musketeers","Drafted by Wet Willies","Drafted by Wet Willies. Traded to 5 Musketeers","Drafted by 5 Musketeers. Traded to Wet Willies","Drafted by Loose Gooses","GM of Loose Gooses","Drafted by Wet Willies. Dropped by Wet Willies. Signed by 5 Musketeers","Drafted by 5 Musketeers. Traded to Wet Willies"],</v>
      </c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2:23" ht="14.25" customHeight="1" x14ac:dyDescent="0.45">
      <c r="B45" s="16" t="str">
        <f>V49&amp;":["&amp;V50&amp;V51&amp;V52&amp;V53&amp;V54&amp;V55&amp;V56&amp;V57&amp;V58&amp;V59&amp;V60&amp;V61&amp;V62&amp;V63&amp;V64&amp;V65&amp;V66&amp;"],"</f>
        <v>"TeamImage":["../Images/LG_Final.png","../Images/LG_Final.png","../Images/5M_Final.png","../Images/WW_Final.png","../Images/WW_Final.png","../Images/5M_Final.png","../Images/5M_Final.png","../Images/WW_Final.png","../Images/LG_Final.png","../Images/5M_Final.png","../Images/WW_Final.png","../Images/5M_Final.png","../Images/WW_Final.png","../Images/LG_Final.png","../Images/LG_Final.png","../Images/5M_Final.png","../Images/WW_Final.png"],</v>
      </c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2:23" ht="14.25" customHeight="1" x14ac:dyDescent="0.45">
      <c r="B46" s="16" t="str">
        <f>W49&amp;":["&amp;W50&amp;W51&amp;W52&amp;W53&amp;W54&amp;W55&amp;W56&amp;W57&amp;W58&amp;W59&amp;W60&amp;W61&amp;W62&amp;W63&amp;W64&amp;W65&amp;W66&amp;"],"</f>
        <v>"PlayerImage":["../Images/Players/Jasper.png","../Images/Players/Conor.png","../Images/Players/Alex.png","../Images/Players/Rudy.png","../Images/Players/Michael.png","../Images/Players/Lukas.png","../Images/Players/SamJ.png","../Images/Players/Clarrie.png","../Images/Players/Kimmy.png","../Images/Players/SamM.png","../Images/Players/Ryan.png","../Images/Players/Will.png","../Images/Players/Nick.png","../Images/Players/Chris.png","../Images/Players/Angus.png","../Images/Players/Willie.png","../Images/Players/Mitch.png"],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2:23" ht="14.25" customHeight="1" x14ac:dyDescent="0.45">
      <c r="B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2:23" ht="14.25" customHeight="1" x14ac:dyDescent="0.4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2:23" ht="14.25" customHeight="1" x14ac:dyDescent="0.45">
      <c r="B49" s="17" t="str">
        <f>CHAR(34)&amp;B2&amp;CHAR(34)</f>
        <v>"Name"</v>
      </c>
      <c r="C49" s="17" t="str">
        <f>CHAR(34)&amp;C2&amp;CHAR(34)</f>
        <v>"Team"</v>
      </c>
      <c r="D49" s="17" t="str">
        <f>CHAR(34)&amp;"PPG"&amp;CHAR(34)</f>
        <v>"PPG"</v>
      </c>
      <c r="E49" s="17" t="str">
        <f>CHAR(34)&amp;"TP"&amp;CHAR(34)</f>
        <v>"TP"</v>
      </c>
      <c r="F49" s="17" t="str">
        <f>CHAR(34)&amp;"FPG"&amp;CHAR(34)</f>
        <v>"FPG"</v>
      </c>
      <c r="G49" s="17" t="str">
        <f>CHAR(34)&amp;"TF"&amp;CHAR(34)</f>
        <v>"TF"</v>
      </c>
      <c r="H49" s="17" t="str">
        <f>CHAR(34)&amp;"MPG"&amp;CHAR(34)</f>
        <v>"MPG"</v>
      </c>
      <c r="I49" s="17" t="str">
        <f>CHAR(34)&amp;"TM"&amp;CHAR(34)</f>
        <v>"TM"</v>
      </c>
      <c r="J49" s="17" t="str">
        <f>CHAR(34)&amp;"TPG"&amp;CHAR(34)</f>
        <v>"TPG"</v>
      </c>
      <c r="K49" s="17" t="str">
        <f>CHAR(34)&amp;"TT"&amp;CHAR(34)</f>
        <v>"TT"</v>
      </c>
      <c r="L49" s="17" t="str">
        <f>CHAR(34)&amp;"Missed"&amp;CHAR(34)</f>
        <v>"Missed"</v>
      </c>
      <c r="M49" s="17" t="str">
        <f t="shared" ref="M49:W49" si="2">CHAR(34)&amp;M2&amp;CHAR(34)</f>
        <v>"AccoladesOne"</v>
      </c>
      <c r="N49" s="17" t="str">
        <f t="shared" si="2"/>
        <v>"AccoladesTwo"</v>
      </c>
      <c r="O49" s="17" t="str">
        <f t="shared" si="2"/>
        <v>"AccoladesThree"</v>
      </c>
      <c r="P49" s="17" t="str">
        <f t="shared" si="2"/>
        <v>"AccoladesFour"</v>
      </c>
      <c r="Q49" s="17" t="str">
        <f t="shared" si="2"/>
        <v>"AccoladesFive"</v>
      </c>
      <c r="R49" s="17" t="str">
        <f t="shared" si="2"/>
        <v>"AccoladesSix"</v>
      </c>
      <c r="S49" s="17" t="str">
        <f t="shared" si="2"/>
        <v>"AccoladesSeven"</v>
      </c>
      <c r="T49" s="17" t="str">
        <f t="shared" si="2"/>
        <v>"AccoladesEight"</v>
      </c>
      <c r="U49" s="17" t="str">
        <f t="shared" si="2"/>
        <v>"History"</v>
      </c>
      <c r="V49" s="17" t="str">
        <f t="shared" si="2"/>
        <v>"TeamImage"</v>
      </c>
      <c r="W49" s="17" t="str">
        <f t="shared" si="2"/>
        <v>"PlayerImage"</v>
      </c>
    </row>
    <row r="50" spans="2:23" ht="14.25" customHeight="1" x14ac:dyDescent="0.45">
      <c r="B50" s="17" t="str">
        <f t="shared" ref="B50:C65" si="3">CHAR(34)&amp;B3&amp;CHAR(34)&amp;","</f>
        <v>"Jasper Collier",</v>
      </c>
      <c r="C50" s="17" t="str">
        <f t="shared" si="3"/>
        <v>"Loose Gooses",</v>
      </c>
      <c r="D50" s="17" t="str">
        <f t="shared" ref="D50:D65" si="4">ROUND(D3,2)&amp;","</f>
        <v>0.15,</v>
      </c>
      <c r="E50" s="17" t="str">
        <f t="shared" ref="E50:E65" si="5">E3&amp;","</f>
        <v>3,</v>
      </c>
      <c r="F50" s="17" t="str">
        <f t="shared" ref="F50:F65" si="6">ROUND(F3,2)&amp;","</f>
        <v>0,</v>
      </c>
      <c r="G50" s="17" t="str">
        <f t="shared" ref="G50:G65" si="7">G3&amp;","</f>
        <v>0,</v>
      </c>
      <c r="H50" s="17" t="str">
        <f t="shared" ref="H50:H65" si="8">ROUND(H3,2)&amp;","</f>
        <v>0.15,</v>
      </c>
      <c r="I50" s="17" t="str">
        <f t="shared" ref="I50:I65" si="9">I3&amp;","</f>
        <v>3,</v>
      </c>
      <c r="J50" s="17" t="str">
        <f t="shared" ref="J50:J65" si="10">ROUND(J3,2)&amp;","</f>
        <v>0,</v>
      </c>
      <c r="K50" s="17" t="str">
        <f t="shared" ref="K50:L65" si="11">K3&amp;","</f>
        <v>0,</v>
      </c>
      <c r="L50" s="17" t="str">
        <f t="shared" si="11"/>
        <v>0,</v>
      </c>
      <c r="M50" s="17" t="str">
        <f t="shared" ref="M50:W50" si="12">CHAR(34)&amp;M3&amp;CHAR(34)&amp;","</f>
        <v>"",</v>
      </c>
      <c r="N50" s="17" t="str">
        <f t="shared" si="12"/>
        <v>"",</v>
      </c>
      <c r="O50" s="17" t="str">
        <f t="shared" si="12"/>
        <v>"",</v>
      </c>
      <c r="P50" s="17" t="str">
        <f t="shared" si="12"/>
        <v>"",</v>
      </c>
      <c r="Q50" s="17" t="str">
        <f t="shared" si="12"/>
        <v>"",</v>
      </c>
      <c r="R50" s="17" t="str">
        <f t="shared" si="12"/>
        <v>"",</v>
      </c>
      <c r="S50" s="17" t="str">
        <f t="shared" si="12"/>
        <v>"",</v>
      </c>
      <c r="T50" s="17" t="str">
        <f t="shared" si="12"/>
        <v>"",</v>
      </c>
      <c r="U50" s="17" t="str">
        <f t="shared" si="12"/>
        <v>"Drafted by Loose Gooses",</v>
      </c>
      <c r="V50" s="17" t="str">
        <f t="shared" si="12"/>
        <v>"../Images/LG_Final.png",</v>
      </c>
      <c r="W50" s="17" t="str">
        <f t="shared" si="12"/>
        <v>"../Images/Players/Jasper.png",</v>
      </c>
    </row>
    <row r="51" spans="2:23" ht="14.25" customHeight="1" x14ac:dyDescent="0.45">
      <c r="B51" s="17" t="str">
        <f t="shared" si="3"/>
        <v>"Conor Farrington",</v>
      </c>
      <c r="C51" s="17" t="str">
        <f t="shared" si="3"/>
        <v>"Loose Gooses",</v>
      </c>
      <c r="D51" s="17" t="str">
        <f t="shared" si="4"/>
        <v>0.94,</v>
      </c>
      <c r="E51" s="17" t="str">
        <f t="shared" si="5"/>
        <v>17,</v>
      </c>
      <c r="F51" s="17" t="str">
        <f t="shared" si="6"/>
        <v>0.89,</v>
      </c>
      <c r="G51" s="17" t="str">
        <f t="shared" si="7"/>
        <v>16,</v>
      </c>
      <c r="H51" s="17" t="str">
        <f t="shared" si="8"/>
        <v>0.06,</v>
      </c>
      <c r="I51" s="17" t="str">
        <f t="shared" si="9"/>
        <v>1,</v>
      </c>
      <c r="J51" s="17" t="str">
        <f t="shared" si="10"/>
        <v>0,</v>
      </c>
      <c r="K51" s="17" t="str">
        <f t="shared" si="11"/>
        <v>0,</v>
      </c>
      <c r="L51" s="17" t="str">
        <f t="shared" si="11"/>
        <v>2,</v>
      </c>
      <c r="M51" s="17" t="str">
        <f t="shared" ref="M51:W51" si="13">CHAR(34)&amp;M4&amp;CHAR(34)&amp;","</f>
        <v>"",</v>
      </c>
      <c r="N51" s="17" t="str">
        <f t="shared" si="13"/>
        <v>"",</v>
      </c>
      <c r="O51" s="17" t="str">
        <f t="shared" si="13"/>
        <v>"",</v>
      </c>
      <c r="P51" s="17" t="str">
        <f t="shared" si="13"/>
        <v>"",</v>
      </c>
      <c r="Q51" s="17" t="str">
        <f t="shared" si="13"/>
        <v>"",</v>
      </c>
      <c r="R51" s="17" t="str">
        <f t="shared" si="13"/>
        <v>"",</v>
      </c>
      <c r="S51" s="17" t="str">
        <f t="shared" si="13"/>
        <v>"",</v>
      </c>
      <c r="T51" s="17" t="str">
        <f t="shared" si="13"/>
        <v>"",</v>
      </c>
      <c r="U51" s="17" t="str">
        <f t="shared" si="13"/>
        <v>"Drafted by Loose Gooses",</v>
      </c>
      <c r="V51" s="17" t="str">
        <f t="shared" si="13"/>
        <v>"../Images/LG_Final.png",</v>
      </c>
      <c r="W51" s="17" t="str">
        <f t="shared" si="13"/>
        <v>"../Images/Players/Conor.png",</v>
      </c>
    </row>
    <row r="52" spans="2:23" ht="14.25" customHeight="1" x14ac:dyDescent="0.45">
      <c r="B52" s="17" t="str">
        <f t="shared" si="3"/>
        <v>"Alexander Galt",</v>
      </c>
      <c r="C52" s="17" t="str">
        <f t="shared" si="3"/>
        <v>"5 Musketeers",</v>
      </c>
      <c r="D52" s="17" t="str">
        <f t="shared" si="4"/>
        <v>3.25,</v>
      </c>
      <c r="E52" s="17" t="str">
        <f t="shared" si="5"/>
        <v>39,</v>
      </c>
      <c r="F52" s="17" t="str">
        <f t="shared" si="6"/>
        <v>3,</v>
      </c>
      <c r="G52" s="17" t="str">
        <f t="shared" si="7"/>
        <v>36,</v>
      </c>
      <c r="H52" s="17" t="str">
        <f t="shared" si="8"/>
        <v>0.08,</v>
      </c>
      <c r="I52" s="17" t="str">
        <f t="shared" si="9"/>
        <v>1,</v>
      </c>
      <c r="J52" s="17" t="str">
        <f t="shared" si="10"/>
        <v>0.08,</v>
      </c>
      <c r="K52" s="17" t="str">
        <f t="shared" si="11"/>
        <v>1,</v>
      </c>
      <c r="L52" s="17" t="str">
        <f t="shared" si="11"/>
        <v>8,</v>
      </c>
      <c r="M52" s="17" t="str">
        <f t="shared" ref="M52:W52" si="14">CHAR(34)&amp;M5&amp;CHAR(34)&amp;","</f>
        <v>"All-Defence Team T1",</v>
      </c>
      <c r="N52" s="17" t="str">
        <f t="shared" si="14"/>
        <v>"Champion T1",</v>
      </c>
      <c r="O52" s="17" t="str">
        <f t="shared" si="14"/>
        <v>"All-Offence Team T2",</v>
      </c>
      <c r="P52" s="17" t="str">
        <f t="shared" si="14"/>
        <v>"All-Defence Team T2",</v>
      </c>
      <c r="Q52" s="17" t="str">
        <f t="shared" si="14"/>
        <v>"",</v>
      </c>
      <c r="R52" s="17" t="str">
        <f t="shared" si="14"/>
        <v>"",</v>
      </c>
      <c r="S52" s="17" t="str">
        <f t="shared" si="14"/>
        <v>"",</v>
      </c>
      <c r="T52" s="17" t="str">
        <f t="shared" si="14"/>
        <v>"",</v>
      </c>
      <c r="U52" s="17" t="str">
        <f t="shared" si="14"/>
        <v>"Retained by 5 Musketeers",</v>
      </c>
      <c r="V52" s="17" t="str">
        <f t="shared" si="14"/>
        <v>"../Images/5M_Final.png",</v>
      </c>
      <c r="W52" s="17" t="str">
        <f t="shared" si="14"/>
        <v>"../Images/Players/Alex.png",</v>
      </c>
    </row>
    <row r="53" spans="2:23" ht="14.25" customHeight="1" x14ac:dyDescent="0.45">
      <c r="B53" s="17" t="str">
        <f t="shared" si="3"/>
        <v>"Rudy Hoschke",</v>
      </c>
      <c r="C53" s="17" t="str">
        <f t="shared" si="3"/>
        <v>"Wet Willies",</v>
      </c>
      <c r="D53" s="17" t="str">
        <f t="shared" si="4"/>
        <v>1.36,</v>
      </c>
      <c r="E53" s="17" t="str">
        <f t="shared" si="5"/>
        <v>19,</v>
      </c>
      <c r="F53" s="17" t="str">
        <f t="shared" si="6"/>
        <v>1.36,</v>
      </c>
      <c r="G53" s="17" t="str">
        <f t="shared" si="7"/>
        <v>19,</v>
      </c>
      <c r="H53" s="17" t="str">
        <f t="shared" si="8"/>
        <v>0,</v>
      </c>
      <c r="I53" s="17" t="str">
        <f t="shared" si="9"/>
        <v>0,</v>
      </c>
      <c r="J53" s="17" t="str">
        <f t="shared" si="10"/>
        <v>0,</v>
      </c>
      <c r="K53" s="17" t="str">
        <f t="shared" si="11"/>
        <v>0,</v>
      </c>
      <c r="L53" s="17" t="str">
        <f t="shared" si="11"/>
        <v>6,</v>
      </c>
      <c r="M53" s="17" t="str">
        <f t="shared" ref="M53:W53" si="15">CHAR(34)&amp;M6&amp;CHAR(34)&amp;","</f>
        <v>"All-Offence Team T1",</v>
      </c>
      <c r="N53" s="17" t="str">
        <f t="shared" si="15"/>
        <v>"All-Defence Team T1",</v>
      </c>
      <c r="O53" s="17" t="str">
        <f t="shared" si="15"/>
        <v>"Champion T1",</v>
      </c>
      <c r="P53" s="17" t="str">
        <f t="shared" si="15"/>
        <v>"All-Offence Team T2",</v>
      </c>
      <c r="Q53" s="17" t="str">
        <f t="shared" si="15"/>
        <v>"All-Defence Team T2",</v>
      </c>
      <c r="R53" s="17" t="str">
        <f t="shared" si="15"/>
        <v>"Scoring Champ T2",</v>
      </c>
      <c r="S53" s="17" t="str">
        <f t="shared" si="15"/>
        <v>"GM",</v>
      </c>
      <c r="T53" s="17" t="str">
        <f t="shared" si="15"/>
        <v>"",</v>
      </c>
      <c r="U53" s="17" t="str">
        <f t="shared" si="15"/>
        <v>"GM of Wet Willies",</v>
      </c>
      <c r="V53" s="17" t="str">
        <f t="shared" si="15"/>
        <v>"../Images/WW_Final.png",</v>
      </c>
      <c r="W53" s="17" t="str">
        <f t="shared" si="15"/>
        <v>"../Images/Players/Rudy.png",</v>
      </c>
    </row>
    <row r="54" spans="2:23" ht="14.25" customHeight="1" x14ac:dyDescent="0.45">
      <c r="B54" s="17" t="str">
        <f t="shared" si="3"/>
        <v>"Michael Iffland",</v>
      </c>
      <c r="C54" s="17" t="str">
        <f t="shared" si="3"/>
        <v>"Wet Willies",</v>
      </c>
      <c r="D54" s="17" t="str">
        <f t="shared" si="4"/>
        <v>1.11,</v>
      </c>
      <c r="E54" s="17" t="str">
        <f t="shared" si="5"/>
        <v>20,</v>
      </c>
      <c r="F54" s="17" t="str">
        <f t="shared" si="6"/>
        <v>0.5,</v>
      </c>
      <c r="G54" s="17" t="str">
        <f t="shared" si="7"/>
        <v>9,</v>
      </c>
      <c r="H54" s="17" t="str">
        <f t="shared" si="8"/>
        <v>0.39,</v>
      </c>
      <c r="I54" s="17" t="str">
        <f t="shared" si="9"/>
        <v>7,</v>
      </c>
      <c r="J54" s="17" t="str">
        <f t="shared" si="10"/>
        <v>0.11,</v>
      </c>
      <c r="K54" s="17" t="str">
        <f t="shared" si="11"/>
        <v>2,</v>
      </c>
      <c r="L54" s="17" t="str">
        <f t="shared" si="11"/>
        <v>2,</v>
      </c>
      <c r="M54" s="17" t="str">
        <f t="shared" ref="M54:W54" si="16">CHAR(34)&amp;M7&amp;CHAR(34)&amp;","</f>
        <v>"Playmaker T1",</v>
      </c>
      <c r="N54" s="17" t="str">
        <f t="shared" si="16"/>
        <v>"Thirdman T1",</v>
      </c>
      <c r="O54" s="17" t="str">
        <f t="shared" si="16"/>
        <v>"All-Offence Team T2",</v>
      </c>
      <c r="P54" s="17" t="str">
        <f t="shared" si="16"/>
        <v>"All-2nd-Defence Team T2",</v>
      </c>
      <c r="Q54" s="17" t="str">
        <f t="shared" si="16"/>
        <v>"",</v>
      </c>
      <c r="R54" s="17" t="str">
        <f t="shared" si="16"/>
        <v>"",</v>
      </c>
      <c r="S54" s="17" t="str">
        <f t="shared" si="16"/>
        <v>"",</v>
      </c>
      <c r="T54" s="17" t="str">
        <f t="shared" si="16"/>
        <v>"",</v>
      </c>
      <c r="U54" s="17" t="str">
        <f t="shared" si="16"/>
        <v>"Retained by Wet Willies",</v>
      </c>
      <c r="V54" s="17" t="str">
        <f t="shared" si="16"/>
        <v>"../Images/WW_Final.png",</v>
      </c>
      <c r="W54" s="17" t="str">
        <f t="shared" si="16"/>
        <v>"../Images/Players/Michael.png",</v>
      </c>
    </row>
    <row r="55" spans="2:23" ht="14.25" customHeight="1" x14ac:dyDescent="0.45">
      <c r="B55" s="17" t="str">
        <f t="shared" si="3"/>
        <v>"Lukas Johnston",</v>
      </c>
      <c r="C55" s="17" t="str">
        <f t="shared" si="3"/>
        <v>"5 Musketeers",</v>
      </c>
      <c r="D55" s="17" t="str">
        <f t="shared" si="4"/>
        <v>0.94,</v>
      </c>
      <c r="E55" s="17" t="str">
        <f t="shared" si="5"/>
        <v>16,</v>
      </c>
      <c r="F55" s="17" t="str">
        <f t="shared" si="6"/>
        <v>0.76,</v>
      </c>
      <c r="G55" s="17" t="str">
        <f t="shared" si="7"/>
        <v>13,</v>
      </c>
      <c r="H55" s="17" t="str">
        <f t="shared" si="8"/>
        <v>0.18,</v>
      </c>
      <c r="I55" s="17" t="str">
        <f t="shared" si="9"/>
        <v>3,</v>
      </c>
      <c r="J55" s="17" t="str">
        <f t="shared" si="10"/>
        <v>0,</v>
      </c>
      <c r="K55" s="17" t="str">
        <f t="shared" si="11"/>
        <v>0,</v>
      </c>
      <c r="L55" s="17" t="str">
        <f t="shared" si="11"/>
        <v>3,</v>
      </c>
      <c r="M55" s="17" t="str">
        <f t="shared" ref="M55:W55" si="17">CHAR(34)&amp;M8&amp;CHAR(34)&amp;","</f>
        <v>"MVP Runner Up T1",</v>
      </c>
      <c r="N55" s="17" t="str">
        <f t="shared" si="17"/>
        <v>"All-Offence Team T1",</v>
      </c>
      <c r="O55" s="17" t="str">
        <f t="shared" si="17"/>
        <v>"All-2nd-Offence Team T2",</v>
      </c>
      <c r="P55" s="17" t="str">
        <f t="shared" si="17"/>
        <v>"",</v>
      </c>
      <c r="Q55" s="17" t="str">
        <f t="shared" si="17"/>
        <v>"",</v>
      </c>
      <c r="R55" s="17" t="str">
        <f t="shared" si="17"/>
        <v>"",</v>
      </c>
      <c r="S55" s="17" t="str">
        <f t="shared" si="17"/>
        <v>"",</v>
      </c>
      <c r="T55" s="17" t="str">
        <f t="shared" si="17"/>
        <v>"",</v>
      </c>
      <c r="U55" s="17" t="str">
        <f t="shared" si="17"/>
        <v>"Drafted by Wet Willies. Traded to 5 Musketeers",</v>
      </c>
      <c r="V55" s="17" t="str">
        <f t="shared" si="17"/>
        <v>"../Images/5M_Final.png",</v>
      </c>
      <c r="W55" s="17" t="str">
        <f t="shared" si="17"/>
        <v>"../Images/Players/Lukas.png",</v>
      </c>
    </row>
    <row r="56" spans="2:23" ht="14.25" customHeight="1" x14ac:dyDescent="0.45">
      <c r="B56" s="17" t="str">
        <f t="shared" si="3"/>
        <v>"Sam James",</v>
      </c>
      <c r="C56" s="17" t="str">
        <f t="shared" si="3"/>
        <v>"5 Musketeers",</v>
      </c>
      <c r="D56" s="17" t="str">
        <f t="shared" si="4"/>
        <v>0.6,</v>
      </c>
      <c r="E56" s="17" t="str">
        <f t="shared" si="5"/>
        <v>12,</v>
      </c>
      <c r="F56" s="17" t="str">
        <f t="shared" si="6"/>
        <v>0.3,</v>
      </c>
      <c r="G56" s="17" t="str">
        <f t="shared" si="7"/>
        <v>6,</v>
      </c>
      <c r="H56" s="17" t="str">
        <f t="shared" si="8"/>
        <v>0.2,</v>
      </c>
      <c r="I56" s="17" t="str">
        <f t="shared" si="9"/>
        <v>4,</v>
      </c>
      <c r="J56" s="17" t="str">
        <f t="shared" si="10"/>
        <v>0.05,</v>
      </c>
      <c r="K56" s="17" t="str">
        <f t="shared" si="11"/>
        <v>1,</v>
      </c>
      <c r="L56" s="17" t="str">
        <f t="shared" si="11"/>
        <v>0,</v>
      </c>
      <c r="M56" s="17" t="str">
        <f t="shared" ref="M56:W56" si="18">CHAR(34)&amp;M9&amp;CHAR(34)&amp;","</f>
        <v>"Miles Morales",</v>
      </c>
      <c r="N56" s="17" t="str">
        <f t="shared" si="18"/>
        <v>"Champion T2",</v>
      </c>
      <c r="O56" s="17" t="str">
        <f t="shared" si="18"/>
        <v>"",</v>
      </c>
      <c r="P56" s="17" t="str">
        <f t="shared" si="18"/>
        <v>"",</v>
      </c>
      <c r="Q56" s="17" t="str">
        <f t="shared" si="18"/>
        <v>"",</v>
      </c>
      <c r="R56" s="17" t="str">
        <f t="shared" si="18"/>
        <v>"",</v>
      </c>
      <c r="S56" s="17" t="str">
        <f t="shared" si="18"/>
        <v>"",</v>
      </c>
      <c r="T56" s="17" t="str">
        <f t="shared" si="18"/>
        <v>"",</v>
      </c>
      <c r="U56" s="17" t="str">
        <f t="shared" si="18"/>
        <v>"Drafted by 5 Musketeers",</v>
      </c>
      <c r="V56" s="17" t="str">
        <f t="shared" si="18"/>
        <v>"../Images/5M_Final.png",</v>
      </c>
      <c r="W56" s="17" t="str">
        <f t="shared" si="18"/>
        <v>"../Images/Players/SamJ.png",</v>
      </c>
    </row>
    <row r="57" spans="2:23" ht="14.25" customHeight="1" x14ac:dyDescent="0.45">
      <c r="B57" s="17" t="str">
        <f t="shared" si="3"/>
        <v>"Clarrie Jones",</v>
      </c>
      <c r="C57" s="17" t="str">
        <f t="shared" si="3"/>
        <v>"Wet Willies",</v>
      </c>
      <c r="D57" s="17" t="str">
        <f t="shared" si="4"/>
        <v>1.36,</v>
      </c>
      <c r="E57" s="17" t="str">
        <f t="shared" si="5"/>
        <v>19,</v>
      </c>
      <c r="F57" s="17" t="str">
        <f t="shared" si="6"/>
        <v>0.07,</v>
      </c>
      <c r="G57" s="17" t="str">
        <f t="shared" si="7"/>
        <v>1,</v>
      </c>
      <c r="H57" s="17" t="str">
        <f t="shared" si="8"/>
        <v>0.14,</v>
      </c>
      <c r="I57" s="17" t="str">
        <f t="shared" si="9"/>
        <v>2,</v>
      </c>
      <c r="J57" s="17" t="str">
        <f t="shared" si="10"/>
        <v>0.57,</v>
      </c>
      <c r="K57" s="17" t="str">
        <f t="shared" si="11"/>
        <v>8,</v>
      </c>
      <c r="L57" s="17" t="str">
        <f t="shared" si="11"/>
        <v>6,</v>
      </c>
      <c r="M57" s="17" t="str">
        <f t="shared" ref="M57:W57" si="19">CHAR(34)&amp;M10&amp;CHAR(34)&amp;","</f>
        <v>"LTBO Manager",</v>
      </c>
      <c r="N57" s="17" t="str">
        <f t="shared" si="19"/>
        <v>"Champion T1",</v>
      </c>
      <c r="O57" s="17" t="str">
        <f t="shared" si="19"/>
        <v>"Finals MVP T1",</v>
      </c>
      <c r="P57" s="17" t="str">
        <f t="shared" si="19"/>
        <v>"Fifthman T2",</v>
      </c>
      <c r="Q57" s="17" t="str">
        <f t="shared" si="19"/>
        <v>"All-2nd-Offence Team T2",</v>
      </c>
      <c r="R57" s="17" t="str">
        <f t="shared" si="19"/>
        <v>"All-2nd-Defence Team T2",</v>
      </c>
      <c r="S57" s="17" t="str">
        <f t="shared" si="19"/>
        <v>"Champion T2",</v>
      </c>
      <c r="T57" s="17" t="str">
        <f t="shared" si="19"/>
        <v>"",</v>
      </c>
      <c r="U57" s="17" t="str">
        <f t="shared" si="19"/>
        <v>"Out due to injury. Signed by Wet Willies",</v>
      </c>
      <c r="V57" s="17" t="str">
        <f t="shared" si="19"/>
        <v>"../Images/WW_Final.png",</v>
      </c>
      <c r="W57" s="17" t="str">
        <f t="shared" si="19"/>
        <v>"../Images/Players/Clarrie.png",</v>
      </c>
    </row>
    <row r="58" spans="2:23" ht="14.25" customHeight="1" x14ac:dyDescent="0.45">
      <c r="B58" s="17" t="str">
        <f t="shared" si="3"/>
        <v>"William Kim",</v>
      </c>
      <c r="C58" s="17" t="str">
        <f t="shared" si="3"/>
        <v>"Loose Gooses",</v>
      </c>
      <c r="D58" s="17" t="str">
        <f t="shared" si="4"/>
        <v>2.17,</v>
      </c>
      <c r="E58" s="17" t="str">
        <f t="shared" si="5"/>
        <v>39,</v>
      </c>
      <c r="F58" s="17" t="str">
        <f t="shared" si="6"/>
        <v>0.94,</v>
      </c>
      <c r="G58" s="17" t="str">
        <f t="shared" si="7"/>
        <v>17,</v>
      </c>
      <c r="H58" s="17" t="str">
        <f t="shared" si="8"/>
        <v>0.89,</v>
      </c>
      <c r="I58" s="17" t="str">
        <f t="shared" si="9"/>
        <v>16,</v>
      </c>
      <c r="J58" s="17" t="str">
        <f t="shared" si="10"/>
        <v>0.17,</v>
      </c>
      <c r="K58" s="17" t="str">
        <f t="shared" si="11"/>
        <v>3,</v>
      </c>
      <c r="L58" s="17" t="str">
        <f t="shared" si="11"/>
        <v>2,</v>
      </c>
      <c r="M58" s="17" t="str">
        <f t="shared" ref="M58:W58" si="20">CHAR(34)&amp;M11&amp;CHAR(34)&amp;","</f>
        <v>"MVP T1",</v>
      </c>
      <c r="N58" s="17" t="str">
        <f t="shared" si="20"/>
        <v>"All-Offence Team T1",</v>
      </c>
      <c r="O58" s="17" t="str">
        <f t="shared" si="20"/>
        <v>"All-Defence Team T1",</v>
      </c>
      <c r="P58" s="17" t="str">
        <f t="shared" si="20"/>
        <v>"All-2nd-Offence Team T2",</v>
      </c>
      <c r="Q58" s="17" t="str">
        <f t="shared" si="20"/>
        <v>"All-Defence Team T2",</v>
      </c>
      <c r="R58" s="17" t="str">
        <f t="shared" si="20"/>
        <v>"Champion T2",</v>
      </c>
      <c r="S58" s="17" t="str">
        <f t="shared" si="20"/>
        <v>"Finals MVP T2",</v>
      </c>
      <c r="T58" s="17" t="str">
        <f t="shared" si="20"/>
        <v>"",</v>
      </c>
      <c r="U58" s="17" t="str">
        <f t="shared" si="20"/>
        <v>"Retained by Loose Gooses",</v>
      </c>
      <c r="V58" s="17" t="str">
        <f t="shared" si="20"/>
        <v>"../Images/LG_Final.png",</v>
      </c>
      <c r="W58" s="17" t="str">
        <f t="shared" si="20"/>
        <v>"../Images/Players/Kimmy.png",</v>
      </c>
    </row>
    <row r="59" spans="2:23" ht="14.25" customHeight="1" x14ac:dyDescent="0.45">
      <c r="B59" s="17" t="str">
        <f t="shared" si="3"/>
        <v>"Samuel McConaghy",</v>
      </c>
      <c r="C59" s="17" t="str">
        <f t="shared" si="3"/>
        <v>"5 Musketeers",</v>
      </c>
      <c r="D59" s="17" t="str">
        <f t="shared" si="4"/>
        <v>3.47,</v>
      </c>
      <c r="E59" s="17" t="str">
        <f t="shared" si="5"/>
        <v>66,</v>
      </c>
      <c r="F59" s="17" t="str">
        <f t="shared" si="6"/>
        <v>0.84,</v>
      </c>
      <c r="G59" s="17" t="str">
        <f t="shared" si="7"/>
        <v>16,</v>
      </c>
      <c r="H59" s="17" t="str">
        <f t="shared" si="8"/>
        <v>2.11,</v>
      </c>
      <c r="I59" s="17" t="str">
        <f t="shared" si="9"/>
        <v>40,</v>
      </c>
      <c r="J59" s="17" t="str">
        <f t="shared" si="10"/>
        <v>0.26,</v>
      </c>
      <c r="K59" s="17" t="str">
        <f t="shared" si="11"/>
        <v>5,</v>
      </c>
      <c r="L59" s="17" t="str">
        <f t="shared" si="11"/>
        <v>1,</v>
      </c>
      <c r="M59" s="17" t="str">
        <f t="shared" ref="M59:W59" si="21">CHAR(34)&amp;M12&amp;CHAR(34)&amp;","</f>
        <v>"GM",</v>
      </c>
      <c r="N59" s="17" t="str">
        <f t="shared" si="21"/>
        <v>"All-Offence Team T1",</v>
      </c>
      <c r="O59" s="17" t="str">
        <f t="shared" si="21"/>
        <v>"All-Defence Team T1",</v>
      </c>
      <c r="P59" s="17" t="str">
        <f t="shared" si="21"/>
        <v>"All-Offence Team T2",</v>
      </c>
      <c r="Q59" s="17" t="str">
        <f t="shared" si="21"/>
        <v>"All-Defence Team T2",</v>
      </c>
      <c r="R59" s="17" t="str">
        <f t="shared" si="21"/>
        <v>"",</v>
      </c>
      <c r="S59" s="17" t="str">
        <f t="shared" si="21"/>
        <v>"",</v>
      </c>
      <c r="T59" s="17" t="str">
        <f t="shared" si="21"/>
        <v>"",</v>
      </c>
      <c r="U59" s="17" t="str">
        <f t="shared" si="21"/>
        <v>"GM of 5 Musketeers",</v>
      </c>
      <c r="V59" s="17" t="str">
        <f t="shared" si="21"/>
        <v>"../Images/5M_Final.png",</v>
      </c>
      <c r="W59" s="17" t="str">
        <f t="shared" si="21"/>
        <v>"../Images/Players/SamM.png",</v>
      </c>
    </row>
    <row r="60" spans="2:23" ht="14.25" customHeight="1" x14ac:dyDescent="0.45">
      <c r="B60" s="17" t="str">
        <f t="shared" si="3"/>
        <v>"Ryan Pattemore",</v>
      </c>
      <c r="C60" s="17" t="str">
        <f t="shared" si="3"/>
        <v>"Wet Willies",</v>
      </c>
      <c r="D60" s="17" t="str">
        <f t="shared" si="4"/>
        <v>0.55,</v>
      </c>
      <c r="E60" s="17" t="str">
        <f t="shared" si="5"/>
        <v>11,</v>
      </c>
      <c r="F60" s="17" t="str">
        <f t="shared" si="6"/>
        <v>0.15,</v>
      </c>
      <c r="G60" s="17" t="str">
        <f t="shared" si="7"/>
        <v>3,</v>
      </c>
      <c r="H60" s="17" t="str">
        <f t="shared" si="8"/>
        <v>0.4,</v>
      </c>
      <c r="I60" s="17" t="str">
        <f t="shared" si="9"/>
        <v>8,</v>
      </c>
      <c r="J60" s="17" t="str">
        <f t="shared" si="10"/>
        <v>0,</v>
      </c>
      <c r="K60" s="17" t="str">
        <f t="shared" si="11"/>
        <v>0,</v>
      </c>
      <c r="L60" s="17" t="str">
        <f t="shared" si="11"/>
        <v>0,</v>
      </c>
      <c r="M60" s="17" t="str">
        <f t="shared" ref="M60:W60" si="22">CHAR(34)&amp;M13&amp;CHAR(34)&amp;","</f>
        <v>"Perimeter T1",</v>
      </c>
      <c r="N60" s="17" t="str">
        <f t="shared" si="22"/>
        <v>"Champion T1",</v>
      </c>
      <c r="O60" s="17" t="str">
        <f t="shared" si="22"/>
        <v>"",</v>
      </c>
      <c r="P60" s="17" t="str">
        <f t="shared" si="22"/>
        <v>"",</v>
      </c>
      <c r="Q60" s="17" t="str">
        <f t="shared" si="22"/>
        <v>"",</v>
      </c>
      <c r="R60" s="17" t="str">
        <f t="shared" si="22"/>
        <v>"",</v>
      </c>
      <c r="S60" s="17" t="str">
        <f t="shared" si="22"/>
        <v>"",</v>
      </c>
      <c r="T60" s="17" t="str">
        <f t="shared" si="22"/>
        <v>"",</v>
      </c>
      <c r="U60" s="17" t="str">
        <f t="shared" si="22"/>
        <v>"Drafted by Wet Willies",</v>
      </c>
      <c r="V60" s="17" t="str">
        <f t="shared" si="22"/>
        <v>"../Images/WW_Final.png",</v>
      </c>
      <c r="W60" s="17" t="str">
        <f t="shared" si="22"/>
        <v>"../Images/Players/Ryan.png",</v>
      </c>
    </row>
    <row r="61" spans="2:23" ht="14.25" customHeight="1" x14ac:dyDescent="0.45">
      <c r="B61" s="17" t="str">
        <f t="shared" si="3"/>
        <v>"William Scott",</v>
      </c>
      <c r="C61" s="17" t="str">
        <f t="shared" si="3"/>
        <v>"5 Musketeers",</v>
      </c>
      <c r="D61" s="17" t="str">
        <f t="shared" si="4"/>
        <v>0.17,</v>
      </c>
      <c r="E61" s="17" t="str">
        <f t="shared" si="5"/>
        <v>1,</v>
      </c>
      <c r="F61" s="17" t="str">
        <f t="shared" si="6"/>
        <v>0,</v>
      </c>
      <c r="G61" s="17" t="str">
        <f t="shared" si="7"/>
        <v>0,</v>
      </c>
      <c r="H61" s="17" t="str">
        <f t="shared" si="8"/>
        <v>0.17,</v>
      </c>
      <c r="I61" s="17" t="str">
        <f t="shared" si="9"/>
        <v>1,</v>
      </c>
      <c r="J61" s="17" t="str">
        <f t="shared" si="10"/>
        <v>0,</v>
      </c>
      <c r="K61" s="17" t="str">
        <f t="shared" si="11"/>
        <v>0,</v>
      </c>
      <c r="L61" s="17" t="str">
        <f t="shared" si="11"/>
        <v>14,</v>
      </c>
      <c r="M61" s="17" t="str">
        <f t="shared" ref="M61:W61" si="23">CHAR(34)&amp;M14&amp;CHAR(34)&amp;","</f>
        <v>"LTBO Photographer",</v>
      </c>
      <c r="N61" s="17" t="str">
        <f t="shared" si="23"/>
        <v>"",</v>
      </c>
      <c r="O61" s="17" t="str">
        <f t="shared" si="23"/>
        <v>"",</v>
      </c>
      <c r="P61" s="17" t="str">
        <f t="shared" si="23"/>
        <v>"",</v>
      </c>
      <c r="Q61" s="17" t="str">
        <f t="shared" si="23"/>
        <v>"",</v>
      </c>
      <c r="R61" s="17" t="str">
        <f t="shared" si="23"/>
        <v>"",</v>
      </c>
      <c r="S61" s="17" t="str">
        <f t="shared" si="23"/>
        <v>"",</v>
      </c>
      <c r="T61" s="17" t="str">
        <f t="shared" si="23"/>
        <v>"",</v>
      </c>
      <c r="U61" s="17" t="str">
        <f t="shared" si="23"/>
        <v>"Drafted by Wet Willies. Traded to 5 Musketeers",</v>
      </c>
      <c r="V61" s="17" t="str">
        <f t="shared" si="23"/>
        <v>"../Images/5M_Final.png",</v>
      </c>
      <c r="W61" s="17" t="str">
        <f t="shared" si="23"/>
        <v>"../Images/Players/Will.png",</v>
      </c>
    </row>
    <row r="62" spans="2:23" ht="14.25" customHeight="1" x14ac:dyDescent="0.45">
      <c r="B62" s="17" t="str">
        <f t="shared" si="3"/>
        <v>"Nicholas Szogi",</v>
      </c>
      <c r="C62" s="17" t="str">
        <f t="shared" si="3"/>
        <v>"Wet Willies",</v>
      </c>
      <c r="D62" s="17" t="str">
        <f t="shared" si="4"/>
        <v>0.82,</v>
      </c>
      <c r="E62" s="17" t="str">
        <f t="shared" si="5"/>
        <v>14,</v>
      </c>
      <c r="F62" s="17" t="str">
        <f t="shared" si="6"/>
        <v>0.53,</v>
      </c>
      <c r="G62" s="17" t="str">
        <f t="shared" si="7"/>
        <v>9,</v>
      </c>
      <c r="H62" s="17" t="str">
        <f t="shared" si="8"/>
        <v>0.06,</v>
      </c>
      <c r="I62" s="17" t="str">
        <f t="shared" si="9"/>
        <v>1,</v>
      </c>
      <c r="J62" s="17" t="str">
        <f t="shared" si="10"/>
        <v>0.12,</v>
      </c>
      <c r="K62" s="17" t="str">
        <f t="shared" si="11"/>
        <v>2,</v>
      </c>
      <c r="L62" s="17" t="str">
        <f t="shared" si="11"/>
        <v>3,</v>
      </c>
      <c r="M62" s="17" t="str">
        <f t="shared" ref="M62:W62" si="24">CHAR(34)&amp;M15&amp;CHAR(34)&amp;","</f>
        <v>"The Biggest Bird",</v>
      </c>
      <c r="N62" s="17" t="str">
        <f t="shared" si="24"/>
        <v>"Champion T1",</v>
      </c>
      <c r="O62" s="17" t="str">
        <f t="shared" si="24"/>
        <v>"MVP Runner Up T2",</v>
      </c>
      <c r="P62" s="17" t="str">
        <f t="shared" si="24"/>
        <v>"X-Factor T2",</v>
      </c>
      <c r="Q62" s="17" t="str">
        <f t="shared" si="24"/>
        <v>"All-2nd-Offence Team T2",</v>
      </c>
      <c r="R62" s="17" t="str">
        <f t="shared" si="24"/>
        <v>"All-2nd-Defence Team T2",</v>
      </c>
      <c r="S62" s="17" t="str">
        <f t="shared" si="24"/>
        <v>"",</v>
      </c>
      <c r="T62" s="17" t="str">
        <f t="shared" si="24"/>
        <v>"",</v>
      </c>
      <c r="U62" s="17" t="str">
        <f t="shared" si="24"/>
        <v>"Drafted by 5 Musketeers. Traded to Wet Willies",</v>
      </c>
      <c r="V62" s="17" t="str">
        <f t="shared" si="24"/>
        <v>"../Images/WW_Final.png",</v>
      </c>
      <c r="W62" s="17" t="str">
        <f t="shared" si="24"/>
        <v>"../Images/Players/Nick.png",</v>
      </c>
    </row>
    <row r="63" spans="2:23" ht="14.25" customHeight="1" x14ac:dyDescent="0.45">
      <c r="B63" s="17" t="str">
        <f t="shared" si="3"/>
        <v>"Christopher Tomkinson",</v>
      </c>
      <c r="C63" s="17" t="str">
        <f t="shared" si="3"/>
        <v>"Loose Gooses",</v>
      </c>
      <c r="D63" s="17" t="str">
        <f t="shared" si="4"/>
        <v>1.15,</v>
      </c>
      <c r="E63" s="17" t="str">
        <f t="shared" si="5"/>
        <v>23,</v>
      </c>
      <c r="F63" s="17" t="str">
        <f t="shared" si="6"/>
        <v>0.8,</v>
      </c>
      <c r="G63" s="17" t="str">
        <f t="shared" si="7"/>
        <v>16,</v>
      </c>
      <c r="H63" s="17" t="str">
        <f t="shared" si="8"/>
        <v>0.25,</v>
      </c>
      <c r="I63" s="17" t="str">
        <f t="shared" si="9"/>
        <v>5,</v>
      </c>
      <c r="J63" s="17" t="str">
        <f t="shared" si="10"/>
        <v>0.05,</v>
      </c>
      <c r="K63" s="17" t="str">
        <f t="shared" si="11"/>
        <v>1,</v>
      </c>
      <c r="L63" s="17" t="str">
        <f t="shared" si="11"/>
        <v>0,</v>
      </c>
      <c r="M63" s="17" t="str">
        <f t="shared" ref="M63:W63" si="25">CHAR(34)&amp;M16&amp;CHAR(34)&amp;","</f>
        <v>"MIP T1",</v>
      </c>
      <c r="N63" s="17" t="str">
        <f t="shared" si="25"/>
        <v>"MIP T2",</v>
      </c>
      <c r="O63" s="17" t="str">
        <f t="shared" si="25"/>
        <v>"MVP T2",</v>
      </c>
      <c r="P63" s="17" t="str">
        <f t="shared" si="25"/>
        <v>"All-2nd-Offence Team T2",</v>
      </c>
      <c r="Q63" s="17" t="str">
        <f t="shared" si="25"/>
        <v>"All-2nd-Defence Team T2",</v>
      </c>
      <c r="R63" s="17" t="str">
        <f t="shared" si="25"/>
        <v>"Champion T2",</v>
      </c>
      <c r="S63" s="17" t="str">
        <f t="shared" si="25"/>
        <v>"",</v>
      </c>
      <c r="T63" s="17" t="str">
        <f t="shared" si="25"/>
        <v>"",</v>
      </c>
      <c r="U63" s="17" t="str">
        <f t="shared" si="25"/>
        <v>"Drafted by Loose Gooses",</v>
      </c>
      <c r="V63" s="17" t="str">
        <f t="shared" si="25"/>
        <v>"../Images/LG_Final.png",</v>
      </c>
      <c r="W63" s="17" t="str">
        <f t="shared" si="25"/>
        <v>"../Images/Players/Chris.png",</v>
      </c>
    </row>
    <row r="64" spans="2:23" ht="14.25" customHeight="1" x14ac:dyDescent="0.45">
      <c r="B64" s="17" t="str">
        <f t="shared" si="3"/>
        <v>"Angus Walker",</v>
      </c>
      <c r="C64" s="17" t="str">
        <f t="shared" si="3"/>
        <v>"Loose Gooses",</v>
      </c>
      <c r="D64" s="17" t="str">
        <f t="shared" si="4"/>
        <v>2.84,</v>
      </c>
      <c r="E64" s="17" t="str">
        <f t="shared" si="5"/>
        <v>54,</v>
      </c>
      <c r="F64" s="17" t="str">
        <f t="shared" si="6"/>
        <v>1.58,</v>
      </c>
      <c r="G64" s="17" t="str">
        <f t="shared" si="7"/>
        <v>30,</v>
      </c>
      <c r="H64" s="17" t="str">
        <f t="shared" si="8"/>
        <v>0.53,</v>
      </c>
      <c r="I64" s="17" t="str">
        <f t="shared" si="9"/>
        <v>10,</v>
      </c>
      <c r="J64" s="17" t="str">
        <f t="shared" si="10"/>
        <v>0.37,</v>
      </c>
      <c r="K64" s="17" t="str">
        <f t="shared" si="11"/>
        <v>7,</v>
      </c>
      <c r="L64" s="17" t="str">
        <f t="shared" si="11"/>
        <v>1,</v>
      </c>
      <c r="M64" s="17" t="str">
        <f t="shared" ref="M64:W64" si="26">CHAR(34)&amp;M17&amp;CHAR(34)&amp;","</f>
        <v>"LTBO CEO",</v>
      </c>
      <c r="N64" s="17" t="str">
        <f t="shared" si="26"/>
        <v>"GM",</v>
      </c>
      <c r="O64" s="17" t="str">
        <f t="shared" si="26"/>
        <v>"All-Offence Team T1",</v>
      </c>
      <c r="P64" s="17" t="str">
        <f t="shared" si="26"/>
        <v>"All-Defence Team T1",</v>
      </c>
      <c r="Q64" s="17" t="str">
        <f t="shared" si="26"/>
        <v>"Scoring Champ T1",</v>
      </c>
      <c r="R64" s="17" t="str">
        <f t="shared" si="26"/>
        <v>"All-Offence Team T2",</v>
      </c>
      <c r="S64" s="17" t="str">
        <f t="shared" si="26"/>
        <v>"All-Defence Team T2",</v>
      </c>
      <c r="T64" s="17" t="str">
        <f t="shared" si="26"/>
        <v>"Champion T2",</v>
      </c>
      <c r="U64" s="17" t="str">
        <f t="shared" si="26"/>
        <v>"GM of Loose Gooses",</v>
      </c>
      <c r="V64" s="17" t="str">
        <f t="shared" si="26"/>
        <v>"../Images/LG_Final.png",</v>
      </c>
      <c r="W64" s="17" t="str">
        <f t="shared" si="26"/>
        <v>"../Images/Players/Angus.png",</v>
      </c>
    </row>
    <row r="65" spans="2:23" ht="14.25" customHeight="1" x14ac:dyDescent="0.45">
      <c r="B65" s="17" t="str">
        <f t="shared" si="3"/>
        <v>"Willie Weekes",</v>
      </c>
      <c r="C65" s="17" t="str">
        <f t="shared" si="3"/>
        <v>"5 Musketeers",</v>
      </c>
      <c r="D65" s="17" t="str">
        <f t="shared" si="4"/>
        <v>0.05,</v>
      </c>
      <c r="E65" s="17" t="str">
        <f t="shared" si="5"/>
        <v>1,</v>
      </c>
      <c r="F65" s="17" t="str">
        <f t="shared" si="6"/>
        <v>0,</v>
      </c>
      <c r="G65" s="17" t="str">
        <f t="shared" si="7"/>
        <v>0,</v>
      </c>
      <c r="H65" s="17" t="str">
        <f t="shared" si="8"/>
        <v>0.05,</v>
      </c>
      <c r="I65" s="17" t="str">
        <f t="shared" si="9"/>
        <v>1,</v>
      </c>
      <c r="J65" s="17" t="str">
        <f t="shared" si="10"/>
        <v>0,</v>
      </c>
      <c r="K65" s="17" t="str">
        <f t="shared" si="11"/>
        <v>0,</v>
      </c>
      <c r="L65" s="17" t="str">
        <f t="shared" si="11"/>
        <v>0,</v>
      </c>
      <c r="M65" s="17" t="str">
        <f t="shared" ref="M65:W65" si="27">CHAR(34)&amp;M18&amp;CHAR(34)&amp;","</f>
        <v>"Teammate T1",</v>
      </c>
      <c r="N65" s="17" t="str">
        <f t="shared" si="27"/>
        <v>"Champion T1",</v>
      </c>
      <c r="O65" s="17" t="str">
        <f t="shared" si="27"/>
        <v>"Teammate T2",</v>
      </c>
      <c r="P65" s="17" t="str">
        <f t="shared" si="27"/>
        <v>"",</v>
      </c>
      <c r="Q65" s="17" t="str">
        <f t="shared" si="27"/>
        <v>"",</v>
      </c>
      <c r="R65" s="17" t="str">
        <f t="shared" si="27"/>
        <v>"",</v>
      </c>
      <c r="S65" s="17" t="str">
        <f t="shared" si="27"/>
        <v>"",</v>
      </c>
      <c r="T65" s="17" t="str">
        <f t="shared" si="27"/>
        <v>"",</v>
      </c>
      <c r="U65" s="17" t="str">
        <f t="shared" si="27"/>
        <v>"Drafted by Wet Willies. Dropped by Wet Willies. Signed by 5 Musketeers",</v>
      </c>
      <c r="V65" s="17" t="str">
        <f t="shared" si="27"/>
        <v>"../Images/5M_Final.png",</v>
      </c>
      <c r="W65" s="17" t="str">
        <f t="shared" si="27"/>
        <v>"../Images/Players/Willie.png",</v>
      </c>
    </row>
    <row r="66" spans="2:23" ht="14.25" customHeight="1" x14ac:dyDescent="0.45">
      <c r="B66" s="17" t="str">
        <f>CHAR(34)&amp;B19&amp;CHAR(34)</f>
        <v>"Mitch Yue"</v>
      </c>
      <c r="C66" s="17" t="str">
        <f>CHAR(34)&amp;C19&amp;CHAR(34)</f>
        <v>"Wet Willies"</v>
      </c>
      <c r="D66" s="17">
        <f>ROUND(D19,2)</f>
        <v>0.46</v>
      </c>
      <c r="E66" s="17">
        <f>E19</f>
        <v>6</v>
      </c>
      <c r="F66" s="17">
        <f>ROUND(F19,2)</f>
        <v>0.31</v>
      </c>
      <c r="G66" s="17">
        <f>G19</f>
        <v>4</v>
      </c>
      <c r="H66" s="17">
        <f>ROUND(H19,2)</f>
        <v>0</v>
      </c>
      <c r="I66" s="17">
        <f>I19</f>
        <v>0</v>
      </c>
      <c r="J66" s="17">
        <f>ROUND(J19,2)</f>
        <v>0.08</v>
      </c>
      <c r="K66" s="17">
        <f>K19</f>
        <v>1</v>
      </c>
      <c r="L66" s="17">
        <f>L19</f>
        <v>7</v>
      </c>
      <c r="M66" s="17" t="str">
        <f t="shared" ref="M66:W66" si="28">CHAR(34)&amp;M19&amp;CHAR(34)</f>
        <v>"All-2nd-Defence Team T2"</v>
      </c>
      <c r="N66" s="17" t="str">
        <f t="shared" si="28"/>
        <v>"Champion T2"</v>
      </c>
      <c r="O66" s="17" t="str">
        <f t="shared" si="28"/>
        <v>""</v>
      </c>
      <c r="P66" s="17" t="str">
        <f t="shared" si="28"/>
        <v>""</v>
      </c>
      <c r="Q66" s="17" t="str">
        <f t="shared" si="28"/>
        <v>""</v>
      </c>
      <c r="R66" s="17" t="str">
        <f t="shared" si="28"/>
        <v>""</v>
      </c>
      <c r="S66" s="17" t="str">
        <f t="shared" si="28"/>
        <v>""</v>
      </c>
      <c r="T66" s="17" t="str">
        <f t="shared" si="28"/>
        <v>""</v>
      </c>
      <c r="U66" s="17" t="str">
        <f t="shared" si="28"/>
        <v>"Drafted by 5 Musketeers. Traded to Wet Willies"</v>
      </c>
      <c r="V66" s="17" t="str">
        <f t="shared" si="28"/>
        <v>"../Images/WW_Final.png"</v>
      </c>
      <c r="W66" s="17" t="str">
        <f t="shared" si="28"/>
        <v>"../Images/Players/Mitch.png"</v>
      </c>
    </row>
    <row r="67" spans="2:23" ht="14.25" customHeight="1" x14ac:dyDescent="0.45"/>
    <row r="68" spans="2:23" ht="14.25" customHeight="1" x14ac:dyDescent="0.45"/>
    <row r="69" spans="2:23" ht="14.25" customHeight="1" x14ac:dyDescent="0.45"/>
    <row r="70" spans="2:23" ht="14.25" customHeight="1" x14ac:dyDescent="0.45"/>
    <row r="71" spans="2:23" ht="14.25" customHeight="1" x14ac:dyDescent="0.45"/>
    <row r="72" spans="2:23" ht="14.25" customHeight="1" x14ac:dyDescent="0.45"/>
    <row r="73" spans="2:23" ht="14.25" customHeight="1" x14ac:dyDescent="0.45"/>
    <row r="74" spans="2:23" ht="14.25" customHeight="1" x14ac:dyDescent="0.45"/>
    <row r="75" spans="2:23" ht="14.25" customHeight="1" x14ac:dyDescent="0.45">
      <c r="B75" s="19"/>
    </row>
    <row r="76" spans="2:23" ht="14.25" customHeight="1" x14ac:dyDescent="0.45"/>
    <row r="77" spans="2:23" ht="14.25" customHeight="1" x14ac:dyDescent="0.45"/>
    <row r="78" spans="2:23" ht="14.25" customHeight="1" x14ac:dyDescent="0.45"/>
    <row r="79" spans="2:23" ht="14.25" customHeight="1" x14ac:dyDescent="0.45"/>
    <row r="80" spans="2:23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2:C23"/>
  </mergeCells>
  <phoneticPr fontId="3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C1000"/>
  <sheetViews>
    <sheetView zoomScale="70" zoomScaleNormal="70" workbookViewId="0">
      <selection activeCell="AA90" sqref="AA9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5" width="8.73046875" customWidth="1"/>
    <col min="16" max="16" width="8.796875" customWidth="1"/>
    <col min="17" max="17" width="8.73046875" customWidth="1"/>
    <col min="18" max="18" width="9.59765625" customWidth="1"/>
    <col min="19" max="19" width="11.597656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4.92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59765625" customWidth="1"/>
    <col min="31" max="31" width="8.73046875" customWidth="1"/>
    <col min="32" max="32" width="11.33203125" customWidth="1"/>
    <col min="33" max="34" width="8.73046875" customWidth="1"/>
    <col min="35" max="35" width="12.73046875" customWidth="1"/>
    <col min="36" max="36" width="14.9296875" customWidth="1"/>
    <col min="37" max="38" width="8.73046875" customWidth="1"/>
  </cols>
  <sheetData>
    <row r="1" spans="1:55" ht="14.25" customHeight="1" x14ac:dyDescent="0.45"/>
    <row r="2" spans="1:55" ht="14.25" customHeight="1" x14ac:dyDescent="0.45">
      <c r="B2" s="3" t="s">
        <v>76</v>
      </c>
    </row>
    <row r="3" spans="1:55" ht="14.25" customHeight="1" x14ac:dyDescent="0.45"/>
    <row r="4" spans="1:55" ht="14.25" customHeight="1" x14ac:dyDescent="0.45">
      <c r="B4" s="104" t="s">
        <v>72</v>
      </c>
      <c r="C4" s="104" t="s">
        <v>77</v>
      </c>
      <c r="D4" s="104" t="s">
        <v>78</v>
      </c>
      <c r="E4" s="104" t="s">
        <v>79</v>
      </c>
      <c r="F4" s="104" t="s">
        <v>170</v>
      </c>
      <c r="G4" s="104" t="s">
        <v>176</v>
      </c>
      <c r="H4" s="104" t="s">
        <v>177</v>
      </c>
      <c r="I4" s="104" t="s">
        <v>171</v>
      </c>
      <c r="J4" s="104" t="s">
        <v>178</v>
      </c>
      <c r="K4" s="104" t="s">
        <v>179</v>
      </c>
      <c r="L4" s="104" t="s">
        <v>172</v>
      </c>
      <c r="M4" s="104" t="s">
        <v>180</v>
      </c>
      <c r="N4" s="104" t="s">
        <v>181</v>
      </c>
      <c r="O4" s="104" t="s">
        <v>173</v>
      </c>
      <c r="P4" s="104" t="s">
        <v>174</v>
      </c>
      <c r="Q4" s="104" t="s">
        <v>175</v>
      </c>
      <c r="S4" s="3" t="s">
        <v>80</v>
      </c>
      <c r="Z4" t="s">
        <v>144</v>
      </c>
      <c r="AA4" s="126">
        <f>AA6/(20-AA5)</f>
        <v>1.1764705882352942</v>
      </c>
    </row>
    <row r="5" spans="1:55" ht="14.25" customHeight="1" x14ac:dyDescent="0.45">
      <c r="B5" s="114" t="str">
        <f>'Preseason 1'!B45</f>
        <v>11-July</v>
      </c>
      <c r="C5" s="114">
        <f>'Preseason 1'!C45</f>
        <v>12</v>
      </c>
      <c r="D5" s="114">
        <f>'Preseason 1'!D45</f>
        <v>5</v>
      </c>
      <c r="E5" s="114">
        <f>'Preseason 1'!E45</f>
        <v>0</v>
      </c>
      <c r="F5" s="114">
        <f>'Preseason 1'!F45</f>
        <v>5</v>
      </c>
      <c r="G5" s="114">
        <f>'Preseason 1'!G45</f>
        <v>0</v>
      </c>
      <c r="H5" s="114">
        <f>'Preseason 1'!H45</f>
        <v>6</v>
      </c>
      <c r="I5" s="114">
        <f>'Preseason 1'!I45</f>
        <v>0</v>
      </c>
      <c r="J5" s="114">
        <f>'Preseason 1'!J45</f>
        <v>2</v>
      </c>
      <c r="K5" s="114">
        <f>'Preseason 1'!K45</f>
        <v>6</v>
      </c>
      <c r="L5" s="114">
        <f>'Preseason 1'!L45</f>
        <v>12</v>
      </c>
      <c r="M5" s="114">
        <f>'Preseason 1'!M45</f>
        <v>3</v>
      </c>
      <c r="N5" s="114">
        <f>'Preseason 1'!N45</f>
        <v>0</v>
      </c>
      <c r="O5" s="114">
        <f>'Preseason 1'!O45</f>
        <v>2</v>
      </c>
      <c r="P5" s="114">
        <f>'Preseason 1'!P45</f>
        <v>1</v>
      </c>
      <c r="Q5" s="114">
        <f>'Preseason 1'!Q45</f>
        <v>3</v>
      </c>
      <c r="S5" s="1" t="s">
        <v>81</v>
      </c>
      <c r="T5" s="1" t="s">
        <v>77</v>
      </c>
      <c r="U5" s="1" t="s">
        <v>78</v>
      </c>
      <c r="V5" s="1" t="s">
        <v>79</v>
      </c>
      <c r="Z5" t="s">
        <v>225</v>
      </c>
      <c r="AA5">
        <v>3</v>
      </c>
      <c r="AR5" s="60"/>
      <c r="AS5" s="60"/>
      <c r="AT5" s="60"/>
    </row>
    <row r="6" spans="1:55" ht="14.25" customHeight="1" x14ac:dyDescent="0.45">
      <c r="B6" s="114" t="str">
        <f>'Preseason 2'!B45</f>
        <v>12-July</v>
      </c>
      <c r="C6" s="114">
        <f>'Preseason 2'!C45</f>
        <v>15</v>
      </c>
      <c r="D6" s="114">
        <f>'Preseason 2'!D45</f>
        <v>9</v>
      </c>
      <c r="E6" s="114">
        <f>'Preseason 2'!E45</f>
        <v>2</v>
      </c>
      <c r="F6" s="114">
        <f>'Preseason 2'!F45</f>
        <v>9</v>
      </c>
      <c r="G6" s="114">
        <f>'Preseason 2'!G45</f>
        <v>1</v>
      </c>
      <c r="H6" s="114">
        <f>'Preseason 2'!H45</f>
        <v>7</v>
      </c>
      <c r="I6" s="114">
        <f>'Preseason 2'!I45</f>
        <v>2</v>
      </c>
      <c r="J6" s="114">
        <f>'Preseason 2'!J45</f>
        <v>4</v>
      </c>
      <c r="K6" s="114">
        <f>'Preseason 2'!K45</f>
        <v>8</v>
      </c>
      <c r="L6" s="114">
        <f>'Preseason 2'!L45</f>
        <v>15</v>
      </c>
      <c r="M6" s="114">
        <f>'Preseason 2'!M45</f>
        <v>5</v>
      </c>
      <c r="N6" s="114">
        <f>'Preseason 2'!N45</f>
        <v>1</v>
      </c>
      <c r="O6" s="114">
        <f>'Preseason 2'!O45</f>
        <v>2</v>
      </c>
      <c r="P6" s="114">
        <f>'Preseason 2'!P45</f>
        <v>1</v>
      </c>
      <c r="Q6" s="114">
        <f>'Preseason 2'!Q45</f>
        <v>3</v>
      </c>
      <c r="S6" s="4">
        <f>SUM(C8:E40)/COUNT(C8:C40)</f>
        <v>16.55</v>
      </c>
      <c r="T6" s="115">
        <f>AVERAGE(C8:C40)</f>
        <v>10.25</v>
      </c>
      <c r="U6" s="115">
        <f t="shared" ref="U6:V6" si="0">AVERAGE(D8:D40)</f>
        <v>4.1500000000000004</v>
      </c>
      <c r="V6" s="115">
        <f t="shared" si="0"/>
        <v>2.15</v>
      </c>
      <c r="Z6" s="69" t="s">
        <v>166</v>
      </c>
      <c r="AA6" s="8">
        <f>AA47+AA67+AL27+AL47+AL67+AA87+AL87</f>
        <v>20</v>
      </c>
      <c r="AK6" s="29"/>
      <c r="AL6" s="29"/>
      <c r="AM6" s="29" t="s">
        <v>220</v>
      </c>
      <c r="AO6" s="42"/>
      <c r="AR6" s="60"/>
      <c r="AS6" s="60"/>
      <c r="AT6" s="60"/>
      <c r="AW6" t="s">
        <v>251</v>
      </c>
      <c r="AX6" s="18">
        <f>AA6-3</f>
        <v>17</v>
      </c>
    </row>
    <row r="7" spans="1:55" ht="14.25" customHeight="1" x14ac:dyDescent="0.45">
      <c r="B7" s="114" t="str">
        <f>'Preseason 3'!B45</f>
        <v>13-July</v>
      </c>
      <c r="C7" s="114">
        <f>'Preseason 3'!C45</f>
        <v>8</v>
      </c>
      <c r="D7" s="114">
        <f>'Preseason 3'!D45</f>
        <v>4</v>
      </c>
      <c r="E7" s="114">
        <f>'Preseason 3'!E45</f>
        <v>1</v>
      </c>
      <c r="F7" s="114">
        <f>'Preseason 3'!F45</f>
        <v>8</v>
      </c>
      <c r="G7" s="114">
        <f>'Preseason 3'!G45</f>
        <v>2</v>
      </c>
      <c r="H7" s="114">
        <f>'Preseason 3'!H45</f>
        <v>0</v>
      </c>
      <c r="I7" s="114">
        <f>'Preseason 3'!I45</f>
        <v>4</v>
      </c>
      <c r="J7" s="114">
        <f>'Preseason 3'!J45</f>
        <v>4</v>
      </c>
      <c r="K7" s="114">
        <f>'Preseason 3'!K45</f>
        <v>1</v>
      </c>
      <c r="L7" s="114">
        <f>'Preseason 3'!L45</f>
        <v>1</v>
      </c>
      <c r="M7" s="114">
        <f>'Preseason 3'!M45</f>
        <v>4</v>
      </c>
      <c r="N7" s="114">
        <f>'Preseason 3'!N45</f>
        <v>2</v>
      </c>
      <c r="O7" s="114">
        <f>'Preseason 3'!O45</f>
        <v>3</v>
      </c>
      <c r="P7" s="114">
        <f>'Preseason 3'!P45</f>
        <v>2</v>
      </c>
      <c r="Q7" s="114">
        <f>'Preseason 3'!Q45</f>
        <v>1</v>
      </c>
      <c r="S7" s="3" t="s">
        <v>83</v>
      </c>
      <c r="T7" s="5">
        <f>T6/$S$6</f>
        <v>0.61933534743202412</v>
      </c>
      <c r="U7" s="5">
        <f>U6/$S$6</f>
        <v>0.25075528700906347</v>
      </c>
      <c r="V7" s="5">
        <f>V6/$S$6</f>
        <v>0.12990936555891239</v>
      </c>
      <c r="Z7" s="20" t="s">
        <v>84</v>
      </c>
      <c r="AA7" s="21" t="s">
        <v>0</v>
      </c>
      <c r="AB7" s="21" t="s">
        <v>85</v>
      </c>
      <c r="AC7" s="22" t="s">
        <v>1</v>
      </c>
      <c r="AD7" s="23" t="s">
        <v>80</v>
      </c>
      <c r="AE7" s="23" t="s">
        <v>2</v>
      </c>
      <c r="AF7" s="23" t="s">
        <v>117</v>
      </c>
      <c r="AG7" s="22" t="s">
        <v>3</v>
      </c>
      <c r="AH7" s="23" t="s">
        <v>118</v>
      </c>
      <c r="AI7" s="24" t="s">
        <v>5</v>
      </c>
      <c r="AJ7" s="37" t="s">
        <v>120</v>
      </c>
      <c r="AK7" s="61"/>
      <c r="AL7" s="61"/>
      <c r="AM7" s="61" t="s">
        <v>80</v>
      </c>
      <c r="AN7" s="13" t="s">
        <v>219</v>
      </c>
      <c r="AO7" s="13"/>
      <c r="AP7" s="27" t="s">
        <v>230</v>
      </c>
      <c r="AQ7" s="132"/>
      <c r="AR7" s="133" t="s">
        <v>231</v>
      </c>
      <c r="AS7" s="59" t="s">
        <v>232</v>
      </c>
      <c r="AT7" s="143" t="s">
        <v>260</v>
      </c>
      <c r="AU7" s="145" t="s">
        <v>261</v>
      </c>
      <c r="AW7" s="2" t="s">
        <v>4</v>
      </c>
      <c r="AX7" s="140" t="s">
        <v>245</v>
      </c>
      <c r="AY7" s="140" t="s">
        <v>246</v>
      </c>
      <c r="AZ7" s="140" t="s">
        <v>247</v>
      </c>
      <c r="BA7" s="140" t="s">
        <v>248</v>
      </c>
      <c r="BB7" s="140" t="s">
        <v>249</v>
      </c>
      <c r="BC7" s="140" t="s">
        <v>250</v>
      </c>
    </row>
    <row r="8" spans="1:55" ht="14.25" customHeight="1" x14ac:dyDescent="0.45">
      <c r="A8" s="73"/>
      <c r="B8" s="111" t="str">
        <f>'1707'!B45</f>
        <v>17-July</v>
      </c>
      <c r="C8" s="111">
        <f>'1707'!C45</f>
        <v>8</v>
      </c>
      <c r="D8" s="111">
        <f>'1707'!D45</f>
        <v>3</v>
      </c>
      <c r="E8" s="111">
        <f>'1707'!E45</f>
        <v>2</v>
      </c>
      <c r="F8" s="111">
        <f>'1707'!F45</f>
        <v>8</v>
      </c>
      <c r="G8" s="111">
        <f>'1707'!G45</f>
        <v>0</v>
      </c>
      <c r="H8" s="111">
        <f>'1707'!H45</f>
        <v>3</v>
      </c>
      <c r="I8" s="111">
        <f>'1707'!I45</f>
        <v>2</v>
      </c>
      <c r="J8" s="111">
        <f>'1707'!J45</f>
        <v>5</v>
      </c>
      <c r="K8" s="111">
        <f>'1707'!K45</f>
        <v>0</v>
      </c>
      <c r="L8" s="111">
        <f>'1707'!L45</f>
        <v>3</v>
      </c>
      <c r="M8" s="111">
        <f>'1707'!M45</f>
        <v>3</v>
      </c>
      <c r="N8" s="111">
        <f>'1707'!N45</f>
        <v>2</v>
      </c>
      <c r="O8" s="111">
        <f>'1707'!O45</f>
        <v>3</v>
      </c>
      <c r="P8" s="111">
        <f>'1707'!P45</f>
        <v>1</v>
      </c>
      <c r="Q8" s="111">
        <f>'1707'!Q45</f>
        <v>2</v>
      </c>
      <c r="Z8" s="174" t="s">
        <v>45</v>
      </c>
      <c r="AA8" s="175">
        <f t="shared" ref="AA8:AA24" si="1">SUM(AL29,AA49,AL49,AA69,AL69,AA89,AL89)</f>
        <v>3</v>
      </c>
      <c r="AB8" s="176">
        <f>IF($AA$6-Table1[[#This Row],[Missed Games]]=0, 0,Table1[[#This Row],[Points]]/($AA$6-Table1[[#This Row],[Missed Games]]))</f>
        <v>0.15</v>
      </c>
      <c r="AC8" s="177">
        <f t="shared" ref="AC8:AC24" si="2">SUM(AM29,AB49,AM49,AB69,AM69,AB89,AM89)</f>
        <v>0</v>
      </c>
      <c r="AD8" s="178">
        <f>IF($AA$6-Table1[[#This Row],[Missed Games]]=0, 0,Table1[[#This Row],[Finishes]]/($AA$6-Table1[[#This Row],[Missed Games]]))</f>
        <v>0</v>
      </c>
      <c r="AE8" s="177">
        <f t="shared" ref="AE8:AE24" si="3">SUM(AN29,AC49,AN49,AC69,AN69,AC89,AN89)</f>
        <v>3</v>
      </c>
      <c r="AF8" s="178">
        <f>IF($AA$6-Table1[[#This Row],[Missed Games]]=0, 0,Table1[[#This Row],[Midranges]]/($AA$6-Table1[[#This Row],[Missed Games]]))</f>
        <v>0.15</v>
      </c>
      <c r="AG8" s="177">
        <f t="shared" ref="AG8:AG24" si="4">SUM(AO29,AD49,AO49,AD69,AO69,AD89,AO89)</f>
        <v>0</v>
      </c>
      <c r="AH8" s="178">
        <f>IF($AA$6-Table1[[#This Row],[Missed Games]]=0, 0,Table1[[#This Row],[Threes]]/($AA$6-Table1[[#This Row],[Missed Games]]))</f>
        <v>0</v>
      </c>
      <c r="AI8" s="174" t="str">
        <f>SfW!C3</f>
        <v>Loose Gooses</v>
      </c>
      <c r="AJ8" s="179">
        <f t="shared" ref="AJ8:AJ24" si="5">SUM(AT29,AI49,AT49,AI69,AT69,AI89,AT89)</f>
        <v>0</v>
      </c>
      <c r="AK8" s="62"/>
      <c r="AL8" s="122" t="s">
        <v>0</v>
      </c>
      <c r="AM8" s="121">
        <f>AVERAGE(Table1[Average])</f>
        <v>1.2585416718088362</v>
      </c>
      <c r="AN8" s="121">
        <f>MEDIAN(Table1[Average])</f>
        <v>0.94444444444444442</v>
      </c>
      <c r="AO8" s="36"/>
      <c r="AP8" s="18">
        <f>_xlfn.CEILING.MATH('[1]Stats Global'!R8*(20-$AA$5-$AJ8))</f>
        <v>7</v>
      </c>
      <c r="AQ8" s="27">
        <f>Table1[[#This Row],[Points]]/AP8</f>
        <v>0.42857142857142855</v>
      </c>
      <c r="AR8" s="128">
        <f>AP8-Table1[[#This Row],[Points]]</f>
        <v>4</v>
      </c>
      <c r="AS8" s="134">
        <f>Table1[[#This Row],[Points]]/(20-AA$5-Table1[[#This Row],[Missed Games]])</f>
        <v>0.17647058823529413</v>
      </c>
      <c r="AT8" s="144">
        <f>Table1[[#This Row],[Average]]-'[1]Stats Global'!R8</f>
        <v>-0.2617647058823529</v>
      </c>
      <c r="AU8" s="27">
        <f>(Table1[[#This Row],[Average]]-'[1]Stats Global'!R8)/'[1]Stats Global'!R8</f>
        <v>-0.63571428571428568</v>
      </c>
      <c r="AW8" s="2" t="s">
        <v>25</v>
      </c>
      <c r="AX8" s="16">
        <f>'1707'!AC4+'1807'!AC4+'2407'!AC4+'2607'!AC4</f>
        <v>3</v>
      </c>
      <c r="AY8" s="16">
        <f>'1707'!AD4+'1807'!AD4+'2407'!AD4+'2607'!AD4</f>
        <v>1</v>
      </c>
      <c r="AZ8" s="16">
        <f>'1707'!AE4+'1807'!AE4+'2407'!AE4+'2607'!AE4</f>
        <v>3</v>
      </c>
      <c r="BA8">
        <f>Table4[[#This Row],[Total R]]/($AX$6-AJ8)</f>
        <v>0.17647058823529413</v>
      </c>
      <c r="BB8" s="16">
        <f>Table4[[#This Row],[Total A]]/$AX$6</f>
        <v>5.8823529411764705E-2</v>
      </c>
      <c r="BC8" s="16">
        <f>Table4[[#This Row],[Total S]]/$AX$6</f>
        <v>0.17647058823529413</v>
      </c>
    </row>
    <row r="9" spans="1:55" ht="14.25" customHeight="1" x14ac:dyDescent="0.45">
      <c r="A9" s="73"/>
      <c r="B9" s="111" t="str">
        <f>'1807'!B45</f>
        <v>18-July</v>
      </c>
      <c r="C9" s="111">
        <f>'1807'!C45</f>
        <v>12</v>
      </c>
      <c r="D9" s="111">
        <f>'1807'!D45</f>
        <v>1</v>
      </c>
      <c r="E9" s="111">
        <f>'1807'!E45</f>
        <v>1</v>
      </c>
      <c r="F9" s="111">
        <f>'1807'!F45</f>
        <v>12</v>
      </c>
      <c r="G9" s="111">
        <f>'1807'!G45</f>
        <v>1</v>
      </c>
      <c r="H9" s="111">
        <f>'1807'!H45</f>
        <v>0</v>
      </c>
      <c r="I9" s="111">
        <f>'1807'!I45</f>
        <v>1</v>
      </c>
      <c r="J9" s="111">
        <f>'1807'!J45</f>
        <v>6</v>
      </c>
      <c r="K9" s="111">
        <f>'1807'!K45</f>
        <v>1</v>
      </c>
      <c r="L9" s="111">
        <f>'1807'!L45</f>
        <v>1</v>
      </c>
      <c r="M9" s="111">
        <f>'1807'!M45</f>
        <v>6</v>
      </c>
      <c r="N9" s="111">
        <f>'1807'!N45</f>
        <v>0</v>
      </c>
      <c r="O9" s="111">
        <f>'1807'!O45</f>
        <v>3</v>
      </c>
      <c r="P9" s="111">
        <f>'1807'!P45</f>
        <v>1</v>
      </c>
      <c r="Q9" s="111">
        <f>'1807'!Q45</f>
        <v>2</v>
      </c>
      <c r="Z9" s="174" t="s">
        <v>49</v>
      </c>
      <c r="AA9" s="175">
        <f t="shared" si="1"/>
        <v>17</v>
      </c>
      <c r="AB9" s="176">
        <f>IF($AA$6-Table1[[#This Row],[Missed Games]]=0, 0,Table1[[#This Row],[Points]]/($AA$6-Table1[[#This Row],[Missed Games]]))</f>
        <v>0.94444444444444442</v>
      </c>
      <c r="AC9" s="177">
        <f t="shared" si="2"/>
        <v>16</v>
      </c>
      <c r="AD9" s="178">
        <f>IF($AA$6-Table1[[#This Row],[Missed Games]]=0, 0,Table1[[#This Row],[Finishes]]/($AA$6-Table1[[#This Row],[Missed Games]]))</f>
        <v>0.88888888888888884</v>
      </c>
      <c r="AE9" s="177">
        <f t="shared" si="3"/>
        <v>1</v>
      </c>
      <c r="AF9" s="178">
        <f>IF($AA$6-Table1[[#This Row],[Missed Games]]=0, 0,Table1[[#This Row],[Midranges]]/($AA$6-Table1[[#This Row],[Missed Games]]))</f>
        <v>5.5555555555555552E-2</v>
      </c>
      <c r="AG9" s="177">
        <f t="shared" si="4"/>
        <v>0</v>
      </c>
      <c r="AH9" s="178">
        <f>IF($AA$6-Table1[[#This Row],[Missed Games]]=0, 0,Table1[[#This Row],[Threes]]/($AA$6-Table1[[#This Row],[Missed Games]]))</f>
        <v>0</v>
      </c>
      <c r="AI9" s="174" t="str">
        <f>SfW!C4</f>
        <v>Loose Gooses</v>
      </c>
      <c r="AJ9" s="179">
        <f t="shared" si="5"/>
        <v>2</v>
      </c>
      <c r="AK9" s="62"/>
      <c r="AL9" s="122" t="s">
        <v>1</v>
      </c>
      <c r="AM9" s="121">
        <f>AVERAGE(Table1[Finishes])</f>
        <v>11.470588235294118</v>
      </c>
      <c r="AN9" s="121">
        <f>MEDIAN(Table1[Finishes])</f>
        <v>9</v>
      </c>
      <c r="AO9" s="129"/>
      <c r="AP9" s="18">
        <f>_xlfn.CEILING.MATH('[1]Stats Global'!R9*(20-$AA$5-$AJ9))</f>
        <v>9</v>
      </c>
      <c r="AQ9" s="27">
        <f>Table1[[#This Row],[Points]]/AP9</f>
        <v>1.8888888888888888</v>
      </c>
      <c r="AR9" s="128">
        <f>AP9-Table1[[#This Row],[Points]]</f>
        <v>-8</v>
      </c>
      <c r="AS9" s="134">
        <f>Table1[[#This Row],[Points]]/(20-AA$5-Table1[[#This Row],[Missed Games]])</f>
        <v>1.1333333333333333</v>
      </c>
      <c r="AT9" s="144">
        <f>Table1[[#This Row],[Average]]-'[1]Stats Global'!R9</f>
        <v>0.34444444444444444</v>
      </c>
      <c r="AU9" s="27">
        <f>(Table1[[#This Row],[Average]]-'[1]Stats Global'!R9)/'[1]Stats Global'!R9</f>
        <v>0.57407407407407407</v>
      </c>
      <c r="AW9" s="2" t="s">
        <v>28</v>
      </c>
      <c r="AX9" s="16">
        <f>'1707'!AC5+'1807'!AC5+'2407'!AC5+'2607'!AC5</f>
        <v>13</v>
      </c>
      <c r="AY9" s="16">
        <f>'1707'!AD5+'1807'!AD5+'2407'!AD5+'2607'!AD5</f>
        <v>0</v>
      </c>
      <c r="AZ9" s="16">
        <f>'1707'!AE5+'1807'!AE5+'2407'!AE5+'2607'!AE5</f>
        <v>3</v>
      </c>
      <c r="BA9" s="16">
        <f>Table4[[#This Row],[Total R]]/$AX$6</f>
        <v>0.76470588235294112</v>
      </c>
      <c r="BB9" s="16">
        <f>Table4[[#This Row],[Total A]]/$AX$6</f>
        <v>0</v>
      </c>
      <c r="BC9" s="16">
        <f>Table4[[#This Row],[Total S]]/$AX$6</f>
        <v>0.17647058823529413</v>
      </c>
    </row>
    <row r="10" spans="1:55" ht="14.25" customHeight="1" x14ac:dyDescent="0.45">
      <c r="A10" s="73"/>
      <c r="B10" s="111" t="str">
        <f>'1907'!B45</f>
        <v>19-July</v>
      </c>
      <c r="C10" s="111">
        <f>'1907'!C45</f>
        <v>15</v>
      </c>
      <c r="D10" s="111">
        <f>'1907'!D45</f>
        <v>0</v>
      </c>
      <c r="E10" s="111">
        <f>'1907'!E45</f>
        <v>0</v>
      </c>
      <c r="F10" s="111">
        <f>'1907'!F45</f>
        <v>15</v>
      </c>
      <c r="G10" s="111">
        <f>'1907'!G45</f>
        <v>0</v>
      </c>
      <c r="H10" s="111">
        <f>'1907'!H45</f>
        <v>0</v>
      </c>
      <c r="I10" s="111">
        <f>'1907'!I45</f>
        <v>0</v>
      </c>
      <c r="J10" s="111">
        <f>'1907'!J45</f>
        <v>8</v>
      </c>
      <c r="K10" s="111">
        <f>'1907'!K45</f>
        <v>0</v>
      </c>
      <c r="L10" s="111">
        <f>'1907'!L45</f>
        <v>0</v>
      </c>
      <c r="M10" s="111">
        <f>'1907'!M45</f>
        <v>7</v>
      </c>
      <c r="N10" s="111">
        <f>'1907'!N45</f>
        <v>0</v>
      </c>
      <c r="O10" s="111">
        <f>'1907'!O45</f>
        <v>3</v>
      </c>
      <c r="P10" s="111">
        <f>'1907'!P45</f>
        <v>1</v>
      </c>
      <c r="Q10" s="111">
        <f>'1907'!Q45</f>
        <v>2</v>
      </c>
      <c r="Z10" s="63" t="s">
        <v>51</v>
      </c>
      <c r="AA10" s="64">
        <f t="shared" si="1"/>
        <v>39</v>
      </c>
      <c r="AB10" s="65">
        <f>IF($AA$6-Table1[[#This Row],[Missed Games]]=0, 0,Table1[[#This Row],[Points]]/($AA$6-Table1[[#This Row],[Missed Games]]))</f>
        <v>3.25</v>
      </c>
      <c r="AC10" s="66">
        <f t="shared" si="2"/>
        <v>36</v>
      </c>
      <c r="AD10" s="67">
        <f>IF($AA$6-Table1[[#This Row],[Missed Games]]=0, 0,Table1[[#This Row],[Finishes]]/($AA$6-Table1[[#This Row],[Missed Games]]))</f>
        <v>3</v>
      </c>
      <c r="AE10" s="66">
        <f t="shared" si="3"/>
        <v>1</v>
      </c>
      <c r="AF10" s="67">
        <f>IF($AA$6-Table1[[#This Row],[Missed Games]]=0, 0,Table1[[#This Row],[Midranges]]/($AA$6-Table1[[#This Row],[Missed Games]]))</f>
        <v>8.3333333333333329E-2</v>
      </c>
      <c r="AG10" s="66">
        <f t="shared" si="4"/>
        <v>1</v>
      </c>
      <c r="AH10" s="67">
        <f>IF($AA$6-Table1[[#This Row],[Missed Games]]=0, 0,Table1[[#This Row],[Threes]]/($AA$6-Table1[[#This Row],[Missed Games]]))</f>
        <v>8.3333333333333329E-2</v>
      </c>
      <c r="AI10" s="63" t="str">
        <f>SfW!C5</f>
        <v>5 Musketeers</v>
      </c>
      <c r="AJ10" s="68">
        <f t="shared" si="5"/>
        <v>8</v>
      </c>
      <c r="AK10" s="62"/>
      <c r="AL10" s="122" t="s">
        <v>219</v>
      </c>
      <c r="AM10" s="121">
        <f>AVERAGE(Table1[Midranges])</f>
        <v>6.0588235294117645</v>
      </c>
      <c r="AN10" s="121">
        <f>MEDIAN(Table1[Midranges])</f>
        <v>3</v>
      </c>
      <c r="AO10" s="36"/>
      <c r="AP10" s="18">
        <f>_xlfn.CEILING.MATH('[1]Stats Global'!R10*(20-$AA$5-$AJ10))</f>
        <v>29</v>
      </c>
      <c r="AQ10" s="27">
        <f>Table1[[#This Row],[Points]]/AP10</f>
        <v>1.3448275862068966</v>
      </c>
      <c r="AR10" s="128">
        <f>AP10-Table1[[#This Row],[Points]]</f>
        <v>-10</v>
      </c>
      <c r="AS10" s="134">
        <f>Table1[[#This Row],[Points]]/(20-AA$5-Table1[[#This Row],[Missed Games]])</f>
        <v>4.333333333333333</v>
      </c>
      <c r="AT10" s="144">
        <f>Table1[[#This Row],[Average]]-'[1]Stats Global'!R10</f>
        <v>0.10714285714285721</v>
      </c>
      <c r="AU10" s="27">
        <f>(Table1[[#This Row],[Average]]-'[1]Stats Global'!R10)/'[1]Stats Global'!R10</f>
        <v>3.4090909090909109E-2</v>
      </c>
      <c r="AW10" s="2" t="s">
        <v>30</v>
      </c>
      <c r="AX10" s="16">
        <f>'1707'!AC6+'1807'!AC6+'2407'!AC6+'2607'!AC6</f>
        <v>5</v>
      </c>
      <c r="AY10" s="16">
        <f>'1707'!AD6+'1807'!AD6+'2407'!AD6+'2607'!AD6</f>
        <v>3</v>
      </c>
      <c r="AZ10" s="16">
        <f>'1707'!AE6+'1807'!AE6+'2407'!AE6+'2607'!AE6</f>
        <v>2</v>
      </c>
      <c r="BA10" s="16">
        <f>Table4[[#This Row],[Total R]]/$AX$6</f>
        <v>0.29411764705882354</v>
      </c>
      <c r="BB10" s="16">
        <f>Table4[[#This Row],[Total A]]/$AX$6</f>
        <v>0.17647058823529413</v>
      </c>
      <c r="BC10" s="16">
        <f>Table4[[#This Row],[Total S]]/$AX$6</f>
        <v>0.11764705882352941</v>
      </c>
    </row>
    <row r="11" spans="1:55" ht="14.25" customHeight="1" x14ac:dyDescent="0.45">
      <c r="A11" s="73"/>
      <c r="B11" s="111" t="str">
        <f>'2007'!B45</f>
        <v>20-July</v>
      </c>
      <c r="C11" s="111">
        <f>'2007'!C45</f>
        <v>6</v>
      </c>
      <c r="D11" s="111">
        <f>'2007'!D45</f>
        <v>3</v>
      </c>
      <c r="E11" s="111">
        <f>'2007'!E45</f>
        <v>2</v>
      </c>
      <c r="F11" s="111">
        <f>'2007'!F45</f>
        <v>3</v>
      </c>
      <c r="G11" s="111">
        <f>'2007'!G45</f>
        <v>3</v>
      </c>
      <c r="H11" s="111">
        <f>'2007'!H45</f>
        <v>1</v>
      </c>
      <c r="I11" s="111">
        <f>'2007'!I45</f>
        <v>6</v>
      </c>
      <c r="J11" s="111">
        <f>'2007'!J45</f>
        <v>2</v>
      </c>
      <c r="K11" s="111">
        <f>'2007'!K45</f>
        <v>1</v>
      </c>
      <c r="L11" s="111">
        <f>'2007'!L45</f>
        <v>2</v>
      </c>
      <c r="M11" s="111">
        <f>'2007'!M45</f>
        <v>1</v>
      </c>
      <c r="N11" s="111">
        <f>'2007'!N45</f>
        <v>3</v>
      </c>
      <c r="O11" s="111">
        <f>'2007'!O45</f>
        <v>2</v>
      </c>
      <c r="P11" s="111">
        <f>'2007'!P45</f>
        <v>3</v>
      </c>
      <c r="Q11" s="111">
        <f>'2007'!Q45</f>
        <v>1</v>
      </c>
      <c r="Z11" s="63" t="s">
        <v>54</v>
      </c>
      <c r="AA11" s="64">
        <f t="shared" si="1"/>
        <v>19</v>
      </c>
      <c r="AB11" s="65">
        <f>IF($AA$6-Table1[[#This Row],[Missed Games]]=0, 0,Table1[[#This Row],[Points]]/($AA$6-Table1[[#This Row],[Missed Games]]))</f>
        <v>1.3571428571428572</v>
      </c>
      <c r="AC11" s="66">
        <f t="shared" si="2"/>
        <v>19</v>
      </c>
      <c r="AD11" s="67">
        <f>IF($AA$6-Table1[[#This Row],[Missed Games]]=0, 0,Table1[[#This Row],[Finishes]]/($AA$6-Table1[[#This Row],[Missed Games]]))</f>
        <v>1.3571428571428572</v>
      </c>
      <c r="AE11" s="66">
        <f t="shared" si="3"/>
        <v>0</v>
      </c>
      <c r="AF11" s="67">
        <f>IF($AA$6-Table1[[#This Row],[Missed Games]]=0, 0,Table1[[#This Row],[Midranges]]/($AA$6-Table1[[#This Row],[Missed Games]]))</f>
        <v>0</v>
      </c>
      <c r="AG11" s="66">
        <f t="shared" si="4"/>
        <v>0</v>
      </c>
      <c r="AH11" s="67">
        <f>IF($AA$6-Table1[[#This Row],[Missed Games]]=0, 0,Table1[[#This Row],[Threes]]/($AA$6-Table1[[#This Row],[Missed Games]]))</f>
        <v>0</v>
      </c>
      <c r="AI11" s="63" t="str">
        <f>SfW!C6</f>
        <v>Wet Willies</v>
      </c>
      <c r="AJ11" s="68">
        <f t="shared" si="5"/>
        <v>6</v>
      </c>
      <c r="AK11" s="62"/>
      <c r="AL11" s="122" t="s">
        <v>3</v>
      </c>
      <c r="AM11" s="121">
        <f>AVERAGE(Table1[Threes])</f>
        <v>1.8235294117647058</v>
      </c>
      <c r="AN11" s="121">
        <f>MEDIAN(Table1[Threes])</f>
        <v>1</v>
      </c>
      <c r="AO11" s="36"/>
      <c r="AP11" s="18">
        <f>_xlfn.CEILING.MATH('[1]Stats Global'!R11*(20-$AA$5-$AJ11))</f>
        <v>31</v>
      </c>
      <c r="AQ11" s="27">
        <f>Table1[[#This Row],[Points]]/AP11</f>
        <v>0.61290322580645162</v>
      </c>
      <c r="AR11" s="128">
        <f>AP11-Table1[[#This Row],[Points]]</f>
        <v>12</v>
      </c>
      <c r="AS11" s="134">
        <f>Table1[[#This Row],[Points]]/(20-AA$5-Table1[[#This Row],[Missed Games]])</f>
        <v>1.7272727272727273</v>
      </c>
      <c r="AT11" s="144">
        <f>Table1[[#This Row],[Average]]-'[1]Stats Global'!R11</f>
        <v>-1.4553571428571428</v>
      </c>
      <c r="AU11" s="27">
        <f>(Table1[[#This Row],[Average]]-'[1]Stats Global'!R11)/'[1]Stats Global'!R11</f>
        <v>-0.5174603174603174</v>
      </c>
      <c r="AW11" s="2" t="s">
        <v>35</v>
      </c>
      <c r="AX11" s="16">
        <f>'1707'!AC7+'1807'!AC7+'2407'!AC7+'2607'!AC7</f>
        <v>10</v>
      </c>
      <c r="AY11" s="16">
        <f>'1707'!AD7+'1807'!AD7+'2407'!AD7+'2607'!AD7</f>
        <v>1</v>
      </c>
      <c r="AZ11" s="16">
        <f>'1707'!AE7+'1807'!AE7+'2407'!AE7+'2607'!AE7</f>
        <v>2</v>
      </c>
      <c r="BA11" s="16">
        <f>Table4[[#This Row],[Total R]]/$AX$6</f>
        <v>0.58823529411764708</v>
      </c>
      <c r="BB11" s="16">
        <f>Table4[[#This Row],[Total A]]/$AX$6</f>
        <v>5.8823529411764705E-2</v>
      </c>
      <c r="BC11" s="16">
        <f>Table4[[#This Row],[Total S]]/$AX$6</f>
        <v>0.11764705882352941</v>
      </c>
    </row>
    <row r="12" spans="1:55" ht="14.25" customHeight="1" x14ac:dyDescent="0.45">
      <c r="A12" s="73"/>
      <c r="B12" s="111" t="str">
        <f>'2407'!B45</f>
        <v>24-July</v>
      </c>
      <c r="C12" s="111">
        <f>'2407'!C45</f>
        <v>9</v>
      </c>
      <c r="D12" s="111">
        <f>'2407'!D45</f>
        <v>1</v>
      </c>
      <c r="E12" s="111">
        <f>'2407'!E45</f>
        <v>1</v>
      </c>
      <c r="F12" s="111">
        <f>'2407'!F45</f>
        <v>1</v>
      </c>
      <c r="G12" s="111">
        <f>'2407'!G45</f>
        <v>0</v>
      </c>
      <c r="H12" s="111">
        <f>'2407'!H45</f>
        <v>5</v>
      </c>
      <c r="I12" s="111">
        <f>'2407'!I45</f>
        <v>1</v>
      </c>
      <c r="J12" s="111">
        <f>'2407'!J45</f>
        <v>1</v>
      </c>
      <c r="K12" s="111">
        <f>'2407'!K45</f>
        <v>4</v>
      </c>
      <c r="L12" s="111">
        <f>'2407'!L45</f>
        <v>9</v>
      </c>
      <c r="M12" s="111">
        <f>'2407'!M45</f>
        <v>0</v>
      </c>
      <c r="N12" s="111">
        <f>'2407'!N45</f>
        <v>1</v>
      </c>
      <c r="O12" s="111">
        <f>'2407'!O45</f>
        <v>2</v>
      </c>
      <c r="P12" s="111">
        <f>'2407'!P45</f>
        <v>1</v>
      </c>
      <c r="Q12" s="111">
        <f>'2407'!Q45</f>
        <v>3</v>
      </c>
      <c r="Z12" s="63" t="s">
        <v>57</v>
      </c>
      <c r="AA12" s="64">
        <f t="shared" si="1"/>
        <v>20</v>
      </c>
      <c r="AB12" s="65">
        <f>IF($AA$6-Table1[[#This Row],[Missed Games]]=0, 0,Table1[[#This Row],[Points]]/($AA$6-Table1[[#This Row],[Missed Games]]))</f>
        <v>1.1111111111111112</v>
      </c>
      <c r="AC12" s="66">
        <f t="shared" si="2"/>
        <v>9</v>
      </c>
      <c r="AD12" s="67">
        <f>IF($AA$6-Table1[[#This Row],[Missed Games]]=0, 0,Table1[[#This Row],[Finishes]]/($AA$6-Table1[[#This Row],[Missed Games]]))</f>
        <v>0.5</v>
      </c>
      <c r="AE12" s="66">
        <f t="shared" si="3"/>
        <v>7</v>
      </c>
      <c r="AF12" s="67">
        <f>IF($AA$6-Table1[[#This Row],[Missed Games]]=0, 0,Table1[[#This Row],[Midranges]]/($AA$6-Table1[[#This Row],[Missed Games]]))</f>
        <v>0.3888888888888889</v>
      </c>
      <c r="AG12" s="66">
        <f t="shared" si="4"/>
        <v>2</v>
      </c>
      <c r="AH12" s="67">
        <f>IF($AA$6-Table1[[#This Row],[Missed Games]]=0, 0,Table1[[#This Row],[Threes]]/($AA$6-Table1[[#This Row],[Missed Games]]))</f>
        <v>0.1111111111111111</v>
      </c>
      <c r="AI12" s="63" t="str">
        <f>SfW!C7</f>
        <v>Wet Willies</v>
      </c>
      <c r="AJ12" s="68">
        <f t="shared" si="5"/>
        <v>2</v>
      </c>
      <c r="AK12" s="62"/>
      <c r="AL12" s="62"/>
      <c r="AM12" s="62"/>
      <c r="AO12" s="36"/>
      <c r="AP12" s="18">
        <f>_xlfn.CEILING.MATH('[1]Stats Global'!R12*(20-$AA$5-$AJ12))</f>
        <v>31</v>
      </c>
      <c r="AQ12" s="27">
        <f>Table1[[#This Row],[Points]]/AP12</f>
        <v>0.64516129032258063</v>
      </c>
      <c r="AR12" s="128">
        <f>AP12-Table1[[#This Row],[Points]]</f>
        <v>11</v>
      </c>
      <c r="AS12" s="134">
        <f>Table1[[#This Row],[Points]]/(20-AA$5-Table1[[#This Row],[Missed Games]])</f>
        <v>1.3333333333333333</v>
      </c>
      <c r="AT12" s="144">
        <f>Table1[[#This Row],[Average]]-'[1]Stats Global'!R12</f>
        <v>-0.94771241830065334</v>
      </c>
      <c r="AU12" s="27">
        <f>(Table1[[#This Row],[Average]]-'[1]Stats Global'!R12)/'[1]Stats Global'!R12</f>
        <v>-0.46031746031746024</v>
      </c>
      <c r="AW12" s="2" t="s">
        <v>37</v>
      </c>
      <c r="AX12" s="16">
        <f>'1707'!AC8+'1807'!AC8+'2407'!AC8+'2607'!AC8</f>
        <v>6</v>
      </c>
      <c r="AY12" s="16">
        <f>'1707'!AD8+'1807'!AD8+'2407'!AD8+'2607'!AD8</f>
        <v>1</v>
      </c>
      <c r="AZ12" s="16">
        <f>'1707'!AE8+'1807'!AE8+'2407'!AE8+'2607'!AE8</f>
        <v>1</v>
      </c>
      <c r="BA12" s="16">
        <f>Table4[[#This Row],[Total R]]/$AX$6</f>
        <v>0.35294117647058826</v>
      </c>
      <c r="BB12" s="16">
        <f>Table4[[#This Row],[Total A]]/$AX$6</f>
        <v>5.8823529411764705E-2</v>
      </c>
      <c r="BC12" s="16">
        <f>Table4[[#This Row],[Total S]]/$AX$6</f>
        <v>5.8823529411764705E-2</v>
      </c>
    </row>
    <row r="13" spans="1:55" ht="14.25" customHeight="1" x14ac:dyDescent="0.45">
      <c r="A13" s="73"/>
      <c r="B13" s="111" t="str">
        <f>'2607'!B45</f>
        <v>26-July</v>
      </c>
      <c r="C13" s="111">
        <f>'2607'!C45</f>
        <v>8</v>
      </c>
      <c r="D13" s="111">
        <f>'2607'!D45</f>
        <v>6</v>
      </c>
      <c r="E13" s="111">
        <f>'2607'!E45</f>
        <v>3</v>
      </c>
      <c r="F13" s="111">
        <f>'2607'!F45</f>
        <v>6</v>
      </c>
      <c r="G13" s="111">
        <f>'2607'!G45</f>
        <v>2</v>
      </c>
      <c r="H13" s="111">
        <f>'2607'!H45</f>
        <v>3</v>
      </c>
      <c r="I13" s="111">
        <f>'2607'!I45</f>
        <v>3</v>
      </c>
      <c r="J13" s="111">
        <f>'2607'!J45</f>
        <v>2</v>
      </c>
      <c r="K13" s="111">
        <f>'2607'!K45</f>
        <v>5</v>
      </c>
      <c r="L13" s="111">
        <f>'2607'!L45</f>
        <v>8</v>
      </c>
      <c r="M13" s="111">
        <f>'2607'!M45</f>
        <v>4</v>
      </c>
      <c r="N13" s="111">
        <f>'2607'!N45</f>
        <v>1</v>
      </c>
      <c r="O13" s="111">
        <f>'2607'!O45</f>
        <v>2</v>
      </c>
      <c r="P13" s="111">
        <f>'2607'!P45</f>
        <v>1</v>
      </c>
      <c r="Q13" s="111">
        <f>'2607'!Q45</f>
        <v>3</v>
      </c>
      <c r="Z13" s="174" t="s">
        <v>60</v>
      </c>
      <c r="AA13" s="175">
        <f t="shared" si="1"/>
        <v>16</v>
      </c>
      <c r="AB13" s="176">
        <f>IF($AA$6-Table1[[#This Row],[Missed Games]]=0, 0,Table1[[#This Row],[Points]]/($AA$6-Table1[[#This Row],[Missed Games]]))</f>
        <v>0.94117647058823528</v>
      </c>
      <c r="AC13" s="177">
        <f t="shared" si="2"/>
        <v>13</v>
      </c>
      <c r="AD13" s="178">
        <f>IF($AA$6-Table1[[#This Row],[Missed Games]]=0, 0,Table1[[#This Row],[Finishes]]/($AA$6-Table1[[#This Row],[Missed Games]]))</f>
        <v>0.76470588235294112</v>
      </c>
      <c r="AE13" s="177">
        <f t="shared" si="3"/>
        <v>3</v>
      </c>
      <c r="AF13" s="178">
        <f>IF($AA$6-Table1[[#This Row],[Missed Games]]=0, 0,Table1[[#This Row],[Midranges]]/($AA$6-Table1[[#This Row],[Missed Games]]))</f>
        <v>0.17647058823529413</v>
      </c>
      <c r="AG13" s="177">
        <f t="shared" si="4"/>
        <v>0</v>
      </c>
      <c r="AH13" s="178">
        <f>IF($AA$6-Table1[[#This Row],[Missed Games]]=0, 0,Table1[[#This Row],[Threes]]/($AA$6-Table1[[#This Row],[Missed Games]]))</f>
        <v>0</v>
      </c>
      <c r="AI13" s="174" t="str">
        <f>SfW!C8</f>
        <v>5 Musketeers</v>
      </c>
      <c r="AJ13" s="179">
        <f t="shared" si="5"/>
        <v>3</v>
      </c>
      <c r="AK13" s="62"/>
      <c r="AL13" s="62"/>
      <c r="AM13" s="62"/>
      <c r="AO13" s="36"/>
      <c r="AP13" s="18">
        <f>_xlfn.CEILING.MATH('[1]Stats Global'!R13*(20-$AA$5-$AJ13))</f>
        <v>16</v>
      </c>
      <c r="AQ13" s="27">
        <f>Table1[[#This Row],[Points]]/AP13</f>
        <v>1</v>
      </c>
      <c r="AR13" s="128">
        <f>AP13-Table1[[#This Row],[Points]]</f>
        <v>0</v>
      </c>
      <c r="AS13" s="134">
        <f>Table1[[#This Row],[Points]]/(20-AA$5-Table1[[#This Row],[Missed Games]])</f>
        <v>1.1428571428571428</v>
      </c>
      <c r="AT13" s="144">
        <f>Table1[[#This Row],[Average]]-'[1]Stats Global'!R13</f>
        <v>-0.20168067226890751</v>
      </c>
      <c r="AU13" s="27">
        <f>(Table1[[#This Row],[Average]]-'[1]Stats Global'!R13)/'[1]Stats Global'!R13</f>
        <v>-0.17647058823529407</v>
      </c>
      <c r="AW13" s="2" t="s">
        <v>42</v>
      </c>
      <c r="AX13" s="16">
        <f>'1707'!AC9+'1807'!AC9+'2407'!AC9+'2607'!AC9</f>
        <v>6</v>
      </c>
      <c r="AY13" s="16">
        <f>'1707'!AD9+'1807'!AD9+'2407'!AD9+'2607'!AD9</f>
        <v>2</v>
      </c>
      <c r="AZ13" s="16">
        <f>'1707'!AE9+'1807'!AE9+'2407'!AE9+'2607'!AE9</f>
        <v>1</v>
      </c>
      <c r="BA13" s="16">
        <f>Table4[[#This Row],[Total R]]/$AX$6</f>
        <v>0.35294117647058826</v>
      </c>
      <c r="BB13" s="16">
        <f>Table4[[#This Row],[Total A]]/$AX$6</f>
        <v>0.11764705882352941</v>
      </c>
      <c r="BC13" s="16">
        <f>Table4[[#This Row],[Total S]]/$AX$6</f>
        <v>5.8823529411764705E-2</v>
      </c>
    </row>
    <row r="14" spans="1:55" ht="14.25" customHeight="1" x14ac:dyDescent="0.45">
      <c r="A14" s="73"/>
      <c r="B14" s="111" t="str">
        <f>'2707'!B45</f>
        <v>27-July</v>
      </c>
      <c r="C14" s="111">
        <f>'2707'!C45</f>
        <v>8</v>
      </c>
      <c r="D14" s="111">
        <f>'2707'!D45</f>
        <v>3</v>
      </c>
      <c r="E14" s="111">
        <f>'2707'!E45</f>
        <v>3</v>
      </c>
      <c r="F14" s="111">
        <f>'2707'!F45</f>
        <v>3</v>
      </c>
      <c r="G14" s="111">
        <f>'2707'!G45</f>
        <v>1</v>
      </c>
      <c r="H14" s="111">
        <f>'2707'!H45</f>
        <v>4</v>
      </c>
      <c r="I14" s="111">
        <f>'2707'!I45</f>
        <v>3</v>
      </c>
      <c r="J14" s="111">
        <f>'2707'!J45</f>
        <v>2</v>
      </c>
      <c r="K14" s="111">
        <f>'2707'!K45</f>
        <v>4</v>
      </c>
      <c r="L14" s="111">
        <f>'2707'!L45</f>
        <v>8</v>
      </c>
      <c r="M14" s="111">
        <f>'2707'!M45</f>
        <v>1</v>
      </c>
      <c r="N14" s="111">
        <f>'2707'!N45</f>
        <v>2</v>
      </c>
      <c r="O14" s="111">
        <f>'2707'!O45</f>
        <v>2</v>
      </c>
      <c r="P14" s="111">
        <f>'2707'!P45</f>
        <v>1</v>
      </c>
      <c r="Q14" s="111">
        <f>'2707'!Q45</f>
        <v>3</v>
      </c>
      <c r="Z14" s="174" t="s">
        <v>93</v>
      </c>
      <c r="AA14" s="175">
        <f t="shared" si="1"/>
        <v>12</v>
      </c>
      <c r="AB14" s="176">
        <f>IF($AA$6-Table1[[#This Row],[Missed Games]]=0, 0,Table1[[#This Row],[Points]]/($AA$6-Table1[[#This Row],[Missed Games]]))</f>
        <v>0.6</v>
      </c>
      <c r="AC14" s="177">
        <f t="shared" si="2"/>
        <v>6</v>
      </c>
      <c r="AD14" s="178">
        <f>IF($AA$6-Table1[[#This Row],[Missed Games]]=0, 0,Table1[[#This Row],[Finishes]]/($AA$6-Table1[[#This Row],[Missed Games]]))</f>
        <v>0.3</v>
      </c>
      <c r="AE14" s="177">
        <f t="shared" si="3"/>
        <v>4</v>
      </c>
      <c r="AF14" s="178">
        <f>IF($AA$6-Table1[[#This Row],[Missed Games]]=0, 0,Table1[[#This Row],[Midranges]]/($AA$6-Table1[[#This Row],[Missed Games]]))</f>
        <v>0.2</v>
      </c>
      <c r="AG14" s="177">
        <f t="shared" si="4"/>
        <v>1</v>
      </c>
      <c r="AH14" s="178">
        <f>IF($AA$6-Table1[[#This Row],[Missed Games]]=0, 0,Table1[[#This Row],[Threes]]/($AA$6-Table1[[#This Row],[Missed Games]]))</f>
        <v>0.05</v>
      </c>
      <c r="AI14" s="174" t="str">
        <f>SfW!C9</f>
        <v>5 Musketeers</v>
      </c>
      <c r="AJ14" s="179">
        <f t="shared" si="5"/>
        <v>0</v>
      </c>
      <c r="AK14" s="62"/>
      <c r="AL14" s="62"/>
      <c r="AM14" s="62"/>
      <c r="AO14" s="36"/>
      <c r="AP14" s="18">
        <f>_xlfn.CEILING.MATH('[1]Stats Global'!R23*(20-$AA$5-$AJ14))</f>
        <v>6</v>
      </c>
      <c r="AQ14" s="27">
        <f>Table1[[#This Row],[Points]]/AP14</f>
        <v>2</v>
      </c>
      <c r="AR14" s="128">
        <f>AP14-Table1[[#This Row],[Points]]</f>
        <v>-6</v>
      </c>
      <c r="AS14" s="134">
        <f>Table1[[#This Row],[Points]]/(20-AA$5-Table1[[#This Row],[Missed Games]])</f>
        <v>0.70588235294117652</v>
      </c>
      <c r="AT14" s="144">
        <f>Table1[[#This Row],[Average]]-'[1]Stats Global'!R23</f>
        <v>0.28749999999999998</v>
      </c>
      <c r="AU14" s="27">
        <f>(Table1[[#This Row],[Average]]-'[1]Stats Global'!R23)/'[1]Stats Global'!R23</f>
        <v>0.91999999999999993</v>
      </c>
      <c r="AW14" s="16" t="s">
        <v>115</v>
      </c>
      <c r="AX14" s="16">
        <f>'1707'!AC10+'1807'!AC10+'2407'!AC10+'2607'!AC10</f>
        <v>9</v>
      </c>
      <c r="AY14" s="16">
        <f>'1707'!AD10+'1807'!AD10+'2407'!AD10+'2607'!AD10</f>
        <v>0</v>
      </c>
      <c r="AZ14" s="16">
        <f>'1707'!AE10+'1807'!AE10+'2407'!AE10+'2607'!AE10</f>
        <v>2</v>
      </c>
      <c r="BA14" s="16">
        <f>Table4[[#This Row],[Total R]]/$AX$6</f>
        <v>0.52941176470588236</v>
      </c>
      <c r="BB14" s="16">
        <f>Table4[[#This Row],[Total A]]/$AX$6</f>
        <v>0</v>
      </c>
      <c r="BC14" s="16">
        <f>Table4[[#This Row],[Total S]]/$AX$6</f>
        <v>0.11764705882352941</v>
      </c>
    </row>
    <row r="15" spans="1:55" ht="14.25" customHeight="1" x14ac:dyDescent="0.45">
      <c r="A15" s="73"/>
      <c r="B15" s="111" t="str">
        <f>'3107'!B45</f>
        <v>31-July</v>
      </c>
      <c r="C15" s="111">
        <f>'3107'!C45</f>
        <v>9</v>
      </c>
      <c r="D15" s="111">
        <f>'3107'!D45</f>
        <v>4</v>
      </c>
      <c r="E15" s="111">
        <f>'3107'!E45</f>
        <v>3</v>
      </c>
      <c r="F15" s="111">
        <f>'3107'!F45</f>
        <v>9</v>
      </c>
      <c r="G15" s="111">
        <f>'3107'!G45</f>
        <v>2</v>
      </c>
      <c r="H15" s="111">
        <f>'3107'!H45</f>
        <v>1</v>
      </c>
      <c r="I15" s="111">
        <f>'3107'!I45</f>
        <v>4</v>
      </c>
      <c r="J15" s="111">
        <f>'3107'!J45</f>
        <v>4</v>
      </c>
      <c r="K15" s="111">
        <f>'3107'!K45</f>
        <v>2</v>
      </c>
      <c r="L15" s="111">
        <f>'3107'!L45</f>
        <v>3</v>
      </c>
      <c r="M15" s="111">
        <f>'3107'!M45</f>
        <v>5</v>
      </c>
      <c r="N15" s="111">
        <f>'3107'!N45</f>
        <v>2</v>
      </c>
      <c r="O15" s="111">
        <f>'3107'!O45</f>
        <v>3</v>
      </c>
      <c r="P15" s="111">
        <f>'3107'!P45</f>
        <v>2</v>
      </c>
      <c r="Q15" s="111">
        <f>'3107'!Q45</f>
        <v>1</v>
      </c>
      <c r="Z15" s="174" t="s">
        <v>63</v>
      </c>
      <c r="AA15" s="175">
        <f t="shared" si="1"/>
        <v>19</v>
      </c>
      <c r="AB15" s="176">
        <f>IF($AA$6-Table1[[#This Row],[Missed Games]]=0, 0,Table1[[#This Row],[Points]]/($AA$6-Table1[[#This Row],[Missed Games]]))</f>
        <v>1.3571428571428572</v>
      </c>
      <c r="AC15" s="177">
        <f t="shared" si="2"/>
        <v>1</v>
      </c>
      <c r="AD15" s="178">
        <f>IF($AA$6-Table1[[#This Row],[Missed Games]]=0, 0,Table1[[#This Row],[Finishes]]/($AA$6-Table1[[#This Row],[Missed Games]]))</f>
        <v>7.1428571428571425E-2</v>
      </c>
      <c r="AE15" s="177">
        <f t="shared" si="3"/>
        <v>2</v>
      </c>
      <c r="AF15" s="178">
        <f>IF($AA$6-Table1[[#This Row],[Missed Games]]=0, 0,Table1[[#This Row],[Midranges]]/($AA$6-Table1[[#This Row],[Missed Games]]))</f>
        <v>0.14285714285714285</v>
      </c>
      <c r="AG15" s="177">
        <f t="shared" si="4"/>
        <v>8</v>
      </c>
      <c r="AH15" s="178">
        <f>IF($AA$6-Table1[[#This Row],[Missed Games]]=0, 0,Table1[[#This Row],[Threes]]/($AA$6-Table1[[#This Row],[Missed Games]]))</f>
        <v>0.5714285714285714</v>
      </c>
      <c r="AI15" s="174" t="str">
        <f>SfW!C10</f>
        <v>Wet Willies</v>
      </c>
      <c r="AJ15" s="179">
        <f t="shared" si="5"/>
        <v>6</v>
      </c>
      <c r="AK15" s="62"/>
      <c r="AL15" s="62"/>
      <c r="AM15" s="62"/>
      <c r="AO15" s="36"/>
      <c r="AP15" s="18">
        <f>_xlfn.CEILING.MATH('[1]Stats Global'!R14*(20-$AA$5-$AJ15))</f>
        <v>18</v>
      </c>
      <c r="AQ15" s="27">
        <f>Table1[[#This Row],[Points]]/AP15</f>
        <v>1.0555555555555556</v>
      </c>
      <c r="AR15" s="128">
        <f>AP15-Table1[[#This Row],[Points]]</f>
        <v>-1</v>
      </c>
      <c r="AS15" s="134">
        <f>Table1[[#This Row],[Points]]/(20-AA$5-Table1[[#This Row],[Missed Games]])</f>
        <v>1.7272727272727273</v>
      </c>
      <c r="AT15" s="144">
        <f>Table1[[#This Row],[Average]]-'[1]Stats Global'!R14</f>
        <v>-0.23109243697478976</v>
      </c>
      <c r="AU15" s="27">
        <f>(Table1[[#This Row],[Average]]-'[1]Stats Global'!R14)/'[1]Stats Global'!R14</f>
        <v>-0.14550264550264541</v>
      </c>
      <c r="AW15" s="2" t="s">
        <v>44</v>
      </c>
      <c r="AX15" s="16">
        <f>'1707'!AC11+'1807'!AC11+'2407'!AC11+'2607'!AC11</f>
        <v>0</v>
      </c>
      <c r="AY15" s="16">
        <f>'1707'!AD11+'1807'!AD11+'2407'!AD11+'2607'!AD11</f>
        <v>0</v>
      </c>
      <c r="AZ15" s="16">
        <f>'1707'!AE11+'1807'!AE11+'2407'!AE11+'2607'!AE11</f>
        <v>0</v>
      </c>
      <c r="BA15" s="16">
        <f>Table4[[#This Row],[Total R]]/$AX$6</f>
        <v>0</v>
      </c>
      <c r="BB15" s="16">
        <f>Table4[[#This Row],[Total A]]/$AX$6</f>
        <v>0</v>
      </c>
      <c r="BC15" s="16">
        <f>Table4[[#This Row],[Total S]]/$AX$6</f>
        <v>0</v>
      </c>
    </row>
    <row r="16" spans="1:55" ht="14.25" customHeight="1" x14ac:dyDescent="0.45">
      <c r="A16" s="73"/>
      <c r="B16" s="111" t="str">
        <f>'0108'!B45</f>
        <v>1-August</v>
      </c>
      <c r="C16" s="111">
        <f>'0108'!C45</f>
        <v>6</v>
      </c>
      <c r="D16" s="111">
        <f>'0108'!D45</f>
        <v>6</v>
      </c>
      <c r="E16" s="111">
        <f>'0108'!E45</f>
        <v>3</v>
      </c>
      <c r="F16" s="111">
        <f>'0108'!F45</f>
        <v>3</v>
      </c>
      <c r="G16" s="111">
        <f>'0108'!G45</f>
        <v>3</v>
      </c>
      <c r="H16" s="111">
        <f>'0108'!H45</f>
        <v>3</v>
      </c>
      <c r="I16" s="111">
        <f>'0108'!I45</f>
        <v>6</v>
      </c>
      <c r="J16" s="111">
        <f>'0108'!J45</f>
        <v>1</v>
      </c>
      <c r="K16" s="111">
        <f>'0108'!K45</f>
        <v>3</v>
      </c>
      <c r="L16" s="111">
        <f>'0108'!L45</f>
        <v>6</v>
      </c>
      <c r="M16" s="111">
        <f>'0108'!M45</f>
        <v>2</v>
      </c>
      <c r="N16" s="111">
        <f>'0108'!N45</f>
        <v>3</v>
      </c>
      <c r="O16" s="111">
        <f>'0108'!O45</f>
        <v>1</v>
      </c>
      <c r="P16" s="111">
        <f>'0108'!P45</f>
        <v>3</v>
      </c>
      <c r="Q16" s="111">
        <f>'0108'!Q45</f>
        <v>2</v>
      </c>
      <c r="Z16" s="72" t="s">
        <v>66</v>
      </c>
      <c r="AA16" s="64">
        <f t="shared" si="1"/>
        <v>39</v>
      </c>
      <c r="AB16" s="65">
        <f>IF($AA$6-Table1[[#This Row],[Missed Games]]=0, 0,Table1[[#This Row],[Points]]/($AA$6-Table1[[#This Row],[Missed Games]]))</f>
        <v>2.1666666666666665</v>
      </c>
      <c r="AC16" s="66">
        <f t="shared" si="2"/>
        <v>17</v>
      </c>
      <c r="AD16" s="67">
        <f>IF($AA$6-Table1[[#This Row],[Missed Games]]=0, 0,Table1[[#This Row],[Finishes]]/($AA$6-Table1[[#This Row],[Missed Games]]))</f>
        <v>0.94444444444444442</v>
      </c>
      <c r="AE16" s="66">
        <f t="shared" si="3"/>
        <v>16</v>
      </c>
      <c r="AF16" s="67">
        <f>IF($AA$6-Table1[[#This Row],[Missed Games]]=0, 0,Table1[[#This Row],[Midranges]]/($AA$6-Table1[[#This Row],[Missed Games]]))</f>
        <v>0.88888888888888884</v>
      </c>
      <c r="AG16" s="66">
        <f t="shared" si="4"/>
        <v>3</v>
      </c>
      <c r="AH16" s="67">
        <f>IF($AA$6-Table1[[#This Row],[Missed Games]]=0, 0,Table1[[#This Row],[Threes]]/($AA$6-Table1[[#This Row],[Missed Games]]))</f>
        <v>0.16666666666666666</v>
      </c>
      <c r="AI16" s="63" t="str">
        <f>SfW!C11</f>
        <v>Loose Gooses</v>
      </c>
      <c r="AJ16" s="68">
        <f t="shared" si="5"/>
        <v>2</v>
      </c>
      <c r="AK16" s="62"/>
      <c r="AL16" s="62"/>
      <c r="AM16" s="62"/>
      <c r="AO16" s="36"/>
      <c r="AP16" s="18">
        <f>_xlfn.CEILING.MATH('[1]Stats Global'!R15*(20-$AA$5-$AJ16))</f>
        <v>22</v>
      </c>
      <c r="AQ16" s="27">
        <f>Table1[[#This Row],[Points]]/AP16</f>
        <v>1.7727272727272727</v>
      </c>
      <c r="AR16" s="128">
        <f>AP16-Table1[[#This Row],[Points]]</f>
        <v>-17</v>
      </c>
      <c r="AS16" s="134">
        <f>Table1[[#This Row],[Points]]/(20-AA$5-Table1[[#This Row],[Missed Games]])</f>
        <v>2.6</v>
      </c>
      <c r="AT16" s="144">
        <f>Table1[[#This Row],[Average]]-'[1]Stats Global'!R15</f>
        <v>0.75490196078431349</v>
      </c>
      <c r="AU16" s="27">
        <f>(Table1[[#This Row],[Average]]-'[1]Stats Global'!R15)/'[1]Stats Global'!R15</f>
        <v>0.53472222222222199</v>
      </c>
      <c r="AW16" s="2" t="s">
        <v>46</v>
      </c>
      <c r="AX16" s="16">
        <f>'1707'!AC12+'1807'!AC12+'2407'!AC12+'2607'!AC12</f>
        <v>14</v>
      </c>
      <c r="AY16" s="16">
        <f>'1707'!AD12+'1807'!AD12+'2407'!AD12+'2607'!AD12</f>
        <v>3</v>
      </c>
      <c r="AZ16" s="16">
        <f>'1707'!AE12+'1807'!AE12+'2407'!AE12+'2607'!AE12</f>
        <v>2</v>
      </c>
      <c r="BA16" s="16">
        <f>Table4[[#This Row],[Total R]]/$AX$6</f>
        <v>0.82352941176470584</v>
      </c>
      <c r="BB16" s="16">
        <f>Table4[[#This Row],[Total A]]/$AX$6</f>
        <v>0.17647058823529413</v>
      </c>
      <c r="BC16" s="16">
        <f>Table4[[#This Row],[Total S]]/$AX$6</f>
        <v>0.11764705882352941</v>
      </c>
    </row>
    <row r="17" spans="2:55" ht="14.25" customHeight="1" x14ac:dyDescent="0.45">
      <c r="B17" s="111" t="str">
        <f>'0208'!B45</f>
        <v>2-August</v>
      </c>
      <c r="C17" s="111">
        <f>'0208'!C45</f>
        <v>12</v>
      </c>
      <c r="D17" s="111">
        <f>'0208'!D45</f>
        <v>10</v>
      </c>
      <c r="E17" s="111">
        <f>'0208'!E45</f>
        <v>4</v>
      </c>
      <c r="F17" s="111">
        <f>'0208'!F45</f>
        <v>4</v>
      </c>
      <c r="G17" s="111">
        <f>'0208'!G45</f>
        <v>3</v>
      </c>
      <c r="H17" s="111">
        <f>'0208'!H45</f>
        <v>8</v>
      </c>
      <c r="I17" s="111">
        <f>'0208'!I45</f>
        <v>10</v>
      </c>
      <c r="J17" s="111">
        <f>'0208'!J45</f>
        <v>4</v>
      </c>
      <c r="K17" s="111">
        <f>'0208'!K45</f>
        <v>4</v>
      </c>
      <c r="L17" s="111">
        <f>'0208'!L45</f>
        <v>12</v>
      </c>
      <c r="M17" s="111">
        <f>'0208'!M45</f>
        <v>0</v>
      </c>
      <c r="N17" s="111">
        <f>'0208'!N45</f>
        <v>7</v>
      </c>
      <c r="O17" s="111">
        <f>'0208'!O45</f>
        <v>1</v>
      </c>
      <c r="P17" s="111">
        <f>'0208'!P45</f>
        <v>2</v>
      </c>
      <c r="Q17" s="111">
        <f>'0208'!Q45</f>
        <v>3</v>
      </c>
      <c r="Z17" s="72" t="s">
        <v>68</v>
      </c>
      <c r="AA17" s="64">
        <f t="shared" si="1"/>
        <v>66</v>
      </c>
      <c r="AB17" s="65">
        <f>IF($AA$6-Table1[[#This Row],[Missed Games]]=0, 0,Table1[[#This Row],[Points]]/($AA$6-Table1[[#This Row],[Missed Games]]))</f>
        <v>3.4736842105263159</v>
      </c>
      <c r="AC17" s="66">
        <f t="shared" si="2"/>
        <v>16</v>
      </c>
      <c r="AD17" s="67">
        <f>IF($AA$6-Table1[[#This Row],[Missed Games]]=0, 0,Table1[[#This Row],[Finishes]]/($AA$6-Table1[[#This Row],[Missed Games]]))</f>
        <v>0.84210526315789469</v>
      </c>
      <c r="AE17" s="66">
        <f t="shared" si="3"/>
        <v>40</v>
      </c>
      <c r="AF17" s="67">
        <f>IF($AA$6-Table1[[#This Row],[Missed Games]]=0, 0,Table1[[#This Row],[Midranges]]/($AA$6-Table1[[#This Row],[Missed Games]]))</f>
        <v>2.1052631578947367</v>
      </c>
      <c r="AG17" s="66">
        <f t="shared" si="4"/>
        <v>5</v>
      </c>
      <c r="AH17" s="67">
        <f>IF($AA$6-Table1[[#This Row],[Missed Games]]=0, 0,Table1[[#This Row],[Threes]]/($AA$6-Table1[[#This Row],[Missed Games]]))</f>
        <v>0.26315789473684209</v>
      </c>
      <c r="AI17" s="63" t="str">
        <f>SfW!C12</f>
        <v>5 Musketeers</v>
      </c>
      <c r="AJ17" s="68">
        <f t="shared" si="5"/>
        <v>1</v>
      </c>
      <c r="AK17" s="62"/>
      <c r="AL17" s="62"/>
      <c r="AM17" s="62"/>
      <c r="AO17" s="36"/>
      <c r="AP17" s="18">
        <f>_xlfn.CEILING.MATH('[1]Stats Global'!R16*(20-$AA$5-$AJ17))</f>
        <v>41</v>
      </c>
      <c r="AQ17" s="27">
        <f>Table1[[#This Row],[Points]]/AP17</f>
        <v>1.6097560975609757</v>
      </c>
      <c r="AR17" s="128">
        <f>AP17-Table1[[#This Row],[Points]]</f>
        <v>-25</v>
      </c>
      <c r="AS17" s="134">
        <f>Table1[[#This Row],[Points]]/(20-AA$5-Table1[[#This Row],[Missed Games]])</f>
        <v>4.125</v>
      </c>
      <c r="AT17" s="144">
        <f>Table1[[#This Row],[Average]]-'[1]Stats Global'!R16</f>
        <v>0.94035087719298271</v>
      </c>
      <c r="AU17" s="27">
        <f>(Table1[[#This Row],[Average]]-'[1]Stats Global'!R16)/'[1]Stats Global'!R16</f>
        <v>0.37119113573407214</v>
      </c>
      <c r="AW17" s="2" t="s">
        <v>50</v>
      </c>
      <c r="AX17" s="16">
        <f>'1707'!AC13+'1807'!AC13+'2407'!AC13+'2607'!AC13</f>
        <v>14</v>
      </c>
      <c r="AY17" s="16">
        <f>'1707'!AD13+'1807'!AD13+'2407'!AD13+'2607'!AD13</f>
        <v>2</v>
      </c>
      <c r="AZ17" s="16">
        <f>'1707'!AE13+'1807'!AE13+'2407'!AE13+'2607'!AE13</f>
        <v>0</v>
      </c>
      <c r="BA17" s="16">
        <f>Table4[[#This Row],[Total R]]/$AX$6</f>
        <v>0.82352941176470584</v>
      </c>
      <c r="BB17" s="16">
        <f>Table4[[#This Row],[Total A]]/$AX$6</f>
        <v>0.11764705882352941</v>
      </c>
      <c r="BC17" s="16">
        <f>Table4[[#This Row],[Total S]]/$AX$6</f>
        <v>0</v>
      </c>
    </row>
    <row r="18" spans="2:55" ht="14.25" customHeight="1" x14ac:dyDescent="0.45">
      <c r="B18" s="111" t="str">
        <f>'0308'!B45</f>
        <v>3-August</v>
      </c>
      <c r="C18" s="111">
        <f>'0308'!C45</f>
        <v>7</v>
      </c>
      <c r="D18" s="111">
        <f>'0308'!D45</f>
        <v>3</v>
      </c>
      <c r="E18" s="111">
        <f>'0308'!E45</f>
        <v>0</v>
      </c>
      <c r="F18" s="111">
        <f>'0308'!F45</f>
        <v>7</v>
      </c>
      <c r="G18" s="111">
        <f>'0308'!G45</f>
        <v>2</v>
      </c>
      <c r="H18" s="111">
        <f>'0308'!H45</f>
        <v>0</v>
      </c>
      <c r="I18" s="111">
        <f>'0308'!I45</f>
        <v>3</v>
      </c>
      <c r="J18" s="111">
        <f>'0308'!J45</f>
        <v>3</v>
      </c>
      <c r="K18" s="111">
        <f>'0308'!K45</f>
        <v>0</v>
      </c>
      <c r="L18" s="111">
        <f>'0308'!L45</f>
        <v>0</v>
      </c>
      <c r="M18" s="111">
        <f>'0308'!M45</f>
        <v>4</v>
      </c>
      <c r="N18" s="111">
        <f>'0308'!N45</f>
        <v>1</v>
      </c>
      <c r="O18" s="111">
        <f>'0308'!O45</f>
        <v>3</v>
      </c>
      <c r="P18" s="111">
        <f>'0308'!P45</f>
        <v>2</v>
      </c>
      <c r="Q18" s="111">
        <f>'0308'!Q45</f>
        <v>1</v>
      </c>
      <c r="Z18" s="174" t="s">
        <v>69</v>
      </c>
      <c r="AA18" s="175">
        <f t="shared" si="1"/>
        <v>11</v>
      </c>
      <c r="AB18" s="176">
        <f>IF($AA$6-Table1[[#This Row],[Missed Games]]=0, 0,Table1[[#This Row],[Points]]/($AA$6-Table1[[#This Row],[Missed Games]]))</f>
        <v>0.55000000000000004</v>
      </c>
      <c r="AC18" s="177">
        <f t="shared" si="2"/>
        <v>3</v>
      </c>
      <c r="AD18" s="178">
        <f>IF($AA$6-Table1[[#This Row],[Missed Games]]=0, 0,Table1[[#This Row],[Finishes]]/($AA$6-Table1[[#This Row],[Missed Games]]))</f>
        <v>0.15</v>
      </c>
      <c r="AE18" s="177">
        <f t="shared" si="3"/>
        <v>8</v>
      </c>
      <c r="AF18" s="178">
        <f>IF($AA$6-Table1[[#This Row],[Missed Games]]=0, 0,Table1[[#This Row],[Midranges]]/($AA$6-Table1[[#This Row],[Missed Games]]))</f>
        <v>0.4</v>
      </c>
      <c r="AG18" s="177">
        <f t="shared" si="4"/>
        <v>0</v>
      </c>
      <c r="AH18" s="178">
        <f>IF($AA$6-Table1[[#This Row],[Missed Games]]=0, 0,Table1[[#This Row],[Threes]]/($AA$6-Table1[[#This Row],[Missed Games]]))</f>
        <v>0</v>
      </c>
      <c r="AI18" s="174" t="str">
        <f>SfW!C13</f>
        <v>Wet Willies</v>
      </c>
      <c r="AJ18" s="179">
        <f t="shared" si="5"/>
        <v>0</v>
      </c>
      <c r="AK18" s="62"/>
      <c r="AL18" s="62"/>
      <c r="AM18" s="62"/>
      <c r="AO18" s="36"/>
      <c r="AP18" s="18">
        <f>_xlfn.CEILING.MATH('[1]Stats Global'!R17*(20-$AA$5-$AJ18))</f>
        <v>15</v>
      </c>
      <c r="AQ18" s="27">
        <f>Table1[[#This Row],[Points]]/AP18</f>
        <v>0.73333333333333328</v>
      </c>
      <c r="AR18" s="128">
        <f>AP18-Table1[[#This Row],[Points]]</f>
        <v>4</v>
      </c>
      <c r="AS18" s="134">
        <f>Table1[[#This Row],[Points]]/(20-AA$5-Table1[[#This Row],[Missed Games]])</f>
        <v>0.6470588235294118</v>
      </c>
      <c r="AT18" s="144">
        <f>Table1[[#This Row],[Average]]-'[1]Stats Global'!R17</f>
        <v>-0.32499999999999996</v>
      </c>
      <c r="AU18" s="27">
        <f>(Table1[[#This Row],[Average]]-'[1]Stats Global'!R17)/'[1]Stats Global'!R17</f>
        <v>-0.37142857142857139</v>
      </c>
      <c r="AW18" s="2" t="s">
        <v>52</v>
      </c>
      <c r="AX18" s="16">
        <f>'1707'!AC14+'1807'!AC14+'2407'!AC14+'2607'!AC14</f>
        <v>1</v>
      </c>
      <c r="AY18" s="16">
        <f>'1707'!AD14+'1807'!AD14+'2407'!AD14+'2607'!AD14</f>
        <v>0</v>
      </c>
      <c r="AZ18" s="16">
        <f>'1707'!AE14+'1807'!AE14+'2407'!AE14+'2607'!AE14</f>
        <v>5</v>
      </c>
      <c r="BA18" s="16">
        <f>Table4[[#This Row],[Total R]]/$AX$6</f>
        <v>5.8823529411764705E-2</v>
      </c>
      <c r="BB18" s="16">
        <f>Table4[[#This Row],[Total A]]/$AX$6</f>
        <v>0</v>
      </c>
      <c r="BC18" s="16">
        <f>Table4[[#This Row],[Total S]]/$AX$6</f>
        <v>0.29411764705882354</v>
      </c>
    </row>
    <row r="19" spans="2:55" ht="14.25" customHeight="1" x14ac:dyDescent="0.45">
      <c r="B19" s="147" t="str">
        <f>'0808'!B45</f>
        <v>8-August</v>
      </c>
      <c r="C19" s="147">
        <f>'0808'!C45</f>
        <v>17</v>
      </c>
      <c r="D19" s="147">
        <f>'0808'!D45</f>
        <v>1</v>
      </c>
      <c r="E19" s="147">
        <f>'0808'!E45</f>
        <v>1</v>
      </c>
      <c r="F19" s="147">
        <f>'0808'!F45</f>
        <v>1</v>
      </c>
      <c r="G19" s="147">
        <f>'0808'!G45</f>
        <v>1</v>
      </c>
      <c r="H19" s="147">
        <f>'0808'!H45</f>
        <v>8</v>
      </c>
      <c r="I19" s="147">
        <f>'0808'!I45</f>
        <v>1</v>
      </c>
      <c r="J19" s="147">
        <f>'0808'!J45</f>
        <v>0</v>
      </c>
      <c r="K19" s="147">
        <f>'0808'!K45</f>
        <v>9</v>
      </c>
      <c r="L19" s="147">
        <f>'0808'!L45</f>
        <v>17</v>
      </c>
      <c r="M19" s="147">
        <f>'0808'!M45</f>
        <v>1</v>
      </c>
      <c r="N19" s="147">
        <f>'0808'!N45</f>
        <v>0</v>
      </c>
      <c r="O19" s="147">
        <f>'0808'!O45</f>
        <v>1</v>
      </c>
      <c r="P19" s="147">
        <f>'0808'!P45</f>
        <v>2</v>
      </c>
      <c r="Q19" s="147">
        <f>'0808'!Q45</f>
        <v>3</v>
      </c>
      <c r="Z19" s="174" t="s">
        <v>200</v>
      </c>
      <c r="AA19" s="175">
        <f t="shared" si="1"/>
        <v>1</v>
      </c>
      <c r="AB19" s="176">
        <f>IF($AA$6-Table1[[#This Row],[Missed Games]]=0, 0,Table1[[#This Row],[Points]]/($AA$6-Table1[[#This Row],[Missed Games]]))</f>
        <v>0.16666666666666666</v>
      </c>
      <c r="AC19" s="177">
        <f t="shared" si="2"/>
        <v>0</v>
      </c>
      <c r="AD19" s="178">
        <f>IF($AA$6-Table1[[#This Row],[Missed Games]]=0, 0,Table1[[#This Row],[Finishes]]/($AA$6-Table1[[#This Row],[Missed Games]]))</f>
        <v>0</v>
      </c>
      <c r="AE19" s="177">
        <f t="shared" si="3"/>
        <v>1</v>
      </c>
      <c r="AF19" s="178">
        <f>IF($AA$6-Table1[[#This Row],[Missed Games]]=0, 0,Table1[[#This Row],[Midranges]]/($AA$6-Table1[[#This Row],[Missed Games]]))</f>
        <v>0.16666666666666666</v>
      </c>
      <c r="AG19" s="177">
        <f t="shared" si="4"/>
        <v>0</v>
      </c>
      <c r="AH19" s="178">
        <f>IF($AA$6-Table1[[#This Row],[Missed Games]]=0, 0,Table1[[#This Row],[Threes]]/($AA$6-Table1[[#This Row],[Missed Games]]))</f>
        <v>0</v>
      </c>
      <c r="AI19" s="174" t="s">
        <v>31</v>
      </c>
      <c r="AJ19" s="179">
        <f t="shared" si="5"/>
        <v>14</v>
      </c>
      <c r="AK19" s="62"/>
      <c r="AL19" s="62"/>
      <c r="AM19" s="62"/>
      <c r="AO19" s="36"/>
      <c r="AP19" s="18">
        <v>0</v>
      </c>
      <c r="AQ19" s="27">
        <v>1</v>
      </c>
      <c r="AR19" s="128">
        <f>AP19-Table1[[#This Row],[Points]]</f>
        <v>-1</v>
      </c>
      <c r="AS19" s="134">
        <f>Table1[[#This Row],[Points]]/(20-AA$5-Table1[[#This Row],[Missed Games]])</f>
        <v>0.33333333333333331</v>
      </c>
      <c r="AT19" s="144">
        <v>0</v>
      </c>
      <c r="AU19" s="38">
        <v>0</v>
      </c>
      <c r="AW19" s="2" t="s">
        <v>200</v>
      </c>
      <c r="AX19" s="16">
        <f>'1707'!AC15+'1807'!AC15+'2407'!AC15+'2607'!AC15</f>
        <v>3</v>
      </c>
      <c r="AY19" s="16">
        <f>'1707'!AD15+'1807'!AD15+'2407'!AD15+'2607'!AD15</f>
        <v>1</v>
      </c>
      <c r="AZ19" s="16">
        <f>'1707'!AE15+'1807'!AE15+'2407'!AE15+'2607'!AE15</f>
        <v>0</v>
      </c>
      <c r="BA19" s="16">
        <f>Table4[[#This Row],[Total R]]/$AX$6</f>
        <v>0.17647058823529413</v>
      </c>
      <c r="BB19" s="16">
        <f>Table4[[#This Row],[Total A]]/$AX$6</f>
        <v>5.8823529411764705E-2</v>
      </c>
      <c r="BC19" s="16">
        <f>Table4[[#This Row],[Total S]]/$AX$6</f>
        <v>0</v>
      </c>
    </row>
    <row r="20" spans="2:55" ht="14.25" customHeight="1" x14ac:dyDescent="0.45">
      <c r="B20" s="147" t="str">
        <f>'0908'!B45</f>
        <v>9-August</v>
      </c>
      <c r="C20" s="147">
        <f>'0908'!C45</f>
        <v>8</v>
      </c>
      <c r="D20" s="147">
        <f>'0908'!D45</f>
        <v>3</v>
      </c>
      <c r="E20" s="147">
        <f>'0908'!E45</f>
        <v>2</v>
      </c>
      <c r="F20" s="147">
        <f>'0908'!F45</f>
        <v>3</v>
      </c>
      <c r="G20" s="147">
        <f>'0908'!G45</f>
        <v>1</v>
      </c>
      <c r="H20" s="147">
        <f>'0908'!H45</f>
        <v>4</v>
      </c>
      <c r="I20" s="147">
        <f>'0908'!I45</f>
        <v>2</v>
      </c>
      <c r="J20" s="147">
        <f>'0908'!J45</f>
        <v>1</v>
      </c>
      <c r="K20" s="147">
        <f>'0908'!K45</f>
        <v>4</v>
      </c>
      <c r="L20" s="147">
        <f>'0908'!L45</f>
        <v>8</v>
      </c>
      <c r="M20" s="147">
        <f>'0908'!M45</f>
        <v>2</v>
      </c>
      <c r="N20" s="147">
        <f>'0908'!N45</f>
        <v>1</v>
      </c>
      <c r="O20" s="147">
        <f>'0908'!O45</f>
        <v>2</v>
      </c>
      <c r="P20" s="147">
        <f>'0908'!P45</f>
        <v>1</v>
      </c>
      <c r="Q20" s="147">
        <f>'0908'!Q45</f>
        <v>3</v>
      </c>
      <c r="Z20" s="174" t="s">
        <v>128</v>
      </c>
      <c r="AA20" s="175">
        <f t="shared" si="1"/>
        <v>14</v>
      </c>
      <c r="AB20" s="176">
        <f>IF($AA$6-Table1[[#This Row],[Missed Games]]=0, 0,Table1[[#This Row],[Points]]/($AA$6-Table1[[#This Row],[Missed Games]]))</f>
        <v>0.82352941176470584</v>
      </c>
      <c r="AC20" s="177">
        <f t="shared" si="2"/>
        <v>9</v>
      </c>
      <c r="AD20" s="180">
        <f>IF($AA$6-Table1[[#This Row],[Missed Games]]=0, 0,Table1[[#This Row],[Finishes]]/($AA$6-Table1[[#This Row],[Missed Games]]))</f>
        <v>0.52941176470588236</v>
      </c>
      <c r="AE20" s="177">
        <f t="shared" si="3"/>
        <v>1</v>
      </c>
      <c r="AF20" s="180">
        <f>IF($AA$6-Table1[[#This Row],[Missed Games]]=0, 0,Table1[[#This Row],[Midranges]]/($AA$6-Table1[[#This Row],[Missed Games]]))</f>
        <v>5.8823529411764705E-2</v>
      </c>
      <c r="AG20" s="177">
        <f t="shared" si="4"/>
        <v>2</v>
      </c>
      <c r="AH20" s="180">
        <f>IF($AA$6-Table1[[#This Row],[Missed Games]]=0, 0,Table1[[#This Row],[Threes]]/($AA$6-Table1[[#This Row],[Missed Games]]))</f>
        <v>0.11764705882352941</v>
      </c>
      <c r="AI20" s="174" t="str">
        <f>SfW!C15</f>
        <v>Wet Willies</v>
      </c>
      <c r="AJ20" s="179">
        <f t="shared" si="5"/>
        <v>3</v>
      </c>
      <c r="AK20" s="62"/>
      <c r="AL20" s="62"/>
      <c r="AM20" s="62"/>
      <c r="AO20" s="36"/>
      <c r="AP20" s="18">
        <f>_xlfn.CEILING.MATH('[1]Stats Global'!R18*(20-$AA$5-$AJ20))</f>
        <v>15</v>
      </c>
      <c r="AQ20" s="27">
        <f>Table1[[#This Row],[Points]]/AP20</f>
        <v>0.93333333333333335</v>
      </c>
      <c r="AR20" s="128">
        <f>AP20-Table1[[#This Row],[Points]]</f>
        <v>1</v>
      </c>
      <c r="AS20" s="134">
        <f>Table1[[#This Row],[Points]]/(20-AA$5-Table1[[#This Row],[Missed Games]])</f>
        <v>1</v>
      </c>
      <c r="AT20" s="144">
        <f>Table1[[#This Row],[Average]]-'[1]Stats Global'!R18</f>
        <v>-0.24313725490196081</v>
      </c>
      <c r="AU20" s="27">
        <f>(Table1[[#This Row],[Average]]-'[1]Stats Global'!R18)/'[1]Stats Global'!R18</f>
        <v>-0.22794117647058826</v>
      </c>
      <c r="AW20" s="2" t="s">
        <v>55</v>
      </c>
      <c r="AX20" s="16">
        <f>'1707'!AC16+'1807'!AC16+'2407'!AC16+'2607'!AC16</f>
        <v>8</v>
      </c>
      <c r="AY20" s="16">
        <f>'1707'!AD16+'1807'!AD16+'2407'!AD16+'2607'!AD16</f>
        <v>1</v>
      </c>
      <c r="AZ20" s="16">
        <f>'1707'!AE16+'1807'!AE16+'2407'!AE16+'2607'!AE16</f>
        <v>3</v>
      </c>
      <c r="BA20" s="16">
        <f>Table4[[#This Row],[Total R]]/$AX$6</f>
        <v>0.47058823529411764</v>
      </c>
      <c r="BB20" s="16">
        <f>Table4[[#This Row],[Total A]]/$AX$6</f>
        <v>5.8823529411764705E-2</v>
      </c>
      <c r="BC20" s="16">
        <f>Table4[[#This Row],[Total S]]/$AX$6</f>
        <v>0.17647058823529413</v>
      </c>
    </row>
    <row r="21" spans="2:55" ht="14.25" customHeight="1" x14ac:dyDescent="0.45">
      <c r="B21" s="147" t="str">
        <f>'1008'!B45</f>
        <v>10-August</v>
      </c>
      <c r="C21" s="147">
        <f>'1008'!C45</f>
        <v>12</v>
      </c>
      <c r="D21" s="147">
        <f>'1008'!D45</f>
        <v>10</v>
      </c>
      <c r="E21" s="147">
        <f>'1008'!E45</f>
        <v>0</v>
      </c>
      <c r="F21" s="147">
        <f>'1008'!F45</f>
        <v>10</v>
      </c>
      <c r="G21" s="147">
        <f>'1008'!G45</f>
        <v>6</v>
      </c>
      <c r="H21" s="147">
        <f>'1008'!H45</f>
        <v>0</v>
      </c>
      <c r="I21" s="147">
        <f>'1008'!I45</f>
        <v>12</v>
      </c>
      <c r="J21" s="147">
        <f>'1008'!J45</f>
        <v>4</v>
      </c>
      <c r="K21" s="147">
        <f>'1008'!K45</f>
        <v>0</v>
      </c>
      <c r="L21" s="147">
        <f>'1008'!L45</f>
        <v>0</v>
      </c>
      <c r="M21" s="147">
        <f>'1008'!M45</f>
        <v>4</v>
      </c>
      <c r="N21" s="147">
        <f>'1008'!N45</f>
        <v>6</v>
      </c>
      <c r="O21" s="147">
        <f>'1008'!O45</f>
        <v>2</v>
      </c>
      <c r="P21" s="147">
        <f>'1008'!P45</f>
        <v>3</v>
      </c>
      <c r="Q21" s="147">
        <f>'1008'!Q45</f>
        <v>1</v>
      </c>
      <c r="Z21" s="174" t="s">
        <v>127</v>
      </c>
      <c r="AA21" s="175">
        <f t="shared" si="1"/>
        <v>23</v>
      </c>
      <c r="AB21" s="176">
        <f>IF($AA$6-Table1[[#This Row],[Missed Games]]=0, 0,Table1[[#This Row],[Points]]/($AA$6-Table1[[#This Row],[Missed Games]]))</f>
        <v>1.1499999999999999</v>
      </c>
      <c r="AC21" s="177">
        <f t="shared" si="2"/>
        <v>16</v>
      </c>
      <c r="AD21" s="180">
        <f>IF($AA$6-Table1[[#This Row],[Missed Games]]=0, 0,Table1[[#This Row],[Finishes]]/($AA$6-Table1[[#This Row],[Missed Games]]))</f>
        <v>0.8</v>
      </c>
      <c r="AE21" s="177">
        <f t="shared" si="3"/>
        <v>5</v>
      </c>
      <c r="AF21" s="180">
        <f>IF($AA$6-Table1[[#This Row],[Missed Games]]=0, 0,Table1[[#This Row],[Midranges]]/($AA$6-Table1[[#This Row],[Missed Games]]))</f>
        <v>0.25</v>
      </c>
      <c r="AG21" s="177">
        <f t="shared" si="4"/>
        <v>1</v>
      </c>
      <c r="AH21" s="180">
        <f>IF($AA$6-Table1[[#This Row],[Missed Games]]=0, 0,Table1[[#This Row],[Threes]]/($AA$6-Table1[[#This Row],[Missed Games]]))</f>
        <v>0.05</v>
      </c>
      <c r="AI21" s="174" t="str">
        <f>SfW!C16</f>
        <v>Loose Gooses</v>
      </c>
      <c r="AJ21" s="179">
        <f t="shared" si="5"/>
        <v>0</v>
      </c>
      <c r="AK21" s="62"/>
      <c r="AL21" s="62"/>
      <c r="AM21" s="62"/>
      <c r="AO21" s="36"/>
      <c r="AP21" s="18">
        <f>_xlfn.CEILING.MATH('[1]Stats Global'!R19*(20-$AA$5-$AJ21))</f>
        <v>18</v>
      </c>
      <c r="AQ21" s="27">
        <f>Table1[[#This Row],[Points]]/AP21</f>
        <v>1.2777777777777777</v>
      </c>
      <c r="AR21" s="128">
        <f>AP21-Table1[[#This Row],[Points]]</f>
        <v>-5</v>
      </c>
      <c r="AS21" s="134">
        <f>Table1[[#This Row],[Points]]/(20-AA$5-Table1[[#This Row],[Missed Games]])</f>
        <v>1.3529411764705883</v>
      </c>
      <c r="AT21" s="144">
        <f>Table1[[#This Row],[Average]]-'[1]Stats Global'!R19</f>
        <v>9.1176470588235192E-2</v>
      </c>
      <c r="AU21" s="27">
        <f>(Table1[[#This Row],[Average]]-'[1]Stats Global'!R19)/'[1]Stats Global'!R19</f>
        <v>8.6111111111111013E-2</v>
      </c>
      <c r="AW21" s="2" t="s">
        <v>58</v>
      </c>
      <c r="AX21" s="16">
        <f>'1707'!AC17+'1807'!AC17+'2407'!AC17+'2607'!AC17</f>
        <v>12</v>
      </c>
      <c r="AY21" s="16">
        <f>'1707'!AD17+'1807'!AD17+'2407'!AD17+'2607'!AD17</f>
        <v>2</v>
      </c>
      <c r="AZ21" s="16">
        <f>'1707'!AE17+'1807'!AE17+'2407'!AE17+'2607'!AE17</f>
        <v>2</v>
      </c>
      <c r="BA21" s="16">
        <f>Table4[[#This Row],[Total R]]/$AX$6</f>
        <v>0.70588235294117652</v>
      </c>
      <c r="BB21" s="16">
        <f>Table4[[#This Row],[Total A]]/$AX$6</f>
        <v>0.11764705882352941</v>
      </c>
      <c r="BC21" s="16">
        <f>Table4[[#This Row],[Total S]]/$AX$6</f>
        <v>0.11764705882352941</v>
      </c>
    </row>
    <row r="22" spans="2:55" ht="14.25" customHeight="1" x14ac:dyDescent="0.45">
      <c r="B22" s="111" t="str">
        <f>'1408'!B45</f>
        <v>14-August</v>
      </c>
      <c r="C22" s="111">
        <f>'1408'!C45</f>
        <v>7</v>
      </c>
      <c r="D22" s="111">
        <f>'1408'!D45</f>
        <v>4</v>
      </c>
      <c r="E22" s="111">
        <f>'1408'!E45</f>
        <v>2</v>
      </c>
      <c r="F22" s="111">
        <f>'1408'!F45</f>
        <v>2</v>
      </c>
      <c r="G22" s="111">
        <f>'1408'!G45</f>
        <v>2</v>
      </c>
      <c r="H22" s="111">
        <f>'1408'!H45</f>
        <v>3</v>
      </c>
      <c r="I22" s="111">
        <f>'1408'!I45</f>
        <v>4</v>
      </c>
      <c r="J22" s="111">
        <f>'1408'!J45</f>
        <v>1</v>
      </c>
      <c r="K22" s="111">
        <f>'1408'!K45</f>
        <v>4</v>
      </c>
      <c r="L22" s="111">
        <f>'1408'!L45</f>
        <v>7</v>
      </c>
      <c r="M22" s="111">
        <f>'1408'!M45</f>
        <v>1</v>
      </c>
      <c r="N22" s="111">
        <f>'1408'!N45</f>
        <v>2</v>
      </c>
      <c r="O22" s="111">
        <f>'1408'!O45</f>
        <v>1</v>
      </c>
      <c r="P22" s="111">
        <f>'1408'!P45</f>
        <v>2</v>
      </c>
      <c r="Q22" s="111">
        <f>'1408'!Q45</f>
        <v>3</v>
      </c>
      <c r="Z22" s="108" t="s">
        <v>73</v>
      </c>
      <c r="AA22" s="64">
        <f t="shared" si="1"/>
        <v>54</v>
      </c>
      <c r="AB22" s="65">
        <f>IF($AA$6-Table1[[#This Row],[Missed Games]]=0, 0,Table1[[#This Row],[Points]]/($AA$6-Table1[[#This Row],[Missed Games]]))</f>
        <v>2.8421052631578947</v>
      </c>
      <c r="AC22" s="66">
        <f t="shared" si="2"/>
        <v>30</v>
      </c>
      <c r="AD22" s="109">
        <f>IF($AA$6-Table1[[#This Row],[Missed Games]]=0, 0,Table1[[#This Row],[Finishes]]/($AA$6-Table1[[#This Row],[Missed Games]]))</f>
        <v>1.5789473684210527</v>
      </c>
      <c r="AE22" s="66">
        <f t="shared" si="3"/>
        <v>10</v>
      </c>
      <c r="AF22" s="109">
        <f>IF($AA$6-Table1[[#This Row],[Missed Games]]=0, 0,Table1[[#This Row],[Midranges]]/($AA$6-Table1[[#This Row],[Missed Games]]))</f>
        <v>0.52631578947368418</v>
      </c>
      <c r="AG22" s="66">
        <f t="shared" si="4"/>
        <v>7</v>
      </c>
      <c r="AH22" s="109">
        <f>IF($AA$6-Table1[[#This Row],[Missed Games]]=0, 0,Table1[[#This Row],[Threes]]/($AA$6-Table1[[#This Row],[Missed Games]]))</f>
        <v>0.36842105263157893</v>
      </c>
      <c r="AI22" s="108" t="str">
        <f>SfW!C17</f>
        <v>Loose Gooses</v>
      </c>
      <c r="AJ22" s="68">
        <f t="shared" si="5"/>
        <v>1</v>
      </c>
      <c r="AK22" s="62"/>
      <c r="AL22" s="62"/>
      <c r="AM22" s="62"/>
      <c r="AO22" s="36"/>
      <c r="AP22" s="18">
        <f>_xlfn.CEILING.MATH('[1]Stats Global'!R20*(20-$AA$5-$AJ22))</f>
        <v>39</v>
      </c>
      <c r="AQ22" s="27">
        <f>Table1[[#This Row],[Points]]/AP22</f>
        <v>1.3846153846153846</v>
      </c>
      <c r="AR22" s="128">
        <f>AP22-Table1[[#This Row],[Points]]</f>
        <v>-15</v>
      </c>
      <c r="AS22" s="134">
        <f>Table1[[#This Row],[Points]]/(20-AA$5-Table1[[#This Row],[Missed Games]])</f>
        <v>3.375</v>
      </c>
      <c r="AT22" s="144">
        <f>Table1[[#This Row],[Average]]-'[1]Stats Global'!R20</f>
        <v>0.41353383458646631</v>
      </c>
      <c r="AU22" s="27">
        <f>(Table1[[#This Row],[Average]]-'[1]Stats Global'!R20)/'[1]Stats Global'!R20</f>
        <v>0.17027863777089791</v>
      </c>
      <c r="AW22" s="2" t="s">
        <v>61</v>
      </c>
      <c r="AX22" s="16">
        <f>'1707'!AC18+'1807'!AC18+'2407'!AC18+'2607'!AC18</f>
        <v>11</v>
      </c>
      <c r="AY22" s="16">
        <f>'1707'!AD18+'1807'!AD18+'2407'!AD18+'2607'!AD18</f>
        <v>7</v>
      </c>
      <c r="AZ22" s="16">
        <f>'1707'!AE18+'1807'!AE18+'2407'!AE18+'2607'!AE18</f>
        <v>3</v>
      </c>
      <c r="BA22" s="16">
        <f>Table4[[#This Row],[Total R]]/$AX$6</f>
        <v>0.6470588235294118</v>
      </c>
      <c r="BB22" s="16">
        <f>Table4[[#This Row],[Total A]]/$AX$6</f>
        <v>0.41176470588235292</v>
      </c>
      <c r="BC22" s="16">
        <f>Table4[[#This Row],[Total S]]/$AX$6</f>
        <v>0.17647058823529413</v>
      </c>
    </row>
    <row r="23" spans="2:55" ht="14.25" customHeight="1" x14ac:dyDescent="0.45">
      <c r="B23" s="111" t="str">
        <f>'1508'!B45</f>
        <v>15-August</v>
      </c>
      <c r="C23" s="111">
        <f>'1508'!C45</f>
        <v>20</v>
      </c>
      <c r="D23" s="111">
        <f>'1508'!D45</f>
        <v>5</v>
      </c>
      <c r="E23" s="111">
        <f>'1508'!E45</f>
        <v>5</v>
      </c>
      <c r="F23" s="111">
        <f>'1508'!F45</f>
        <v>5</v>
      </c>
      <c r="G23" s="111">
        <f>'1508'!G45</f>
        <v>5</v>
      </c>
      <c r="H23" s="111">
        <f>'1508'!H45</f>
        <v>8</v>
      </c>
      <c r="I23" s="111">
        <f>'1508'!I45</f>
        <v>5</v>
      </c>
      <c r="J23" s="111">
        <f>'1508'!J45</f>
        <v>0</v>
      </c>
      <c r="K23" s="111">
        <f>'1508'!K45</f>
        <v>12</v>
      </c>
      <c r="L23" s="111">
        <f>'1508'!L45</f>
        <v>20</v>
      </c>
      <c r="M23" s="111">
        <f>'1508'!M45</f>
        <v>5</v>
      </c>
      <c r="N23" s="111">
        <f>'1508'!N45</f>
        <v>0</v>
      </c>
      <c r="O23" s="111">
        <f>'1508'!O45</f>
        <v>1</v>
      </c>
      <c r="P23" s="111">
        <f>'1508'!P45</f>
        <v>2</v>
      </c>
      <c r="Q23" s="111">
        <f>'1508'!Q45</f>
        <v>3</v>
      </c>
      <c r="Z23" s="181" t="s">
        <v>74</v>
      </c>
      <c r="AA23" s="175">
        <f t="shared" si="1"/>
        <v>1</v>
      </c>
      <c r="AB23" s="182">
        <f>IF($AA$6-Table1[[#This Row],[Missed Games]]=0, 0,Table1[[#This Row],[Points]]/($AA$6-Table1[[#This Row],[Missed Games]]))</f>
        <v>0.05</v>
      </c>
      <c r="AC23" s="177">
        <f t="shared" si="2"/>
        <v>0</v>
      </c>
      <c r="AD23" s="183">
        <f>IF($AA$6-Table1[[#This Row],[Missed Games]]=0, 0,Table1[[#This Row],[Finishes]]/($AA$6-Table1[[#This Row],[Missed Games]]))</f>
        <v>0</v>
      </c>
      <c r="AE23" s="177">
        <f t="shared" si="3"/>
        <v>1</v>
      </c>
      <c r="AF23" s="183">
        <f>IF($AA$6-Table1[[#This Row],[Missed Games]]=0, 0,Table1[[#This Row],[Midranges]]/($AA$6-Table1[[#This Row],[Missed Games]]))</f>
        <v>0.05</v>
      </c>
      <c r="AG23" s="177">
        <f t="shared" si="4"/>
        <v>0</v>
      </c>
      <c r="AH23" s="183">
        <f>IF($AA$6-Table1[[#This Row],[Missed Games]]=0, 0,Table1[[#This Row],[Threes]]/($AA$6-Table1[[#This Row],[Missed Games]]))</f>
        <v>0</v>
      </c>
      <c r="AI23" s="181" t="str">
        <f>SfW!C18</f>
        <v>5 Musketeers</v>
      </c>
      <c r="AJ23" s="179">
        <f t="shared" si="5"/>
        <v>0</v>
      </c>
      <c r="AK23" s="62"/>
      <c r="AL23" s="62"/>
      <c r="AM23" s="62"/>
      <c r="AO23" s="36"/>
      <c r="AP23" s="18">
        <f>_xlfn.CEILING.MATH('[1]Stats Global'!R21*(20-$AA$5-$AJ23))</f>
        <v>2</v>
      </c>
      <c r="AQ23" s="27">
        <f>Table1[[#This Row],[Points]]/AP23</f>
        <v>0.5</v>
      </c>
      <c r="AR23" s="128">
        <f>AP23-Table1[[#This Row],[Points]]</f>
        <v>1</v>
      </c>
      <c r="AS23" s="134">
        <f>Table1[[#This Row],[Points]]/(20-AA$5-Table1[[#This Row],[Missed Games]])</f>
        <v>5.8823529411764705E-2</v>
      </c>
      <c r="AT23" s="144">
        <f>Table1[[#This Row],[Average]]-'[1]Stats Global'!R21</f>
        <v>-6.7647058823529407E-2</v>
      </c>
      <c r="AU23" s="27">
        <f>(Table1[[#This Row],[Average]]-'[1]Stats Global'!R21)/'[1]Stats Global'!R21</f>
        <v>-0.57499999999999996</v>
      </c>
      <c r="AW23" s="2" t="s">
        <v>64</v>
      </c>
      <c r="AX23" s="16">
        <f>'1707'!AC19+'1807'!AC19+'2407'!AC19+'2607'!AC19</f>
        <v>4</v>
      </c>
      <c r="AY23" s="16">
        <f>'1707'!AD19+'1807'!AD19+'2407'!AD19+'2607'!AD19</f>
        <v>1</v>
      </c>
      <c r="AZ23" s="16">
        <f>'1707'!AE19+'1807'!AE19+'2407'!AE19+'2607'!AE19</f>
        <v>2</v>
      </c>
      <c r="BA23" s="16">
        <f>Table4[[#This Row],[Total R]]/$AX$6</f>
        <v>0.23529411764705882</v>
      </c>
      <c r="BB23" s="16">
        <f>Table4[[#This Row],[Total A]]/$AX$6</f>
        <v>5.8823529411764705E-2</v>
      </c>
      <c r="BC23" s="16">
        <f>Table4[[#This Row],[Total S]]/$AX$6</f>
        <v>0.11764705882352941</v>
      </c>
    </row>
    <row r="24" spans="2:55" ht="14.25" customHeight="1" x14ac:dyDescent="0.45">
      <c r="B24" s="111" t="str">
        <f>'1708'!B45</f>
        <v>17-August</v>
      </c>
      <c r="C24" s="111">
        <f>'1708'!C45</f>
        <v>7</v>
      </c>
      <c r="D24" s="111">
        <f>'1708'!D45</f>
        <v>5</v>
      </c>
      <c r="E24" s="111">
        <f>'1708'!E45</f>
        <v>4</v>
      </c>
      <c r="F24" s="111">
        <f>'1708'!F45</f>
        <v>4</v>
      </c>
      <c r="G24" s="111">
        <f>'1708'!G45</f>
        <v>3</v>
      </c>
      <c r="H24" s="111">
        <f>'1708'!H45</f>
        <v>3</v>
      </c>
      <c r="I24" s="111">
        <f>'1708'!I45</f>
        <v>7</v>
      </c>
      <c r="J24" s="111">
        <f>'1708'!J45</f>
        <v>2</v>
      </c>
      <c r="K24" s="111">
        <f>'1708'!K45</f>
        <v>2</v>
      </c>
      <c r="L24" s="111">
        <f>'1708'!L45</f>
        <v>5</v>
      </c>
      <c r="M24" s="111">
        <f>'1708'!M45</f>
        <v>2</v>
      </c>
      <c r="N24" s="111">
        <f>'1708'!N45</f>
        <v>4</v>
      </c>
      <c r="O24" s="111">
        <f>'1708'!O45</f>
        <v>1</v>
      </c>
      <c r="P24" s="111">
        <f>'1708'!P45</f>
        <v>3</v>
      </c>
      <c r="Q24" s="111">
        <f>'1708'!Q45</f>
        <v>2</v>
      </c>
      <c r="Z24" s="174" t="s">
        <v>75</v>
      </c>
      <c r="AA24" s="175">
        <f t="shared" si="1"/>
        <v>6</v>
      </c>
      <c r="AB24" s="176">
        <f>IF($AA$6-Table1[[#This Row],[Missed Games]]=0, 0,Table1[[#This Row],[Points]]/($AA$6-Table1[[#This Row],[Missed Games]]))</f>
        <v>0.46153846153846156</v>
      </c>
      <c r="AC24" s="177">
        <f t="shared" si="2"/>
        <v>4</v>
      </c>
      <c r="AD24" s="178">
        <f>IF($AA$6-Table1[[#This Row],[Missed Games]]=0, 0,Table1[[#This Row],[Finishes]]/($AA$6-Table1[[#This Row],[Missed Games]]))</f>
        <v>0.30769230769230771</v>
      </c>
      <c r="AE24" s="177">
        <f t="shared" si="3"/>
        <v>0</v>
      </c>
      <c r="AF24" s="178">
        <f>IF($AA$6-Table1[[#This Row],[Missed Games]]=0, 0,Table1[[#This Row],[Midranges]]/($AA$6-Table1[[#This Row],[Missed Games]]))</f>
        <v>0</v>
      </c>
      <c r="AG24" s="177">
        <f t="shared" si="4"/>
        <v>1</v>
      </c>
      <c r="AH24" s="178">
        <f>IF($AA$6-Table1[[#This Row],[Missed Games]]=0, 0,Table1[[#This Row],[Threes]]/($AA$6-Table1[[#This Row],[Missed Games]]))</f>
        <v>7.6923076923076927E-2</v>
      </c>
      <c r="AI24" s="174" t="str">
        <f>SfW!C19</f>
        <v>Wet Willies</v>
      </c>
      <c r="AJ24" s="179">
        <f t="shared" si="5"/>
        <v>7</v>
      </c>
      <c r="AL24" s="43"/>
      <c r="AM24" s="44"/>
      <c r="AN24" s="4"/>
      <c r="AP24" s="18">
        <f>_xlfn.CEILING.MATH('[1]Stats Global'!R22*(20-$AA$5-$AJ24))</f>
        <v>7</v>
      </c>
      <c r="AQ24" s="27">
        <f>Table1[[#This Row],[Points]]/AP24</f>
        <v>0.8571428571428571</v>
      </c>
      <c r="AR24" s="128">
        <f>AP24-Table1[[#This Row],[Points]]</f>
        <v>1</v>
      </c>
      <c r="AS24" s="134">
        <f>Table1[[#This Row],[Points]]/(20-AA$5-Table1[[#This Row],[Missed Games]])</f>
        <v>0.6</v>
      </c>
      <c r="AT24" s="144">
        <f>Table1[[#This Row],[Average]]-'[1]Stats Global'!R22</f>
        <v>-0.18552036199095023</v>
      </c>
      <c r="AU24" s="27">
        <f>(Table1[[#This Row],[Average]]-'[1]Stats Global'!R22)/'[1]Stats Global'!R22</f>
        <v>-0.28671328671328672</v>
      </c>
      <c r="AW24" s="2" t="s">
        <v>67</v>
      </c>
      <c r="AX24" s="16">
        <f>'1707'!AC20+'1807'!AC20+'2407'!AC20+'2607'!AC20</f>
        <v>0</v>
      </c>
      <c r="AY24" s="16">
        <f>'1707'!AD20+'1807'!AD20+'2407'!AD20+'2607'!AD20</f>
        <v>0</v>
      </c>
      <c r="AZ24" s="16">
        <f>'1707'!AE20+'1807'!AE20+'2407'!AE20+'2607'!AE20</f>
        <v>1</v>
      </c>
      <c r="BA24" s="16">
        <f>Table4[[#This Row],[Total R]]/$AX$6</f>
        <v>0</v>
      </c>
      <c r="BB24" s="16">
        <f>Table4[[#This Row],[Total A]]/$AX$6</f>
        <v>0</v>
      </c>
      <c r="BC24" s="16">
        <f>Table4[[#This Row],[Total S]]/$AX$6</f>
        <v>5.8823529411764705E-2</v>
      </c>
    </row>
    <row r="25" spans="2:55" ht="14.25" customHeight="1" x14ac:dyDescent="0.45">
      <c r="B25" s="111" t="str">
        <f>'Finals 1'!B45</f>
        <v>21-August</v>
      </c>
      <c r="C25" s="111">
        <f>'Finals 1'!C45</f>
        <v>11</v>
      </c>
      <c r="D25" s="111">
        <f>'Finals 1'!D45</f>
        <v>6</v>
      </c>
      <c r="E25" s="111">
        <f>'Finals 1'!E45</f>
        <v>2</v>
      </c>
      <c r="F25" s="111">
        <f>'Finals 1'!F45</f>
        <v>6</v>
      </c>
      <c r="G25" s="111">
        <f>'Finals 1'!G45</f>
        <v>2</v>
      </c>
      <c r="H25" s="111">
        <f>'Finals 1'!H45</f>
        <v>5</v>
      </c>
      <c r="I25" s="111">
        <f>'Finals 1'!I45</f>
        <v>2</v>
      </c>
      <c r="J25" s="111">
        <f>'Finals 1'!J45</f>
        <v>3</v>
      </c>
      <c r="K25" s="111">
        <f>'Finals 1'!K45</f>
        <v>6</v>
      </c>
      <c r="L25" s="111">
        <f>'Finals 1'!L45</f>
        <v>11</v>
      </c>
      <c r="M25" s="111">
        <f>'Finals 1'!M45</f>
        <v>3</v>
      </c>
      <c r="N25" s="111">
        <f>'Finals 1'!N45</f>
        <v>0</v>
      </c>
      <c r="O25" s="111">
        <f>'Finals 1'!O45</f>
        <v>4</v>
      </c>
      <c r="P25" s="111">
        <f>'Finals 1'!P45</f>
        <v>2</v>
      </c>
      <c r="Q25" s="111">
        <f>'Finals 1'!Q45</f>
        <v>6</v>
      </c>
      <c r="AB25" s="17"/>
      <c r="AP25" s="17"/>
      <c r="AQ25" s="27"/>
    </row>
    <row r="26" spans="2:55" ht="14.25" customHeight="1" x14ac:dyDescent="0.45">
      <c r="B26" s="111" t="str">
        <f>'Finals 2'!B45</f>
        <v>22-August</v>
      </c>
      <c r="C26" s="111">
        <f>'Finals 2'!C45</f>
        <v>12</v>
      </c>
      <c r="D26" s="111">
        <f>'Finals 2'!D45</f>
        <v>4</v>
      </c>
      <c r="E26" s="111">
        <f>'Finals 2'!E45</f>
        <v>3</v>
      </c>
      <c r="F26" s="111">
        <f>'Finals 2'!F45</f>
        <v>12</v>
      </c>
      <c r="G26" s="111">
        <f>'Finals 2'!G45</f>
        <v>1</v>
      </c>
      <c r="H26" s="111">
        <f>'Finals 2'!H45</f>
        <v>1</v>
      </c>
      <c r="I26" s="111">
        <f>'Finals 2'!I45</f>
        <v>3</v>
      </c>
      <c r="J26" s="111">
        <f>'Finals 2'!J45</f>
        <v>6</v>
      </c>
      <c r="K26" s="111">
        <f>'Finals 2'!K45</f>
        <v>3</v>
      </c>
      <c r="L26" s="111">
        <f>'Finals 2'!L45</f>
        <v>4</v>
      </c>
      <c r="M26" s="111">
        <f>'Finals 2'!M45</f>
        <v>6</v>
      </c>
      <c r="N26" s="111">
        <f>'Finals 2'!N45</f>
        <v>2</v>
      </c>
      <c r="O26" s="111">
        <f>'Finals 2'!O45</f>
        <v>6</v>
      </c>
      <c r="P26" s="111">
        <f>'Finals 2'!P45</f>
        <v>4</v>
      </c>
      <c r="Q26" s="111">
        <f>'Finals 2'!Q45</f>
        <v>2</v>
      </c>
      <c r="AM26" s="16"/>
      <c r="AN26" s="16"/>
      <c r="AO26" s="16"/>
      <c r="AP26" s="16"/>
      <c r="AQ26" s="16"/>
      <c r="AR26" s="16"/>
      <c r="AS26" s="16"/>
      <c r="AT26" s="16"/>
    </row>
    <row r="27" spans="2:55" ht="14.25" customHeight="1" x14ac:dyDescent="0.45">
      <c r="B27" s="111" t="str">
        <f>'Finals 3'!B45</f>
        <v>23-August</v>
      </c>
      <c r="C27" s="111">
        <f>'Finals 3'!C45</f>
        <v>11</v>
      </c>
      <c r="D27" s="111">
        <f>'Finals 3'!D45</f>
        <v>5</v>
      </c>
      <c r="E27" s="111">
        <f>'Finals 3'!E45</f>
        <v>2</v>
      </c>
      <c r="F27" s="111">
        <f>'Finals 3'!F45</f>
        <v>11</v>
      </c>
      <c r="G27" s="111">
        <f>'Finals 3'!G45</f>
        <v>2</v>
      </c>
      <c r="H27" s="111">
        <f>'Finals 3'!H45</f>
        <v>3</v>
      </c>
      <c r="I27" s="111">
        <f>'Finals 3'!I45</f>
        <v>2</v>
      </c>
      <c r="J27" s="111">
        <f>'Finals 3'!J45</f>
        <v>5</v>
      </c>
      <c r="K27" s="111">
        <f>'Finals 3'!K45</f>
        <v>2</v>
      </c>
      <c r="L27" s="111">
        <f>'Finals 3'!L45</f>
        <v>5</v>
      </c>
      <c r="M27" s="111">
        <f>'Finals 3'!M45</f>
        <v>6</v>
      </c>
      <c r="N27" s="111">
        <f>'Finals 3'!N45</f>
        <v>0</v>
      </c>
      <c r="O27" s="111">
        <f>'Finals 3'!O45</f>
        <v>6</v>
      </c>
      <c r="P27" s="111">
        <f>'Finals 3'!P45</f>
        <v>2</v>
      </c>
      <c r="Q27" s="111">
        <f>'Finals 3'!Q45</f>
        <v>4</v>
      </c>
      <c r="Z27" s="47" t="s">
        <v>165</v>
      </c>
      <c r="AA27" s="1">
        <v>3</v>
      </c>
      <c r="AI27" s="3"/>
      <c r="AK27" s="47" t="s">
        <v>125</v>
      </c>
      <c r="AL27" s="11">
        <v>4</v>
      </c>
      <c r="AM27" s="16"/>
      <c r="AN27" s="16"/>
      <c r="AO27" s="16"/>
      <c r="AP27" s="16"/>
      <c r="AQ27" s="16"/>
      <c r="AR27" s="16"/>
      <c r="AS27" s="16"/>
      <c r="AT27" s="3"/>
    </row>
    <row r="28" spans="2:55" ht="14.25" customHeight="1" x14ac:dyDescent="0.45"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3"/>
      <c r="S28" s="3" t="s">
        <v>113</v>
      </c>
      <c r="T28" s="3"/>
      <c r="U28" s="3"/>
      <c r="V28" s="3"/>
      <c r="W28" s="3"/>
      <c r="X28" s="3"/>
      <c r="Y28" s="3"/>
      <c r="Z28" s="28" t="s">
        <v>84</v>
      </c>
      <c r="AA28" s="28" t="s">
        <v>0</v>
      </c>
      <c r="AB28" s="28" t="s">
        <v>1</v>
      </c>
      <c r="AC28" s="29" t="s">
        <v>2</v>
      </c>
      <c r="AD28" s="30" t="s">
        <v>3</v>
      </c>
      <c r="AE28" s="30" t="s">
        <v>124</v>
      </c>
      <c r="AF28" s="30" t="s">
        <v>122</v>
      </c>
      <c r="AG28" s="29" t="s">
        <v>123</v>
      </c>
      <c r="AH28" s="30" t="s">
        <v>164</v>
      </c>
      <c r="AI28" s="70" t="s">
        <v>120</v>
      </c>
      <c r="AJ28" s="35"/>
      <c r="AK28" s="28" t="s">
        <v>84</v>
      </c>
      <c r="AL28" s="28" t="s">
        <v>0</v>
      </c>
      <c r="AM28" s="28" t="s">
        <v>1</v>
      </c>
      <c r="AN28" s="29" t="s">
        <v>2</v>
      </c>
      <c r="AO28" s="30" t="s">
        <v>3</v>
      </c>
      <c r="AP28" s="30" t="s">
        <v>124</v>
      </c>
      <c r="AQ28" s="30" t="s">
        <v>122</v>
      </c>
      <c r="AR28" s="29" t="s">
        <v>123</v>
      </c>
      <c r="AS28" s="30" t="s">
        <v>164</v>
      </c>
      <c r="AT28" s="70" t="s">
        <v>120</v>
      </c>
    </row>
    <row r="29" spans="2:55" ht="14.25" customHeight="1" x14ac:dyDescent="0.45"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3"/>
      <c r="S29" t="s">
        <v>114</v>
      </c>
      <c r="X29" s="19"/>
      <c r="Y29" s="19"/>
      <c r="Z29" s="47" t="s">
        <v>45</v>
      </c>
      <c r="AA29" s="31">
        <f>'Preseason 1'!R3+'Preseason 2'!R3+'Preseason 3'!R3</f>
        <v>0</v>
      </c>
      <c r="AB29" s="31">
        <f>'Preseason 1'!S3+'Preseason 2'!S3+'Preseason 3'!S3</f>
        <v>0</v>
      </c>
      <c r="AC29" s="31">
        <f>'Preseason 1'!T3+'Preseason 2'!T3+'Preseason 3'!T3</f>
        <v>0</v>
      </c>
      <c r="AD29" s="31">
        <f>'Preseason 1'!U3+'Preseason 2'!U3+'Preseason 3'!U3</f>
        <v>0</v>
      </c>
      <c r="AE29" s="33">
        <f>AA29/($AA$27-Table2[[#This Row],[Missed Games]])</f>
        <v>0</v>
      </c>
      <c r="AF29" s="33">
        <f>AB29/($AA$27-Table2[[#This Row],[Missed Games]])</f>
        <v>0</v>
      </c>
      <c r="AG29" s="33">
        <f>AC29/($AA$27-Table2[[#This Row],[Missed Games]])</f>
        <v>0</v>
      </c>
      <c r="AH29" s="33">
        <f>AD29/($AA$27-Table2[[#This Row],[Missed Games]])</f>
        <v>0</v>
      </c>
      <c r="AI29" s="35">
        <f>COUNTIF('Preseason 1'!V3, "TRUE")+COUNTIF('Preseason 2'!V3, "TRUE")+COUNTIF('Preseason 3'!V3, "TRUE")</f>
        <v>1</v>
      </c>
      <c r="AJ29" s="35"/>
      <c r="AK29" s="47" t="s">
        <v>45</v>
      </c>
      <c r="AL29" s="31">
        <f>'1707'!R3+'1807'!R3+'1907'!R3+'2007'!R3</f>
        <v>2</v>
      </c>
      <c r="AM29" s="31">
        <f>'1707'!S3+'1807'!S3+'1907'!S3+'2007'!S3</f>
        <v>0</v>
      </c>
      <c r="AN29" s="31">
        <f>'1707'!T3+'1807'!T3+'1907'!T3+'2007'!T3</f>
        <v>2</v>
      </c>
      <c r="AO29" s="31">
        <f>'1707'!U3+'1807'!U3+'1907'!U3+'2007'!U3</f>
        <v>0</v>
      </c>
      <c r="AP29" s="33">
        <f>AL29/($AL$27-Table211[[#This Row],[Missed Games]])</f>
        <v>0.5</v>
      </c>
      <c r="AQ29" s="33">
        <f>AM29/($AL$27-Table211[[#This Row],[Missed Games]])</f>
        <v>0</v>
      </c>
      <c r="AR29" s="33">
        <f>AN29/($AL$27-Table211[[#This Row],[Missed Games]])</f>
        <v>0.5</v>
      </c>
      <c r="AS29" s="33">
        <f>AO29/($AL$27-Table211[[#This Row],[Missed Games]])</f>
        <v>0</v>
      </c>
      <c r="AT29" s="31">
        <f>COUNTIF('1707'!V3, "TRUE")+COUNTIF('1807'!V3, "TRUE")+COUNTIF('1907'!V3, "TRUE")+COUNTIF('2007'!V3, "TRUE")</f>
        <v>0</v>
      </c>
    </row>
    <row r="30" spans="2:55" ht="14.25" customHeight="1" x14ac:dyDescent="0.45"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3"/>
      <c r="S30" s="95" t="s">
        <v>182</v>
      </c>
      <c r="Z30" s="47" t="s">
        <v>49</v>
      </c>
      <c r="AA30" s="31">
        <f>'Preseason 1'!R4+'Preseason 2'!R4+'Preseason 3'!R4</f>
        <v>2</v>
      </c>
      <c r="AB30" s="31">
        <f>'Preseason 1'!S4+'Preseason 2'!S4+'Preseason 3'!S4</f>
        <v>1</v>
      </c>
      <c r="AC30" s="31">
        <f>'Preseason 1'!T4+'Preseason 2'!T4+'Preseason 3'!T4</f>
        <v>1</v>
      </c>
      <c r="AD30" s="31">
        <f>'Preseason 1'!U4+'Preseason 2'!U4+'Preseason 3'!U4</f>
        <v>0</v>
      </c>
      <c r="AE30" s="33">
        <f>AA30/($AA$27-Table2[[#This Row],[Missed Games]])</f>
        <v>0.66666666666666663</v>
      </c>
      <c r="AF30" s="120">
        <f>AB30/($AA$27-Table2[[#This Row],[Missed Games]])</f>
        <v>0.33333333333333331</v>
      </c>
      <c r="AG30" s="33">
        <f>AC30/($AA$27-Table2[[#This Row],[Missed Games]])</f>
        <v>0.33333333333333331</v>
      </c>
      <c r="AH30" s="120">
        <f>AD30/($AA$27-Table2[[#This Row],[Missed Games]])</f>
        <v>0</v>
      </c>
      <c r="AI30" s="35">
        <f>COUNTIF('Preseason 1'!V4, "TRUE")+COUNTIF('Preseason 2'!V4, "TRUE")+COUNTIF('Preseason 3'!V4, "TRUE")</f>
        <v>0</v>
      </c>
      <c r="AJ30" s="35"/>
      <c r="AK30" s="47" t="s">
        <v>49</v>
      </c>
      <c r="AL30" s="31">
        <f>'1707'!R4+'1807'!R4+'1907'!R4+'2007'!R4</f>
        <v>6</v>
      </c>
      <c r="AM30" s="31">
        <f>'1707'!S4+'1807'!S4+'1907'!S4+'2007'!S4</f>
        <v>6</v>
      </c>
      <c r="AN30" s="31">
        <f>'1707'!T4+'1807'!T4+'1907'!T4+'2007'!T4</f>
        <v>0</v>
      </c>
      <c r="AO30" s="31">
        <f>'1707'!U4+'1807'!U4+'1907'!U4+'2007'!U4</f>
        <v>0</v>
      </c>
      <c r="AP30" s="31">
        <f>AL30/($AL$27-Table211[[#This Row],[Missed Games]])</f>
        <v>2</v>
      </c>
      <c r="AQ30" s="31">
        <f>AM30/($AL$27-Table211[[#This Row],[Missed Games]])</f>
        <v>2</v>
      </c>
      <c r="AR30" s="31">
        <f>AN30/($AL$27-Table211[[#This Row],[Missed Games]])</f>
        <v>0</v>
      </c>
      <c r="AS30" s="31">
        <f>AO30/($AL$27-Table211[[#This Row],[Missed Games]])</f>
        <v>0</v>
      </c>
      <c r="AT30" s="31">
        <f>COUNTIF('1707'!V4, "TRUE")+COUNTIF('1807'!V4, "TRUE")+COUNTIF('1907'!V4, "TRUE")+COUNTIF('2007'!V4, "TRUE")</f>
        <v>1</v>
      </c>
    </row>
    <row r="31" spans="2:55" ht="14.25" customHeight="1" x14ac:dyDescent="0.45"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3"/>
      <c r="S31" s="95" t="s">
        <v>183</v>
      </c>
      <c r="Z31" s="47" t="s">
        <v>51</v>
      </c>
      <c r="AA31" s="31">
        <f>'Preseason 1'!R5+'Preseason 2'!R5+'Preseason 3'!R5</f>
        <v>12</v>
      </c>
      <c r="AB31" s="31">
        <f>'Preseason 1'!S5+'Preseason 2'!S5+'Preseason 3'!S5</f>
        <v>10</v>
      </c>
      <c r="AC31" s="31">
        <f>'Preseason 1'!T5+'Preseason 2'!T5+'Preseason 3'!T5</f>
        <v>0</v>
      </c>
      <c r="AD31" s="31">
        <f>'Preseason 1'!U5+'Preseason 2'!U5+'Preseason 3'!U5</f>
        <v>1</v>
      </c>
      <c r="AE31" s="33">
        <f>AA31/($AA$27-Table2[[#This Row],[Missed Games]])</f>
        <v>6</v>
      </c>
      <c r="AF31" s="120">
        <f>AB31/($AA$27-Table2[[#This Row],[Missed Games]])</f>
        <v>5</v>
      </c>
      <c r="AG31" s="33">
        <f>AC31/($AA$27-Table2[[#This Row],[Missed Games]])</f>
        <v>0</v>
      </c>
      <c r="AH31" s="120">
        <f>AD31/($AA$27-Table2[[#This Row],[Missed Games]])</f>
        <v>0.5</v>
      </c>
      <c r="AI31" s="35">
        <f>COUNTIF('Preseason 1'!V5, "TRUE")+COUNTIF('Preseason 2'!V5, "TRUE")+COUNTIF('Preseason 3'!V5, "TRUE")</f>
        <v>1</v>
      </c>
      <c r="AJ31" s="35"/>
      <c r="AK31" s="47" t="s">
        <v>51</v>
      </c>
      <c r="AL31" s="31">
        <f>'1707'!R5+'1807'!R5+'1907'!R5+'2007'!R5</f>
        <v>0</v>
      </c>
      <c r="AM31" s="31">
        <f>'1707'!S5+'1807'!S5+'1907'!S5+'2007'!S5</f>
        <v>0</v>
      </c>
      <c r="AN31" s="31">
        <f>'1707'!T5+'1807'!T5+'1907'!T5+'2007'!T5</f>
        <v>0</v>
      </c>
      <c r="AO31" s="31">
        <f>'1707'!U5+'1807'!U5+'1907'!U5+'2007'!U5</f>
        <v>0</v>
      </c>
      <c r="AP31" s="31" t="e">
        <f>AL31/($AL$27-Table211[[#This Row],[Missed Games]])</f>
        <v>#DIV/0!</v>
      </c>
      <c r="AQ31" s="31" t="e">
        <f>AM31/($AL$27-Table211[[#This Row],[Missed Games]])</f>
        <v>#DIV/0!</v>
      </c>
      <c r="AR31" s="31" t="e">
        <f>AN31/($AL$27-Table211[[#This Row],[Missed Games]])</f>
        <v>#DIV/0!</v>
      </c>
      <c r="AS31" s="31" t="e">
        <f>AO31/($AL$27-Table211[[#This Row],[Missed Games]])</f>
        <v>#DIV/0!</v>
      </c>
      <c r="AT31" s="31">
        <f>COUNTIF('1707'!V5, "TRUE")+COUNTIF('1807'!V5, "TRUE")+COUNTIF('1907'!V5, "TRUE")+COUNTIF('2007'!V5, "TRUE")</f>
        <v>4</v>
      </c>
    </row>
    <row r="32" spans="2:55" ht="14.25" customHeight="1" x14ac:dyDescent="0.45"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S32" s="95" t="s">
        <v>184</v>
      </c>
      <c r="X32" s="18"/>
      <c r="Z32" s="47" t="s">
        <v>54</v>
      </c>
      <c r="AA32" s="31">
        <f>'Preseason 1'!R6+'Preseason 2'!R6+'Preseason 3'!R6</f>
        <v>0</v>
      </c>
      <c r="AB32" s="31">
        <f>'Preseason 1'!S6+'Preseason 2'!S6+'Preseason 3'!S6</f>
        <v>0</v>
      </c>
      <c r="AC32" s="31">
        <f>'Preseason 1'!T6+'Preseason 2'!T6+'Preseason 3'!T6</f>
        <v>0</v>
      </c>
      <c r="AD32" s="31">
        <f>'Preseason 1'!U6+'Preseason 2'!U6+'Preseason 3'!U6</f>
        <v>0</v>
      </c>
      <c r="AE32" s="33" t="e">
        <f>AA32/($AA$27-Table2[[#This Row],[Missed Games]])</f>
        <v>#DIV/0!</v>
      </c>
      <c r="AF32" s="120" t="e">
        <f>AB32/($AA$27-Table2[[#This Row],[Missed Games]])</f>
        <v>#DIV/0!</v>
      </c>
      <c r="AG32" s="33" t="e">
        <f>AC32/($AA$27-Table2[[#This Row],[Missed Games]])</f>
        <v>#DIV/0!</v>
      </c>
      <c r="AH32" s="120" t="e">
        <f>AD32/($AA$27-Table2[[#This Row],[Missed Games]])</f>
        <v>#DIV/0!</v>
      </c>
      <c r="AI32" s="35">
        <f>COUNTIF('Preseason 1'!V6, "TRUE")+COUNTIF('Preseason 2'!V6, "TRUE")+COUNTIF('Preseason 3'!V6, "TRUE")</f>
        <v>3</v>
      </c>
      <c r="AJ32" s="35"/>
      <c r="AK32" s="47" t="s">
        <v>54</v>
      </c>
      <c r="AL32" s="31">
        <f>'1707'!R6+'1807'!R6+'1907'!R6+'2007'!R6</f>
        <v>3</v>
      </c>
      <c r="AM32" s="31">
        <f>'1707'!S6+'1807'!S6+'1907'!S6+'2007'!S6</f>
        <v>3</v>
      </c>
      <c r="AN32" s="31">
        <f>'1707'!T6+'1807'!T6+'1907'!T6+'2007'!T6</f>
        <v>0</v>
      </c>
      <c r="AO32" s="31">
        <f>'1707'!U6+'1807'!U6+'1907'!U6+'2007'!U6</f>
        <v>0</v>
      </c>
      <c r="AP32" s="31">
        <f>AL32/($AL$27-Table211[[#This Row],[Missed Games]])</f>
        <v>1.5</v>
      </c>
      <c r="AQ32" s="31">
        <f>AM32/($AL$27-Table211[[#This Row],[Missed Games]])</f>
        <v>1.5</v>
      </c>
      <c r="AR32" s="31">
        <f>AN32/($AL$27-Table211[[#This Row],[Missed Games]])</f>
        <v>0</v>
      </c>
      <c r="AS32" s="31">
        <f>AO32/($AL$27-Table211[[#This Row],[Missed Games]])</f>
        <v>0</v>
      </c>
      <c r="AT32" s="31">
        <f>COUNTIF('1707'!V6, "TRUE")+COUNTIF('1807'!V6, "TRUE")+COUNTIF('1907'!V6, "TRUE")+COUNTIF('2007'!V6, "TRUE")</f>
        <v>2</v>
      </c>
    </row>
    <row r="33" spans="2:46" ht="14.25" customHeight="1" x14ac:dyDescent="0.45"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S33" s="95" t="s">
        <v>185</v>
      </c>
      <c r="Z33" s="47" t="s">
        <v>57</v>
      </c>
      <c r="AA33" s="31">
        <f>'Preseason 1'!R7+'Preseason 2'!R7+'Preseason 3'!R7</f>
        <v>3</v>
      </c>
      <c r="AB33" s="31">
        <f>'Preseason 1'!S7+'Preseason 2'!S7+'Preseason 3'!S7</f>
        <v>0</v>
      </c>
      <c r="AC33" s="31">
        <f>'Preseason 1'!T7+'Preseason 2'!T7+'Preseason 3'!T7</f>
        <v>1</v>
      </c>
      <c r="AD33" s="31">
        <f>'Preseason 1'!U7+'Preseason 2'!U7+'Preseason 3'!U7</f>
        <v>1</v>
      </c>
      <c r="AE33" s="33">
        <f>AA33/($AA$27-Table2[[#This Row],[Missed Games]])</f>
        <v>1</v>
      </c>
      <c r="AF33" s="120">
        <f>AB33/($AA$27-Table2[[#This Row],[Missed Games]])</f>
        <v>0</v>
      </c>
      <c r="AG33" s="33">
        <f>AC33/($AA$27-Table2[[#This Row],[Missed Games]])</f>
        <v>0.33333333333333331</v>
      </c>
      <c r="AH33" s="120">
        <f>AD33/($AA$27-Table2[[#This Row],[Missed Games]])</f>
        <v>0.33333333333333331</v>
      </c>
      <c r="AI33" s="35">
        <f>COUNTIF('Preseason 1'!V7, "TRUE")+COUNTIF('Preseason 2'!V7, "TRUE")+COUNTIF('Preseason 3'!V7, "TRUE")</f>
        <v>0</v>
      </c>
      <c r="AJ33" s="35"/>
      <c r="AK33" s="47" t="s">
        <v>57</v>
      </c>
      <c r="AL33" s="31">
        <f>'1707'!R7+'1807'!R7+'1907'!R7+'2007'!R7</f>
        <v>0</v>
      </c>
      <c r="AM33" s="31">
        <f>'1707'!S7+'1807'!S7+'1907'!S7+'2007'!S7</f>
        <v>0</v>
      </c>
      <c r="AN33" s="31">
        <f>'1707'!T7+'1807'!T7+'1907'!T7+'2007'!T7</f>
        <v>0</v>
      </c>
      <c r="AO33" s="31">
        <f>'1707'!U7+'1807'!U7+'1907'!U7+'2007'!U7</f>
        <v>0</v>
      </c>
      <c r="AP33" s="31">
        <f>AL33/($AL$27-Table211[[#This Row],[Missed Games]])</f>
        <v>0</v>
      </c>
      <c r="AQ33" s="31">
        <f>AM33/($AL$27-Table211[[#This Row],[Missed Games]])</f>
        <v>0</v>
      </c>
      <c r="AR33" s="31">
        <f>AN33/($AL$27-Table211[[#This Row],[Missed Games]])</f>
        <v>0</v>
      </c>
      <c r="AS33" s="31">
        <f>AO33/($AL$27-Table211[[#This Row],[Missed Games]])</f>
        <v>0</v>
      </c>
      <c r="AT33" s="31">
        <f>COUNTIF('1707'!V7, "TRUE")+COUNTIF('1807'!V7, "TRUE")+COUNTIF('1907'!V7, "TRUE")+COUNTIF('2007'!V7, "TRUE")</f>
        <v>0</v>
      </c>
    </row>
    <row r="34" spans="2:46" ht="14.25" customHeight="1" x14ac:dyDescent="0.45"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S34" s="95" t="s">
        <v>186</v>
      </c>
      <c r="Z34" s="47" t="s">
        <v>60</v>
      </c>
      <c r="AA34" s="31">
        <f>'Preseason 1'!R8+'Preseason 2'!R8+'Preseason 3'!R8</f>
        <v>1</v>
      </c>
      <c r="AB34" s="31">
        <f>'Preseason 1'!S8+'Preseason 2'!S8+'Preseason 3'!S8</f>
        <v>1</v>
      </c>
      <c r="AC34" s="31">
        <f>'Preseason 1'!T8+'Preseason 2'!T8+'Preseason 3'!T8</f>
        <v>0</v>
      </c>
      <c r="AD34" s="31">
        <f>'Preseason 1'!U8+'Preseason 2'!U8+'Preseason 3'!U8</f>
        <v>0</v>
      </c>
      <c r="AE34" s="33">
        <f>AA34/($AA$27-Table2[[#This Row],[Missed Games]])</f>
        <v>0.33333333333333331</v>
      </c>
      <c r="AF34" s="120">
        <f>AB34/($AA$27-Table2[[#This Row],[Missed Games]])</f>
        <v>0.33333333333333331</v>
      </c>
      <c r="AG34" s="33">
        <f>AC34/($AA$27-Table2[[#This Row],[Missed Games]])</f>
        <v>0</v>
      </c>
      <c r="AH34" s="120">
        <f>AD34/($AA$27-Table2[[#This Row],[Missed Games]])</f>
        <v>0</v>
      </c>
      <c r="AI34" s="35">
        <f>COUNTIF('Preseason 1'!V8, "TRUE")+COUNTIF('Preseason 2'!V8, "TRUE")+COUNTIF('Preseason 3'!V8, "TRUE")</f>
        <v>0</v>
      </c>
      <c r="AJ34" s="35"/>
      <c r="AK34" s="47" t="s">
        <v>60</v>
      </c>
      <c r="AL34" s="31">
        <f>'1707'!R8+'1807'!R8+'1907'!R8+'2007'!R8</f>
        <v>2</v>
      </c>
      <c r="AM34" s="31">
        <f>'1707'!S8+'1807'!S8+'1907'!S8+'2007'!S8</f>
        <v>1</v>
      </c>
      <c r="AN34" s="31">
        <f>'1707'!T8+'1807'!T8+'1907'!T8+'2007'!T8</f>
        <v>1</v>
      </c>
      <c r="AO34" s="31">
        <f>'1707'!U8+'1807'!U8+'1907'!U8+'2007'!U8</f>
        <v>0</v>
      </c>
      <c r="AP34" s="31">
        <f>AL34/($AL$27-Table211[[#This Row],[Missed Games]])</f>
        <v>0.66666666666666663</v>
      </c>
      <c r="AQ34" s="31">
        <f>AM34/($AL$27-Table211[[#This Row],[Missed Games]])</f>
        <v>0.33333333333333331</v>
      </c>
      <c r="AR34" s="31">
        <f>AN34/($AL$27-Table211[[#This Row],[Missed Games]])</f>
        <v>0.33333333333333331</v>
      </c>
      <c r="AS34" s="31">
        <f>AO34/($AL$27-Table211[[#This Row],[Missed Games]])</f>
        <v>0</v>
      </c>
      <c r="AT34" s="31">
        <f>COUNTIF('1707'!V8, "TRUE")+COUNTIF('1807'!V8, "TRUE")+COUNTIF('1907'!V8, "TRUE")+COUNTIF('2007'!V8, "TRUE")</f>
        <v>1</v>
      </c>
    </row>
    <row r="35" spans="2:46" ht="14.25" customHeight="1" x14ac:dyDescent="0.45"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S35" s="95" t="s">
        <v>187</v>
      </c>
      <c r="Z35" s="35" t="s">
        <v>93</v>
      </c>
      <c r="AA35" s="31">
        <f>'Preseason 1'!R9+'Preseason 2'!R9+'Preseason 3'!R9</f>
        <v>2</v>
      </c>
      <c r="AB35" s="31">
        <f>'Preseason 1'!S9+'Preseason 2'!S9+'Preseason 3'!S9</f>
        <v>1</v>
      </c>
      <c r="AC35" s="31">
        <f>'Preseason 1'!T9+'Preseason 2'!T9+'Preseason 3'!T9</f>
        <v>1</v>
      </c>
      <c r="AD35" s="31">
        <f>'Preseason 1'!U9+'Preseason 2'!U9+'Preseason 3'!U9</f>
        <v>0</v>
      </c>
      <c r="AE35" s="33">
        <f>AA35/($AA$27-Table2[[#This Row],[Missed Games]])</f>
        <v>0.66666666666666663</v>
      </c>
      <c r="AF35" s="120">
        <f>AB35/($AA$27-Table2[[#This Row],[Missed Games]])</f>
        <v>0.33333333333333331</v>
      </c>
      <c r="AG35" s="33">
        <f>AC35/($AA$27-Table2[[#This Row],[Missed Games]])</f>
        <v>0.33333333333333331</v>
      </c>
      <c r="AH35" s="120">
        <f>AD35/($AA$27-Table2[[#This Row],[Missed Games]])</f>
        <v>0</v>
      </c>
      <c r="AI35" s="35">
        <f>COUNTIF('Preseason 1'!V9, "TRUE")+COUNTIF('Preseason 2'!V9, "TRUE")+COUNTIF('Preseason 3'!V9, "TRUE")</f>
        <v>0</v>
      </c>
      <c r="AJ35" s="35"/>
      <c r="AK35" s="35" t="s">
        <v>93</v>
      </c>
      <c r="AL35" s="31">
        <f>'1707'!R9+'1807'!R9+'1907'!R9+'2007'!R9</f>
        <v>0</v>
      </c>
      <c r="AM35" s="31">
        <f>'1707'!S9+'1807'!S9+'1907'!S9+'2007'!S9</f>
        <v>0</v>
      </c>
      <c r="AN35" s="31">
        <f>'1707'!T9+'1807'!T9+'1907'!T9+'2007'!T9</f>
        <v>0</v>
      </c>
      <c r="AO35" s="31">
        <f>'1707'!U9+'1807'!U9+'1907'!U9+'2007'!U9</f>
        <v>0</v>
      </c>
      <c r="AP35" s="31">
        <f>AL35/($AL$27-Table211[[#This Row],[Missed Games]])</f>
        <v>0</v>
      </c>
      <c r="AQ35" s="31">
        <f>AM35/($AL$27-Table211[[#This Row],[Missed Games]])</f>
        <v>0</v>
      </c>
      <c r="AR35" s="31">
        <f>AN35/($AL$27-Table211[[#This Row],[Missed Games]])</f>
        <v>0</v>
      </c>
      <c r="AS35" s="31">
        <f>AO35/($AL$27-Table211[[#This Row],[Missed Games]])</f>
        <v>0</v>
      </c>
      <c r="AT35" s="31">
        <f>COUNTIF('1707'!V9, "TRUE")+COUNTIF('1807'!V9, "TRUE")+COUNTIF('1907'!V9, "TRUE")+COUNTIF('2007'!V9, "TRUE")</f>
        <v>0</v>
      </c>
    </row>
    <row r="36" spans="2:46" ht="14.25" customHeight="1" x14ac:dyDescent="0.45"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S36" s="95" t="s">
        <v>188</v>
      </c>
      <c r="Z36" s="47" t="s">
        <v>63</v>
      </c>
      <c r="AA36" s="31">
        <f>'Preseason 1'!R10+'Preseason 2'!R10+'Preseason 3'!R10</f>
        <v>2</v>
      </c>
      <c r="AB36" s="31">
        <f>'Preseason 1'!S10+'Preseason 2'!S10+'Preseason 3'!S10</f>
        <v>0</v>
      </c>
      <c r="AC36" s="31">
        <f>'Preseason 1'!T10+'Preseason 2'!T10+'Preseason 3'!T10</f>
        <v>0</v>
      </c>
      <c r="AD36" s="31">
        <f>'Preseason 1'!U10+'Preseason 2'!U10+'Preseason 3'!U10</f>
        <v>1</v>
      </c>
      <c r="AE36" s="33">
        <f>AA36/($AA$27-Table2[[#This Row],[Missed Games]])</f>
        <v>1</v>
      </c>
      <c r="AF36" s="120">
        <f>AB36/($AA$27-Table2[[#This Row],[Missed Games]])</f>
        <v>0</v>
      </c>
      <c r="AG36" s="33">
        <f>AC36/($AA$27-Table2[[#This Row],[Missed Games]])</f>
        <v>0</v>
      </c>
      <c r="AH36" s="120">
        <f>AD36/($AA$27-Table2[[#This Row],[Missed Games]])</f>
        <v>0.5</v>
      </c>
      <c r="AI36" s="35">
        <f>COUNTIF('Preseason 1'!V10, "TRUE")+COUNTIF('Preseason 2'!V10, "TRUE")+COUNTIF('Preseason 3'!V10, "TRUE")</f>
        <v>1</v>
      </c>
      <c r="AJ36" s="35"/>
      <c r="AK36" s="47" t="s">
        <v>63</v>
      </c>
      <c r="AL36" s="31">
        <f>'1707'!R10+'1807'!R10+'1907'!R10+'2007'!R10</f>
        <v>0</v>
      </c>
      <c r="AM36" s="31">
        <f>'1707'!S10+'1807'!S10+'1907'!S10+'2007'!S10</f>
        <v>0</v>
      </c>
      <c r="AN36" s="31">
        <f>'1707'!T10+'1807'!T10+'1907'!T10+'2007'!T10</f>
        <v>0</v>
      </c>
      <c r="AO36" s="31">
        <f>'1707'!U10+'1807'!U10+'1907'!U10+'2007'!U10</f>
        <v>0</v>
      </c>
      <c r="AP36" s="31" t="e">
        <f>AL36/($AL$27-Table211[[#This Row],[Missed Games]])</f>
        <v>#DIV/0!</v>
      </c>
      <c r="AQ36" s="31" t="e">
        <f>AM36/($AL$27-Table211[[#This Row],[Missed Games]])</f>
        <v>#DIV/0!</v>
      </c>
      <c r="AR36" s="31" t="e">
        <f>AN36/($AL$27-Table211[[#This Row],[Missed Games]])</f>
        <v>#DIV/0!</v>
      </c>
      <c r="AS36" s="31" t="e">
        <f>AO36/($AL$27-Table211[[#This Row],[Missed Games]])</f>
        <v>#DIV/0!</v>
      </c>
      <c r="AT36" s="31">
        <f>COUNTIF('1707'!V10, "TRUE")+COUNTIF('1807'!V10, "TRUE")+COUNTIF('1907'!V10, "TRUE")+COUNTIF('2007'!V10, "TRUE")</f>
        <v>4</v>
      </c>
    </row>
    <row r="37" spans="2:46" ht="14.25" customHeight="1" x14ac:dyDescent="0.45"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Z37" s="47" t="s">
        <v>66</v>
      </c>
      <c r="AA37" s="31">
        <f>'Preseason 1'!R11+'Preseason 2'!R11+'Preseason 3'!R11</f>
        <v>5</v>
      </c>
      <c r="AB37" s="31">
        <f>'Preseason 1'!S11+'Preseason 2'!S11+'Preseason 3'!S11</f>
        <v>1</v>
      </c>
      <c r="AC37" s="31">
        <f>'Preseason 1'!T11+'Preseason 2'!T11+'Preseason 3'!T11</f>
        <v>2</v>
      </c>
      <c r="AD37" s="31">
        <f>'Preseason 1'!U11+'Preseason 2'!U11+'Preseason 3'!U11</f>
        <v>1</v>
      </c>
      <c r="AE37" s="33">
        <f>AA37/($AA$27-Table2[[#This Row],[Missed Games]])</f>
        <v>1.6666666666666667</v>
      </c>
      <c r="AF37" s="120">
        <f>AB37/($AA$27-Table2[[#This Row],[Missed Games]])</f>
        <v>0.33333333333333331</v>
      </c>
      <c r="AG37" s="33">
        <f>AC37/($AA$27-Table2[[#This Row],[Missed Games]])</f>
        <v>0.66666666666666663</v>
      </c>
      <c r="AH37" s="120">
        <f>AD37/($AA$27-Table2[[#This Row],[Missed Games]])</f>
        <v>0.33333333333333331</v>
      </c>
      <c r="AI37" s="35">
        <f>COUNTIF('Preseason 1'!V11, "TRUE")+COUNTIF('Preseason 2'!V11, "TRUE")+COUNTIF('Preseason 3'!V11, "TRUE")</f>
        <v>0</v>
      </c>
      <c r="AJ37" s="35"/>
      <c r="AK37" s="47" t="s">
        <v>66</v>
      </c>
      <c r="AL37" s="31">
        <f>'1707'!R11+'1807'!R11+'1907'!R11+'2007'!R11</f>
        <v>11</v>
      </c>
      <c r="AM37" s="31">
        <f>'1707'!S11+'1807'!S11+'1907'!S11+'2007'!S11</f>
        <v>4</v>
      </c>
      <c r="AN37" s="31">
        <f>'1707'!T11+'1807'!T11+'1907'!T11+'2007'!T11</f>
        <v>3</v>
      </c>
      <c r="AO37" s="31">
        <f>'1707'!U11+'1807'!U11+'1907'!U11+'2007'!U11</f>
        <v>2</v>
      </c>
      <c r="AP37" s="31">
        <f>AL37/($AL$27-Table211[[#This Row],[Missed Games]])</f>
        <v>2.75</v>
      </c>
      <c r="AQ37" s="31">
        <f>AM37/($AL$27-Table211[[#This Row],[Missed Games]])</f>
        <v>1</v>
      </c>
      <c r="AR37" s="31">
        <f>AN37/($AL$27-Table211[[#This Row],[Missed Games]])</f>
        <v>0.75</v>
      </c>
      <c r="AS37" s="31">
        <f>AO37/($AL$27-Table211[[#This Row],[Missed Games]])</f>
        <v>0.5</v>
      </c>
      <c r="AT37" s="31">
        <f>COUNTIF('1707'!V11, "TRUE")+COUNTIF('1807'!V11, "TRUE")+COUNTIF('1907'!V11, "TRUE")+COUNTIF('2007'!V11, "TRUE")</f>
        <v>0</v>
      </c>
    </row>
    <row r="38" spans="2:46" ht="14.25" customHeight="1" x14ac:dyDescent="0.45"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Z38" s="47" t="s">
        <v>68</v>
      </c>
      <c r="AA38" s="31">
        <f>'Preseason 1'!R12+'Preseason 2'!R12+'Preseason 3'!R12</f>
        <v>12</v>
      </c>
      <c r="AB38" s="31">
        <f>'Preseason 1'!S12+'Preseason 2'!S12+'Preseason 3'!S12</f>
        <v>1</v>
      </c>
      <c r="AC38" s="31">
        <f>'Preseason 1'!T12+'Preseason 2'!T12+'Preseason 3'!T12</f>
        <v>9</v>
      </c>
      <c r="AD38" s="31">
        <f>'Preseason 1'!U12+'Preseason 2'!U12+'Preseason 3'!U12</f>
        <v>1</v>
      </c>
      <c r="AE38" s="33">
        <f>AA38/($AA$27-Table2[[#This Row],[Missed Games]])</f>
        <v>4</v>
      </c>
      <c r="AF38" s="120">
        <f>AB38/($AA$27-Table2[[#This Row],[Missed Games]])</f>
        <v>0.33333333333333331</v>
      </c>
      <c r="AG38" s="33">
        <f>AC38/($AA$27-Table2[[#This Row],[Missed Games]])</f>
        <v>3</v>
      </c>
      <c r="AH38" s="120">
        <f>AD38/($AA$27-Table2[[#This Row],[Missed Games]])</f>
        <v>0.33333333333333331</v>
      </c>
      <c r="AI38" s="35">
        <f>COUNTIF('Preseason 1'!V12, "TRUE")+COUNTIF('Preseason 2'!V12, "TRUE")+COUNTIF('Preseason 3'!V12, "TRUE")</f>
        <v>0</v>
      </c>
      <c r="AJ38" s="35"/>
      <c r="AK38" s="47" t="s">
        <v>68</v>
      </c>
      <c r="AL38" s="31">
        <f>'1707'!R12+'1807'!R12+'1907'!R12+'2007'!R12</f>
        <v>6</v>
      </c>
      <c r="AM38" s="31">
        <f>'1707'!S12+'1807'!S12+'1907'!S12+'2007'!S12</f>
        <v>0</v>
      </c>
      <c r="AN38" s="31">
        <f>'1707'!T12+'1807'!T12+'1907'!T12+'2007'!T12</f>
        <v>4</v>
      </c>
      <c r="AO38" s="31">
        <f>'1707'!U12+'1807'!U12+'1907'!U12+'2007'!U12</f>
        <v>1</v>
      </c>
      <c r="AP38" s="31">
        <f>AL38/($AL$27-Table211[[#This Row],[Missed Games]])</f>
        <v>1.5</v>
      </c>
      <c r="AQ38" s="31">
        <f>AM38/($AL$27-Table211[[#This Row],[Missed Games]])</f>
        <v>0</v>
      </c>
      <c r="AR38" s="31">
        <f>AN38/($AL$27-Table211[[#This Row],[Missed Games]])</f>
        <v>1</v>
      </c>
      <c r="AS38" s="31">
        <f>AO38/($AL$27-Table211[[#This Row],[Missed Games]])</f>
        <v>0.25</v>
      </c>
      <c r="AT38" s="31">
        <f>COUNTIF('1707'!V12, "TRUE")+COUNTIF('1807'!V12, "TRUE")+COUNTIF('1907'!V12, "TRUE")+COUNTIF('2007'!V12, "TRUE")</f>
        <v>0</v>
      </c>
    </row>
    <row r="39" spans="2:46" ht="14.25" customHeight="1" x14ac:dyDescent="0.45"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Z39" s="47" t="s">
        <v>69</v>
      </c>
      <c r="AA39" s="31">
        <f>'Preseason 1'!R13+'Preseason 2'!R13+'Preseason 3'!R13</f>
        <v>2</v>
      </c>
      <c r="AB39" s="31">
        <f>'Preseason 1'!S13+'Preseason 2'!S13+'Preseason 3'!S13</f>
        <v>0</v>
      </c>
      <c r="AC39" s="31">
        <f>'Preseason 1'!T13+'Preseason 2'!T13+'Preseason 3'!T13</f>
        <v>0</v>
      </c>
      <c r="AD39" s="31">
        <f>'Preseason 1'!U13+'Preseason 2'!U13+'Preseason 3'!U13</f>
        <v>1</v>
      </c>
      <c r="AE39" s="33">
        <f>AA39/($AA$27-Table2[[#This Row],[Missed Games]])</f>
        <v>0.66666666666666663</v>
      </c>
      <c r="AF39" s="120">
        <f>AB39/($AA$27-Table2[[#This Row],[Missed Games]])</f>
        <v>0</v>
      </c>
      <c r="AG39" s="33">
        <f>AC39/($AA$27-Table2[[#This Row],[Missed Games]])</f>
        <v>0</v>
      </c>
      <c r="AH39" s="120">
        <f>AD39/($AA$27-Table2[[#This Row],[Missed Games]])</f>
        <v>0.33333333333333331</v>
      </c>
      <c r="AI39" s="35">
        <f>COUNTIF('Preseason 1'!V13, "TRUE")+COUNTIF('Preseason 2'!V13, "TRUE")+COUNTIF('Preseason 3'!V13, "TRUE")</f>
        <v>0</v>
      </c>
      <c r="AJ39" s="71"/>
      <c r="AK39" s="47" t="s">
        <v>69</v>
      </c>
      <c r="AL39" s="31">
        <f>'1707'!R13+'1807'!R13+'1907'!R13+'2007'!R13</f>
        <v>4</v>
      </c>
      <c r="AM39" s="31">
        <f>'1707'!S13+'1807'!S13+'1907'!S13+'2007'!S13</f>
        <v>1</v>
      </c>
      <c r="AN39" s="31">
        <f>'1707'!T13+'1807'!T13+'1907'!T13+'2007'!T13</f>
        <v>3</v>
      </c>
      <c r="AO39" s="31">
        <f>'1707'!U13+'1807'!U13+'1907'!U13+'2007'!U13</f>
        <v>0</v>
      </c>
      <c r="AP39" s="31">
        <f>AL39/($AL$27-Table211[[#This Row],[Missed Games]])</f>
        <v>1</v>
      </c>
      <c r="AQ39" s="31">
        <f>AM39/($AL$27-Table211[[#This Row],[Missed Games]])</f>
        <v>0.25</v>
      </c>
      <c r="AR39" s="31">
        <f>AN39/($AL$27-Table211[[#This Row],[Missed Games]])</f>
        <v>0.75</v>
      </c>
      <c r="AS39" s="31">
        <f>AO39/($AL$27-Table211[[#This Row],[Missed Games]])</f>
        <v>0</v>
      </c>
      <c r="AT39" s="31">
        <f>COUNTIF('1707'!V13, "TRUE")+COUNTIF('1807'!V13, "TRUE")+COUNTIF('1907'!V13, "TRUE")+COUNTIF('2007'!V13, "TRUE")</f>
        <v>0</v>
      </c>
    </row>
    <row r="40" spans="2:46" ht="14.25" customHeight="1" x14ac:dyDescent="0.45"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3" t="s">
        <v>116</v>
      </c>
      <c r="U40" t="s">
        <v>227</v>
      </c>
      <c r="V40" t="s">
        <v>228</v>
      </c>
      <c r="W40" t="s">
        <v>229</v>
      </c>
      <c r="X40" t="s">
        <v>234</v>
      </c>
      <c r="Z40" s="35" t="s">
        <v>200</v>
      </c>
      <c r="AA40" s="31">
        <f>'Preseason 1'!R14+'Preseason 2'!R14+'Preseason 3'!R14</f>
        <v>1</v>
      </c>
      <c r="AB40" s="31">
        <f>'Preseason 1'!S14+'Preseason 2'!S14+'Preseason 3'!S14</f>
        <v>1</v>
      </c>
      <c r="AC40" s="31">
        <f>'Preseason 1'!T14+'Preseason 2'!T14+'Preseason 3'!T14</f>
        <v>0</v>
      </c>
      <c r="AD40" s="31">
        <f>'Preseason 1'!U14+'Preseason 2'!U14+'Preseason 3'!U14</f>
        <v>0</v>
      </c>
      <c r="AE40" s="33">
        <f>AA40/($AA$27-Table2[[#This Row],[Missed Games]])</f>
        <v>0.5</v>
      </c>
      <c r="AF40" s="120">
        <f>AB40/($AA$27-Table2[[#This Row],[Missed Games]])</f>
        <v>0.5</v>
      </c>
      <c r="AG40" s="33">
        <f>AC40/($AA$27-Table2[[#This Row],[Missed Games]])</f>
        <v>0</v>
      </c>
      <c r="AH40" s="120">
        <f>AD40/($AA$27-Table2[[#This Row],[Missed Games]])</f>
        <v>0</v>
      </c>
      <c r="AI40" s="35">
        <f>COUNTIF('Preseason 1'!V14, "TRUE")+COUNTIF('Preseason 2'!V14, "TRUE")+COUNTIF('Preseason 3'!V14, "TRUE")</f>
        <v>1</v>
      </c>
      <c r="AJ40" s="35"/>
      <c r="AK40" s="35" t="s">
        <v>200</v>
      </c>
      <c r="AL40" s="31">
        <f>'1707'!R14+'1807'!R14+'1907'!R14+'2007'!R14</f>
        <v>0</v>
      </c>
      <c r="AM40" s="31">
        <f>'1707'!S14+'1807'!S14+'1907'!S14+'2007'!S14</f>
        <v>0</v>
      </c>
      <c r="AN40" s="31">
        <f>'1707'!T14+'1807'!T14+'1907'!T14+'2007'!T14</f>
        <v>0</v>
      </c>
      <c r="AO40" s="31">
        <f>'1707'!U14+'1807'!U14+'1907'!U14+'2007'!U14</f>
        <v>0</v>
      </c>
      <c r="AP40" s="31">
        <f>AL40/($AL$27-Table211[[#This Row],[Missed Games]])</f>
        <v>0</v>
      </c>
      <c r="AQ40" s="31">
        <f>AM40/($AL$27-Table211[[#This Row],[Missed Games]])</f>
        <v>0</v>
      </c>
      <c r="AR40" s="31">
        <f>AN40/($AL$27-Table211[[#This Row],[Missed Games]])</f>
        <v>0</v>
      </c>
      <c r="AS40" s="31">
        <f>AO40/($AL$27-Table211[[#This Row],[Missed Games]])</f>
        <v>0</v>
      </c>
      <c r="AT40" s="31">
        <f>COUNTIF('1707'!V14, "TRUE")+COUNTIF('1807'!V14, "TRUE")+COUNTIF('1907'!V14, "TRUE")+COUNTIF('2007'!V14, "TRUE")</f>
        <v>1</v>
      </c>
    </row>
    <row r="41" spans="2:46" ht="14.25" customHeight="1" x14ac:dyDescent="0.45">
      <c r="R41" s="13" t="s">
        <v>108</v>
      </c>
      <c r="S41">
        <f>'Statistics LG'!J3</f>
        <v>49</v>
      </c>
      <c r="T41" s="126">
        <f>S41/SUM(S41:S43)</f>
        <v>0.35507246376811596</v>
      </c>
      <c r="U41" s="130">
        <v>0.32188841201716739</v>
      </c>
      <c r="V41" s="43">
        <v>0.36899999999999999</v>
      </c>
      <c r="W41">
        <f>T41*(6*(20-AA$5))</f>
        <v>36.217391304347828</v>
      </c>
      <c r="X41" s="18">
        <f>((MAX(U41:U43)+MAX(V41:V43))/2)*6*(20-AA5)</f>
        <v>36.767497854077249</v>
      </c>
      <c r="Y41" s="131">
        <v>1</v>
      </c>
      <c r="Z41" s="35" t="s">
        <v>128</v>
      </c>
      <c r="AA41" s="31">
        <f>'Preseason 1'!R15+'Preseason 2'!R15+'Preseason 3'!R15</f>
        <v>5</v>
      </c>
      <c r="AB41" s="31">
        <f>'Preseason 1'!S15+'Preseason 2'!S15+'Preseason 3'!S15</f>
        <v>3</v>
      </c>
      <c r="AC41" s="31">
        <f>'Preseason 1'!T15+'Preseason 2'!T15+'Preseason 3'!T15</f>
        <v>0</v>
      </c>
      <c r="AD41" s="31">
        <f>'Preseason 1'!U15+'Preseason 2'!U15+'Preseason 3'!U15</f>
        <v>1</v>
      </c>
      <c r="AE41" s="33">
        <f>AA41/($AA$27-Table2[[#This Row],[Missed Games]])</f>
        <v>1.6666666666666667</v>
      </c>
      <c r="AF41" s="120">
        <f>AB41/($AA$27-Table2[[#This Row],[Missed Games]])</f>
        <v>1</v>
      </c>
      <c r="AG41" s="33">
        <f>AC41/($AA$27-Table2[[#This Row],[Missed Games]])</f>
        <v>0</v>
      </c>
      <c r="AH41" s="120">
        <f>AD41/($AA$27-Table2[[#This Row],[Missed Games]])</f>
        <v>0.33333333333333331</v>
      </c>
      <c r="AI41" s="35">
        <f>COUNTIF('Preseason 1'!V15, "TRUE")+COUNTIF('Preseason 2'!V15, "TRUE")+COUNTIF('Preseason 3'!V15, "TRUE")</f>
        <v>0</v>
      </c>
      <c r="AJ41" s="35"/>
      <c r="AK41" s="35" t="s">
        <v>128</v>
      </c>
      <c r="AL41" s="31">
        <f>'1707'!R15+'1807'!R15+'1907'!R15+'2007'!R15</f>
        <v>1</v>
      </c>
      <c r="AM41" s="31">
        <f>'1707'!S15+'1807'!S15+'1907'!S15+'2007'!S15</f>
        <v>1</v>
      </c>
      <c r="AN41" s="31">
        <f>'1707'!T15+'1807'!T15+'1907'!T15+'2007'!T15</f>
        <v>0</v>
      </c>
      <c r="AO41" s="31">
        <f>'1707'!U15+'1807'!U15+'1907'!U15+'2007'!U15</f>
        <v>0</v>
      </c>
      <c r="AP41" s="31">
        <f>AL41/($AL$27-Table211[[#This Row],[Missed Games]])</f>
        <v>0.25</v>
      </c>
      <c r="AQ41" s="31">
        <f>AM41/($AL$27-Table211[[#This Row],[Missed Games]])</f>
        <v>0.25</v>
      </c>
      <c r="AR41" s="31">
        <f>AN41/($AL$27-Table211[[#This Row],[Missed Games]])</f>
        <v>0</v>
      </c>
      <c r="AS41" s="31">
        <f>AO41/($AL$27-Table211[[#This Row],[Missed Games]])</f>
        <v>0</v>
      </c>
      <c r="AT41" s="31">
        <f>COUNTIF('1707'!V15, "TRUE")+COUNTIF('1807'!V15, "TRUE")+COUNTIF('1907'!V15, "TRUE")+COUNTIF('2007'!V15, "TRUE")</f>
        <v>0</v>
      </c>
    </row>
    <row r="42" spans="2:46" ht="14.25" customHeight="1" x14ac:dyDescent="0.45">
      <c r="R42" s="13" t="s">
        <v>109</v>
      </c>
      <c r="S42">
        <f>'Statistics WW'!J3</f>
        <v>39</v>
      </c>
      <c r="T42" s="130">
        <f>S42/SUM(S41:S43)</f>
        <v>0.28260869565217389</v>
      </c>
      <c r="U42" s="130">
        <v>0.35193133047210301</v>
      </c>
      <c r="V42" s="43">
        <v>0.26200000000000001</v>
      </c>
      <c r="W42" s="16">
        <f t="shared" ref="W42:W43" si="6">T42*(6*(20-AA$5))</f>
        <v>28.826086956521738</v>
      </c>
      <c r="X42" s="18">
        <f>6*(20-AA5)-X41-X43</f>
        <v>35.454193133047212</v>
      </c>
      <c r="Y42" s="131">
        <v>2</v>
      </c>
      <c r="Z42" s="35" t="s">
        <v>127</v>
      </c>
      <c r="AA42" s="31">
        <f>'Preseason 1'!R16+'Preseason 2'!R16+'Preseason 3'!R16</f>
        <v>7</v>
      </c>
      <c r="AB42" s="31">
        <f>'Preseason 1'!S16+'Preseason 2'!S16+'Preseason 3'!S16</f>
        <v>3</v>
      </c>
      <c r="AC42" s="31">
        <f>'Preseason 1'!T16+'Preseason 2'!T16+'Preseason 3'!T16</f>
        <v>2</v>
      </c>
      <c r="AD42" s="31">
        <f>'Preseason 1'!U16+'Preseason 2'!U16+'Preseason 3'!U16</f>
        <v>1</v>
      </c>
      <c r="AE42" s="33">
        <f>AA42/($AA$27-Table2[[#This Row],[Missed Games]])</f>
        <v>2.3333333333333335</v>
      </c>
      <c r="AF42" s="120">
        <f>AB42/($AA$27-Table2[[#This Row],[Missed Games]])</f>
        <v>1</v>
      </c>
      <c r="AG42" s="33">
        <f>AC42/($AA$27-Table2[[#This Row],[Missed Games]])</f>
        <v>0.66666666666666663</v>
      </c>
      <c r="AH42" s="120">
        <f>AD42/($AA$27-Table2[[#This Row],[Missed Games]])</f>
        <v>0.33333333333333331</v>
      </c>
      <c r="AI42" s="35">
        <f>COUNTIF('Preseason 1'!V16, "TRUE")+COUNTIF('Preseason 2'!V16, "TRUE")+COUNTIF('Preseason 3'!V16, "TRUE")</f>
        <v>0</v>
      </c>
      <c r="AJ42" s="35"/>
      <c r="AK42" s="35" t="s">
        <v>127</v>
      </c>
      <c r="AL42" s="31">
        <f>'1707'!R16+'1807'!R16+'1907'!R16+'2007'!R16</f>
        <v>8</v>
      </c>
      <c r="AM42" s="31">
        <f>'1707'!S16+'1807'!S16+'1907'!S16+'2007'!S16</f>
        <v>4</v>
      </c>
      <c r="AN42" s="31">
        <f>'1707'!T16+'1807'!T16+'1907'!T16+'2007'!T16</f>
        <v>2</v>
      </c>
      <c r="AO42" s="31">
        <f>'1707'!U16+'1807'!U16+'1907'!U16+'2007'!U16</f>
        <v>1</v>
      </c>
      <c r="AP42" s="31">
        <f>AL42/($AL$27-Table211[[#This Row],[Missed Games]])</f>
        <v>2</v>
      </c>
      <c r="AQ42" s="31">
        <f>AM42/($AL$27-Table211[[#This Row],[Missed Games]])</f>
        <v>1</v>
      </c>
      <c r="AR42" s="31">
        <f>AN42/($AL$27-Table211[[#This Row],[Missed Games]])</f>
        <v>0.5</v>
      </c>
      <c r="AS42" s="31">
        <f>AO42/($AL$27-Table211[[#This Row],[Missed Games]])</f>
        <v>0.25</v>
      </c>
      <c r="AT42" s="31">
        <f>COUNTIF('1707'!V16, "TRUE")+COUNTIF('1807'!V16, "TRUE")+COUNTIF('1907'!V16, "TRUE")+COUNTIF('2007'!V16, "TRUE")</f>
        <v>0</v>
      </c>
    </row>
    <row r="43" spans="2:46" ht="14.25" customHeight="1" x14ac:dyDescent="0.45">
      <c r="R43" s="13" t="s">
        <v>110</v>
      </c>
      <c r="S43">
        <f>'Statistics 5M'!J3</f>
        <v>50</v>
      </c>
      <c r="T43" s="130">
        <f>S43/SUM(S41:S43)</f>
        <v>0.36231884057971014</v>
      </c>
      <c r="U43" s="130">
        <v>0.3261802575107296</v>
      </c>
      <c r="V43" s="43">
        <v>0.36899999999999999</v>
      </c>
      <c r="W43" s="16">
        <f t="shared" si="6"/>
        <v>36.956521739130437</v>
      </c>
      <c r="X43" s="18">
        <f>((MIN(U41:U43)+MIN(V41:V43))/2)*6*(20-AA5)</f>
        <v>29.778309012875539</v>
      </c>
      <c r="Y43" s="131">
        <v>3</v>
      </c>
      <c r="Z43" s="35" t="s">
        <v>73</v>
      </c>
      <c r="AA43" s="31">
        <f>'Preseason 1'!R17+'Preseason 2'!R17+'Preseason 3'!R17</f>
        <v>12</v>
      </c>
      <c r="AB43" s="31">
        <f>'Preseason 1'!S17+'Preseason 2'!S17+'Preseason 3'!S17</f>
        <v>6</v>
      </c>
      <c r="AC43" s="31">
        <f>'Preseason 1'!T17+'Preseason 2'!T17+'Preseason 3'!T17</f>
        <v>2</v>
      </c>
      <c r="AD43" s="31">
        <f>'Preseason 1'!U17+'Preseason 2'!U17+'Preseason 3'!U17</f>
        <v>2</v>
      </c>
      <c r="AE43" s="33">
        <f>AA43/($AA$27-Table2[[#This Row],[Missed Games]])</f>
        <v>4</v>
      </c>
      <c r="AF43" s="120">
        <f>AB43/($AA$27-Table2[[#This Row],[Missed Games]])</f>
        <v>2</v>
      </c>
      <c r="AG43" s="33">
        <f>AC43/($AA$27-Table2[[#This Row],[Missed Games]])</f>
        <v>0.66666666666666663</v>
      </c>
      <c r="AH43" s="120">
        <f>AD43/($AA$27-Table2[[#This Row],[Missed Games]])</f>
        <v>0.66666666666666663</v>
      </c>
      <c r="AI43" s="35">
        <f>COUNTIF('Preseason 1'!V17, "TRUE")+COUNTIF('Preseason 2'!V17, "TRUE")+COUNTIF('Preseason 3'!V17, "TRUE")</f>
        <v>0</v>
      </c>
      <c r="AJ43" s="35"/>
      <c r="AK43" s="35" t="s">
        <v>73</v>
      </c>
      <c r="AL43" s="31">
        <f>'1707'!R17+'1807'!R17+'1907'!R17+'2007'!R17</f>
        <v>16</v>
      </c>
      <c r="AM43" s="31">
        <f>'1707'!S17+'1807'!S17+'1907'!S17+'2007'!S17</f>
        <v>8</v>
      </c>
      <c r="AN43" s="31">
        <f>'1707'!T17+'1807'!T17+'1907'!T17+'2007'!T17</f>
        <v>4</v>
      </c>
      <c r="AO43" s="31">
        <f>'1707'!U17+'1807'!U17+'1907'!U17+'2007'!U17</f>
        <v>2</v>
      </c>
      <c r="AP43" s="31">
        <f>AL43/($AL$27-Table211[[#This Row],[Missed Games]])</f>
        <v>4</v>
      </c>
      <c r="AQ43" s="31">
        <f>AM43/($AL$27-Table211[[#This Row],[Missed Games]])</f>
        <v>2</v>
      </c>
      <c r="AR43" s="31">
        <f>AN43/($AL$27-Table211[[#This Row],[Missed Games]])</f>
        <v>1</v>
      </c>
      <c r="AS43" s="31">
        <f>AO43/($AL$27-Table211[[#This Row],[Missed Games]])</f>
        <v>0.5</v>
      </c>
      <c r="AT43" s="31">
        <f>COUNTIF('1707'!V17, "TRUE")+COUNTIF('1807'!V17, "TRUE")+COUNTIF('1907'!V17, "TRUE")+COUNTIF('2007'!V17, "TRUE")</f>
        <v>0</v>
      </c>
    </row>
    <row r="44" spans="2:46" ht="14.25" customHeight="1" x14ac:dyDescent="0.45">
      <c r="Z44" s="35" t="s">
        <v>74</v>
      </c>
      <c r="AA44" s="31">
        <f>'Preseason 1'!R18+'Preseason 2'!R18+'Preseason 3'!R18</f>
        <v>0</v>
      </c>
      <c r="AB44" s="31">
        <f>'Preseason 1'!S18+'Preseason 2'!S18+'Preseason 3'!S18</f>
        <v>0</v>
      </c>
      <c r="AC44" s="31">
        <f>'Preseason 1'!T18+'Preseason 2'!T18+'Preseason 3'!T18</f>
        <v>0</v>
      </c>
      <c r="AD44" s="31">
        <f>'Preseason 1'!U18+'Preseason 2'!U18+'Preseason 3'!U18</f>
        <v>0</v>
      </c>
      <c r="AE44" s="33">
        <f>AA44/($AA$27-Table2[[#This Row],[Missed Games]])</f>
        <v>0</v>
      </c>
      <c r="AF44" s="120">
        <f>AB44/($AA$27-Table2[[#This Row],[Missed Games]])</f>
        <v>0</v>
      </c>
      <c r="AG44" s="33">
        <f>AC44/($AA$27-Table2[[#This Row],[Missed Games]])</f>
        <v>0</v>
      </c>
      <c r="AH44" s="120">
        <f>AD44/($AA$27-Table2[[#This Row],[Missed Games]])</f>
        <v>0</v>
      </c>
      <c r="AI44" s="35">
        <f>COUNTIF('Preseason 1'!V18, "TRUE")+COUNTIF('Preseason 2'!V18, "TRUE")+COUNTIF('Preseason 3'!V18, "TRUE")</f>
        <v>0</v>
      </c>
      <c r="AJ44" s="35"/>
      <c r="AK44" s="35" t="s">
        <v>74</v>
      </c>
      <c r="AL44" s="31">
        <f>'1707'!R18+'1807'!R18+'1907'!R18+'2007'!R18</f>
        <v>0</v>
      </c>
      <c r="AM44" s="31">
        <f>'1707'!S18+'1807'!S18+'1907'!S18+'2007'!S18</f>
        <v>0</v>
      </c>
      <c r="AN44" s="31">
        <f>'1707'!T18+'1807'!T18+'1907'!T18+'2007'!T18</f>
        <v>0</v>
      </c>
      <c r="AO44" s="31">
        <f>'1707'!U18+'1807'!U18+'1907'!U18+'2007'!U18</f>
        <v>0</v>
      </c>
      <c r="AP44" s="31">
        <f>AL44/($AL$27-Table211[[#This Row],[Missed Games]])</f>
        <v>0</v>
      </c>
      <c r="AQ44" s="31">
        <f>AM44/($AL$27-Table211[[#This Row],[Missed Games]])</f>
        <v>0</v>
      </c>
      <c r="AR44" s="31">
        <f>AN44/($AL$27-Table211[[#This Row],[Missed Games]])</f>
        <v>0</v>
      </c>
      <c r="AS44" s="31">
        <f>AO44/($AL$27-Table211[[#This Row],[Missed Games]])</f>
        <v>0</v>
      </c>
      <c r="AT44" s="31">
        <f>COUNTIF('1707'!V18, "TRUE")+COUNTIF('1807'!V18, "TRUE")+COUNTIF('1907'!V18, "TRUE")+COUNTIF('2007'!V18, "TRUE")</f>
        <v>0</v>
      </c>
    </row>
    <row r="45" spans="2:46" ht="14.25" customHeight="1" x14ac:dyDescent="0.45">
      <c r="T45" t="s">
        <v>233</v>
      </c>
      <c r="W45">
        <f>(20-AA6-AA5)*2</f>
        <v>-6</v>
      </c>
      <c r="Z45" s="47" t="s">
        <v>75</v>
      </c>
      <c r="AA45" s="31">
        <f>'Preseason 1'!R19+'Preseason 2'!R19+'Preseason 3'!R19</f>
        <v>0</v>
      </c>
      <c r="AB45" s="31">
        <f>'Preseason 1'!S19+'Preseason 2'!S19+'Preseason 3'!S19</f>
        <v>0</v>
      </c>
      <c r="AC45" s="31">
        <f>'Preseason 1'!T19+'Preseason 2'!T19+'Preseason 3'!T19</f>
        <v>0</v>
      </c>
      <c r="AD45" s="31">
        <f>'Preseason 1'!U19+'Preseason 2'!U19+'Preseason 3'!U19</f>
        <v>0</v>
      </c>
      <c r="AE45" s="33">
        <f>AA45/($AA$27-Table2[[#This Row],[Missed Games]])</f>
        <v>0</v>
      </c>
      <c r="AF45" s="120">
        <f>AB45/($AA$27-Table2[[#This Row],[Missed Games]])</f>
        <v>0</v>
      </c>
      <c r="AG45" s="33">
        <f>AC45/($AA$27-Table2[[#This Row],[Missed Games]])</f>
        <v>0</v>
      </c>
      <c r="AH45" s="120">
        <f>AD45/($AA$27-Table2[[#This Row],[Missed Games]])</f>
        <v>0</v>
      </c>
      <c r="AI45" s="35">
        <f>COUNTIF('Preseason 1'!V19, "TRUE")+COUNTIF('Preseason 2'!V19, "TRUE")+COUNTIF('Preseason 3'!V19, "TRUE")</f>
        <v>0</v>
      </c>
      <c r="AJ45" s="35"/>
      <c r="AK45" s="47" t="s">
        <v>75</v>
      </c>
      <c r="AL45" s="31">
        <f>'1707'!R19+'1807'!R19+'1907'!R19+'2007'!R19</f>
        <v>0</v>
      </c>
      <c r="AM45" s="31">
        <f>'1707'!S19+'1807'!S19+'1907'!S19+'2007'!S19</f>
        <v>0</v>
      </c>
      <c r="AN45" s="31">
        <f>'1707'!T19+'1807'!T19+'1907'!T19+'2007'!T19</f>
        <v>0</v>
      </c>
      <c r="AO45" s="31">
        <f>'1707'!U19+'1807'!U19+'1907'!U19+'2007'!U19</f>
        <v>0</v>
      </c>
      <c r="AP45" s="31" t="e">
        <f>AL45/($AL$27-Table211[[#This Row],[Missed Games]])</f>
        <v>#DIV/0!</v>
      </c>
      <c r="AQ45" s="31" t="e">
        <f>AM45/($AL$27-Table211[[#This Row],[Missed Games]])</f>
        <v>#DIV/0!</v>
      </c>
      <c r="AR45" s="31" t="e">
        <f>AN45/($AL$27-Table211[[#This Row],[Missed Games]])</f>
        <v>#DIV/0!</v>
      </c>
      <c r="AS45" s="31" t="e">
        <f>AO45/($AL$27-Table211[[#This Row],[Missed Games]])</f>
        <v>#DIV/0!</v>
      </c>
      <c r="AT45" s="31">
        <f>COUNTIF('1707'!V19, "TRUE")+COUNTIF('1807'!V19, "TRUE")+COUNTIF('1907'!V19, "TRUE")+COUNTIF('2007'!V19, "TRUE")</f>
        <v>4</v>
      </c>
    </row>
    <row r="46" spans="2:46" ht="14.25" customHeight="1" x14ac:dyDescent="0.45">
      <c r="T46" t="s">
        <v>263</v>
      </c>
      <c r="W46">
        <f>(W45-(MAX(S41:S43)-MIN(S41:S43)))/2</f>
        <v>-8.5</v>
      </c>
      <c r="Z46" s="35"/>
      <c r="AA46" s="34"/>
      <c r="AB46" s="34"/>
      <c r="AC46" s="34"/>
      <c r="AD46" s="35"/>
      <c r="AE46" s="35"/>
      <c r="AF46" s="35"/>
      <c r="AG46" s="35"/>
      <c r="AH46" s="35"/>
      <c r="AI46" s="35"/>
      <c r="AJ46" s="35"/>
      <c r="AK46" s="47"/>
      <c r="AL46" s="34"/>
      <c r="AM46" s="35"/>
      <c r="AN46" s="35"/>
      <c r="AO46" s="35"/>
      <c r="AP46" s="35"/>
      <c r="AQ46" s="35"/>
      <c r="AR46" s="35"/>
      <c r="AS46" s="35"/>
      <c r="AT46" s="35"/>
    </row>
    <row r="47" spans="2:46" ht="14.25" customHeight="1" x14ac:dyDescent="0.45">
      <c r="Y47" s="16"/>
      <c r="Z47" s="47" t="s">
        <v>126</v>
      </c>
      <c r="AA47" s="11">
        <v>3</v>
      </c>
      <c r="AB47" s="16"/>
      <c r="AC47" s="16"/>
      <c r="AD47" s="16"/>
      <c r="AE47" s="16"/>
      <c r="AF47" s="16"/>
      <c r="AG47" s="16"/>
      <c r="AH47" s="16"/>
      <c r="AI47" s="3"/>
      <c r="AJ47" s="35"/>
      <c r="AK47" s="47" t="s">
        <v>129</v>
      </c>
      <c r="AL47" s="11">
        <v>4</v>
      </c>
      <c r="AM47" s="16"/>
      <c r="AN47" s="16"/>
      <c r="AO47" s="16"/>
      <c r="AP47" s="16"/>
      <c r="AQ47" s="16"/>
      <c r="AR47" s="16"/>
      <c r="AS47" s="16"/>
      <c r="AT47" s="3"/>
    </row>
    <row r="48" spans="2:46" ht="14.25" customHeight="1" x14ac:dyDescent="0.45">
      <c r="S48" s="13" t="s">
        <v>143</v>
      </c>
      <c r="U48" s="13" t="s">
        <v>82</v>
      </c>
      <c r="V48" s="13" t="s">
        <v>85</v>
      </c>
      <c r="W48" s="13" t="s">
        <v>144</v>
      </c>
      <c r="Z48" s="28" t="s">
        <v>84</v>
      </c>
      <c r="AA48" s="28" t="s">
        <v>0</v>
      </c>
      <c r="AB48" s="28" t="s">
        <v>1</v>
      </c>
      <c r="AC48" s="29" t="s">
        <v>2</v>
      </c>
      <c r="AD48" s="30" t="s">
        <v>3</v>
      </c>
      <c r="AE48" s="30" t="s">
        <v>124</v>
      </c>
      <c r="AF48" s="30" t="s">
        <v>122</v>
      </c>
      <c r="AG48" s="29" t="s">
        <v>123</v>
      </c>
      <c r="AH48" s="30" t="s">
        <v>164</v>
      </c>
      <c r="AI48" s="70" t="s">
        <v>120</v>
      </c>
      <c r="AJ48" s="35"/>
      <c r="AK48" s="28" t="s">
        <v>84</v>
      </c>
      <c r="AL48" s="28" t="s">
        <v>0</v>
      </c>
      <c r="AM48" s="28" t="s">
        <v>1</v>
      </c>
      <c r="AN48" s="29" t="s">
        <v>2</v>
      </c>
      <c r="AO48" s="30" t="s">
        <v>3</v>
      </c>
      <c r="AP48" s="30" t="s">
        <v>124</v>
      </c>
      <c r="AQ48" s="30" t="s">
        <v>122</v>
      </c>
      <c r="AR48" s="29" t="s">
        <v>123</v>
      </c>
      <c r="AS48" s="30" t="s">
        <v>164</v>
      </c>
      <c r="AT48" s="70" t="s">
        <v>120</v>
      </c>
    </row>
    <row r="49" spans="19:48" ht="14.25" customHeight="1" x14ac:dyDescent="0.45">
      <c r="T49" s="13" t="s">
        <v>1</v>
      </c>
      <c r="U49" s="18">
        <f>SUM(Table1[Finishes])</f>
        <v>195</v>
      </c>
      <c r="V49" s="17">
        <f>U49/AA6</f>
        <v>9.75</v>
      </c>
      <c r="W49" s="27">
        <f>U49/SUM($U$49:$U$51)</f>
        <v>0.59270516717325228</v>
      </c>
      <c r="Z49" s="47" t="s">
        <v>45</v>
      </c>
      <c r="AA49" s="31">
        <f>'2407'!R3+'2607'!R3+'2707'!R3</f>
        <v>1</v>
      </c>
      <c r="AB49" s="31">
        <f>'2407'!S3+'2607'!S3+'2707'!S3</f>
        <v>0</v>
      </c>
      <c r="AC49" s="31">
        <f>'2407'!T3+'2607'!T3+'2707'!T3</f>
        <v>1</v>
      </c>
      <c r="AD49" s="31">
        <f>'2407'!U3+'2607'!U3+'2707'!U3</f>
        <v>0</v>
      </c>
      <c r="AE49" s="139">
        <f>Table21123[[#This Row],[Points]]/($AA$47-Table21123[[#This Row],[Missed Games]])</f>
        <v>0.33333333333333331</v>
      </c>
      <c r="AF49" s="139">
        <f>Table21123[[#This Row],[Finishes]]/($AA$47-Table21123[[#This Row],[Missed Games]])</f>
        <v>0</v>
      </c>
      <c r="AG49" s="139">
        <f>Table21123[[#This Row],[Midranges]]/($AA$47-Table21123[[#This Row],[Missed Games]])</f>
        <v>0.33333333333333331</v>
      </c>
      <c r="AH49" s="139">
        <f>Table21123[[#This Row],[Threes]]/($AA$47-Table21123[[#This Row],[Missed Games]])</f>
        <v>0</v>
      </c>
      <c r="AI49" s="31">
        <f>COUNTIF('2407'!V3, "TRUE")+COUNTIF('2607'!V3, "TRUE")+COUNTIF('2707'!V3, "TRUE")</f>
        <v>0</v>
      </c>
      <c r="AJ49" s="35"/>
      <c r="AK49" s="47" t="s">
        <v>45</v>
      </c>
      <c r="AL49" s="31">
        <f>'3107'!R3+'0108'!R3+'0208'!R3+'0308'!R3</f>
        <v>0</v>
      </c>
      <c r="AM49" s="31">
        <f>'3107'!S3+'0108'!S3+'0208'!S3+'0308'!S3</f>
        <v>0</v>
      </c>
      <c r="AN49" s="31">
        <f>'3107'!T3+'0108'!T3+'0208'!T3+'0308'!T3</f>
        <v>0</v>
      </c>
      <c r="AO49" s="31">
        <f>'3107'!U3+'0108'!U3+'0208'!U3+'0308'!U3</f>
        <v>0</v>
      </c>
      <c r="AP49" s="31">
        <f>AL49/($AL$47-Table21124[[#This Row],[Missed Games]])</f>
        <v>0</v>
      </c>
      <c r="AQ49" s="31">
        <f>AM49/($AL$47-Table21124[[#This Row],[Missed Games]])</f>
        <v>0</v>
      </c>
      <c r="AR49" s="31">
        <f>AN49/($AL$47-Table21124[[#This Row],[Missed Games]])</f>
        <v>0</v>
      </c>
      <c r="AS49" s="31">
        <f>AO49/($AL$47-Table21124[[#This Row],[Missed Games]])</f>
        <v>0</v>
      </c>
      <c r="AT49" s="31">
        <f>COUNTIF('3107'!V3, "TRUE")+COUNTIF('0108'!V3, "TRUE")</f>
        <v>0</v>
      </c>
      <c r="AV49" s="18"/>
    </row>
    <row r="50" spans="19:48" ht="14.25" customHeight="1" x14ac:dyDescent="0.45">
      <c r="T50" s="13" t="s">
        <v>2</v>
      </c>
      <c r="U50" s="18">
        <f>SUM(Table1[Midranges])</f>
        <v>103</v>
      </c>
      <c r="V50" s="17">
        <f>U50/AA6</f>
        <v>5.15</v>
      </c>
      <c r="W50" s="27">
        <f>U50/SUM($U$49:$U$51)</f>
        <v>0.31306990881458968</v>
      </c>
      <c r="Z50" s="47" t="s">
        <v>49</v>
      </c>
      <c r="AA50" s="31">
        <f>'2407'!R4+'2607'!R4+'2707'!R4</f>
        <v>1</v>
      </c>
      <c r="AB50" s="31">
        <f>'2407'!S4+'2607'!S4+'2707'!S4</f>
        <v>1</v>
      </c>
      <c r="AC50" s="31">
        <f>'2407'!T4+'2607'!T4+'2707'!T4</f>
        <v>0</v>
      </c>
      <c r="AD50" s="31">
        <f>'2407'!U4+'2607'!U4+'2707'!U4</f>
        <v>0</v>
      </c>
      <c r="AE50" s="139">
        <f>Table21123[[#This Row],[Points]]/($AA$47-Table21123[[#This Row],[Missed Games]])</f>
        <v>0.33333333333333331</v>
      </c>
      <c r="AF50" s="139">
        <f>Table21123[[#This Row],[Finishes]]/($AA$47-Table21123[[#This Row],[Missed Games]])</f>
        <v>0.33333333333333331</v>
      </c>
      <c r="AG50" s="139">
        <f>Table21123[[#This Row],[Midranges]]/($AA$47-Table21123[[#This Row],[Missed Games]])</f>
        <v>0</v>
      </c>
      <c r="AH50" s="139">
        <f>Table21123[[#This Row],[Threes]]/($AA$47-Table21123[[#This Row],[Missed Games]])</f>
        <v>0</v>
      </c>
      <c r="AI50" s="31">
        <f>COUNTIF('2407'!V4, "TRUE")+COUNTIF('2607'!V4, "TRUE")+COUNTIF('2707'!V4, "TRUE")</f>
        <v>0</v>
      </c>
      <c r="AJ50" s="35"/>
      <c r="AK50" s="47" t="s">
        <v>49</v>
      </c>
      <c r="AL50" s="31">
        <f>'3107'!R4+'0108'!R4+'0208'!R4+'0308'!R4</f>
        <v>5</v>
      </c>
      <c r="AM50" s="31">
        <f>'3107'!S4+'0108'!S4+'0208'!S4+'0308'!S4</f>
        <v>5</v>
      </c>
      <c r="AN50" s="31">
        <f>'3107'!T4+'0108'!T4+'0208'!T4+'0308'!T4</f>
        <v>0</v>
      </c>
      <c r="AO50" s="31">
        <f>'3107'!U4+'0108'!U4+'0208'!U4+'0308'!U4</f>
        <v>0</v>
      </c>
      <c r="AP50" s="31">
        <f>AL50/($AL$47-Table21124[[#This Row],[Missed Games]])</f>
        <v>1.25</v>
      </c>
      <c r="AQ50" s="31">
        <f>AM50/($AL$47-Table21124[[#This Row],[Missed Games]])</f>
        <v>1.25</v>
      </c>
      <c r="AR50" s="31">
        <f>AN50/($AL$47-Table21124[[#This Row],[Missed Games]])</f>
        <v>0</v>
      </c>
      <c r="AS50" s="31">
        <f>AO50/($AL$47-Table21124[[#This Row],[Missed Games]])</f>
        <v>0</v>
      </c>
      <c r="AT50" s="31">
        <f>COUNTIF('3107'!V4, "TRUE")+COUNTIF('0108'!V4, "TRUE")</f>
        <v>0</v>
      </c>
    </row>
    <row r="51" spans="19:48" ht="14.25" customHeight="1" x14ac:dyDescent="0.45">
      <c r="T51" s="13" t="s">
        <v>3</v>
      </c>
      <c r="U51" s="18">
        <f>SUM(Table1[Threes])</f>
        <v>31</v>
      </c>
      <c r="V51" s="17">
        <f>U51/AA6</f>
        <v>1.55</v>
      </c>
      <c r="W51" s="27">
        <f>U51/SUM($U$49:$U$51)</f>
        <v>9.4224924012158054E-2</v>
      </c>
      <c r="Z51" s="47" t="s">
        <v>51</v>
      </c>
      <c r="AA51" s="31">
        <f>'2407'!R5+'2607'!R5+'2707'!R5</f>
        <v>12</v>
      </c>
      <c r="AB51" s="31">
        <f>'2407'!S5+'2607'!S5+'2707'!S5</f>
        <v>10</v>
      </c>
      <c r="AC51" s="31">
        <f>'2407'!T5+'2607'!T5+'2707'!T5</f>
        <v>0</v>
      </c>
      <c r="AD51" s="31">
        <f>'2407'!U5+'2607'!U5+'2707'!U5</f>
        <v>1</v>
      </c>
      <c r="AE51" s="139">
        <f>Table21123[[#This Row],[Points]]/($AA$47-Table21123[[#This Row],[Missed Games]])</f>
        <v>4</v>
      </c>
      <c r="AF51" s="139">
        <f>Table21123[[#This Row],[Finishes]]/($AA$47-Table21123[[#This Row],[Missed Games]])</f>
        <v>3.3333333333333335</v>
      </c>
      <c r="AG51" s="139">
        <f>Table21123[[#This Row],[Midranges]]/($AA$47-Table21123[[#This Row],[Missed Games]])</f>
        <v>0</v>
      </c>
      <c r="AH51" s="139">
        <f>Table21123[[#This Row],[Threes]]/($AA$47-Table21123[[#This Row],[Missed Games]])</f>
        <v>0.33333333333333331</v>
      </c>
      <c r="AI51" s="31">
        <f>COUNTIF('2407'!V5, "TRUE")+COUNTIF('2607'!V5, "TRUE")+COUNTIF('2707'!V5, "TRUE")</f>
        <v>0</v>
      </c>
      <c r="AJ51" s="35"/>
      <c r="AK51" s="47" t="s">
        <v>51</v>
      </c>
      <c r="AL51" s="31">
        <f>'3107'!R5+'0108'!R5+'0208'!R5+'0308'!R5</f>
        <v>3</v>
      </c>
      <c r="AM51" s="31">
        <f>'3107'!S5+'0108'!S5+'0208'!S5+'0308'!S5</f>
        <v>3</v>
      </c>
      <c r="AN51" s="31">
        <f>'3107'!T5+'0108'!T5+'0208'!T5+'0308'!T5</f>
        <v>0</v>
      </c>
      <c r="AO51" s="31">
        <f>'3107'!U5+'0108'!U5+'0208'!U5+'0308'!U5</f>
        <v>0</v>
      </c>
      <c r="AP51" s="31">
        <f>AL51/($AL$47-Table21124[[#This Row],[Missed Games]])</f>
        <v>1.5</v>
      </c>
      <c r="AQ51" s="31">
        <f>AM51/($AL$47-Table21124[[#This Row],[Missed Games]])</f>
        <v>1.5</v>
      </c>
      <c r="AR51" s="31">
        <f>AN51/($AL$47-Table21124[[#This Row],[Missed Games]])</f>
        <v>0</v>
      </c>
      <c r="AS51" s="31">
        <f>AO51/($AL$47-Table21124[[#This Row],[Missed Games]])</f>
        <v>0</v>
      </c>
      <c r="AT51" s="31">
        <f>COUNTIF('3107'!V5, "TRUE")+COUNTIF('0108'!V5, "TRUE")</f>
        <v>2</v>
      </c>
    </row>
    <row r="52" spans="19:48" ht="14.25" customHeight="1" x14ac:dyDescent="0.45">
      <c r="Z52" s="47" t="s">
        <v>54</v>
      </c>
      <c r="AA52" s="31">
        <f>'2407'!R6+'2607'!R6+'2707'!R6</f>
        <v>2</v>
      </c>
      <c r="AB52" s="31">
        <f>'2407'!S6+'2607'!S6+'2707'!S6</f>
        <v>2</v>
      </c>
      <c r="AC52" s="31">
        <f>'2407'!T6+'2607'!T6+'2707'!T6</f>
        <v>0</v>
      </c>
      <c r="AD52" s="31">
        <f>'2407'!U6+'2607'!U6+'2707'!U6</f>
        <v>0</v>
      </c>
      <c r="AE52" s="139">
        <f>Table21123[[#This Row],[Points]]/($AA$47-Table21123[[#This Row],[Missed Games]])</f>
        <v>0.66666666666666663</v>
      </c>
      <c r="AF52" s="139">
        <f>Table21123[[#This Row],[Finishes]]/($AA$47-Table21123[[#This Row],[Missed Games]])</f>
        <v>0.66666666666666663</v>
      </c>
      <c r="AG52" s="139">
        <f>Table21123[[#This Row],[Midranges]]/($AA$47-Table21123[[#This Row],[Missed Games]])</f>
        <v>0</v>
      </c>
      <c r="AH52" s="139">
        <f>Table21123[[#This Row],[Threes]]/($AA$47-Table21123[[#This Row],[Missed Games]])</f>
        <v>0</v>
      </c>
      <c r="AI52" s="31">
        <f>COUNTIF('2407'!V6, "TRUE")+COUNTIF('2607'!V6, "TRUE")+COUNTIF('2707'!V6, "TRUE")</f>
        <v>0</v>
      </c>
      <c r="AJ52" s="35"/>
      <c r="AK52" s="47" t="s">
        <v>54</v>
      </c>
      <c r="AL52" s="31">
        <f>'3107'!R6+'0108'!R6+'0208'!R6+'0308'!R6</f>
        <v>0</v>
      </c>
      <c r="AM52" s="31">
        <f>'3107'!S6+'0108'!S6+'0208'!S6+'0308'!S6</f>
        <v>0</v>
      </c>
      <c r="AN52" s="31">
        <f>'3107'!T6+'0108'!T6+'0208'!T6+'0308'!T6</f>
        <v>0</v>
      </c>
      <c r="AO52" s="31">
        <f>'3107'!U6+'0108'!U6+'0208'!U6+'0308'!U6</f>
        <v>0</v>
      </c>
      <c r="AP52" s="31">
        <f>AL52/($AL$47-Table21124[[#This Row],[Missed Games]])</f>
        <v>0</v>
      </c>
      <c r="AQ52" s="31">
        <f>AM52/($AL$47-Table21124[[#This Row],[Missed Games]])</f>
        <v>0</v>
      </c>
      <c r="AR52" s="31">
        <f>AN52/($AL$47-Table21124[[#This Row],[Missed Games]])</f>
        <v>0</v>
      </c>
      <c r="AS52" s="31">
        <f>AO52/($AL$47-Table21124[[#This Row],[Missed Games]])</f>
        <v>0</v>
      </c>
      <c r="AT52" s="31">
        <f>COUNTIF('3107'!V6, "TRUE")+COUNTIF('0108'!V6, "TRUE")</f>
        <v>2</v>
      </c>
    </row>
    <row r="53" spans="19:48" ht="14.25" customHeight="1" x14ac:dyDescent="0.45">
      <c r="T53" s="13" t="s">
        <v>130</v>
      </c>
      <c r="Z53" s="47" t="s">
        <v>57</v>
      </c>
      <c r="AA53" s="31">
        <f>'2407'!R7+'2607'!R7+'2707'!R7</f>
        <v>1</v>
      </c>
      <c r="AB53" s="31">
        <f>'2407'!S7+'2607'!S7+'2707'!S7</f>
        <v>0</v>
      </c>
      <c r="AC53" s="31">
        <f>'2407'!T7+'2607'!T7+'2707'!T7</f>
        <v>1</v>
      </c>
      <c r="AD53" s="31">
        <f>'2407'!U7+'2607'!U7+'2707'!U7</f>
        <v>0</v>
      </c>
      <c r="AE53" s="139">
        <f>Table21123[[#This Row],[Points]]/($AA$47-Table21123[[#This Row],[Missed Games]])</f>
        <v>1</v>
      </c>
      <c r="AF53" s="139">
        <f>Table21123[[#This Row],[Finishes]]/($AA$47-Table21123[[#This Row],[Missed Games]])</f>
        <v>0</v>
      </c>
      <c r="AG53" s="139">
        <f>Table21123[[#This Row],[Midranges]]/($AA$47-Table21123[[#This Row],[Missed Games]])</f>
        <v>1</v>
      </c>
      <c r="AH53" s="139">
        <f>Table21123[[#This Row],[Threes]]/($AA$47-Table21123[[#This Row],[Missed Games]])</f>
        <v>0</v>
      </c>
      <c r="AI53" s="31">
        <f>COUNTIF('2407'!V7, "TRUE")+COUNTIF('2607'!V7, "TRUE")+COUNTIF('2707'!V7, "TRUE")</f>
        <v>2</v>
      </c>
      <c r="AJ53" s="35"/>
      <c r="AK53" s="47" t="s">
        <v>57</v>
      </c>
      <c r="AL53" s="31">
        <f>'3107'!R7+'0108'!R7+'0208'!R7+'0308'!R7</f>
        <v>9</v>
      </c>
      <c r="AM53" s="31">
        <f>'3107'!S7+'0108'!S7+'0208'!S7+'0308'!S7</f>
        <v>4</v>
      </c>
      <c r="AN53" s="31">
        <f>'3107'!T7+'0108'!T7+'0208'!T7+'0308'!T7</f>
        <v>3</v>
      </c>
      <c r="AO53" s="31">
        <f>'3107'!U7+'0108'!U7+'0208'!U7+'0308'!U7</f>
        <v>1</v>
      </c>
      <c r="AP53" s="31">
        <f>AL53/($AL$47-Table21124[[#This Row],[Missed Games]])</f>
        <v>2.25</v>
      </c>
      <c r="AQ53" s="31">
        <f>AM53/($AL$47-Table21124[[#This Row],[Missed Games]])</f>
        <v>1</v>
      </c>
      <c r="AR53" s="31">
        <f>AN53/($AL$47-Table21124[[#This Row],[Missed Games]])</f>
        <v>0.75</v>
      </c>
      <c r="AS53" s="31">
        <f>AO53/($AL$47-Table21124[[#This Row],[Missed Games]])</f>
        <v>0.25</v>
      </c>
      <c r="AT53" s="31">
        <f>COUNTIF('3107'!V7, "TRUE")+COUNTIF('0108'!V7, "TRUE")</f>
        <v>0</v>
      </c>
    </row>
    <row r="54" spans="19:48" ht="14.25" customHeight="1" x14ac:dyDescent="0.45">
      <c r="T54" s="13" t="s">
        <v>108</v>
      </c>
      <c r="U54" s="13" t="s">
        <v>109</v>
      </c>
      <c r="V54" s="13" t="s">
        <v>110</v>
      </c>
      <c r="Z54" s="47" t="s">
        <v>60</v>
      </c>
      <c r="AA54" s="31">
        <f>'2407'!R8+'2607'!R8+'2707'!R8</f>
        <v>1</v>
      </c>
      <c r="AB54" s="31">
        <f>'2407'!S8+'2607'!S8+'2707'!S8</f>
        <v>1</v>
      </c>
      <c r="AC54" s="31">
        <f>'2407'!T8+'2607'!T8+'2707'!T8</f>
        <v>0</v>
      </c>
      <c r="AD54" s="31">
        <f>'2407'!U8+'2607'!U8+'2707'!U8</f>
        <v>0</v>
      </c>
      <c r="AE54" s="139">
        <f>Table21123[[#This Row],[Points]]/($AA$47-Table21123[[#This Row],[Missed Games]])</f>
        <v>0.33333333333333331</v>
      </c>
      <c r="AF54" s="139">
        <f>Table21123[[#This Row],[Finishes]]/($AA$47-Table21123[[#This Row],[Missed Games]])</f>
        <v>0.33333333333333331</v>
      </c>
      <c r="AG54" s="139">
        <f>Table21123[[#This Row],[Midranges]]/($AA$47-Table21123[[#This Row],[Missed Games]])</f>
        <v>0</v>
      </c>
      <c r="AH54" s="139">
        <f>Table21123[[#This Row],[Threes]]/($AA$47-Table21123[[#This Row],[Missed Games]])</f>
        <v>0</v>
      </c>
      <c r="AI54" s="31">
        <f>COUNTIF('2407'!V8, "TRUE")+COUNTIF('2607'!V8, "TRUE")+COUNTIF('2707'!V8, "TRUE")</f>
        <v>0</v>
      </c>
      <c r="AJ54" s="35"/>
      <c r="AK54" s="47" t="s">
        <v>60</v>
      </c>
      <c r="AL54" s="31">
        <f>'3107'!R8+'0108'!R8+'0208'!R8+'0308'!R8</f>
        <v>0</v>
      </c>
      <c r="AM54" s="31">
        <f>'3107'!S8+'0108'!S8+'0208'!S8+'0308'!S8</f>
        <v>0</v>
      </c>
      <c r="AN54" s="31">
        <f>'3107'!T8+'0108'!T8+'0208'!T8+'0308'!T8</f>
        <v>0</v>
      </c>
      <c r="AO54" s="31">
        <f>'3107'!U8+'0108'!U8+'0208'!U8+'0308'!U8</f>
        <v>0</v>
      </c>
      <c r="AP54" s="31">
        <f>AL54/($AL$47-Table21124[[#This Row],[Missed Games]])</f>
        <v>0</v>
      </c>
      <c r="AQ54" s="31">
        <f>AM54/($AL$47-Table21124[[#This Row],[Missed Games]])</f>
        <v>0</v>
      </c>
      <c r="AR54" s="31">
        <f>AN54/($AL$47-Table21124[[#This Row],[Missed Games]])</f>
        <v>0</v>
      </c>
      <c r="AS54" s="31">
        <f>AO54/($AL$47-Table21124[[#This Row],[Missed Games]])</f>
        <v>0</v>
      </c>
      <c r="AT54" s="31">
        <f>COUNTIF('3107'!V8, "TRUE")+COUNTIF('0108'!V8, "TRUE")</f>
        <v>1</v>
      </c>
    </row>
    <row r="55" spans="19:48" ht="14.25" customHeight="1" x14ac:dyDescent="0.45">
      <c r="S55" s="13" t="s">
        <v>132</v>
      </c>
      <c r="T55" s="40" t="s">
        <v>131</v>
      </c>
      <c r="U55" s="38">
        <f>'Statistics LG'!L42</f>
        <v>0.6</v>
      </c>
      <c r="V55" s="38">
        <f>'Statistics LG'!O42</f>
        <v>0.5</v>
      </c>
      <c r="W55" s="38">
        <f>AVERAGE(U55:V55)</f>
        <v>0.55000000000000004</v>
      </c>
      <c r="Z55" s="35" t="s">
        <v>93</v>
      </c>
      <c r="AA55" s="31">
        <f>'2407'!R9+'2607'!R9+'2707'!R9</f>
        <v>4</v>
      </c>
      <c r="AB55" s="31">
        <f>'2407'!S9+'2607'!S9+'2707'!S9</f>
        <v>3</v>
      </c>
      <c r="AC55" s="31">
        <f>'2407'!T9+'2607'!T9+'2707'!T9</f>
        <v>1</v>
      </c>
      <c r="AD55" s="31">
        <f>'2407'!U9+'2607'!U9+'2707'!U9</f>
        <v>0</v>
      </c>
      <c r="AE55" s="139">
        <f>Table21123[[#This Row],[Points]]/($AA$47-Table21123[[#This Row],[Missed Games]])</f>
        <v>1.3333333333333333</v>
      </c>
      <c r="AF55" s="139">
        <f>Table21123[[#This Row],[Finishes]]/($AA$47-Table21123[[#This Row],[Missed Games]])</f>
        <v>1</v>
      </c>
      <c r="AG55" s="139">
        <f>Table21123[[#This Row],[Midranges]]/($AA$47-Table21123[[#This Row],[Missed Games]])</f>
        <v>0.33333333333333331</v>
      </c>
      <c r="AH55" s="139">
        <f>Table21123[[#This Row],[Threes]]/($AA$47-Table21123[[#This Row],[Missed Games]])</f>
        <v>0</v>
      </c>
      <c r="AI55" s="31">
        <f>COUNTIF('2407'!V9, "TRUE")+COUNTIF('2607'!V9, "TRUE")+COUNTIF('2707'!V9, "TRUE")</f>
        <v>0</v>
      </c>
      <c r="AJ55" s="35"/>
      <c r="AK55" s="35" t="s">
        <v>93</v>
      </c>
      <c r="AL55" s="31">
        <f>'3107'!R9+'0108'!R9+'0208'!R9+'0308'!R9</f>
        <v>2</v>
      </c>
      <c r="AM55" s="31">
        <f>'3107'!S9+'0108'!S9+'0208'!S9+'0308'!S9</f>
        <v>1</v>
      </c>
      <c r="AN55" s="31">
        <f>'3107'!T9+'0108'!T9+'0208'!T9+'0308'!T9</f>
        <v>1</v>
      </c>
      <c r="AO55" s="31">
        <f>'3107'!U9+'0108'!U9+'0208'!U9+'0308'!U9</f>
        <v>0</v>
      </c>
      <c r="AP55" s="31">
        <f>AL55/($AL$47-Table21124[[#This Row],[Missed Games]])</f>
        <v>0.5</v>
      </c>
      <c r="AQ55" s="31">
        <f>AM55/($AL$47-Table21124[[#This Row],[Missed Games]])</f>
        <v>0.25</v>
      </c>
      <c r="AR55" s="31">
        <f>AN55/($AL$47-Table21124[[#This Row],[Missed Games]])</f>
        <v>0.25</v>
      </c>
      <c r="AS55" s="31">
        <f>AO55/($AL$47-Table21124[[#This Row],[Missed Games]])</f>
        <v>0</v>
      </c>
      <c r="AT55" s="31">
        <f>COUNTIF('3107'!V9, "TRUE")+COUNTIF('0108'!V9, "TRUE")</f>
        <v>0</v>
      </c>
    </row>
    <row r="56" spans="19:48" ht="14.25" customHeight="1" x14ac:dyDescent="0.45">
      <c r="S56" s="13" t="s">
        <v>133</v>
      </c>
      <c r="T56" s="38">
        <f>1-'Statistics LG'!L42</f>
        <v>0.4</v>
      </c>
      <c r="U56" s="40" t="s">
        <v>131</v>
      </c>
      <c r="V56" s="38">
        <f>'Statistics WW'!L42</f>
        <v>0.35922330097087379</v>
      </c>
      <c r="W56" s="38">
        <f>AVERAGE(T56:V56)</f>
        <v>0.37961165048543688</v>
      </c>
      <c r="Z56" s="47" t="s">
        <v>63</v>
      </c>
      <c r="AA56" s="31">
        <f>'2407'!R10+'2607'!R10+'2707'!R10</f>
        <v>0</v>
      </c>
      <c r="AB56" s="31">
        <f>'2407'!S10+'2607'!S10+'2707'!S10</f>
        <v>0</v>
      </c>
      <c r="AC56" s="31">
        <f>'2407'!T10+'2607'!T10+'2707'!T10</f>
        <v>0</v>
      </c>
      <c r="AD56" s="31">
        <f>'2407'!U10+'2607'!U10+'2707'!U10</f>
        <v>0</v>
      </c>
      <c r="AE56" s="139">
        <f>Table21123[[#This Row],[Points]]/($AA$47-Table21123[[#This Row],[Missed Games]])</f>
        <v>0</v>
      </c>
      <c r="AF56" s="139">
        <f>Table21123[[#This Row],[Finishes]]/($AA$47-Table21123[[#This Row],[Missed Games]])</f>
        <v>0</v>
      </c>
      <c r="AG56" s="139">
        <f>Table21123[[#This Row],[Midranges]]/($AA$47-Table21123[[#This Row],[Missed Games]])</f>
        <v>0</v>
      </c>
      <c r="AH56" s="139">
        <f>Table21123[[#This Row],[Threes]]/($AA$47-Table21123[[#This Row],[Missed Games]])</f>
        <v>0</v>
      </c>
      <c r="AI56" s="31">
        <f>COUNTIF('2407'!V10, "TRUE")+COUNTIF('2607'!V10, "TRUE")+COUNTIF('2707'!V10, "TRUE")</f>
        <v>2</v>
      </c>
      <c r="AJ56" s="35"/>
      <c r="AK56" s="47" t="s">
        <v>63</v>
      </c>
      <c r="AL56" s="31">
        <f>'3107'!R10+'0108'!R10+'0208'!R10+'0308'!R10</f>
        <v>8</v>
      </c>
      <c r="AM56" s="31">
        <f>'3107'!S10+'0108'!S10+'0208'!S10+'0308'!S10</f>
        <v>0</v>
      </c>
      <c r="AN56" s="31">
        <f>'3107'!T10+'0108'!T10+'0208'!T10+'0308'!T10</f>
        <v>0</v>
      </c>
      <c r="AO56" s="31">
        <f>'3107'!U10+'0108'!U10+'0208'!U10+'0308'!U10</f>
        <v>4</v>
      </c>
      <c r="AP56" s="31">
        <f>AL56/($AL$47-Table21124[[#This Row],[Missed Games]])</f>
        <v>2</v>
      </c>
      <c r="AQ56" s="31">
        <f>AM56/($AL$47-Table21124[[#This Row],[Missed Games]])</f>
        <v>0</v>
      </c>
      <c r="AR56" s="31">
        <f>AN56/($AL$47-Table21124[[#This Row],[Missed Games]])</f>
        <v>0</v>
      </c>
      <c r="AS56" s="31">
        <f>AO56/($AL$47-Table21124[[#This Row],[Missed Games]])</f>
        <v>1</v>
      </c>
      <c r="AT56" s="31">
        <f>COUNTIF('3107'!V10, "TRUE")+COUNTIF('0108'!V10, "TRUE")</f>
        <v>0</v>
      </c>
    </row>
    <row r="57" spans="19:48" ht="14.25" customHeight="1" x14ac:dyDescent="0.45">
      <c r="S57" s="13" t="s">
        <v>134</v>
      </c>
      <c r="T57" s="38">
        <f>1-V55</f>
        <v>0.5</v>
      </c>
      <c r="U57" s="38">
        <f>1-V56</f>
        <v>0.64077669902912615</v>
      </c>
      <c r="V57" s="40" t="s">
        <v>131</v>
      </c>
      <c r="W57" s="38">
        <f>AVERAGE(T57:V57)</f>
        <v>0.57038834951456308</v>
      </c>
      <c r="Z57" s="47" t="s">
        <v>66</v>
      </c>
      <c r="AA57" s="31">
        <f>'2407'!R11+'2607'!R11+'2707'!R11</f>
        <v>2</v>
      </c>
      <c r="AB57" s="31">
        <f>'2407'!S11+'2607'!S11+'2707'!S11</f>
        <v>0</v>
      </c>
      <c r="AC57" s="31">
        <f>'2407'!T11+'2607'!T11+'2707'!T11</f>
        <v>2</v>
      </c>
      <c r="AD57" s="31">
        <f>'2407'!U11+'2607'!U11+'2707'!U11</f>
        <v>0</v>
      </c>
      <c r="AE57" s="139">
        <f>Table21123[[#This Row],[Points]]/($AA$47-Table21123[[#This Row],[Missed Games]])</f>
        <v>0.66666666666666663</v>
      </c>
      <c r="AF57" s="139">
        <f>Table21123[[#This Row],[Finishes]]/($AA$47-Table21123[[#This Row],[Missed Games]])</f>
        <v>0</v>
      </c>
      <c r="AG57" s="139">
        <f>Table21123[[#This Row],[Midranges]]/($AA$47-Table21123[[#This Row],[Missed Games]])</f>
        <v>0.66666666666666663</v>
      </c>
      <c r="AH57" s="139">
        <f>Table21123[[#This Row],[Threes]]/($AA$47-Table21123[[#This Row],[Missed Games]])</f>
        <v>0</v>
      </c>
      <c r="AI57" s="31">
        <f>COUNTIF('2407'!V11, "TRUE")+COUNTIF('2607'!V11, "TRUE")+COUNTIF('2707'!V11, "TRUE")</f>
        <v>0</v>
      </c>
      <c r="AJ57" s="35"/>
      <c r="AK57" s="47" t="s">
        <v>66</v>
      </c>
      <c r="AL57" s="31">
        <f>'3107'!R11+'0108'!R11+'0208'!R11+'0308'!R11</f>
        <v>4</v>
      </c>
      <c r="AM57" s="31">
        <f>'3107'!S11+'0108'!S11+'0208'!S11+'0308'!S11</f>
        <v>3</v>
      </c>
      <c r="AN57" s="31">
        <f>'3107'!T11+'0108'!T11+'0208'!T11+'0308'!T11</f>
        <v>1</v>
      </c>
      <c r="AO57" s="31">
        <f>'3107'!U11+'0108'!U11+'0208'!U11+'0308'!U11</f>
        <v>0</v>
      </c>
      <c r="AP57" s="31">
        <f>AL57/($AL$47-Table21124[[#This Row],[Missed Games]])</f>
        <v>1.3333333333333333</v>
      </c>
      <c r="AQ57" s="31">
        <f>AM57/($AL$47-Table21124[[#This Row],[Missed Games]])</f>
        <v>1</v>
      </c>
      <c r="AR57" s="31">
        <f>AN57/($AL$47-Table21124[[#This Row],[Missed Games]])</f>
        <v>0.33333333333333331</v>
      </c>
      <c r="AS57" s="31">
        <f>AO57/($AL$47-Table21124[[#This Row],[Missed Games]])</f>
        <v>0</v>
      </c>
      <c r="AT57" s="31">
        <f>COUNTIF('3107'!V11, "TRUE")+COUNTIF('0108'!V11, "TRUE")</f>
        <v>1</v>
      </c>
    </row>
    <row r="58" spans="19:48" ht="14.25" customHeight="1" x14ac:dyDescent="0.45">
      <c r="V58" s="41"/>
      <c r="W58" s="112"/>
      <c r="Z58" s="47" t="s">
        <v>68</v>
      </c>
      <c r="AA58" s="31">
        <f>'2407'!R12+'2607'!R12+'2707'!R12</f>
        <v>8</v>
      </c>
      <c r="AB58" s="31">
        <f>'2407'!S12+'2607'!S12+'2707'!S12</f>
        <v>2</v>
      </c>
      <c r="AC58" s="31">
        <f>'2407'!T12+'2607'!T12+'2707'!T12</f>
        <v>6</v>
      </c>
      <c r="AD58" s="31">
        <f>'2407'!U12+'2607'!U12+'2707'!U12</f>
        <v>0</v>
      </c>
      <c r="AE58" s="139">
        <f>Table21123[[#This Row],[Points]]/($AA$47-Table21123[[#This Row],[Missed Games]])</f>
        <v>2.6666666666666665</v>
      </c>
      <c r="AF58" s="139">
        <f>Table21123[[#This Row],[Finishes]]/($AA$47-Table21123[[#This Row],[Missed Games]])</f>
        <v>0.66666666666666663</v>
      </c>
      <c r="AG58" s="139">
        <f>Table21123[[#This Row],[Midranges]]/($AA$47-Table21123[[#This Row],[Missed Games]])</f>
        <v>2</v>
      </c>
      <c r="AH58" s="139">
        <f>Table21123[[#This Row],[Threes]]/($AA$47-Table21123[[#This Row],[Missed Games]])</f>
        <v>0</v>
      </c>
      <c r="AI58" s="31">
        <f>COUNTIF('2407'!V12, "TRUE")+COUNTIF('2607'!V12, "TRUE")+COUNTIF('2707'!V12, "TRUE")</f>
        <v>0</v>
      </c>
      <c r="AJ58" s="35"/>
      <c r="AK58" s="47" t="s">
        <v>68</v>
      </c>
      <c r="AL58" s="31">
        <f>'3107'!R12+'0108'!R12+'0208'!R12+'0308'!R12</f>
        <v>17</v>
      </c>
      <c r="AM58" s="31">
        <f>'3107'!S12+'0108'!S12+'0208'!S12+'0308'!S12</f>
        <v>3</v>
      </c>
      <c r="AN58" s="31">
        <f>'3107'!T12+'0108'!T12+'0208'!T12+'0308'!T12</f>
        <v>8</v>
      </c>
      <c r="AO58" s="31">
        <f>'3107'!U12+'0108'!U12+'0208'!U12+'0308'!U12</f>
        <v>3</v>
      </c>
      <c r="AP58" s="31">
        <f>AL58/($AL$47-Table21124[[#This Row],[Missed Games]])</f>
        <v>4.25</v>
      </c>
      <c r="AQ58" s="31">
        <f>AM58/($AL$47-Table21124[[#This Row],[Missed Games]])</f>
        <v>0.75</v>
      </c>
      <c r="AR58" s="31">
        <f>AN58/($AL$47-Table21124[[#This Row],[Missed Games]])</f>
        <v>2</v>
      </c>
      <c r="AS58" s="31">
        <f>AO58/($AL$47-Table21124[[#This Row],[Missed Games]])</f>
        <v>0.75</v>
      </c>
      <c r="AT58" s="31">
        <f>COUNTIF('3107'!V12, "TRUE")+COUNTIF('0108'!V12, "TRUE")</f>
        <v>0</v>
      </c>
    </row>
    <row r="59" spans="19:48" ht="14.25" customHeight="1" x14ac:dyDescent="0.45">
      <c r="Z59" s="47" t="s">
        <v>69</v>
      </c>
      <c r="AA59" s="31">
        <f>'2407'!R13+'2607'!R13+'2707'!R13</f>
        <v>2</v>
      </c>
      <c r="AB59" s="31">
        <f>'2407'!S13+'2607'!S13+'2707'!S13</f>
        <v>0</v>
      </c>
      <c r="AC59" s="31">
        <f>'2407'!T13+'2607'!T13+'2707'!T13</f>
        <v>2</v>
      </c>
      <c r="AD59" s="31">
        <f>'2407'!U13+'2607'!U13+'2707'!U13</f>
        <v>0</v>
      </c>
      <c r="AE59" s="139">
        <f>Table21123[[#This Row],[Points]]/($AA$47-Table21123[[#This Row],[Missed Games]])</f>
        <v>0.66666666666666663</v>
      </c>
      <c r="AF59" s="139">
        <f>Table21123[[#This Row],[Finishes]]/($AA$47-Table21123[[#This Row],[Missed Games]])</f>
        <v>0</v>
      </c>
      <c r="AG59" s="139">
        <f>Table21123[[#This Row],[Midranges]]/($AA$47-Table21123[[#This Row],[Missed Games]])</f>
        <v>0.66666666666666663</v>
      </c>
      <c r="AH59" s="139">
        <f>Table21123[[#This Row],[Threes]]/($AA$47-Table21123[[#This Row],[Missed Games]])</f>
        <v>0</v>
      </c>
      <c r="AI59" s="31">
        <f>COUNTIF('2407'!V13, "TRUE")+COUNTIF('2607'!V13, "TRUE")+COUNTIF('2707'!V13, "TRUE")</f>
        <v>0</v>
      </c>
      <c r="AJ59" s="35"/>
      <c r="AK59" s="47" t="s">
        <v>69</v>
      </c>
      <c r="AL59" s="31">
        <f>'3107'!R13+'0108'!R13+'0208'!R13+'0308'!R13</f>
        <v>1</v>
      </c>
      <c r="AM59" s="31">
        <f>'3107'!S13+'0108'!S13+'0208'!S13+'0308'!S13</f>
        <v>0</v>
      </c>
      <c r="AN59" s="31">
        <f>'3107'!T13+'0108'!T13+'0208'!T13+'0308'!T13</f>
        <v>1</v>
      </c>
      <c r="AO59" s="31">
        <f>'3107'!U13+'0108'!U13+'0208'!U13+'0308'!U13</f>
        <v>0</v>
      </c>
      <c r="AP59" s="31">
        <f>AL59/($AL$47-Table21124[[#This Row],[Missed Games]])</f>
        <v>0.25</v>
      </c>
      <c r="AQ59" s="31">
        <f>AM59/($AL$47-Table21124[[#This Row],[Missed Games]])</f>
        <v>0</v>
      </c>
      <c r="AR59" s="31">
        <f>AN59/($AL$47-Table21124[[#This Row],[Missed Games]])</f>
        <v>0.25</v>
      </c>
      <c r="AS59" s="31">
        <f>AO59/($AL$47-Table21124[[#This Row],[Missed Games]])</f>
        <v>0</v>
      </c>
      <c r="AT59" s="31">
        <f>COUNTIF('3107'!V13, "TRUE")+COUNTIF('0108'!V13, "TRUE")</f>
        <v>0</v>
      </c>
    </row>
    <row r="60" spans="19:48" ht="14.25" customHeight="1" x14ac:dyDescent="0.45">
      <c r="Z60" s="35" t="s">
        <v>200</v>
      </c>
      <c r="AA60" s="31">
        <f>'2407'!R14+'2607'!R14+'2707'!R14</f>
        <v>0</v>
      </c>
      <c r="AB60" s="31">
        <f>'2407'!S14+'2607'!S14+'2707'!S14</f>
        <v>0</v>
      </c>
      <c r="AC60" s="31">
        <f>'2407'!T14+'2607'!T14+'2707'!T14</f>
        <v>0</v>
      </c>
      <c r="AD60" s="31">
        <f>'2407'!U14+'2607'!U14+'2707'!U14</f>
        <v>0</v>
      </c>
      <c r="AE60" s="139">
        <f>Table21123[[#This Row],[Points]]/($AA$47-Table21123[[#This Row],[Missed Games]])</f>
        <v>0</v>
      </c>
      <c r="AF60" s="139">
        <f>Table21123[[#This Row],[Finishes]]/($AA$47-Table21123[[#This Row],[Missed Games]])</f>
        <v>0</v>
      </c>
      <c r="AG60" s="139">
        <f>Table21123[[#This Row],[Midranges]]/($AA$47-Table21123[[#This Row],[Missed Games]])</f>
        <v>0</v>
      </c>
      <c r="AH60" s="139">
        <f>Table21123[[#This Row],[Threes]]/($AA$47-Table21123[[#This Row],[Missed Games]])</f>
        <v>0</v>
      </c>
      <c r="AI60" s="31">
        <f>COUNTIF('2407'!V14, "TRUE")+COUNTIF('2607'!V14, "TRUE")+COUNTIF('2707'!V14, "TRUE")</f>
        <v>2</v>
      </c>
      <c r="AJ60" s="35"/>
      <c r="AK60" s="35" t="s">
        <v>200</v>
      </c>
      <c r="AL60" s="31">
        <f>'3107'!R14+'0108'!R14+'0208'!R14+'0308'!R14</f>
        <v>1</v>
      </c>
      <c r="AM60" s="31">
        <f>'3107'!S14+'0108'!S14+'0208'!S14+'0308'!S14</f>
        <v>0</v>
      </c>
      <c r="AN60" s="31">
        <f>'3107'!T14+'0108'!T14+'0208'!T14+'0308'!T14</f>
        <v>1</v>
      </c>
      <c r="AO60" s="31">
        <f>'3107'!U14+'0108'!U14+'0208'!U14+'0308'!U14</f>
        <v>0</v>
      </c>
      <c r="AP60" s="31">
        <f>AL60/($AL$47-Table21124[[#This Row],[Missed Games]])</f>
        <v>0.5</v>
      </c>
      <c r="AQ60" s="31">
        <f>AM60/($AL$47-Table21124[[#This Row],[Missed Games]])</f>
        <v>0</v>
      </c>
      <c r="AR60" s="31">
        <f>AN60/($AL$47-Table21124[[#This Row],[Missed Games]])</f>
        <v>0.5</v>
      </c>
      <c r="AS60" s="31">
        <f>AO60/($AL$47-Table21124[[#This Row],[Missed Games]])</f>
        <v>0</v>
      </c>
      <c r="AT60" s="31">
        <f>COUNTIF('3107'!V14, "TRUE")+COUNTIF('0108'!V14, "TRUE")</f>
        <v>2</v>
      </c>
    </row>
    <row r="61" spans="19:48" ht="14.25" customHeight="1" x14ac:dyDescent="0.45">
      <c r="Z61" s="35" t="s">
        <v>128</v>
      </c>
      <c r="AA61" s="31">
        <f>'2407'!R15+'2607'!R15+'2707'!R15</f>
        <v>2</v>
      </c>
      <c r="AB61" s="31">
        <f>'2407'!S15+'2607'!S15+'2707'!S15</f>
        <v>1</v>
      </c>
      <c r="AC61" s="31">
        <f>'2407'!T15+'2607'!T15+'2707'!T15</f>
        <v>1</v>
      </c>
      <c r="AD61" s="31">
        <f>'2407'!U15+'2607'!U15+'2707'!U15</f>
        <v>0</v>
      </c>
      <c r="AE61" s="139">
        <f>Table21123[[#This Row],[Points]]/($AA$47-Table21123[[#This Row],[Missed Games]])</f>
        <v>0.66666666666666663</v>
      </c>
      <c r="AF61" s="139">
        <f>Table21123[[#This Row],[Finishes]]/($AA$47-Table21123[[#This Row],[Missed Games]])</f>
        <v>0.33333333333333331</v>
      </c>
      <c r="AG61" s="139">
        <f>Table21123[[#This Row],[Midranges]]/($AA$47-Table21123[[#This Row],[Missed Games]])</f>
        <v>0.33333333333333331</v>
      </c>
      <c r="AH61" s="139">
        <f>Table21123[[#This Row],[Threes]]/($AA$47-Table21123[[#This Row],[Missed Games]])</f>
        <v>0</v>
      </c>
      <c r="AI61" s="31">
        <f>COUNTIF('2407'!V15, "TRUE")+COUNTIF('2607'!V15, "TRUE")+COUNTIF('2707'!V15, "TRUE")</f>
        <v>0</v>
      </c>
      <c r="AJ61" s="35"/>
      <c r="AK61" s="35" t="s">
        <v>128</v>
      </c>
      <c r="AL61" s="31">
        <f>'3107'!R15+'0108'!R15+'0208'!R15+'0308'!R15</f>
        <v>6</v>
      </c>
      <c r="AM61" s="31">
        <f>'3107'!S15+'0108'!S15+'0208'!S15+'0308'!S15</f>
        <v>6</v>
      </c>
      <c r="AN61" s="31">
        <f>'3107'!T15+'0108'!T15+'0208'!T15+'0308'!T15</f>
        <v>0</v>
      </c>
      <c r="AO61" s="31">
        <f>'3107'!U15+'0108'!U15+'0208'!U15+'0308'!U15</f>
        <v>0</v>
      </c>
      <c r="AP61" s="31">
        <f>AL61/($AL$47-Table21124[[#This Row],[Missed Games]])</f>
        <v>1.5</v>
      </c>
      <c r="AQ61" s="31">
        <f>AM61/($AL$47-Table21124[[#This Row],[Missed Games]])</f>
        <v>1.5</v>
      </c>
      <c r="AR61" s="31">
        <f>AN61/($AL$47-Table21124[[#This Row],[Missed Games]])</f>
        <v>0</v>
      </c>
      <c r="AS61" s="31">
        <f>AO61/($AL$47-Table21124[[#This Row],[Missed Games]])</f>
        <v>0</v>
      </c>
      <c r="AT61" s="31">
        <f>COUNTIF('3107'!V15, "TRUE")+COUNTIF('0108'!V15, "TRUE")</f>
        <v>0</v>
      </c>
    </row>
    <row r="62" spans="19:48" ht="14.25" customHeight="1" x14ac:dyDescent="0.45">
      <c r="Z62" s="35" t="s">
        <v>127</v>
      </c>
      <c r="AA62" s="31">
        <f>'2407'!R16+'2607'!R16+'2707'!R16</f>
        <v>1</v>
      </c>
      <c r="AB62" s="31">
        <f>'2407'!S16+'2607'!S16+'2707'!S16</f>
        <v>1</v>
      </c>
      <c r="AC62" s="31">
        <f>'2407'!T16+'2607'!T16+'2707'!T16</f>
        <v>0</v>
      </c>
      <c r="AD62" s="31">
        <f>'2407'!U16+'2607'!U16+'2707'!U16</f>
        <v>0</v>
      </c>
      <c r="AE62" s="139">
        <f>Table21123[[#This Row],[Points]]/($AA$47-Table21123[[#This Row],[Missed Games]])</f>
        <v>0.33333333333333331</v>
      </c>
      <c r="AF62" s="139">
        <f>Table21123[[#This Row],[Finishes]]/($AA$47-Table21123[[#This Row],[Missed Games]])</f>
        <v>0.33333333333333331</v>
      </c>
      <c r="AG62" s="139">
        <f>Table21123[[#This Row],[Midranges]]/($AA$47-Table21123[[#This Row],[Missed Games]])</f>
        <v>0</v>
      </c>
      <c r="AH62" s="139">
        <f>Table21123[[#This Row],[Threes]]/($AA$47-Table21123[[#This Row],[Missed Games]])</f>
        <v>0</v>
      </c>
      <c r="AI62" s="31">
        <f>COUNTIF('2407'!V16, "TRUE")+COUNTIF('2607'!V16, "TRUE")+COUNTIF('2707'!V16, "TRUE")</f>
        <v>0</v>
      </c>
      <c r="AJ62" s="35"/>
      <c r="AK62" s="35" t="s">
        <v>127</v>
      </c>
      <c r="AL62" s="31">
        <f>'3107'!R16+'0108'!R16+'0208'!R16+'0308'!R16</f>
        <v>4</v>
      </c>
      <c r="AM62" s="31">
        <f>'3107'!S16+'0108'!S16+'0208'!S16+'0308'!S16</f>
        <v>3</v>
      </c>
      <c r="AN62" s="31">
        <f>'3107'!T16+'0108'!T16+'0208'!T16+'0308'!T16</f>
        <v>1</v>
      </c>
      <c r="AO62" s="31">
        <f>'3107'!U16+'0108'!U16+'0208'!U16+'0308'!U16</f>
        <v>0</v>
      </c>
      <c r="AP62" s="31">
        <f>AL62/($AL$47-Table21124[[#This Row],[Missed Games]])</f>
        <v>1</v>
      </c>
      <c r="AQ62" s="31">
        <f>AM62/($AL$47-Table21124[[#This Row],[Missed Games]])</f>
        <v>0.75</v>
      </c>
      <c r="AR62" s="31">
        <f>AN62/($AL$47-Table21124[[#This Row],[Missed Games]])</f>
        <v>0.25</v>
      </c>
      <c r="AS62" s="31">
        <f>AO62/($AL$47-Table21124[[#This Row],[Missed Games]])</f>
        <v>0</v>
      </c>
      <c r="AT62" s="31">
        <f>COUNTIF('3107'!V16, "TRUE")+COUNTIF('0108'!V16, "TRUE")</f>
        <v>0</v>
      </c>
    </row>
    <row r="63" spans="19:48" ht="14.25" customHeight="1" x14ac:dyDescent="0.45">
      <c r="Z63" s="35" t="s">
        <v>73</v>
      </c>
      <c r="AA63" s="31">
        <f>'2407'!R17+'2607'!R17+'2707'!R17</f>
        <v>5</v>
      </c>
      <c r="AB63" s="31">
        <f>'2407'!S17+'2607'!S17+'2707'!S17</f>
        <v>3</v>
      </c>
      <c r="AC63" s="31">
        <f>'2407'!T17+'2607'!T17+'2707'!T17</f>
        <v>2</v>
      </c>
      <c r="AD63" s="31">
        <f>'2407'!U17+'2607'!U17+'2707'!U17</f>
        <v>0</v>
      </c>
      <c r="AE63" s="139">
        <f>Table21123[[#This Row],[Points]]/($AA$47-Table21123[[#This Row],[Missed Games]])</f>
        <v>1.6666666666666667</v>
      </c>
      <c r="AF63" s="139">
        <f>Table21123[[#This Row],[Finishes]]/($AA$47-Table21123[[#This Row],[Missed Games]])</f>
        <v>1</v>
      </c>
      <c r="AG63" s="139">
        <f>Table21123[[#This Row],[Midranges]]/($AA$47-Table21123[[#This Row],[Missed Games]])</f>
        <v>0.66666666666666663</v>
      </c>
      <c r="AH63" s="139">
        <f>Table21123[[#This Row],[Threes]]/($AA$47-Table21123[[#This Row],[Missed Games]])</f>
        <v>0</v>
      </c>
      <c r="AI63" s="31">
        <f>COUNTIF('2407'!V17, "TRUE")+COUNTIF('2607'!V17, "TRUE")+COUNTIF('2707'!V17, "TRUE")</f>
        <v>0</v>
      </c>
      <c r="AJ63" s="35"/>
      <c r="AK63" s="35" t="s">
        <v>73</v>
      </c>
      <c r="AL63" s="31">
        <f>'3107'!R17+'0108'!R17+'0208'!R17+'0308'!R17</f>
        <v>13</v>
      </c>
      <c r="AM63" s="31">
        <f>'3107'!S17+'0108'!S17+'0208'!S17+'0308'!S17</f>
        <v>6</v>
      </c>
      <c r="AN63" s="31">
        <f>'3107'!T17+'0108'!T17+'0208'!T17+'0308'!T17</f>
        <v>1</v>
      </c>
      <c r="AO63" s="31">
        <f>'3107'!U17+'0108'!U17+'0208'!U17+'0308'!U17</f>
        <v>3</v>
      </c>
      <c r="AP63" s="31">
        <f>AL63/($AL$47-Table21124[[#This Row],[Missed Games]])</f>
        <v>3.25</v>
      </c>
      <c r="AQ63" s="31">
        <f>AM63/($AL$47-Table21124[[#This Row],[Missed Games]])</f>
        <v>1.5</v>
      </c>
      <c r="AR63" s="31">
        <f>AN63/($AL$47-Table21124[[#This Row],[Missed Games]])</f>
        <v>0.25</v>
      </c>
      <c r="AS63" s="31">
        <f>AO63/($AL$47-Table21124[[#This Row],[Missed Games]])</f>
        <v>0.75</v>
      </c>
      <c r="AT63" s="31">
        <f>COUNTIF('3107'!V17, "TRUE")+COUNTIF('0108'!V17, "TRUE")</f>
        <v>0</v>
      </c>
    </row>
    <row r="64" spans="19:48" ht="14.25" customHeight="1" x14ac:dyDescent="0.45">
      <c r="Z64" s="35" t="s">
        <v>74</v>
      </c>
      <c r="AA64" s="31">
        <f>'2407'!R18+'2607'!R18+'2707'!R18</f>
        <v>1</v>
      </c>
      <c r="AB64" s="31">
        <f>'2407'!S18+'2607'!S18+'2707'!S18</f>
        <v>0</v>
      </c>
      <c r="AC64" s="31">
        <f>'2407'!T18+'2607'!T18+'2707'!T18</f>
        <v>1</v>
      </c>
      <c r="AD64" s="31">
        <f>'2407'!U18+'2607'!U18+'2707'!U18</f>
        <v>0</v>
      </c>
      <c r="AE64" s="139">
        <f>Table21123[[#This Row],[Points]]/($AA$47-Table21123[[#This Row],[Missed Games]])</f>
        <v>0.33333333333333331</v>
      </c>
      <c r="AF64" s="139">
        <f>Table21123[[#This Row],[Finishes]]/($AA$47-Table21123[[#This Row],[Missed Games]])</f>
        <v>0</v>
      </c>
      <c r="AG64" s="139">
        <f>Table21123[[#This Row],[Midranges]]/($AA$47-Table21123[[#This Row],[Missed Games]])</f>
        <v>0.33333333333333331</v>
      </c>
      <c r="AH64" s="139">
        <f>Table21123[[#This Row],[Threes]]/($AA$47-Table21123[[#This Row],[Missed Games]])</f>
        <v>0</v>
      </c>
      <c r="AI64" s="31">
        <f>COUNTIF('2407'!V18, "TRUE")+COUNTIF('2607'!V18, "TRUE")+COUNTIF('2707'!V18, "TRUE")</f>
        <v>0</v>
      </c>
      <c r="AJ64" s="35"/>
      <c r="AK64" s="35" t="s">
        <v>74</v>
      </c>
      <c r="AL64" s="31">
        <f>'3107'!R18+'0108'!R18+'0208'!R18+'0308'!R18</f>
        <v>0</v>
      </c>
      <c r="AM64" s="31">
        <f>'3107'!S18+'0108'!S18+'0208'!S18+'0308'!S18</f>
        <v>0</v>
      </c>
      <c r="AN64" s="31">
        <f>'3107'!T18+'0108'!T18+'0208'!T18+'0308'!T18</f>
        <v>0</v>
      </c>
      <c r="AO64" s="31">
        <f>'3107'!U18+'0108'!U18+'0208'!U18+'0308'!U18</f>
        <v>0</v>
      </c>
      <c r="AP64" s="31">
        <f>AL64/($AL$47-Table21124[[#This Row],[Missed Games]])</f>
        <v>0</v>
      </c>
      <c r="AQ64" s="31">
        <f>AM64/($AL$47-Table21124[[#This Row],[Missed Games]])</f>
        <v>0</v>
      </c>
      <c r="AR64" s="31">
        <f>AN64/($AL$47-Table21124[[#This Row],[Missed Games]])</f>
        <v>0</v>
      </c>
      <c r="AS64" s="31">
        <f>AO64/($AL$47-Table21124[[#This Row],[Missed Games]])</f>
        <v>0</v>
      </c>
      <c r="AT64" s="31">
        <f>COUNTIF('3107'!V18, "TRUE")+COUNTIF('0108'!V18, "TRUE")</f>
        <v>0</v>
      </c>
    </row>
    <row r="65" spans="18:46" ht="14.25" customHeight="1" x14ac:dyDescent="0.45">
      <c r="Z65" s="47" t="s">
        <v>75</v>
      </c>
      <c r="AA65" s="31">
        <f>'2407'!R19+'2607'!R19+'2707'!R19</f>
        <v>0</v>
      </c>
      <c r="AB65" s="31">
        <f>'2407'!S19+'2607'!S19+'2707'!S19</f>
        <v>0</v>
      </c>
      <c r="AC65" s="31">
        <f>'2407'!T19+'2607'!T19+'2707'!T19</f>
        <v>0</v>
      </c>
      <c r="AD65" s="31">
        <f>'2407'!U19+'2607'!U19+'2707'!U19</f>
        <v>0</v>
      </c>
      <c r="AE65" s="139">
        <f>Table21123[[#This Row],[Points]]/($AA$47-Table21123[[#This Row],[Missed Games]])</f>
        <v>0</v>
      </c>
      <c r="AF65" s="139">
        <f>Table21123[[#This Row],[Finishes]]/($AA$47-Table21123[[#This Row],[Missed Games]])</f>
        <v>0</v>
      </c>
      <c r="AG65" s="139">
        <f>Table21123[[#This Row],[Midranges]]/($AA$47-Table21123[[#This Row],[Missed Games]])</f>
        <v>0</v>
      </c>
      <c r="AH65" s="139">
        <f>Table21123[[#This Row],[Threes]]/($AA$47-Table21123[[#This Row],[Missed Games]])</f>
        <v>0</v>
      </c>
      <c r="AI65" s="31">
        <f>COUNTIF('2407'!V19, "TRUE")+COUNTIF('2607'!V19, "TRUE")+COUNTIF('2707'!V19, "TRUE")</f>
        <v>1</v>
      </c>
      <c r="AJ65" s="35"/>
      <c r="AK65" s="47" t="s">
        <v>75</v>
      </c>
      <c r="AL65" s="31">
        <f>'3107'!R19+'0108'!R19+'0208'!R19+'0308'!R19</f>
        <v>4</v>
      </c>
      <c r="AM65" s="31">
        <f>'3107'!S19+'0108'!S19+'0208'!S19+'0308'!S19</f>
        <v>4</v>
      </c>
      <c r="AN65" s="31">
        <f>'3107'!T19+'0108'!T19+'0208'!T19+'0308'!T19</f>
        <v>0</v>
      </c>
      <c r="AO65" s="31">
        <f>'3107'!U19+'0108'!U19+'0208'!U19+'0308'!U19</f>
        <v>0</v>
      </c>
      <c r="AP65" s="31">
        <f>AL65/($AL$47-Table21124[[#This Row],[Missed Games]])</f>
        <v>1</v>
      </c>
      <c r="AQ65" s="31">
        <f>AM65/($AL$47-Table21124[[#This Row],[Missed Games]])</f>
        <v>1</v>
      </c>
      <c r="AR65" s="31">
        <f>AN65/($AL$47-Table21124[[#This Row],[Missed Games]])</f>
        <v>0</v>
      </c>
      <c r="AS65" s="31">
        <f>AO65/($AL$47-Table21124[[#This Row],[Missed Games]])</f>
        <v>0</v>
      </c>
      <c r="AT65" s="31">
        <f>COUNTIF('3107'!V19, "TRUE")+COUNTIF('0108'!V19, "TRUE")</f>
        <v>0</v>
      </c>
    </row>
    <row r="66" spans="18:46" ht="14.25" customHeight="1" x14ac:dyDescent="0.45">
      <c r="Z66" s="28"/>
      <c r="AA66" s="28"/>
      <c r="AB66" s="28"/>
      <c r="AC66" s="29"/>
      <c r="AD66" s="30"/>
      <c r="AE66" s="30"/>
      <c r="AF66" s="30"/>
      <c r="AG66" s="29"/>
      <c r="AH66" s="30"/>
      <c r="AI66" s="70"/>
      <c r="AJ66" s="35"/>
      <c r="AK66" s="28"/>
      <c r="AL66" s="28"/>
      <c r="AM66" s="28"/>
      <c r="AN66" s="29"/>
      <c r="AO66" s="30"/>
      <c r="AP66" s="30"/>
      <c r="AQ66" s="30"/>
      <c r="AR66" s="29"/>
      <c r="AS66" s="30"/>
      <c r="AT66" s="70"/>
    </row>
    <row r="67" spans="18:46" ht="14.25" customHeight="1" x14ac:dyDescent="0.45">
      <c r="Z67" s="47" t="s">
        <v>142</v>
      </c>
      <c r="AA67" s="11">
        <v>3</v>
      </c>
      <c r="AB67" s="16"/>
      <c r="AC67" s="16"/>
      <c r="AD67" s="16"/>
      <c r="AE67" s="16"/>
      <c r="AF67" s="16"/>
      <c r="AG67" s="16"/>
      <c r="AH67" s="16"/>
      <c r="AI67" s="3"/>
      <c r="AJ67" s="35"/>
      <c r="AK67" s="47" t="s">
        <v>146</v>
      </c>
      <c r="AL67" s="11">
        <v>3</v>
      </c>
      <c r="AM67" s="16"/>
      <c r="AN67" s="16"/>
      <c r="AO67" s="16"/>
      <c r="AP67" s="16"/>
      <c r="AQ67" s="16"/>
      <c r="AR67" s="16"/>
      <c r="AS67" s="16"/>
      <c r="AT67" s="3"/>
    </row>
    <row r="68" spans="18:46" ht="14.25" customHeight="1" x14ac:dyDescent="0.45">
      <c r="Z68" s="28" t="s">
        <v>84</v>
      </c>
      <c r="AA68" s="28" t="s">
        <v>0</v>
      </c>
      <c r="AB68" s="28" t="s">
        <v>1</v>
      </c>
      <c r="AC68" s="29" t="s">
        <v>2</v>
      </c>
      <c r="AD68" s="30" t="s">
        <v>3</v>
      </c>
      <c r="AE68" s="30" t="s">
        <v>124</v>
      </c>
      <c r="AF68" s="30" t="s">
        <v>122</v>
      </c>
      <c r="AG68" s="29" t="s">
        <v>123</v>
      </c>
      <c r="AH68" s="30" t="s">
        <v>164</v>
      </c>
      <c r="AI68" s="70" t="s">
        <v>120</v>
      </c>
      <c r="AJ68" s="35"/>
      <c r="AK68" s="28" t="s">
        <v>84</v>
      </c>
      <c r="AL68" s="28" t="s">
        <v>0</v>
      </c>
      <c r="AM68" s="28" t="s">
        <v>1</v>
      </c>
      <c r="AN68" s="29" t="s">
        <v>2</v>
      </c>
      <c r="AO68" s="30" t="s">
        <v>3</v>
      </c>
      <c r="AP68" s="30" t="s">
        <v>124</v>
      </c>
      <c r="AQ68" s="30" t="s">
        <v>122</v>
      </c>
      <c r="AR68" s="29" t="s">
        <v>123</v>
      </c>
      <c r="AS68" s="30" t="s">
        <v>164</v>
      </c>
      <c r="AT68" s="70" t="s">
        <v>120</v>
      </c>
    </row>
    <row r="69" spans="18:46" ht="14.25" customHeight="1" x14ac:dyDescent="0.45">
      <c r="Z69" s="47" t="s">
        <v>45</v>
      </c>
      <c r="AA69" s="31">
        <f>'0808'!R3+'0908'!R3+'1008'!R3</f>
        <v>0</v>
      </c>
      <c r="AB69" s="31">
        <f>'0808'!S3+'0908'!S3+'1008'!S3</f>
        <v>0</v>
      </c>
      <c r="AC69" s="31">
        <f>'0808'!T3+'0908'!T3+'1008'!T3</f>
        <v>0</v>
      </c>
      <c r="AD69" s="31">
        <f>'0808'!U3+'0908'!U3+'1008'!U3</f>
        <v>0</v>
      </c>
      <c r="AE69" s="139">
        <f>Table21126[[#This Row],[Points]]/($AA$67-Table21126[[#This Row],[Missed Games]])</f>
        <v>0</v>
      </c>
      <c r="AF69" s="139">
        <f>Table21126[[#This Row],[Finishes]]/($AA$67-Table21126[[#This Row],[Missed Games]])</f>
        <v>0</v>
      </c>
      <c r="AG69" s="139">
        <f>Table21126[[#This Row],[Midranges]]/($AA$67-Table21126[[#This Row],[Missed Games]])</f>
        <v>0</v>
      </c>
      <c r="AH69" s="139">
        <f>Table21126[[#This Row],[Threes]]/($AA$67-Table21126[[#This Row],[Missed Games]])</f>
        <v>0</v>
      </c>
      <c r="AI69" s="31">
        <f>COUNTIF('0808'!V3, TRUE)+COUNTIF('0908'!V3, TRUE)+COUNTIF('1008'!V3, TRUE)</f>
        <v>0</v>
      </c>
      <c r="AJ69" s="35"/>
      <c r="AK69" s="47" t="s">
        <v>45</v>
      </c>
      <c r="AL69" s="31">
        <f>'1408'!R3+'1508'!R3+'1708'!R3</f>
        <v>0</v>
      </c>
      <c r="AM69" s="31">
        <f>'1408'!S3+'1508'!S3+'1708'!S3</f>
        <v>0</v>
      </c>
      <c r="AN69" s="31">
        <f>'1408'!T3+'1508'!T3+'1708'!T3</f>
        <v>0</v>
      </c>
      <c r="AO69" s="31">
        <f>'1408'!U3+'1508'!U3+'1708'!U3</f>
        <v>0</v>
      </c>
      <c r="AP69" s="31">
        <f>Table21125[[#This Row],[Points]]/($AL$67-Table21125[[#This Row],[Missed Games]])</f>
        <v>0</v>
      </c>
      <c r="AQ69" s="31">
        <f>Table21125[[#This Row],[Finishes]]/($AL$67-Table21125[[#This Row],[Missed Games]])</f>
        <v>0</v>
      </c>
      <c r="AR69" s="31">
        <f>Table21125[[#This Row],[Midranges]]/($AL$67-Table21125[[#This Row],[Missed Games]])</f>
        <v>0</v>
      </c>
      <c r="AS69" s="31">
        <f>Table21125[[#This Row],[Threes]]/($AL$67-Table21125[[#This Row],[Missed Games]])</f>
        <v>0</v>
      </c>
      <c r="AT69" s="31">
        <f>COUNTIF('1408'!V3, TRUE)+COUNTIF('1508'!V3, TRUE)+COUNTIF('1708'!V3, TRUE)</f>
        <v>0</v>
      </c>
    </row>
    <row r="70" spans="18:46" ht="14.25" customHeight="1" x14ac:dyDescent="0.45">
      <c r="Z70" s="47" t="s">
        <v>49</v>
      </c>
      <c r="AA70" s="31">
        <f>'0808'!R4+'0908'!R4+'1008'!R4</f>
        <v>0</v>
      </c>
      <c r="AB70" s="31">
        <f>'0808'!S4+'0908'!S4+'1008'!S4</f>
        <v>0</v>
      </c>
      <c r="AC70" s="31">
        <f>'0808'!T4+'0908'!T4+'1008'!T4</f>
        <v>0</v>
      </c>
      <c r="AD70" s="31">
        <f>'0808'!U4+'0908'!U4+'1008'!U4</f>
        <v>0</v>
      </c>
      <c r="AE70" s="31">
        <f>Table21126[[#This Row],[Points]]/($AA$67-Table21126[[#This Row],[Missed Games]])</f>
        <v>0</v>
      </c>
      <c r="AF70" s="31">
        <f>Table21126[[#This Row],[Finishes]]/($AA$67-Table21126[[#This Row],[Missed Games]])</f>
        <v>0</v>
      </c>
      <c r="AG70" s="31">
        <f>Table21126[[#This Row],[Midranges]]/($AA$67-Table21126[[#This Row],[Missed Games]])</f>
        <v>0</v>
      </c>
      <c r="AH70" s="31">
        <f>Table21126[[#This Row],[Threes]]/($AA$67-Table21126[[#This Row],[Missed Games]])</f>
        <v>0</v>
      </c>
      <c r="AI70" s="31">
        <f>COUNTIF('0808'!V4, TRUE)+COUNTIF('0908'!V4, TRUE)+COUNTIF('1008'!V4, TRUE)</f>
        <v>0</v>
      </c>
      <c r="AJ70" s="35"/>
      <c r="AK70" s="47" t="s">
        <v>49</v>
      </c>
      <c r="AL70" s="31">
        <f>'1408'!R4+'1508'!R4+'1708'!R4</f>
        <v>0</v>
      </c>
      <c r="AM70" s="31">
        <f>'1408'!S4+'1508'!S4+'1708'!S4</f>
        <v>0</v>
      </c>
      <c r="AN70" s="31">
        <f>'1408'!T4+'1508'!T4+'1708'!T4</f>
        <v>0</v>
      </c>
      <c r="AO70" s="31">
        <f>'1408'!U4+'1508'!U4+'1708'!U4</f>
        <v>0</v>
      </c>
      <c r="AP70" s="31">
        <f>Table21125[[#This Row],[Points]]/($AL$67-Table21125[[#This Row],[Missed Games]])</f>
        <v>0</v>
      </c>
      <c r="AQ70" s="31">
        <f>Table21125[[#This Row],[Finishes]]/($AL$67-Table21125[[#This Row],[Missed Games]])</f>
        <v>0</v>
      </c>
      <c r="AR70" s="31">
        <f>Table21125[[#This Row],[Midranges]]/($AL$67-Table21125[[#This Row],[Missed Games]])</f>
        <v>0</v>
      </c>
      <c r="AS70" s="31">
        <f>Table21125[[#This Row],[Threes]]/($AL$67-Table21125[[#This Row],[Missed Games]])</f>
        <v>0</v>
      </c>
      <c r="AT70" s="31">
        <f>COUNTIF('1408'!V4, TRUE)+COUNTIF('1508'!V4, TRUE)+COUNTIF('1708'!V4, TRUE)</f>
        <v>1</v>
      </c>
    </row>
    <row r="71" spans="18:46" ht="14.25" customHeight="1" x14ac:dyDescent="0.45">
      <c r="Z71" s="47" t="s">
        <v>51</v>
      </c>
      <c r="AA71" s="31">
        <f>'0808'!R5+'0908'!R5+'1008'!R5</f>
        <v>9</v>
      </c>
      <c r="AB71" s="31">
        <f>'0808'!S5+'0908'!S5+'1008'!S5</f>
        <v>9</v>
      </c>
      <c r="AC71" s="31">
        <f>'0808'!T5+'0908'!T5+'1008'!T5</f>
        <v>0</v>
      </c>
      <c r="AD71" s="31">
        <f>'0808'!U5+'0908'!U5+'1008'!U5</f>
        <v>0</v>
      </c>
      <c r="AE71" s="31">
        <f>Table21126[[#This Row],[Points]]/($AA$67-Table21126[[#This Row],[Missed Games]])</f>
        <v>4.5</v>
      </c>
      <c r="AF71" s="31">
        <f>Table21126[[#This Row],[Finishes]]/($AA$67-Table21126[[#This Row],[Missed Games]])</f>
        <v>4.5</v>
      </c>
      <c r="AG71" s="31">
        <f>Table21126[[#This Row],[Midranges]]/($AA$67-Table21126[[#This Row],[Missed Games]])</f>
        <v>0</v>
      </c>
      <c r="AH71" s="31">
        <f>Table21126[[#This Row],[Threes]]/($AA$67-Table21126[[#This Row],[Missed Games]])</f>
        <v>0</v>
      </c>
      <c r="AI71" s="31">
        <f>COUNTIF('0808'!V5, TRUE)+COUNTIF('0908'!V5, TRUE)+COUNTIF('1008'!V5, TRUE)</f>
        <v>1</v>
      </c>
      <c r="AJ71" s="35"/>
      <c r="AK71" s="47" t="s">
        <v>51</v>
      </c>
      <c r="AL71" s="31">
        <f>'1408'!R5+'1508'!R5+'1708'!R5</f>
        <v>6</v>
      </c>
      <c r="AM71" s="31">
        <f>'1408'!S5+'1508'!S5+'1708'!S5</f>
        <v>6</v>
      </c>
      <c r="AN71" s="31">
        <f>'1408'!T5+'1508'!T5+'1708'!T5</f>
        <v>0</v>
      </c>
      <c r="AO71" s="31">
        <f>'1408'!U5+'1508'!U5+'1708'!U5</f>
        <v>0</v>
      </c>
      <c r="AP71" s="31">
        <f>Table21125[[#This Row],[Points]]/($AL$67-Table21125[[#This Row],[Missed Games]])</f>
        <v>3</v>
      </c>
      <c r="AQ71" s="31">
        <f>Table21125[[#This Row],[Finishes]]/($AL$67-Table21125[[#This Row],[Missed Games]])</f>
        <v>3</v>
      </c>
      <c r="AR71" s="31">
        <f>Table21125[[#This Row],[Midranges]]/($AL$67-Table21125[[#This Row],[Missed Games]])</f>
        <v>0</v>
      </c>
      <c r="AS71" s="31">
        <f>Table21125[[#This Row],[Threes]]/($AL$67-Table21125[[#This Row],[Missed Games]])</f>
        <v>0</v>
      </c>
      <c r="AT71" s="31">
        <f>COUNTIF('1408'!V5, TRUE)+COUNTIF('1508'!V5, TRUE)+COUNTIF('1708'!V5, TRUE)</f>
        <v>1</v>
      </c>
    </row>
    <row r="72" spans="18:46" ht="14.25" customHeight="1" x14ac:dyDescent="0.45">
      <c r="R72" s="46"/>
      <c r="S72" s="16"/>
      <c r="T72" s="16"/>
      <c r="U72" s="16"/>
      <c r="Z72" s="47" t="s">
        <v>54</v>
      </c>
      <c r="AA72" s="31">
        <f>'0808'!R6+'0908'!R6+'1008'!R6</f>
        <v>7</v>
      </c>
      <c r="AB72" s="31">
        <f>'0808'!S6+'0908'!S6+'1008'!S6</f>
        <v>7</v>
      </c>
      <c r="AC72" s="31">
        <f>'0808'!T6+'0908'!T6+'1008'!T6</f>
        <v>0</v>
      </c>
      <c r="AD72" s="31">
        <f>'0808'!U6+'0908'!U6+'1008'!U6</f>
        <v>0</v>
      </c>
      <c r="AE72" s="31">
        <f>Table21126[[#This Row],[Points]]/($AA$67-Table21126[[#This Row],[Missed Games]])</f>
        <v>2.3333333333333335</v>
      </c>
      <c r="AF72" s="31">
        <f>Table21126[[#This Row],[Finishes]]/($AA$67-Table21126[[#This Row],[Missed Games]])</f>
        <v>2.3333333333333335</v>
      </c>
      <c r="AG72" s="31">
        <f>Table21126[[#This Row],[Midranges]]/($AA$67-Table21126[[#This Row],[Missed Games]])</f>
        <v>0</v>
      </c>
      <c r="AH72" s="31">
        <f>Table21126[[#This Row],[Threes]]/($AA$67-Table21126[[#This Row],[Missed Games]])</f>
        <v>0</v>
      </c>
      <c r="AI72" s="31">
        <f>COUNTIF('0808'!V6, TRUE)+COUNTIF('0908'!V6, TRUE)+COUNTIF('1008'!V6, TRUE)</f>
        <v>0</v>
      </c>
      <c r="AJ72" s="35"/>
      <c r="AK72" s="47" t="s">
        <v>54</v>
      </c>
      <c r="AL72" s="31">
        <f>'1408'!R6+'1508'!R6+'1708'!R6</f>
        <v>4</v>
      </c>
      <c r="AM72" s="31">
        <f>'1408'!S6+'1508'!S6+'1708'!S6</f>
        <v>4</v>
      </c>
      <c r="AN72" s="31">
        <f>'1408'!T6+'1508'!T6+'1708'!T6</f>
        <v>0</v>
      </c>
      <c r="AO72" s="31">
        <f>'1408'!U6+'1508'!U6+'1708'!U6</f>
        <v>0</v>
      </c>
      <c r="AP72" s="31">
        <f>Table21125[[#This Row],[Points]]/($AL$67-Table21125[[#This Row],[Missed Games]])</f>
        <v>2</v>
      </c>
      <c r="AQ72" s="31">
        <f>Table21125[[#This Row],[Finishes]]/($AL$67-Table21125[[#This Row],[Missed Games]])</f>
        <v>2</v>
      </c>
      <c r="AR72" s="31">
        <f>Table21125[[#This Row],[Midranges]]/($AL$67-Table21125[[#This Row],[Missed Games]])</f>
        <v>0</v>
      </c>
      <c r="AS72" s="31">
        <f>Table21125[[#This Row],[Threes]]/($AL$67-Table21125[[#This Row],[Missed Games]])</f>
        <v>0</v>
      </c>
      <c r="AT72" s="31">
        <f>COUNTIF('1408'!V6, TRUE)+COUNTIF('1508'!V6, TRUE)+COUNTIF('1708'!V6, TRUE)</f>
        <v>1</v>
      </c>
    </row>
    <row r="73" spans="18:46" ht="14.25" customHeight="1" x14ac:dyDescent="0.45">
      <c r="Z73" s="47" t="s">
        <v>57</v>
      </c>
      <c r="AA73" s="31">
        <f>'0808'!R7+'0908'!R7+'1008'!R7</f>
        <v>5</v>
      </c>
      <c r="AB73" s="31">
        <f>'0808'!S7+'0908'!S7+'1008'!S7</f>
        <v>2</v>
      </c>
      <c r="AC73" s="31">
        <f>'0808'!T7+'0908'!T7+'1008'!T7</f>
        <v>1</v>
      </c>
      <c r="AD73" s="31">
        <f>'0808'!U7+'0908'!U7+'1008'!U7</f>
        <v>1</v>
      </c>
      <c r="AE73" s="31">
        <f>Table21126[[#This Row],[Points]]/($AA$67-Table21126[[#This Row],[Missed Games]])</f>
        <v>1.6666666666666667</v>
      </c>
      <c r="AF73" s="31">
        <f>Table21126[[#This Row],[Finishes]]/($AA$67-Table21126[[#This Row],[Missed Games]])</f>
        <v>0.66666666666666663</v>
      </c>
      <c r="AG73" s="31">
        <f>Table21126[[#This Row],[Midranges]]/($AA$67-Table21126[[#This Row],[Missed Games]])</f>
        <v>0.33333333333333331</v>
      </c>
      <c r="AH73" s="31">
        <f>Table21126[[#This Row],[Threes]]/($AA$67-Table21126[[#This Row],[Missed Games]])</f>
        <v>0.33333333333333331</v>
      </c>
      <c r="AI73" s="31">
        <f>COUNTIF('0808'!V7, TRUE)+COUNTIF('0908'!V7, TRUE)+COUNTIF('1008'!V7, TRUE)</f>
        <v>0</v>
      </c>
      <c r="AJ73" s="35"/>
      <c r="AK73" s="47" t="s">
        <v>57</v>
      </c>
      <c r="AL73" s="31">
        <f>'1408'!R7+'1508'!R7+'1708'!R7</f>
        <v>4</v>
      </c>
      <c r="AM73" s="31">
        <f>'1408'!S7+'1508'!S7+'1708'!S7</f>
        <v>2</v>
      </c>
      <c r="AN73" s="31">
        <f>'1408'!T7+'1508'!T7+'1708'!T7</f>
        <v>2</v>
      </c>
      <c r="AO73" s="31">
        <f>'1408'!U7+'1508'!U7+'1708'!U7</f>
        <v>0</v>
      </c>
      <c r="AP73" s="31">
        <f>Table21125[[#This Row],[Points]]/($AL$67-Table21125[[#This Row],[Missed Games]])</f>
        <v>1.3333333333333333</v>
      </c>
      <c r="AQ73" s="31">
        <f>Table21125[[#This Row],[Finishes]]/($AL$67-Table21125[[#This Row],[Missed Games]])</f>
        <v>0.66666666666666663</v>
      </c>
      <c r="AR73" s="31">
        <f>Table21125[[#This Row],[Midranges]]/($AL$67-Table21125[[#This Row],[Missed Games]])</f>
        <v>0.66666666666666663</v>
      </c>
      <c r="AS73" s="31">
        <f>Table21125[[#This Row],[Threes]]/($AL$67-Table21125[[#This Row],[Missed Games]])</f>
        <v>0</v>
      </c>
      <c r="AT73" s="31">
        <f>COUNTIF('1408'!V7, TRUE)+COUNTIF('1508'!V7, TRUE)+COUNTIF('1708'!V7, TRUE)</f>
        <v>0</v>
      </c>
    </row>
    <row r="74" spans="18:46" ht="14.25" customHeight="1" x14ac:dyDescent="0.45">
      <c r="Z74" s="47" t="s">
        <v>60</v>
      </c>
      <c r="AA74" s="31">
        <f>'0808'!R8+'0908'!R8+'1008'!R8</f>
        <v>3</v>
      </c>
      <c r="AB74" s="31">
        <f>'0808'!S8+'0908'!S8+'1008'!S8</f>
        <v>3</v>
      </c>
      <c r="AC74" s="31">
        <f>'0808'!T8+'0908'!T8+'1008'!T8</f>
        <v>0</v>
      </c>
      <c r="AD74" s="31">
        <f>'0808'!U8+'0908'!U8+'1008'!U8</f>
        <v>0</v>
      </c>
      <c r="AE74" s="31">
        <f>Table21126[[#This Row],[Points]]/($AA$67-Table21126[[#This Row],[Missed Games]])</f>
        <v>1.5</v>
      </c>
      <c r="AF74" s="31">
        <f>Table21126[[#This Row],[Finishes]]/($AA$67-Table21126[[#This Row],[Missed Games]])</f>
        <v>1.5</v>
      </c>
      <c r="AG74" s="31">
        <f>Table21126[[#This Row],[Midranges]]/($AA$67-Table21126[[#This Row],[Missed Games]])</f>
        <v>0</v>
      </c>
      <c r="AH74" s="31">
        <f>Table21126[[#This Row],[Threes]]/($AA$67-Table21126[[#This Row],[Missed Games]])</f>
        <v>0</v>
      </c>
      <c r="AI74" s="31">
        <f>COUNTIF('0808'!V8, TRUE)+COUNTIF('0908'!V8, TRUE)+COUNTIF('1008'!V8, TRUE)</f>
        <v>1</v>
      </c>
      <c r="AJ74" s="35"/>
      <c r="AK74" s="47" t="s">
        <v>60</v>
      </c>
      <c r="AL74" s="31">
        <f>'1408'!R8+'1508'!R8+'1708'!R8</f>
        <v>7</v>
      </c>
      <c r="AM74" s="31">
        <f>'1408'!S8+'1508'!S8+'1708'!S8</f>
        <v>5</v>
      </c>
      <c r="AN74" s="31">
        <f>'1408'!T8+'1508'!T8+'1708'!T8</f>
        <v>2</v>
      </c>
      <c r="AO74" s="31">
        <f>'1408'!U8+'1508'!U8+'1708'!U8</f>
        <v>0</v>
      </c>
      <c r="AP74" s="31">
        <f>Table21125[[#This Row],[Points]]/($AL$67-Table21125[[#This Row],[Missed Games]])</f>
        <v>2.3333333333333335</v>
      </c>
      <c r="AQ74" s="31">
        <f>Table21125[[#This Row],[Finishes]]/($AL$67-Table21125[[#This Row],[Missed Games]])</f>
        <v>1.6666666666666667</v>
      </c>
      <c r="AR74" s="31">
        <f>Table21125[[#This Row],[Midranges]]/($AL$67-Table21125[[#This Row],[Missed Games]])</f>
        <v>0.66666666666666663</v>
      </c>
      <c r="AS74" s="31">
        <f>Table21125[[#This Row],[Threes]]/($AL$67-Table21125[[#This Row],[Missed Games]])</f>
        <v>0</v>
      </c>
      <c r="AT74" s="31">
        <f>COUNTIF('1408'!V8, TRUE)+COUNTIF('1508'!V8, TRUE)+COUNTIF('1708'!V8, TRUE)</f>
        <v>0</v>
      </c>
    </row>
    <row r="75" spans="18:46" ht="14.25" customHeight="1" x14ac:dyDescent="0.45">
      <c r="Z75" s="35" t="s">
        <v>93</v>
      </c>
      <c r="AA75" s="31">
        <f>'0808'!R9+'0908'!R9+'1008'!R9</f>
        <v>0</v>
      </c>
      <c r="AB75" s="31">
        <f>'0808'!S9+'0908'!S9+'1008'!S9</f>
        <v>0</v>
      </c>
      <c r="AC75" s="31">
        <f>'0808'!T9+'0908'!T9+'1008'!T9</f>
        <v>0</v>
      </c>
      <c r="AD75" s="31">
        <f>'0808'!U9+'0908'!U9+'1008'!U9</f>
        <v>0</v>
      </c>
      <c r="AE75" s="31">
        <f>Table21126[[#This Row],[Points]]/($AA$67-Table21126[[#This Row],[Missed Games]])</f>
        <v>0</v>
      </c>
      <c r="AF75" s="31">
        <f>Table21126[[#This Row],[Finishes]]/($AA$67-Table21126[[#This Row],[Missed Games]])</f>
        <v>0</v>
      </c>
      <c r="AG75" s="31">
        <f>Table21126[[#This Row],[Midranges]]/($AA$67-Table21126[[#This Row],[Missed Games]])</f>
        <v>0</v>
      </c>
      <c r="AH75" s="31">
        <f>Table21126[[#This Row],[Threes]]/($AA$67-Table21126[[#This Row],[Missed Games]])</f>
        <v>0</v>
      </c>
      <c r="AI75" s="31">
        <f>COUNTIF('0808'!V9, TRUE)+COUNTIF('0908'!V9, TRUE)+COUNTIF('1008'!V9, TRUE)</f>
        <v>0</v>
      </c>
      <c r="AJ75" s="35"/>
      <c r="AK75" s="35" t="s">
        <v>93</v>
      </c>
      <c r="AL75" s="31">
        <f>'1408'!R9+'1508'!R9+'1708'!R9</f>
        <v>5</v>
      </c>
      <c r="AM75" s="31">
        <f>'1408'!S9+'1508'!S9+'1708'!S9</f>
        <v>2</v>
      </c>
      <c r="AN75" s="31">
        <f>'1408'!T9+'1508'!T9+'1708'!T9</f>
        <v>1</v>
      </c>
      <c r="AO75" s="31">
        <f>'1408'!U9+'1508'!U9+'1708'!U9</f>
        <v>1</v>
      </c>
      <c r="AP75" s="31">
        <f>Table21125[[#This Row],[Points]]/($AL$67-Table21125[[#This Row],[Missed Games]])</f>
        <v>1.6666666666666667</v>
      </c>
      <c r="AQ75" s="31">
        <f>Table21125[[#This Row],[Finishes]]/($AL$67-Table21125[[#This Row],[Missed Games]])</f>
        <v>0.66666666666666663</v>
      </c>
      <c r="AR75" s="31">
        <f>Table21125[[#This Row],[Midranges]]/($AL$67-Table21125[[#This Row],[Missed Games]])</f>
        <v>0.33333333333333331</v>
      </c>
      <c r="AS75" s="31">
        <f>Table21125[[#This Row],[Threes]]/($AL$67-Table21125[[#This Row],[Missed Games]])</f>
        <v>0.33333333333333331</v>
      </c>
      <c r="AT75" s="31">
        <f>COUNTIF('1408'!V9, TRUE)+COUNTIF('1508'!V9, TRUE)+COUNTIF('1708'!V9, TRUE)</f>
        <v>0</v>
      </c>
    </row>
    <row r="76" spans="18:46" ht="14.25" customHeight="1" x14ac:dyDescent="0.45">
      <c r="T76" s="13" t="s">
        <v>145</v>
      </c>
      <c r="Z76" s="47" t="s">
        <v>63</v>
      </c>
      <c r="AA76" s="31">
        <f>'0808'!R10+'0908'!R10+'1008'!R10</f>
        <v>3</v>
      </c>
      <c r="AB76" s="31">
        <f>'0808'!S10+'0908'!S10+'1008'!S10</f>
        <v>0</v>
      </c>
      <c r="AC76" s="31">
        <f>'0808'!T10+'0908'!T10+'1008'!T10</f>
        <v>1</v>
      </c>
      <c r="AD76" s="31">
        <f>'0808'!U10+'0908'!U10+'1008'!U10</f>
        <v>1</v>
      </c>
      <c r="AE76" s="31">
        <f>Table21126[[#This Row],[Points]]/($AA$67-Table21126[[#This Row],[Missed Games]])</f>
        <v>1</v>
      </c>
      <c r="AF76" s="31">
        <f>Table21126[[#This Row],[Finishes]]/($AA$67-Table21126[[#This Row],[Missed Games]])</f>
        <v>0</v>
      </c>
      <c r="AG76" s="31">
        <f>Table21126[[#This Row],[Midranges]]/($AA$67-Table21126[[#This Row],[Missed Games]])</f>
        <v>0.33333333333333331</v>
      </c>
      <c r="AH76" s="31">
        <f>Table21126[[#This Row],[Threes]]/($AA$67-Table21126[[#This Row],[Missed Games]])</f>
        <v>0.33333333333333331</v>
      </c>
      <c r="AI76" s="31">
        <f>COUNTIF('0808'!V10, TRUE)+COUNTIF('0908'!V10, TRUE)+COUNTIF('1008'!V10, TRUE)</f>
        <v>0</v>
      </c>
      <c r="AJ76" s="35"/>
      <c r="AK76" s="47" t="s">
        <v>63</v>
      </c>
      <c r="AL76" s="31">
        <f>'1408'!R10+'1508'!R10+'1708'!R10</f>
        <v>6</v>
      </c>
      <c r="AM76" s="31">
        <f>'1408'!S10+'1508'!S10+'1708'!S10</f>
        <v>1</v>
      </c>
      <c r="AN76" s="31">
        <f>'1408'!T10+'1508'!T10+'1708'!T10</f>
        <v>1</v>
      </c>
      <c r="AO76" s="31">
        <f>'1408'!U10+'1508'!U10+'1708'!U10</f>
        <v>2</v>
      </c>
      <c r="AP76" s="31">
        <f>Table21125[[#This Row],[Points]]/($AL$67-Table21125[[#This Row],[Missed Games]])</f>
        <v>2</v>
      </c>
      <c r="AQ76" s="31">
        <f>Table21125[[#This Row],[Finishes]]/($AL$67-Table21125[[#This Row],[Missed Games]])</f>
        <v>0.33333333333333331</v>
      </c>
      <c r="AR76" s="31">
        <f>Table21125[[#This Row],[Midranges]]/($AL$67-Table21125[[#This Row],[Missed Games]])</f>
        <v>0.33333333333333331</v>
      </c>
      <c r="AS76" s="31">
        <f>Table21125[[#This Row],[Threes]]/($AL$67-Table21125[[#This Row],[Missed Games]])</f>
        <v>0.66666666666666663</v>
      </c>
      <c r="AT76" s="31">
        <f>COUNTIF('1408'!V10, TRUE)+COUNTIF('1508'!V10, TRUE)+COUNTIF('1708'!V10, TRUE)</f>
        <v>0</v>
      </c>
    </row>
    <row r="77" spans="18:46" ht="14.25" customHeight="1" x14ac:dyDescent="0.45">
      <c r="S77" s="45" t="s">
        <v>72</v>
      </c>
      <c r="T77" t="s">
        <v>108</v>
      </c>
      <c r="U77" t="s">
        <v>109</v>
      </c>
      <c r="V77" t="s">
        <v>110</v>
      </c>
      <c r="Z77" s="47" t="s">
        <v>66</v>
      </c>
      <c r="AA77" s="31">
        <f>'0808'!R11+'0908'!R11+'1008'!R11</f>
        <v>6</v>
      </c>
      <c r="AB77" s="31">
        <f>'0808'!S11+'0908'!S11+'1008'!S11</f>
        <v>2</v>
      </c>
      <c r="AC77" s="31">
        <f>'0808'!T11+'0908'!T11+'1008'!T11</f>
        <v>2</v>
      </c>
      <c r="AD77" s="31">
        <f>'0808'!U11+'0908'!U11+'1008'!U11</f>
        <v>1</v>
      </c>
      <c r="AE77" s="31">
        <f>Table21126[[#This Row],[Points]]/($AA$67-Table21126[[#This Row],[Missed Games]])</f>
        <v>3</v>
      </c>
      <c r="AF77" s="31">
        <f>Table21126[[#This Row],[Finishes]]/($AA$67-Table21126[[#This Row],[Missed Games]])</f>
        <v>1</v>
      </c>
      <c r="AG77" s="31">
        <f>Table21126[[#This Row],[Midranges]]/($AA$67-Table21126[[#This Row],[Missed Games]])</f>
        <v>1</v>
      </c>
      <c r="AH77" s="31">
        <f>Table21126[[#This Row],[Threes]]/($AA$67-Table21126[[#This Row],[Missed Games]])</f>
        <v>0.5</v>
      </c>
      <c r="AI77" s="31">
        <f>COUNTIF('0808'!V11, TRUE)+COUNTIF('0908'!V11, TRUE)+COUNTIF('1008'!V11, TRUE)</f>
        <v>1</v>
      </c>
      <c r="AJ77" s="35"/>
      <c r="AK77" s="47" t="s">
        <v>66</v>
      </c>
      <c r="AL77" s="31">
        <f>'1408'!R11+'1508'!R11+'1708'!R11</f>
        <v>5</v>
      </c>
      <c r="AM77" s="31">
        <f>'1408'!S11+'1508'!S11+'1708'!S11</f>
        <v>2</v>
      </c>
      <c r="AN77" s="31">
        <f>'1408'!T11+'1508'!T11+'1708'!T11</f>
        <v>3</v>
      </c>
      <c r="AO77" s="31">
        <f>'1408'!U11+'1508'!U11+'1708'!U11</f>
        <v>0</v>
      </c>
      <c r="AP77" s="31">
        <f>Table21125[[#This Row],[Points]]/($AL$67-Table21125[[#This Row],[Missed Games]])</f>
        <v>1.6666666666666667</v>
      </c>
      <c r="AQ77" s="31">
        <f>Table21125[[#This Row],[Finishes]]/($AL$67-Table21125[[#This Row],[Missed Games]])</f>
        <v>0.66666666666666663</v>
      </c>
      <c r="AR77" s="31">
        <f>Table21125[[#This Row],[Midranges]]/($AL$67-Table21125[[#This Row],[Missed Games]])</f>
        <v>1</v>
      </c>
      <c r="AS77" s="31">
        <f>Table21125[[#This Row],[Threes]]/($AL$67-Table21125[[#This Row],[Missed Games]])</f>
        <v>0</v>
      </c>
      <c r="AT77" s="31">
        <f>COUNTIF('1408'!V11, TRUE)+COUNTIF('1508'!V11, TRUE)+COUNTIF('1708'!V11, TRUE)</f>
        <v>0</v>
      </c>
    </row>
    <row r="78" spans="18:46" ht="14.25" customHeight="1" x14ac:dyDescent="0.45">
      <c r="R78">
        <v>1</v>
      </c>
      <c r="S78" s="46" t="str">
        <f>'Statistics LG'!A7</f>
        <v>17-July</v>
      </c>
      <c r="T78">
        <f>'Statistics LG'!D7</f>
        <v>3</v>
      </c>
      <c r="U78">
        <f>'Statistics WW'!D7</f>
        <v>1</v>
      </c>
      <c r="V78">
        <f>'Statistics 5M'!D7</f>
        <v>2</v>
      </c>
      <c r="Z78" s="47" t="s">
        <v>68</v>
      </c>
      <c r="AA78" s="31">
        <f>'0808'!R12+'0908'!R12+'1008'!R12</f>
        <v>14</v>
      </c>
      <c r="AB78" s="31">
        <f>'0808'!S12+'0908'!S12+'1008'!S12</f>
        <v>2</v>
      </c>
      <c r="AC78" s="31">
        <f>'0808'!T12+'0908'!T12+'1008'!T12</f>
        <v>10</v>
      </c>
      <c r="AD78" s="31">
        <f>'0808'!U12+'0908'!U12+'1008'!U12</f>
        <v>1</v>
      </c>
      <c r="AE78" s="31">
        <f>Table21126[[#This Row],[Points]]/($AA$67-Table21126[[#This Row],[Missed Games]])</f>
        <v>7</v>
      </c>
      <c r="AF78" s="31">
        <f>Table21126[[#This Row],[Finishes]]/($AA$67-Table21126[[#This Row],[Missed Games]])</f>
        <v>1</v>
      </c>
      <c r="AG78" s="31">
        <f>Table21126[[#This Row],[Midranges]]/($AA$67-Table21126[[#This Row],[Missed Games]])</f>
        <v>5</v>
      </c>
      <c r="AH78" s="31">
        <f>Table21126[[#This Row],[Threes]]/($AA$67-Table21126[[#This Row],[Missed Games]])</f>
        <v>0.5</v>
      </c>
      <c r="AI78" s="31">
        <f>COUNTIF('0808'!V12, TRUE)+COUNTIF('0908'!V12, TRUE)+COUNTIF('1008'!V12, TRUE)</f>
        <v>1</v>
      </c>
      <c r="AJ78" s="35"/>
      <c r="AK78" s="47" t="s">
        <v>68</v>
      </c>
      <c r="AL78" s="31">
        <f>'1408'!R12+'1508'!R12+'1708'!R12</f>
        <v>14</v>
      </c>
      <c r="AM78" s="31">
        <f>'1408'!S12+'1508'!S12+'1708'!S12</f>
        <v>8</v>
      </c>
      <c r="AN78" s="31">
        <f>'1408'!T12+'1508'!T12+'1708'!T12</f>
        <v>6</v>
      </c>
      <c r="AO78" s="31">
        <f>'1408'!U12+'1508'!U12+'1708'!U12</f>
        <v>0</v>
      </c>
      <c r="AP78" s="31">
        <f>Table21125[[#This Row],[Points]]/($AL$67-Table21125[[#This Row],[Missed Games]])</f>
        <v>4.666666666666667</v>
      </c>
      <c r="AQ78" s="31">
        <f>Table21125[[#This Row],[Finishes]]/($AL$67-Table21125[[#This Row],[Missed Games]])</f>
        <v>2.6666666666666665</v>
      </c>
      <c r="AR78" s="31">
        <f>Table21125[[#This Row],[Midranges]]/($AL$67-Table21125[[#This Row],[Missed Games]])</f>
        <v>2</v>
      </c>
      <c r="AS78" s="31">
        <f>Table21125[[#This Row],[Threes]]/($AL$67-Table21125[[#This Row],[Missed Games]])</f>
        <v>0</v>
      </c>
      <c r="AT78" s="31">
        <f>COUNTIF('1408'!V12, TRUE)+COUNTIF('1508'!V12, TRUE)+COUNTIF('1708'!V12, TRUE)</f>
        <v>0</v>
      </c>
    </row>
    <row r="79" spans="18:46" ht="14.25" customHeight="1" x14ac:dyDescent="0.45">
      <c r="R79">
        <v>2</v>
      </c>
      <c r="S79" s="46" t="str">
        <f>'Statistics LG'!A8</f>
        <v>18-July</v>
      </c>
      <c r="T79">
        <f>T78+'Statistics LG'!D8</f>
        <v>6</v>
      </c>
      <c r="U79">
        <f>U78+'Statistics WW'!D8</f>
        <v>2</v>
      </c>
      <c r="V79">
        <f>V78+'Statistics 5M'!D8</f>
        <v>4</v>
      </c>
      <c r="Z79" s="47" t="s">
        <v>69</v>
      </c>
      <c r="AA79" s="31">
        <f>'0808'!R13+'0908'!R13+'1008'!R13</f>
        <v>1</v>
      </c>
      <c r="AB79" s="31">
        <f>'0808'!S13+'0908'!S13+'1008'!S13</f>
        <v>0</v>
      </c>
      <c r="AC79" s="31">
        <f>'0808'!T13+'0908'!T13+'1008'!T13</f>
        <v>1</v>
      </c>
      <c r="AD79" s="31">
        <f>'0808'!U13+'0908'!U13+'1008'!U13</f>
        <v>0</v>
      </c>
      <c r="AE79" s="31">
        <f>Table21126[[#This Row],[Points]]/($AA$67-Table21126[[#This Row],[Missed Games]])</f>
        <v>0.33333333333333331</v>
      </c>
      <c r="AF79" s="31">
        <f>Table21126[[#This Row],[Finishes]]/($AA$67-Table21126[[#This Row],[Missed Games]])</f>
        <v>0</v>
      </c>
      <c r="AG79" s="31">
        <f>Table21126[[#This Row],[Midranges]]/($AA$67-Table21126[[#This Row],[Missed Games]])</f>
        <v>0.33333333333333331</v>
      </c>
      <c r="AH79" s="31">
        <f>Table21126[[#This Row],[Threes]]/($AA$67-Table21126[[#This Row],[Missed Games]])</f>
        <v>0</v>
      </c>
      <c r="AI79" s="31">
        <f>COUNTIF('0808'!V13, TRUE)+COUNTIF('0908'!V13, TRUE)+COUNTIF('1008'!V13, TRUE)</f>
        <v>0</v>
      </c>
      <c r="AJ79" s="35"/>
      <c r="AK79" s="47" t="s">
        <v>69</v>
      </c>
      <c r="AL79" s="31">
        <f>'1408'!R13+'1508'!R13+'1708'!R13</f>
        <v>2</v>
      </c>
      <c r="AM79" s="31">
        <f>'1408'!S13+'1508'!S13+'1708'!S13</f>
        <v>1</v>
      </c>
      <c r="AN79" s="31">
        <f>'1408'!T13+'1508'!T13+'1708'!T13</f>
        <v>1</v>
      </c>
      <c r="AO79" s="31">
        <f>'1408'!U13+'1508'!U13+'1708'!U13</f>
        <v>0</v>
      </c>
      <c r="AP79" s="31">
        <f>Table21125[[#This Row],[Points]]/($AL$67-Table21125[[#This Row],[Missed Games]])</f>
        <v>0.66666666666666663</v>
      </c>
      <c r="AQ79" s="31">
        <f>Table21125[[#This Row],[Finishes]]/($AL$67-Table21125[[#This Row],[Missed Games]])</f>
        <v>0.33333333333333331</v>
      </c>
      <c r="AR79" s="31">
        <f>Table21125[[#This Row],[Midranges]]/($AL$67-Table21125[[#This Row],[Missed Games]])</f>
        <v>0.33333333333333331</v>
      </c>
      <c r="AS79" s="31">
        <f>Table21125[[#This Row],[Threes]]/($AL$67-Table21125[[#This Row],[Missed Games]])</f>
        <v>0</v>
      </c>
      <c r="AT79" s="31">
        <f>COUNTIF('1408'!V13, TRUE)+COUNTIF('1508'!V13, TRUE)+COUNTIF('1708'!V13, TRUE)</f>
        <v>0</v>
      </c>
    </row>
    <row r="80" spans="18:46" ht="14.25" customHeight="1" x14ac:dyDescent="0.45">
      <c r="R80" s="16">
        <v>3</v>
      </c>
      <c r="S80" s="46" t="str">
        <f>'Statistics LG'!A9</f>
        <v>19-July</v>
      </c>
      <c r="T80" s="16">
        <f>T79+'Statistics LG'!D9</f>
        <v>9</v>
      </c>
      <c r="U80" s="16">
        <f>U79+'Statistics WW'!D9</f>
        <v>3</v>
      </c>
      <c r="V80" s="16">
        <f>V79+'Statistics 5M'!D9</f>
        <v>6</v>
      </c>
      <c r="Z80" s="35" t="s">
        <v>200</v>
      </c>
      <c r="AA80" s="31">
        <f>'0808'!R14+'0908'!R14+'1008'!R14</f>
        <v>0</v>
      </c>
      <c r="AB80" s="31">
        <f>'0808'!S14+'0908'!S14+'1008'!S14</f>
        <v>0</v>
      </c>
      <c r="AC80" s="31">
        <f>'0808'!T14+'0908'!T14+'1008'!T14</f>
        <v>0</v>
      </c>
      <c r="AD80" s="31">
        <f>'0808'!U14+'0908'!U14+'1008'!U14</f>
        <v>0</v>
      </c>
      <c r="AE80" s="31" t="e">
        <f>Table21126[[#This Row],[Points]]/($AA$67-Table21126[[#This Row],[Missed Games]])</f>
        <v>#DIV/0!</v>
      </c>
      <c r="AF80" s="31" t="e">
        <f>Table21126[[#This Row],[Finishes]]/($AA$67-Table21126[[#This Row],[Missed Games]])</f>
        <v>#DIV/0!</v>
      </c>
      <c r="AG80" s="31" t="e">
        <f>Table21126[[#This Row],[Midranges]]/($AA$67-Table21126[[#This Row],[Missed Games]])</f>
        <v>#DIV/0!</v>
      </c>
      <c r="AH80" s="31" t="e">
        <f>Table21126[[#This Row],[Threes]]/($AA$67-Table21126[[#This Row],[Missed Games]])</f>
        <v>#DIV/0!</v>
      </c>
      <c r="AI80" s="31">
        <f>COUNTIF('0808'!V14, TRUE)+COUNTIF('0908'!V14, TRUE)+COUNTIF('1008'!V14, TRUE)</f>
        <v>3</v>
      </c>
      <c r="AJ80" s="35"/>
      <c r="AK80" s="35" t="s">
        <v>200</v>
      </c>
      <c r="AL80" s="31">
        <f>'1408'!R14+'1508'!R14+'1708'!R14</f>
        <v>0</v>
      </c>
      <c r="AM80" s="31">
        <f>'1408'!S14+'1508'!S14+'1708'!S14</f>
        <v>0</v>
      </c>
      <c r="AN80" s="31">
        <f>'1408'!T14+'1508'!T14+'1708'!T14</f>
        <v>0</v>
      </c>
      <c r="AO80" s="31">
        <f>'1408'!U14+'1508'!U14+'1708'!U14</f>
        <v>0</v>
      </c>
      <c r="AP80" s="31" t="e">
        <f>Table21125[[#This Row],[Points]]/($AL$67-Table21125[[#This Row],[Missed Games]])</f>
        <v>#DIV/0!</v>
      </c>
      <c r="AQ80" s="31" t="e">
        <f>Table21125[[#This Row],[Finishes]]/($AL$67-Table21125[[#This Row],[Missed Games]])</f>
        <v>#DIV/0!</v>
      </c>
      <c r="AR80" s="31" t="e">
        <f>Table21125[[#This Row],[Midranges]]/($AL$67-Table21125[[#This Row],[Missed Games]])</f>
        <v>#DIV/0!</v>
      </c>
      <c r="AS80" s="31" t="e">
        <f>Table21125[[#This Row],[Threes]]/($AL$67-Table21125[[#This Row],[Missed Games]])</f>
        <v>#DIV/0!</v>
      </c>
      <c r="AT80" s="31">
        <f>COUNTIF('1408'!V14, TRUE)+COUNTIF('1508'!V14, TRUE)+COUNTIF('1708'!V14, TRUE)</f>
        <v>3</v>
      </c>
    </row>
    <row r="81" spans="18:46" ht="14.25" customHeight="1" x14ac:dyDescent="0.45">
      <c r="R81" s="16">
        <v>4</v>
      </c>
      <c r="S81" s="46" t="str">
        <f>'Statistics LG'!A10</f>
        <v>20-July</v>
      </c>
      <c r="T81" s="16">
        <f>T80+'Statistics LG'!D10</f>
        <v>11</v>
      </c>
      <c r="U81" s="16">
        <f>U80+'Statistics WW'!D10</f>
        <v>6</v>
      </c>
      <c r="V81" s="16">
        <f>V80+'Statistics 5M'!D10</f>
        <v>7</v>
      </c>
      <c r="Z81" s="35" t="s">
        <v>128</v>
      </c>
      <c r="AA81" s="31">
        <f>'0808'!R15+'0908'!R15+'1008'!R15</f>
        <v>1</v>
      </c>
      <c r="AB81" s="31">
        <f>'0808'!S15+'0908'!S15+'1008'!S15</f>
        <v>1</v>
      </c>
      <c r="AC81" s="31">
        <f>'0808'!T15+'0908'!T15+'1008'!T15</f>
        <v>0</v>
      </c>
      <c r="AD81" s="31">
        <f>'0808'!U15+'0908'!U15+'1008'!U15</f>
        <v>0</v>
      </c>
      <c r="AE81" s="31">
        <f>Table21126[[#This Row],[Points]]/($AA$67-Table21126[[#This Row],[Missed Games]])</f>
        <v>0.5</v>
      </c>
      <c r="AF81" s="31">
        <f>Table21126[[#This Row],[Finishes]]/($AA$67-Table21126[[#This Row],[Missed Games]])</f>
        <v>0.5</v>
      </c>
      <c r="AG81" s="31">
        <f>Table21126[[#This Row],[Midranges]]/($AA$67-Table21126[[#This Row],[Missed Games]])</f>
        <v>0</v>
      </c>
      <c r="AH81" s="31">
        <f>Table21126[[#This Row],[Threes]]/($AA$67-Table21126[[#This Row],[Missed Games]])</f>
        <v>0</v>
      </c>
      <c r="AI81" s="31">
        <f>COUNTIF('0808'!V15, TRUE)+COUNTIF('0908'!V15, TRUE)+COUNTIF('1008'!V15, TRUE)</f>
        <v>1</v>
      </c>
      <c r="AJ81" s="35"/>
      <c r="AK81" s="35" t="s">
        <v>128</v>
      </c>
      <c r="AL81" s="31">
        <f>'1408'!R15+'1508'!R15+'1708'!R15</f>
        <v>2</v>
      </c>
      <c r="AM81" s="31">
        <f>'1408'!S15+'1508'!S15+'1708'!S15</f>
        <v>0</v>
      </c>
      <c r="AN81" s="31">
        <f>'1408'!T15+'1508'!T15+'1708'!T15</f>
        <v>0</v>
      </c>
      <c r="AO81" s="31">
        <f>'1408'!U15+'1508'!U15+'1708'!U15</f>
        <v>1</v>
      </c>
      <c r="AP81" s="31">
        <f>Table21125[[#This Row],[Points]]/($AL$67-Table21125[[#This Row],[Missed Games]])</f>
        <v>2</v>
      </c>
      <c r="AQ81" s="31">
        <f>Table21125[[#This Row],[Finishes]]/($AL$67-Table21125[[#This Row],[Missed Games]])</f>
        <v>0</v>
      </c>
      <c r="AR81" s="31">
        <f>Table21125[[#This Row],[Midranges]]/($AL$67-Table21125[[#This Row],[Missed Games]])</f>
        <v>0</v>
      </c>
      <c r="AS81" s="31">
        <f>Table21125[[#This Row],[Threes]]/($AL$67-Table21125[[#This Row],[Missed Games]])</f>
        <v>1</v>
      </c>
      <c r="AT81" s="31">
        <f>COUNTIF('1408'!V15, TRUE)+COUNTIF('1508'!V15, TRUE)+COUNTIF('1708'!V15, TRUE)</f>
        <v>2</v>
      </c>
    </row>
    <row r="82" spans="18:46" ht="14.25" customHeight="1" x14ac:dyDescent="0.45">
      <c r="R82" s="16">
        <v>5</v>
      </c>
      <c r="S82" s="46" t="str">
        <f>'Statistics LG'!A11</f>
        <v>24-July</v>
      </c>
      <c r="T82" s="16">
        <f>T81+'Statistics LG'!D11</f>
        <v>13</v>
      </c>
      <c r="U82" s="16">
        <f>U81+'Statistics WW'!D11</f>
        <v>7</v>
      </c>
      <c r="V82" s="16">
        <f>V81+'Statistics 5M'!D11</f>
        <v>10</v>
      </c>
      <c r="Z82" s="35" t="s">
        <v>127</v>
      </c>
      <c r="AA82" s="31">
        <f>'0808'!R16+'0908'!R16+'1008'!R16</f>
        <v>3</v>
      </c>
      <c r="AB82" s="31">
        <f>'0808'!S16+'0908'!S16+'1008'!S16</f>
        <v>3</v>
      </c>
      <c r="AC82" s="31">
        <f>'0808'!T16+'0908'!T16+'1008'!T16</f>
        <v>0</v>
      </c>
      <c r="AD82" s="31">
        <f>'0808'!U16+'0908'!U16+'1008'!U16</f>
        <v>0</v>
      </c>
      <c r="AE82" s="31">
        <f>Table21126[[#This Row],[Points]]/($AA$67-Table21126[[#This Row],[Missed Games]])</f>
        <v>1</v>
      </c>
      <c r="AF82" s="31">
        <f>Table21126[[#This Row],[Finishes]]/($AA$67-Table21126[[#This Row],[Missed Games]])</f>
        <v>1</v>
      </c>
      <c r="AG82" s="31">
        <f>Table21126[[#This Row],[Midranges]]/($AA$67-Table21126[[#This Row],[Missed Games]])</f>
        <v>0</v>
      </c>
      <c r="AH82" s="31">
        <f>Table21126[[#This Row],[Threes]]/($AA$67-Table21126[[#This Row],[Missed Games]])</f>
        <v>0</v>
      </c>
      <c r="AI82" s="31">
        <f>COUNTIF('0808'!V16, TRUE)+COUNTIF('0908'!V16, TRUE)+COUNTIF('1008'!V16, TRUE)</f>
        <v>0</v>
      </c>
      <c r="AJ82" s="35"/>
      <c r="AK82" s="35" t="s">
        <v>127</v>
      </c>
      <c r="AL82" s="31">
        <f>'1408'!R16+'1508'!R16+'1708'!R16</f>
        <v>4</v>
      </c>
      <c r="AM82" s="31">
        <f>'1408'!S16+'1508'!S16+'1708'!S16</f>
        <v>2</v>
      </c>
      <c r="AN82" s="31">
        <f>'1408'!T16+'1508'!T16+'1708'!T16</f>
        <v>2</v>
      </c>
      <c r="AO82" s="31">
        <f>'1408'!U16+'1508'!U16+'1708'!U16</f>
        <v>0</v>
      </c>
      <c r="AP82" s="31">
        <f>Table21125[[#This Row],[Points]]/($AL$67-Table21125[[#This Row],[Missed Games]])</f>
        <v>1.3333333333333333</v>
      </c>
      <c r="AQ82" s="31">
        <f>Table21125[[#This Row],[Finishes]]/($AL$67-Table21125[[#This Row],[Missed Games]])</f>
        <v>0.66666666666666663</v>
      </c>
      <c r="AR82" s="31">
        <f>Table21125[[#This Row],[Midranges]]/($AL$67-Table21125[[#This Row],[Missed Games]])</f>
        <v>0.66666666666666663</v>
      </c>
      <c r="AS82" s="31">
        <f>Table21125[[#This Row],[Threes]]/($AL$67-Table21125[[#This Row],[Missed Games]])</f>
        <v>0</v>
      </c>
      <c r="AT82" s="31">
        <f>COUNTIF('1408'!V16, TRUE)+COUNTIF('1508'!V16, TRUE)+COUNTIF('1708'!V16, TRUE)</f>
        <v>0</v>
      </c>
    </row>
    <row r="83" spans="18:46" ht="14.25" customHeight="1" x14ac:dyDescent="0.45">
      <c r="R83" s="16">
        <v>6</v>
      </c>
      <c r="S83" s="46" t="str">
        <f>'Statistics LG'!A12</f>
        <v>26-July</v>
      </c>
      <c r="T83" s="16">
        <f>T82+'Statistics LG'!D12</f>
        <v>15</v>
      </c>
      <c r="U83" s="16">
        <f>U82+'Statistics WW'!D12</f>
        <v>8</v>
      </c>
      <c r="V83" s="16">
        <f>V82+'Statistics 5M'!D12</f>
        <v>13</v>
      </c>
      <c r="Z83" s="35" t="s">
        <v>73</v>
      </c>
      <c r="AA83" s="31">
        <f>'0808'!R17+'0908'!R17+'1008'!R17</f>
        <v>7</v>
      </c>
      <c r="AB83" s="31">
        <f>'0808'!S17+'0908'!S17+'1008'!S17</f>
        <v>4</v>
      </c>
      <c r="AC83" s="31">
        <f>'0808'!T17+'0908'!T17+'1008'!T17</f>
        <v>1</v>
      </c>
      <c r="AD83" s="31">
        <f>'0808'!U17+'0908'!U17+'1008'!U17</f>
        <v>1</v>
      </c>
      <c r="AE83" s="31">
        <f>Table21126[[#This Row],[Points]]/($AA$67-Table21126[[#This Row],[Missed Games]])</f>
        <v>2.3333333333333335</v>
      </c>
      <c r="AF83" s="31">
        <f>Table21126[[#This Row],[Finishes]]/($AA$67-Table21126[[#This Row],[Missed Games]])</f>
        <v>1.3333333333333333</v>
      </c>
      <c r="AG83" s="31">
        <f>Table21126[[#This Row],[Midranges]]/($AA$67-Table21126[[#This Row],[Missed Games]])</f>
        <v>0.33333333333333331</v>
      </c>
      <c r="AH83" s="31">
        <f>Table21126[[#This Row],[Threes]]/($AA$67-Table21126[[#This Row],[Missed Games]])</f>
        <v>0.33333333333333331</v>
      </c>
      <c r="AI83" s="31">
        <f>COUNTIF('0808'!V17, TRUE)+COUNTIF('0908'!V17, TRUE)+COUNTIF('1008'!V17, TRUE)</f>
        <v>0</v>
      </c>
      <c r="AJ83" s="35"/>
      <c r="AK83" s="35" t="s">
        <v>73</v>
      </c>
      <c r="AL83" s="31">
        <f>'1408'!R17+'1508'!R17+'1708'!R17</f>
        <v>3</v>
      </c>
      <c r="AM83" s="31">
        <f>'1408'!S17+'1508'!S17+'1708'!S17</f>
        <v>1</v>
      </c>
      <c r="AN83" s="31">
        <f>'1408'!T17+'1508'!T17+'1708'!T17</f>
        <v>0</v>
      </c>
      <c r="AO83" s="31">
        <f>'1408'!U17+'1508'!U17+'1708'!U17</f>
        <v>1</v>
      </c>
      <c r="AP83" s="31">
        <f>Table21125[[#This Row],[Points]]/($AL$67-Table21125[[#This Row],[Missed Games]])</f>
        <v>1.5</v>
      </c>
      <c r="AQ83" s="31">
        <f>Table21125[[#This Row],[Finishes]]/($AL$67-Table21125[[#This Row],[Missed Games]])</f>
        <v>0.5</v>
      </c>
      <c r="AR83" s="31">
        <f>Table21125[[#This Row],[Midranges]]/($AL$67-Table21125[[#This Row],[Missed Games]])</f>
        <v>0</v>
      </c>
      <c r="AS83" s="31">
        <f>Table21125[[#This Row],[Threes]]/($AL$67-Table21125[[#This Row],[Missed Games]])</f>
        <v>0.5</v>
      </c>
      <c r="AT83" s="31">
        <f>COUNTIF('1408'!V17, TRUE)+COUNTIF('1508'!V17, TRUE)+COUNTIF('1708'!V17, TRUE)</f>
        <v>1</v>
      </c>
    </row>
    <row r="84" spans="18:46" ht="14.25" customHeight="1" x14ac:dyDescent="0.45">
      <c r="R84" s="16">
        <v>7</v>
      </c>
      <c r="S84" s="46" t="str">
        <f>'Statistics LG'!A13</f>
        <v>27-July</v>
      </c>
      <c r="T84" s="16">
        <f>T83+'Statistics LG'!D13</f>
        <v>17</v>
      </c>
      <c r="U84" s="16">
        <f>U83+'Statistics WW'!D13</f>
        <v>9</v>
      </c>
      <c r="V84" s="16">
        <f>V83+'Statistics 5M'!D13</f>
        <v>16</v>
      </c>
      <c r="Z84" s="35" t="s">
        <v>74</v>
      </c>
      <c r="AA84" s="31">
        <f>'0808'!R18+'0908'!R18+'1008'!R18</f>
        <v>0</v>
      </c>
      <c r="AB84" s="31">
        <f>'0808'!S18+'0908'!S18+'1008'!S18</f>
        <v>0</v>
      </c>
      <c r="AC84" s="31">
        <f>'0808'!T18+'0908'!T18+'1008'!T18</f>
        <v>0</v>
      </c>
      <c r="AD84" s="31">
        <f>'0808'!U18+'0908'!U18+'1008'!U18</f>
        <v>0</v>
      </c>
      <c r="AE84" s="31">
        <f>Table21126[[#This Row],[Points]]/($AA$67-Table21126[[#This Row],[Missed Games]])</f>
        <v>0</v>
      </c>
      <c r="AF84" s="31">
        <f>Table21126[[#This Row],[Finishes]]/($AA$67-Table21126[[#This Row],[Missed Games]])</f>
        <v>0</v>
      </c>
      <c r="AG84" s="31">
        <f>Table21126[[#This Row],[Midranges]]/($AA$67-Table21126[[#This Row],[Missed Games]])</f>
        <v>0</v>
      </c>
      <c r="AH84" s="31">
        <f>Table21126[[#This Row],[Threes]]/($AA$67-Table21126[[#This Row],[Missed Games]])</f>
        <v>0</v>
      </c>
      <c r="AI84" s="31">
        <f>COUNTIF('0808'!V18, TRUE)+COUNTIF('0908'!V18, TRUE)+COUNTIF('1008'!V18, TRUE)</f>
        <v>0</v>
      </c>
      <c r="AJ84" s="35"/>
      <c r="AK84" s="35" t="s">
        <v>74</v>
      </c>
      <c r="AL84" s="31">
        <f>'1408'!R18+'1508'!R18+'1708'!R18</f>
        <v>0</v>
      </c>
      <c r="AM84" s="31">
        <f>'1408'!S18+'1508'!S18+'1708'!S18</f>
        <v>0</v>
      </c>
      <c r="AN84" s="31">
        <f>'1408'!T18+'1508'!T18+'1708'!T18</f>
        <v>0</v>
      </c>
      <c r="AO84" s="31">
        <f>'1408'!U18+'1508'!U18+'1708'!U18</f>
        <v>0</v>
      </c>
      <c r="AP84" s="31">
        <f>Table21125[[#This Row],[Points]]/($AL$67-Table21125[[#This Row],[Missed Games]])</f>
        <v>0</v>
      </c>
      <c r="AQ84" s="31">
        <f>Table21125[[#This Row],[Finishes]]/($AL$67-Table21125[[#This Row],[Missed Games]])</f>
        <v>0</v>
      </c>
      <c r="AR84" s="31">
        <f>Table21125[[#This Row],[Midranges]]/($AL$67-Table21125[[#This Row],[Missed Games]])</f>
        <v>0</v>
      </c>
      <c r="AS84" s="31">
        <f>Table21125[[#This Row],[Threes]]/($AL$67-Table21125[[#This Row],[Missed Games]])</f>
        <v>0</v>
      </c>
      <c r="AT84" s="31">
        <f>COUNTIF('1408'!V18, TRUE)+COUNTIF('1508'!V18, TRUE)+COUNTIF('1708'!V18, TRUE)</f>
        <v>0</v>
      </c>
    </row>
    <row r="85" spans="18:46" ht="14.25" customHeight="1" x14ac:dyDescent="0.45">
      <c r="R85" s="16">
        <v>8</v>
      </c>
      <c r="S85" s="46" t="str">
        <f>'Statistics LG'!A14</f>
        <v>31-July</v>
      </c>
      <c r="T85" s="16">
        <f>T84+'Statistics LG'!D14</f>
        <v>20</v>
      </c>
      <c r="U85" s="16">
        <f>U84+'Statistics WW'!D14</f>
        <v>11</v>
      </c>
      <c r="V85" s="16">
        <f>V84+'Statistics 5M'!D14</f>
        <v>17</v>
      </c>
      <c r="Z85" s="47" t="s">
        <v>75</v>
      </c>
      <c r="AA85" s="31">
        <f>'0808'!R19+'0908'!R19+'1008'!R19</f>
        <v>0</v>
      </c>
      <c r="AB85" s="31">
        <f>'0808'!S19+'0908'!S19+'1008'!S19</f>
        <v>0</v>
      </c>
      <c r="AC85" s="31">
        <f>'0808'!T19+'0908'!T19+'1008'!T19</f>
        <v>0</v>
      </c>
      <c r="AD85" s="31">
        <f>'0808'!U19+'0908'!U19+'1008'!U19</f>
        <v>0</v>
      </c>
      <c r="AE85" s="31">
        <f>Table21126[[#This Row],[Points]]/($AA$67-Table21126[[#This Row],[Missed Games]])</f>
        <v>0</v>
      </c>
      <c r="AF85" s="31">
        <f>Table21126[[#This Row],[Finishes]]/($AA$67-Table21126[[#This Row],[Missed Games]])</f>
        <v>0</v>
      </c>
      <c r="AG85" s="31">
        <f>Table21126[[#This Row],[Midranges]]/($AA$67-Table21126[[#This Row],[Missed Games]])</f>
        <v>0</v>
      </c>
      <c r="AH85" s="31">
        <f>Table21126[[#This Row],[Threes]]/($AA$67-Table21126[[#This Row],[Missed Games]])</f>
        <v>0</v>
      </c>
      <c r="AI85" s="31">
        <f>COUNTIF('0808'!V19, TRUE)+COUNTIF('0908'!V19, TRUE)+COUNTIF('1008'!V19, TRUE)</f>
        <v>1</v>
      </c>
      <c r="AJ85" s="35"/>
      <c r="AK85" s="47" t="s">
        <v>75</v>
      </c>
      <c r="AL85" s="31">
        <f>'1408'!R19+'1508'!R19+'1708'!R19</f>
        <v>2</v>
      </c>
      <c r="AM85" s="31">
        <f>'1408'!S19+'1508'!S19+'1708'!S19</f>
        <v>0</v>
      </c>
      <c r="AN85" s="31">
        <f>'1408'!T19+'1508'!T19+'1708'!T19</f>
        <v>0</v>
      </c>
      <c r="AO85" s="31">
        <f>'1408'!U19+'1508'!U19+'1708'!U19</f>
        <v>1</v>
      </c>
      <c r="AP85" s="31">
        <f>Table21125[[#This Row],[Points]]/($AL$67-Table21125[[#This Row],[Missed Games]])</f>
        <v>0.66666666666666663</v>
      </c>
      <c r="AQ85" s="31">
        <f>Table21125[[#This Row],[Finishes]]/($AL$67-Table21125[[#This Row],[Missed Games]])</f>
        <v>0</v>
      </c>
      <c r="AR85" s="31">
        <f>Table21125[[#This Row],[Midranges]]/($AL$67-Table21125[[#This Row],[Missed Games]])</f>
        <v>0</v>
      </c>
      <c r="AS85" s="31">
        <f>Table21125[[#This Row],[Threes]]/($AL$67-Table21125[[#This Row],[Missed Games]])</f>
        <v>0.33333333333333331</v>
      </c>
      <c r="AT85" s="31">
        <f>COUNTIF('1408'!V19, TRUE)+COUNTIF('1508'!V19, TRUE)+COUNTIF('1708'!V19, TRUE)</f>
        <v>0</v>
      </c>
    </row>
    <row r="86" spans="18:46" ht="14.25" customHeight="1" x14ac:dyDescent="0.45">
      <c r="R86" s="16">
        <v>9</v>
      </c>
      <c r="S86" s="46" t="str">
        <f>'Statistics LG'!A15</f>
        <v>1-August</v>
      </c>
      <c r="T86" s="16">
        <f>T85+'Statistics LG'!D15</f>
        <v>21</v>
      </c>
      <c r="U86" s="16">
        <f>U85+'Statistics WW'!D15</f>
        <v>14</v>
      </c>
      <c r="V86" s="16">
        <f>V85+'Statistics 5M'!D15</f>
        <v>19</v>
      </c>
      <c r="Z86" s="63"/>
      <c r="AA86" s="31"/>
      <c r="AB86" s="32"/>
      <c r="AC86" s="33"/>
      <c r="AD86" s="34"/>
      <c r="AE86" s="33"/>
      <c r="AF86" s="34"/>
      <c r="AG86" s="33"/>
      <c r="AH86" s="34"/>
      <c r="AI86" s="35"/>
      <c r="AJ86" s="35"/>
      <c r="AK86" s="63"/>
      <c r="AL86" s="31"/>
      <c r="AM86" s="32"/>
      <c r="AN86" s="33"/>
      <c r="AO86" s="34"/>
      <c r="AP86" s="33"/>
      <c r="AQ86" s="34"/>
      <c r="AR86" s="33"/>
      <c r="AS86" s="34"/>
      <c r="AT86" s="35"/>
    </row>
    <row r="87" spans="18:46" ht="14.25" customHeight="1" x14ac:dyDescent="0.45">
      <c r="R87" s="16">
        <v>10</v>
      </c>
      <c r="S87" s="46" t="str">
        <f>'Statistics LG'!A16</f>
        <v>2-August</v>
      </c>
      <c r="T87" s="16">
        <f>T86+'Statistics LG'!D16</f>
        <v>22</v>
      </c>
      <c r="U87" s="16">
        <f>U86+'Statistics WW'!D16</f>
        <v>16</v>
      </c>
      <c r="V87" s="16">
        <f>V86+'Statistics 5M'!D16</f>
        <v>22</v>
      </c>
      <c r="Z87" s="47" t="s">
        <v>268</v>
      </c>
      <c r="AA87" s="11">
        <v>3</v>
      </c>
      <c r="AB87" s="16"/>
      <c r="AC87" s="16"/>
      <c r="AD87" s="16"/>
      <c r="AE87" s="16"/>
      <c r="AF87" s="16"/>
      <c r="AG87" s="16"/>
      <c r="AH87" s="16"/>
      <c r="AI87" s="3"/>
      <c r="AJ87" s="35"/>
      <c r="AK87" s="47" t="s">
        <v>201</v>
      </c>
      <c r="AL87" s="11">
        <v>0</v>
      </c>
      <c r="AM87" s="16"/>
      <c r="AN87" s="16"/>
      <c r="AO87" s="16"/>
      <c r="AP87" s="16"/>
      <c r="AQ87" s="16"/>
      <c r="AR87" s="16"/>
      <c r="AS87" s="16"/>
      <c r="AT87" s="3"/>
    </row>
    <row r="88" spans="18:46" ht="14.25" customHeight="1" x14ac:dyDescent="0.45">
      <c r="R88" s="16">
        <v>11</v>
      </c>
      <c r="S88" s="46" t="str">
        <f>'Statistics LG'!A17</f>
        <v>3-August</v>
      </c>
      <c r="T88" s="16">
        <f>T87+'Statistics LG'!D17</f>
        <v>25</v>
      </c>
      <c r="U88" s="16">
        <f>U87+'Statistics WW'!D17</f>
        <v>18</v>
      </c>
      <c r="V88" s="16">
        <f>V87+'Statistics 5M'!D17</f>
        <v>23</v>
      </c>
      <c r="Z88" s="28" t="s">
        <v>84</v>
      </c>
      <c r="AA88" s="28" t="s">
        <v>0</v>
      </c>
      <c r="AB88" s="28" t="s">
        <v>1</v>
      </c>
      <c r="AC88" s="29" t="s">
        <v>2</v>
      </c>
      <c r="AD88" s="30" t="s">
        <v>3</v>
      </c>
      <c r="AE88" s="30" t="s">
        <v>124</v>
      </c>
      <c r="AF88" s="30" t="s">
        <v>122</v>
      </c>
      <c r="AG88" s="29" t="s">
        <v>123</v>
      </c>
      <c r="AH88" s="30" t="s">
        <v>164</v>
      </c>
      <c r="AI88" s="70" t="s">
        <v>120</v>
      </c>
      <c r="AJ88" s="35"/>
      <c r="AK88" s="28" t="s">
        <v>84</v>
      </c>
      <c r="AL88" s="28" t="s">
        <v>0</v>
      </c>
      <c r="AM88" s="28" t="s">
        <v>1</v>
      </c>
      <c r="AN88" s="29" t="s">
        <v>2</v>
      </c>
      <c r="AO88" s="30" t="s">
        <v>3</v>
      </c>
      <c r="AP88" s="30" t="s">
        <v>124</v>
      </c>
      <c r="AQ88" s="30" t="s">
        <v>122</v>
      </c>
      <c r="AR88" s="29" t="s">
        <v>123</v>
      </c>
      <c r="AS88" s="30" t="s">
        <v>164</v>
      </c>
      <c r="AT88" s="70" t="s">
        <v>120</v>
      </c>
    </row>
    <row r="89" spans="18:46" ht="14.25" customHeight="1" x14ac:dyDescent="0.45">
      <c r="R89" s="16">
        <v>12</v>
      </c>
      <c r="S89" s="46" t="str">
        <f>'Statistics LG'!A18</f>
        <v>8-August</v>
      </c>
      <c r="T89" s="16">
        <f>T88+'Statistics LG'!D18</f>
        <v>26</v>
      </c>
      <c r="U89" s="16">
        <f>U88+'Statistics WW'!D18</f>
        <v>20</v>
      </c>
      <c r="V89" s="16">
        <f>V88+'Statistics 5M'!D18</f>
        <v>26</v>
      </c>
      <c r="Z89" s="47" t="s">
        <v>45</v>
      </c>
      <c r="AA89" s="31">
        <f>'Finals 1'!S3+'Finals 2'!S3+'Finals 3'!S3</f>
        <v>0</v>
      </c>
      <c r="AB89" s="31">
        <f>'Finals 1'!T3+'Finals 2'!T3+'Finals 3'!T3</f>
        <v>0</v>
      </c>
      <c r="AC89" s="31">
        <f>'Finals 1'!U3+'Finals 2'!U3+'Finals 3'!U3</f>
        <v>0</v>
      </c>
      <c r="AD89" s="31">
        <f>'Finals 1'!V3+'Finals 2'!V3+'Finals 3'!V3</f>
        <v>0</v>
      </c>
      <c r="AE89" s="31">
        <f>Table21127[[#This Row],[Points]]/($AA$87-Table21127[[#This Row],[Missed Games]])</f>
        <v>0</v>
      </c>
      <c r="AF89" s="31">
        <f>Table21127[[#This Row],[Finishes]]/($AA$87-Table21127[[#This Row],[Missed Games]])</f>
        <v>0</v>
      </c>
      <c r="AG89" s="31">
        <f>Table21127[[#This Row],[Midranges]]/($AA$87-Table21127[[#This Row],[Missed Games]])</f>
        <v>0</v>
      </c>
      <c r="AH89" s="31">
        <f>Table21127[[#This Row],[Threes]]/($AA$87-Table21127[[#This Row],[Missed Games]])</f>
        <v>0</v>
      </c>
      <c r="AI89" s="31">
        <f>COUNTIF('Finals 1'!W3, TRUE)+COUNTIF('Finals 2'!W3, TRUE)+COUNTIF('Finals 3'!W3, TRUE)</f>
        <v>0</v>
      </c>
      <c r="AJ89" s="35"/>
      <c r="AK89" s="47" t="s">
        <v>45</v>
      </c>
      <c r="AL89" s="31"/>
      <c r="AM89" s="31"/>
      <c r="AN89" s="31"/>
      <c r="AO89" s="31"/>
      <c r="AP89" s="31"/>
      <c r="AQ89" s="31"/>
      <c r="AR89" s="31"/>
      <c r="AS89" s="31"/>
      <c r="AT89" s="31"/>
    </row>
    <row r="90" spans="18:46" ht="14.25" customHeight="1" x14ac:dyDescent="0.45">
      <c r="R90" s="16">
        <v>13</v>
      </c>
      <c r="S90" s="46" t="str">
        <f>'Statistics LG'!A19</f>
        <v>9-August</v>
      </c>
      <c r="T90" s="16">
        <f>T89+'Statistics LG'!D19</f>
        <v>28</v>
      </c>
      <c r="U90" s="16">
        <f>U89+'Statistics WW'!D19</f>
        <v>21</v>
      </c>
      <c r="V90" s="16">
        <f>V89+'Statistics 5M'!D19</f>
        <v>29</v>
      </c>
      <c r="Z90" s="47" t="s">
        <v>49</v>
      </c>
      <c r="AA90" s="31">
        <f>'Finals 1'!S4+'Finals 2'!S4+'Finals 3'!S4</f>
        <v>5</v>
      </c>
      <c r="AB90" s="31">
        <f>'Finals 1'!T4+'Finals 2'!T4+'Finals 3'!T4</f>
        <v>4</v>
      </c>
      <c r="AC90" s="31">
        <f>'Finals 1'!U4+'Finals 2'!U4+'Finals 3'!U4</f>
        <v>1</v>
      </c>
      <c r="AD90" s="31">
        <f>'Finals 1'!V4+'Finals 2'!V4+'Finals 3'!V4</f>
        <v>0</v>
      </c>
      <c r="AE90" s="31">
        <f>Table21127[[#This Row],[Points]]/($AA$87-Table21127[[#This Row],[Missed Games]])</f>
        <v>1.6666666666666667</v>
      </c>
      <c r="AF90" s="31">
        <f>Table21127[[#This Row],[Finishes]]/($AA$87-Table21127[[#This Row],[Missed Games]])</f>
        <v>1.3333333333333333</v>
      </c>
      <c r="AG90" s="31">
        <f>Table21127[[#This Row],[Midranges]]/($AA$87-Table21127[[#This Row],[Missed Games]])</f>
        <v>0.33333333333333331</v>
      </c>
      <c r="AH90" s="31">
        <f>Table21127[[#This Row],[Threes]]/($AA$87-Table21127[[#This Row],[Missed Games]])</f>
        <v>0</v>
      </c>
      <c r="AI90" s="31">
        <f>COUNTIF('Finals 1'!W4, TRUE)+COUNTIF('Finals 2'!W4, TRUE)+COUNTIF('Finals 3'!W4, TRUE)</f>
        <v>0</v>
      </c>
      <c r="AJ90" s="35"/>
      <c r="AK90" s="47" t="s">
        <v>49</v>
      </c>
      <c r="AL90" s="31"/>
      <c r="AM90" s="31"/>
      <c r="AN90" s="31"/>
      <c r="AO90" s="31"/>
      <c r="AP90" s="31"/>
      <c r="AQ90" s="31"/>
      <c r="AR90" s="31"/>
      <c r="AS90" s="31"/>
      <c r="AT90" s="31"/>
    </row>
    <row r="91" spans="18:46" ht="14.25" customHeight="1" x14ac:dyDescent="0.45">
      <c r="R91" s="16">
        <v>14</v>
      </c>
      <c r="S91" s="46" t="str">
        <f>'Statistics LG'!A20</f>
        <v>10-August</v>
      </c>
      <c r="T91" s="16">
        <f>T90+'Statistics LG'!D20</f>
        <v>30</v>
      </c>
      <c r="U91" s="16">
        <f>U90+'Statistics WW'!D20</f>
        <v>24</v>
      </c>
      <c r="V91" s="16">
        <f>V90+'Statistics 5M'!D20</f>
        <v>30</v>
      </c>
      <c r="Z91" s="47" t="s">
        <v>51</v>
      </c>
      <c r="AA91" s="31">
        <f>'Finals 1'!S5+'Finals 2'!S5+'Finals 3'!S5</f>
        <v>9</v>
      </c>
      <c r="AB91" s="31">
        <f>'Finals 1'!T5+'Finals 2'!T5+'Finals 3'!T5</f>
        <v>8</v>
      </c>
      <c r="AC91" s="31">
        <f>'Finals 1'!U5+'Finals 2'!U5+'Finals 3'!U5</f>
        <v>1</v>
      </c>
      <c r="AD91" s="31">
        <f>'Finals 1'!V5+'Finals 2'!V5+'Finals 3'!V5</f>
        <v>0</v>
      </c>
      <c r="AE91" s="31">
        <f>Table21127[[#This Row],[Points]]/($AA$87-Table21127[[#This Row],[Missed Games]])</f>
        <v>3</v>
      </c>
      <c r="AF91" s="31">
        <f>Table21127[[#This Row],[Finishes]]/($AA$87-Table21127[[#This Row],[Missed Games]])</f>
        <v>2.6666666666666665</v>
      </c>
      <c r="AG91" s="31">
        <f>Table21127[[#This Row],[Midranges]]/($AA$87-Table21127[[#This Row],[Missed Games]])</f>
        <v>0.33333333333333331</v>
      </c>
      <c r="AH91" s="31">
        <f>Table21127[[#This Row],[Threes]]/($AA$87-Table21127[[#This Row],[Missed Games]])</f>
        <v>0</v>
      </c>
      <c r="AI91" s="31">
        <f>COUNTIF('Finals 1'!W5, TRUE)+COUNTIF('Finals 2'!W5, TRUE)+COUNTIF('Finals 3'!W5, TRUE)</f>
        <v>0</v>
      </c>
      <c r="AJ91" s="35"/>
      <c r="AK91" s="47" t="s">
        <v>51</v>
      </c>
      <c r="AL91" s="31"/>
      <c r="AM91" s="31"/>
      <c r="AN91" s="31"/>
      <c r="AO91" s="31"/>
      <c r="AP91" s="31"/>
      <c r="AQ91" s="31"/>
      <c r="AR91" s="31"/>
      <c r="AS91" s="31"/>
      <c r="AT91" s="31"/>
    </row>
    <row r="92" spans="18:46" ht="14.25" customHeight="1" x14ac:dyDescent="0.45">
      <c r="R92" s="16">
        <v>15</v>
      </c>
      <c r="S92" s="46" t="str">
        <f>'Statistics LG'!A21</f>
        <v>14-August</v>
      </c>
      <c r="T92" s="16">
        <f>T91+'Statistics LG'!D21</f>
        <v>31</v>
      </c>
      <c r="U92" s="16">
        <f>U91+'Statistics WW'!D21</f>
        <v>26</v>
      </c>
      <c r="V92" s="16">
        <f>V91+'Statistics 5M'!D21</f>
        <v>33</v>
      </c>
      <c r="W92" s="16"/>
      <c r="Z92" s="47" t="s">
        <v>54</v>
      </c>
      <c r="AA92" s="31">
        <f>'Finals 1'!S6+'Finals 2'!S6+'Finals 3'!S6</f>
        <v>3</v>
      </c>
      <c r="AB92" s="31">
        <f>'Finals 1'!T6+'Finals 2'!T6+'Finals 3'!T6</f>
        <v>3</v>
      </c>
      <c r="AC92" s="31">
        <f>'Finals 1'!U6+'Finals 2'!U6+'Finals 3'!U6</f>
        <v>0</v>
      </c>
      <c r="AD92" s="31">
        <f>'Finals 1'!V6+'Finals 2'!V6+'Finals 3'!V6</f>
        <v>0</v>
      </c>
      <c r="AE92" s="31">
        <f>Table21127[[#This Row],[Points]]/($AA$87-Table21127[[#This Row],[Missed Games]])</f>
        <v>1.5</v>
      </c>
      <c r="AF92" s="31">
        <f>Table21127[[#This Row],[Finishes]]/($AA$87-Table21127[[#This Row],[Missed Games]])</f>
        <v>1.5</v>
      </c>
      <c r="AG92" s="31">
        <f>Table21127[[#This Row],[Midranges]]/($AA$87-Table21127[[#This Row],[Missed Games]])</f>
        <v>0</v>
      </c>
      <c r="AH92" s="31">
        <f>Table21127[[#This Row],[Threes]]/($AA$87-Table21127[[#This Row],[Missed Games]])</f>
        <v>0</v>
      </c>
      <c r="AI92" s="31">
        <f>COUNTIF('Finals 1'!W6, TRUE)+COUNTIF('Finals 2'!W6, TRUE)+COUNTIF('Finals 3'!W6, TRUE)</f>
        <v>1</v>
      </c>
      <c r="AJ92" s="35"/>
      <c r="AK92" s="47" t="s">
        <v>54</v>
      </c>
      <c r="AL92" s="31"/>
      <c r="AM92" s="31"/>
      <c r="AN92" s="31"/>
      <c r="AO92" s="31"/>
      <c r="AP92" s="31"/>
      <c r="AQ92" s="31"/>
      <c r="AR92" s="31"/>
      <c r="AS92" s="31"/>
      <c r="AT92" s="31"/>
    </row>
    <row r="93" spans="18:46" ht="14.25" customHeight="1" x14ac:dyDescent="0.45">
      <c r="R93" s="16">
        <v>16</v>
      </c>
      <c r="S93" s="46" t="str">
        <f>'Statistics LG'!A22</f>
        <v>15-August</v>
      </c>
      <c r="T93" s="16">
        <f>T92+'Statistics LG'!D22</f>
        <v>32</v>
      </c>
      <c r="U93" s="16">
        <f>U92+'Statistics WW'!D22</f>
        <v>28</v>
      </c>
      <c r="V93" s="16">
        <f>V92+'Statistics 5M'!D22</f>
        <v>36</v>
      </c>
      <c r="W93" s="16"/>
      <c r="Z93" s="47" t="s">
        <v>57</v>
      </c>
      <c r="AA93" s="31">
        <f>'Finals 1'!S7+'Finals 2'!S7+'Finals 3'!S7</f>
        <v>1</v>
      </c>
      <c r="AB93" s="31">
        <f>'Finals 1'!T7+'Finals 2'!T7+'Finals 3'!T7</f>
        <v>1</v>
      </c>
      <c r="AC93" s="31">
        <f>'Finals 1'!U7+'Finals 2'!U7+'Finals 3'!U7</f>
        <v>0</v>
      </c>
      <c r="AD93" s="31">
        <f>'Finals 1'!V7+'Finals 2'!V7+'Finals 3'!V7</f>
        <v>0</v>
      </c>
      <c r="AE93" s="31">
        <f>Table21127[[#This Row],[Points]]/($AA$87-Table21127[[#This Row],[Missed Games]])</f>
        <v>0.33333333333333331</v>
      </c>
      <c r="AF93" s="31">
        <f>Table21127[[#This Row],[Finishes]]/($AA$87-Table21127[[#This Row],[Missed Games]])</f>
        <v>0.33333333333333331</v>
      </c>
      <c r="AG93" s="31">
        <f>Table21127[[#This Row],[Midranges]]/($AA$87-Table21127[[#This Row],[Missed Games]])</f>
        <v>0</v>
      </c>
      <c r="AH93" s="31">
        <f>Table21127[[#This Row],[Threes]]/($AA$87-Table21127[[#This Row],[Missed Games]])</f>
        <v>0</v>
      </c>
      <c r="AI93" s="31">
        <f>COUNTIF('Finals 1'!W7, TRUE)+COUNTIF('Finals 2'!W7, TRUE)+COUNTIF('Finals 3'!W7, TRUE)</f>
        <v>0</v>
      </c>
      <c r="AJ93" s="35"/>
      <c r="AK93" s="47" t="s">
        <v>57</v>
      </c>
      <c r="AL93" s="31"/>
      <c r="AM93" s="31"/>
      <c r="AN93" s="31"/>
      <c r="AO93" s="31"/>
      <c r="AP93" s="31"/>
      <c r="AQ93" s="31"/>
      <c r="AR93" s="31"/>
      <c r="AS93" s="31"/>
      <c r="AT93" s="31"/>
    </row>
    <row r="94" spans="18:46" ht="14.25" customHeight="1" x14ac:dyDescent="0.45">
      <c r="R94" s="16">
        <v>17</v>
      </c>
      <c r="S94" s="46" t="str">
        <f>'Statistics LG'!A23</f>
        <v>17-August</v>
      </c>
      <c r="T94" s="16">
        <f>T93+'Statistics LG'!D23</f>
        <v>33</v>
      </c>
      <c r="U94" s="16">
        <f>U93+'Statistics WW'!D23</f>
        <v>31</v>
      </c>
      <c r="V94" s="16">
        <f>V93+'Statistics 5M'!D23</f>
        <v>38</v>
      </c>
      <c r="W94" s="16"/>
      <c r="Z94" s="47" t="s">
        <v>60</v>
      </c>
      <c r="AA94" s="31">
        <f>'Finals 1'!S8+'Finals 2'!S8+'Finals 3'!S8</f>
        <v>3</v>
      </c>
      <c r="AB94" s="31">
        <f>'Finals 1'!T8+'Finals 2'!T8+'Finals 3'!T8</f>
        <v>3</v>
      </c>
      <c r="AC94" s="31">
        <f>'Finals 1'!U8+'Finals 2'!U8+'Finals 3'!U8</f>
        <v>0</v>
      </c>
      <c r="AD94" s="31">
        <f>'Finals 1'!V8+'Finals 2'!V8+'Finals 3'!V8</f>
        <v>0</v>
      </c>
      <c r="AE94" s="31">
        <f>Table21127[[#This Row],[Points]]/($AA$87-Table21127[[#This Row],[Missed Games]])</f>
        <v>1</v>
      </c>
      <c r="AF94" s="31">
        <f>Table21127[[#This Row],[Finishes]]/($AA$87-Table21127[[#This Row],[Missed Games]])</f>
        <v>1</v>
      </c>
      <c r="AG94" s="31">
        <f>Table21127[[#This Row],[Midranges]]/($AA$87-Table21127[[#This Row],[Missed Games]])</f>
        <v>0</v>
      </c>
      <c r="AH94" s="31">
        <f>Table21127[[#This Row],[Threes]]/($AA$87-Table21127[[#This Row],[Missed Games]])</f>
        <v>0</v>
      </c>
      <c r="AI94" s="31">
        <f>COUNTIF('Finals 1'!W8, TRUE)+COUNTIF('Finals 2'!W8, TRUE)+COUNTIF('Finals 3'!W8, TRUE)</f>
        <v>0</v>
      </c>
      <c r="AJ94" s="35"/>
      <c r="AK94" s="47" t="s">
        <v>60</v>
      </c>
      <c r="AL94" s="31"/>
      <c r="AM94" s="31"/>
      <c r="AN94" s="31"/>
      <c r="AO94" s="31"/>
      <c r="AP94" s="31"/>
      <c r="AQ94" s="31"/>
      <c r="AR94" s="31"/>
      <c r="AS94" s="31"/>
      <c r="AT94" s="31"/>
    </row>
    <row r="95" spans="18:46" ht="14.25" customHeight="1" x14ac:dyDescent="0.45">
      <c r="R95" s="16">
        <v>18</v>
      </c>
      <c r="S95" s="46" t="str">
        <f>'Statistics LG'!A24</f>
        <v>21-August</v>
      </c>
      <c r="T95" s="16">
        <f>T94+'Statistics LG'!D24</f>
        <v>37</v>
      </c>
      <c r="U95" s="16">
        <f>U94+'Statistics WW'!D24</f>
        <v>33</v>
      </c>
      <c r="V95" s="16">
        <f>V94+'Statistics 5M'!D24</f>
        <v>44</v>
      </c>
      <c r="W95" s="16"/>
      <c r="Z95" s="35" t="s">
        <v>93</v>
      </c>
      <c r="AA95" s="31">
        <f>'Finals 1'!S9+'Finals 2'!S9+'Finals 3'!S9</f>
        <v>1</v>
      </c>
      <c r="AB95" s="31">
        <f>'Finals 1'!T9+'Finals 2'!T9+'Finals 3'!T9</f>
        <v>0</v>
      </c>
      <c r="AC95" s="31">
        <f>'Finals 1'!U9+'Finals 2'!U9+'Finals 3'!U9</f>
        <v>1</v>
      </c>
      <c r="AD95" s="31">
        <f>'Finals 1'!V9+'Finals 2'!V9+'Finals 3'!V9</f>
        <v>0</v>
      </c>
      <c r="AE95" s="31">
        <f>Table21127[[#This Row],[Points]]/($AA$87-Table21127[[#This Row],[Missed Games]])</f>
        <v>0.33333333333333331</v>
      </c>
      <c r="AF95" s="31">
        <f>Table21127[[#This Row],[Finishes]]/($AA$87-Table21127[[#This Row],[Missed Games]])</f>
        <v>0</v>
      </c>
      <c r="AG95" s="31">
        <f>Table21127[[#This Row],[Midranges]]/($AA$87-Table21127[[#This Row],[Missed Games]])</f>
        <v>0.33333333333333331</v>
      </c>
      <c r="AH95" s="31">
        <f>Table21127[[#This Row],[Threes]]/($AA$87-Table21127[[#This Row],[Missed Games]])</f>
        <v>0</v>
      </c>
      <c r="AI95" s="31">
        <f>COUNTIF('Finals 1'!W9, TRUE)+COUNTIF('Finals 2'!W9, TRUE)+COUNTIF('Finals 3'!W9, TRUE)</f>
        <v>0</v>
      </c>
      <c r="AJ95" s="35"/>
      <c r="AK95" s="35" t="s">
        <v>93</v>
      </c>
      <c r="AL95" s="31"/>
      <c r="AM95" s="31"/>
      <c r="AN95" s="31"/>
      <c r="AO95" s="31"/>
      <c r="AP95" s="31"/>
      <c r="AQ95" s="31"/>
      <c r="AR95" s="31"/>
      <c r="AS95" s="31"/>
      <c r="AT95" s="31"/>
    </row>
    <row r="96" spans="18:46" ht="14.25" customHeight="1" x14ac:dyDescent="0.45">
      <c r="R96" s="16">
        <v>19</v>
      </c>
      <c r="S96" s="46" t="str">
        <f>'Statistics LG'!A25</f>
        <v>22-August</v>
      </c>
      <c r="T96" s="16">
        <f>T95+'Statistics LG'!D25</f>
        <v>43</v>
      </c>
      <c r="U96" s="16">
        <f>U95+'Statistics WW'!D25</f>
        <v>37</v>
      </c>
      <c r="V96" s="16">
        <f>V95+'Statistics 5M'!D25</f>
        <v>46</v>
      </c>
      <c r="W96" s="16"/>
      <c r="Z96" s="47" t="s">
        <v>63</v>
      </c>
      <c r="AA96" s="31">
        <f>'Finals 1'!S10+'Finals 2'!S10+'Finals 3'!S10</f>
        <v>2</v>
      </c>
      <c r="AB96" s="31">
        <f>'Finals 1'!T10+'Finals 2'!T10+'Finals 3'!T10</f>
        <v>0</v>
      </c>
      <c r="AC96" s="31">
        <f>'Finals 1'!U10+'Finals 2'!U10+'Finals 3'!U10</f>
        <v>0</v>
      </c>
      <c r="AD96" s="31">
        <f>'Finals 1'!V10+'Finals 2'!V10+'Finals 3'!V10</f>
        <v>1</v>
      </c>
      <c r="AE96" s="31">
        <f>Table21127[[#This Row],[Points]]/($AA$87-Table21127[[#This Row],[Missed Games]])</f>
        <v>0.66666666666666663</v>
      </c>
      <c r="AF96" s="31">
        <f>Table21127[[#This Row],[Finishes]]/($AA$87-Table21127[[#This Row],[Missed Games]])</f>
        <v>0</v>
      </c>
      <c r="AG96" s="31">
        <f>Table21127[[#This Row],[Midranges]]/($AA$87-Table21127[[#This Row],[Missed Games]])</f>
        <v>0</v>
      </c>
      <c r="AH96" s="31">
        <f>Table21127[[#This Row],[Threes]]/($AA$87-Table21127[[#This Row],[Missed Games]])</f>
        <v>0.33333333333333331</v>
      </c>
      <c r="AI96" s="31">
        <f>COUNTIF('Finals 1'!W10, TRUE)+COUNTIF('Finals 2'!W10, TRUE)+COUNTIF('Finals 3'!W10, TRUE)</f>
        <v>0</v>
      </c>
      <c r="AJ96" s="35"/>
      <c r="AK96" s="47" t="s">
        <v>63</v>
      </c>
      <c r="AL96" s="31"/>
      <c r="AM96" s="31"/>
      <c r="AN96" s="31"/>
      <c r="AO96" s="31"/>
      <c r="AP96" s="31"/>
      <c r="AQ96" s="31"/>
      <c r="AR96" s="31"/>
      <c r="AS96" s="31"/>
      <c r="AT96" s="31"/>
    </row>
    <row r="97" spans="7:46" ht="14.25" customHeight="1" x14ac:dyDescent="0.45">
      <c r="R97" s="16"/>
      <c r="S97" s="46"/>
      <c r="T97" s="16"/>
      <c r="U97" s="16"/>
      <c r="V97" s="16"/>
      <c r="W97" s="16"/>
      <c r="Z97" s="47" t="s">
        <v>66</v>
      </c>
      <c r="AA97" s="31">
        <f>'Finals 1'!S11+'Finals 2'!S11+'Finals 3'!S11</f>
        <v>11</v>
      </c>
      <c r="AB97" s="31">
        <f>'Finals 1'!T11+'Finals 2'!T11+'Finals 3'!T11</f>
        <v>6</v>
      </c>
      <c r="AC97" s="31">
        <f>'Finals 1'!U11+'Finals 2'!U11+'Finals 3'!U11</f>
        <v>5</v>
      </c>
      <c r="AD97" s="31">
        <f>'Finals 1'!V11+'Finals 2'!V11+'Finals 3'!V11</f>
        <v>0</v>
      </c>
      <c r="AE97" s="31">
        <f>Table21127[[#This Row],[Points]]/($AA$87-Table21127[[#This Row],[Missed Games]])</f>
        <v>3.6666666666666665</v>
      </c>
      <c r="AF97" s="31">
        <f>Table21127[[#This Row],[Finishes]]/($AA$87-Table21127[[#This Row],[Missed Games]])</f>
        <v>2</v>
      </c>
      <c r="AG97" s="31">
        <f>Table21127[[#This Row],[Midranges]]/($AA$87-Table21127[[#This Row],[Missed Games]])</f>
        <v>1.6666666666666667</v>
      </c>
      <c r="AH97" s="31">
        <f>Table21127[[#This Row],[Threes]]/($AA$87-Table21127[[#This Row],[Missed Games]])</f>
        <v>0</v>
      </c>
      <c r="AI97" s="31">
        <f>COUNTIF('Finals 1'!W11, TRUE)+COUNTIF('Finals 2'!W11, TRUE)+COUNTIF('Finals 3'!W11, TRUE)</f>
        <v>0</v>
      </c>
      <c r="AJ97" s="35"/>
      <c r="AK97" s="47" t="s">
        <v>66</v>
      </c>
      <c r="AL97" s="31"/>
      <c r="AM97" s="31"/>
      <c r="AN97" s="31"/>
      <c r="AO97" s="31"/>
      <c r="AP97" s="31"/>
      <c r="AQ97" s="31"/>
      <c r="AR97" s="31"/>
      <c r="AS97" s="31"/>
      <c r="AT97" s="31"/>
    </row>
    <row r="98" spans="7:46" ht="14.25" customHeight="1" x14ac:dyDescent="0.45">
      <c r="S98" s="46"/>
      <c r="Z98" s="47" t="s">
        <v>68</v>
      </c>
      <c r="AA98" s="31">
        <f>'Finals 1'!S12+'Finals 2'!S12+'Finals 3'!S12</f>
        <v>7</v>
      </c>
      <c r="AB98" s="31">
        <f>'Finals 1'!T12+'Finals 2'!T12+'Finals 3'!T12</f>
        <v>1</v>
      </c>
      <c r="AC98" s="31">
        <f>'Finals 1'!U12+'Finals 2'!U12+'Finals 3'!U12</f>
        <v>6</v>
      </c>
      <c r="AD98" s="31">
        <f>'Finals 1'!V12+'Finals 2'!V12+'Finals 3'!V12</f>
        <v>0</v>
      </c>
      <c r="AE98" s="31">
        <f>Table21127[[#This Row],[Points]]/($AA$87-Table21127[[#This Row],[Missed Games]])</f>
        <v>2.3333333333333335</v>
      </c>
      <c r="AF98" s="31">
        <f>Table21127[[#This Row],[Finishes]]/($AA$87-Table21127[[#This Row],[Missed Games]])</f>
        <v>0.33333333333333331</v>
      </c>
      <c r="AG98" s="31">
        <f>Table21127[[#This Row],[Midranges]]/($AA$87-Table21127[[#This Row],[Missed Games]])</f>
        <v>2</v>
      </c>
      <c r="AH98" s="31">
        <f>Table21127[[#This Row],[Threes]]/($AA$87-Table21127[[#This Row],[Missed Games]])</f>
        <v>0</v>
      </c>
      <c r="AI98" s="31">
        <f>COUNTIF('Finals 1'!W12, TRUE)+COUNTIF('Finals 2'!W12, TRUE)+COUNTIF('Finals 3'!W12, TRUE)</f>
        <v>0</v>
      </c>
      <c r="AJ98" s="35"/>
      <c r="AK98" s="47" t="s">
        <v>68</v>
      </c>
      <c r="AL98" s="31"/>
      <c r="AM98" s="31"/>
      <c r="AN98" s="31"/>
      <c r="AO98" s="31"/>
      <c r="AP98" s="31"/>
      <c r="AQ98" s="31"/>
      <c r="AR98" s="31"/>
      <c r="AS98" s="31"/>
      <c r="AT98" s="31"/>
    </row>
    <row r="99" spans="7:46" ht="14.25" customHeight="1" x14ac:dyDescent="0.45">
      <c r="Z99" s="47" t="s">
        <v>69</v>
      </c>
      <c r="AA99" s="31">
        <f>'Finals 1'!S13+'Finals 2'!S13+'Finals 3'!S13</f>
        <v>1</v>
      </c>
      <c r="AB99" s="31">
        <f>'Finals 1'!T13+'Finals 2'!T13+'Finals 3'!T13</f>
        <v>1</v>
      </c>
      <c r="AC99" s="31">
        <f>'Finals 1'!U13+'Finals 2'!U13+'Finals 3'!U13</f>
        <v>0</v>
      </c>
      <c r="AD99" s="31">
        <f>'Finals 1'!V13+'Finals 2'!V13+'Finals 3'!V13</f>
        <v>0</v>
      </c>
      <c r="AE99" s="31">
        <f>Table21127[[#This Row],[Points]]/($AA$87-Table21127[[#This Row],[Missed Games]])</f>
        <v>0.33333333333333331</v>
      </c>
      <c r="AF99" s="31">
        <f>Table21127[[#This Row],[Finishes]]/($AA$87-Table21127[[#This Row],[Missed Games]])</f>
        <v>0.33333333333333331</v>
      </c>
      <c r="AG99" s="31">
        <f>Table21127[[#This Row],[Midranges]]/($AA$87-Table21127[[#This Row],[Missed Games]])</f>
        <v>0</v>
      </c>
      <c r="AH99" s="31">
        <f>Table21127[[#This Row],[Threes]]/($AA$87-Table21127[[#This Row],[Missed Games]])</f>
        <v>0</v>
      </c>
      <c r="AI99" s="31">
        <f>COUNTIF('Finals 1'!W13, TRUE)+COUNTIF('Finals 2'!W13, TRUE)+COUNTIF('Finals 3'!W13, TRUE)</f>
        <v>0</v>
      </c>
      <c r="AJ99" s="35"/>
      <c r="AK99" s="47" t="s">
        <v>69</v>
      </c>
      <c r="AL99" s="31"/>
      <c r="AM99" s="31"/>
      <c r="AN99" s="31"/>
      <c r="AO99" s="31"/>
      <c r="AP99" s="31"/>
      <c r="AQ99" s="31"/>
      <c r="AR99" s="31"/>
      <c r="AS99" s="31"/>
      <c r="AT99" s="31"/>
    </row>
    <row r="100" spans="7:46" ht="14.25" customHeight="1" x14ac:dyDescent="0.45">
      <c r="Z100" s="35" t="s">
        <v>200</v>
      </c>
      <c r="AA100" s="31">
        <f>'Finals 1'!S14+'Finals 2'!S14+'Finals 3'!S14</f>
        <v>0</v>
      </c>
      <c r="AB100" s="31">
        <f>'Finals 1'!T14+'Finals 2'!T14+'Finals 3'!T14</f>
        <v>0</v>
      </c>
      <c r="AC100" s="31">
        <f>'Finals 1'!U14+'Finals 2'!U14+'Finals 3'!U14</f>
        <v>0</v>
      </c>
      <c r="AD100" s="31">
        <f>'Finals 1'!V14+'Finals 2'!V14+'Finals 3'!V14</f>
        <v>0</v>
      </c>
      <c r="AE100" s="31" t="e">
        <f>Table21127[[#This Row],[Points]]/($AA$87-Table21127[[#This Row],[Missed Games]])</f>
        <v>#DIV/0!</v>
      </c>
      <c r="AF100" s="31" t="e">
        <f>Table21127[[#This Row],[Finishes]]/($AA$87-Table21127[[#This Row],[Missed Games]])</f>
        <v>#DIV/0!</v>
      </c>
      <c r="AG100" s="31" t="e">
        <f>Table21127[[#This Row],[Midranges]]/($AA$87-Table21127[[#This Row],[Missed Games]])</f>
        <v>#DIV/0!</v>
      </c>
      <c r="AH100" s="31" t="e">
        <f>Table21127[[#This Row],[Threes]]/($AA$87-Table21127[[#This Row],[Missed Games]])</f>
        <v>#DIV/0!</v>
      </c>
      <c r="AI100" s="31">
        <f>COUNTIF('Finals 1'!W14, TRUE)+COUNTIF('Finals 2'!W14, TRUE)+COUNTIF('Finals 3'!W14, TRUE)</f>
        <v>3</v>
      </c>
      <c r="AJ100" s="35"/>
      <c r="AK100" s="35" t="s">
        <v>200</v>
      </c>
      <c r="AL100" s="31"/>
      <c r="AM100" s="31"/>
      <c r="AN100" s="31"/>
      <c r="AO100" s="31"/>
      <c r="AP100" s="31"/>
      <c r="AQ100" s="31"/>
      <c r="AR100" s="31"/>
      <c r="AS100" s="31"/>
      <c r="AT100" s="31"/>
    </row>
    <row r="101" spans="7:46" ht="14.25" customHeight="1" x14ac:dyDescent="0.45">
      <c r="Z101" s="35" t="s">
        <v>128</v>
      </c>
      <c r="AA101" s="31">
        <f>'Finals 1'!S15+'Finals 2'!S15+'Finals 3'!S15</f>
        <v>2</v>
      </c>
      <c r="AB101" s="31">
        <f>'Finals 1'!T15+'Finals 2'!T15+'Finals 3'!T15</f>
        <v>0</v>
      </c>
      <c r="AC101" s="31">
        <f>'Finals 1'!U15+'Finals 2'!U15+'Finals 3'!U15</f>
        <v>0</v>
      </c>
      <c r="AD101" s="31">
        <f>'Finals 1'!V15+'Finals 2'!V15+'Finals 3'!V15</f>
        <v>1</v>
      </c>
      <c r="AE101" s="31">
        <f>Table21127[[#This Row],[Points]]/($AA$87-Table21127[[#This Row],[Missed Games]])</f>
        <v>0.66666666666666663</v>
      </c>
      <c r="AF101" s="31">
        <f>Table21127[[#This Row],[Finishes]]/($AA$87-Table21127[[#This Row],[Missed Games]])</f>
        <v>0</v>
      </c>
      <c r="AG101" s="31">
        <f>Table21127[[#This Row],[Midranges]]/($AA$87-Table21127[[#This Row],[Missed Games]])</f>
        <v>0</v>
      </c>
      <c r="AH101" s="31">
        <f>Table21127[[#This Row],[Threes]]/($AA$87-Table21127[[#This Row],[Missed Games]])</f>
        <v>0.33333333333333331</v>
      </c>
      <c r="AI101" s="31">
        <f>COUNTIF('Finals 1'!W15, TRUE)+COUNTIF('Finals 2'!W15, TRUE)+COUNTIF('Finals 3'!W15, TRUE)</f>
        <v>0</v>
      </c>
      <c r="AJ101" s="35"/>
      <c r="AK101" s="35" t="s">
        <v>128</v>
      </c>
      <c r="AL101" s="31"/>
      <c r="AM101" s="31"/>
      <c r="AN101" s="31"/>
      <c r="AO101" s="31"/>
      <c r="AP101" s="31"/>
      <c r="AQ101" s="31"/>
      <c r="AR101" s="31"/>
      <c r="AS101" s="31"/>
      <c r="AT101" s="31"/>
    </row>
    <row r="102" spans="7:46" ht="14.25" customHeight="1" x14ac:dyDescent="0.45">
      <c r="G102" s="57"/>
      <c r="H102" s="57"/>
      <c r="I102" s="57"/>
      <c r="J102" s="57"/>
      <c r="K102" s="57"/>
      <c r="L102" s="57"/>
      <c r="M102" s="57"/>
      <c r="N102" s="57"/>
      <c r="Q102" s="57"/>
      <c r="R102" s="57"/>
      <c r="S102" s="57"/>
      <c r="T102" s="57"/>
      <c r="U102" s="57"/>
      <c r="V102" s="57"/>
      <c r="W102" s="57"/>
      <c r="Z102" s="35" t="s">
        <v>127</v>
      </c>
      <c r="AA102" s="31">
        <f>'Finals 1'!S16+'Finals 2'!S16+'Finals 3'!S16</f>
        <v>3</v>
      </c>
      <c r="AB102" s="31">
        <f>'Finals 1'!T16+'Finals 2'!T16+'Finals 3'!T16</f>
        <v>3</v>
      </c>
      <c r="AC102" s="31">
        <f>'Finals 1'!U16+'Finals 2'!U16+'Finals 3'!U16</f>
        <v>0</v>
      </c>
      <c r="AD102" s="31">
        <f>'Finals 1'!V16+'Finals 2'!V16+'Finals 3'!V16</f>
        <v>0</v>
      </c>
      <c r="AE102" s="31">
        <f>Table21127[[#This Row],[Points]]/($AA$87-Table21127[[#This Row],[Missed Games]])</f>
        <v>1</v>
      </c>
      <c r="AF102" s="31">
        <f>Table21127[[#This Row],[Finishes]]/($AA$87-Table21127[[#This Row],[Missed Games]])</f>
        <v>1</v>
      </c>
      <c r="AG102" s="31">
        <f>Table21127[[#This Row],[Midranges]]/($AA$87-Table21127[[#This Row],[Missed Games]])</f>
        <v>0</v>
      </c>
      <c r="AH102" s="31">
        <f>Table21127[[#This Row],[Threes]]/($AA$87-Table21127[[#This Row],[Missed Games]])</f>
        <v>0</v>
      </c>
      <c r="AI102" s="31">
        <f>COUNTIF('Finals 1'!W16, TRUE)+COUNTIF('Finals 2'!W16, TRUE)+COUNTIF('Finals 3'!W16, TRUE)</f>
        <v>0</v>
      </c>
      <c r="AK102" s="35" t="s">
        <v>127</v>
      </c>
      <c r="AL102" s="31"/>
      <c r="AM102" s="31"/>
      <c r="AN102" s="31"/>
      <c r="AO102" s="31"/>
      <c r="AP102" s="31"/>
      <c r="AQ102" s="31"/>
      <c r="AR102" s="31"/>
      <c r="AS102" s="31"/>
      <c r="AT102" s="31"/>
    </row>
    <row r="103" spans="7:46" ht="14.25" customHeight="1" x14ac:dyDescent="0.45">
      <c r="G103" s="57"/>
      <c r="H103" s="58"/>
      <c r="I103" s="58"/>
      <c r="J103" s="58"/>
      <c r="K103" s="58"/>
      <c r="L103" s="58"/>
      <c r="M103" s="58"/>
      <c r="N103" s="58"/>
      <c r="Q103" s="58"/>
      <c r="R103" s="58"/>
      <c r="S103" s="58"/>
      <c r="T103" s="58"/>
      <c r="U103" s="58"/>
      <c r="V103" s="58"/>
      <c r="W103" s="57"/>
      <c r="Z103" s="35" t="s">
        <v>73</v>
      </c>
      <c r="AA103" s="31">
        <f>'Finals 1'!S17+'Finals 2'!S17+'Finals 3'!S17</f>
        <v>10</v>
      </c>
      <c r="AB103" s="31">
        <f>'Finals 1'!T17+'Finals 2'!T17+'Finals 3'!T17</f>
        <v>8</v>
      </c>
      <c r="AC103" s="31">
        <f>'Finals 1'!U17+'Finals 2'!U17+'Finals 3'!U17</f>
        <v>2</v>
      </c>
      <c r="AD103" s="31">
        <f>'Finals 1'!V17+'Finals 2'!V17+'Finals 3'!V17</f>
        <v>0</v>
      </c>
      <c r="AE103" s="31">
        <f>Table21127[[#This Row],[Points]]/($AA$87-Table21127[[#This Row],[Missed Games]])</f>
        <v>3.3333333333333335</v>
      </c>
      <c r="AF103" s="31">
        <f>Table21127[[#This Row],[Finishes]]/($AA$87-Table21127[[#This Row],[Missed Games]])</f>
        <v>2.6666666666666665</v>
      </c>
      <c r="AG103" s="31">
        <f>Table21127[[#This Row],[Midranges]]/($AA$87-Table21127[[#This Row],[Missed Games]])</f>
        <v>0.66666666666666663</v>
      </c>
      <c r="AH103" s="31">
        <f>Table21127[[#This Row],[Threes]]/($AA$87-Table21127[[#This Row],[Missed Games]])</f>
        <v>0</v>
      </c>
      <c r="AI103" s="31">
        <f>COUNTIF('Finals 1'!W17, TRUE)+COUNTIF('Finals 2'!W17, TRUE)+COUNTIF('Finals 3'!W17, TRUE)</f>
        <v>0</v>
      </c>
      <c r="AK103" s="35" t="s">
        <v>73</v>
      </c>
      <c r="AL103" s="31"/>
      <c r="AM103" s="31"/>
      <c r="AN103" s="31"/>
      <c r="AO103" s="31"/>
      <c r="AP103" s="31"/>
      <c r="AQ103" s="31"/>
      <c r="AR103" s="31"/>
      <c r="AS103" s="31"/>
      <c r="AT103" s="31"/>
    </row>
    <row r="104" spans="7:46" ht="14.25" customHeight="1" x14ac:dyDescent="0.45">
      <c r="G104" s="57"/>
      <c r="H104" s="58"/>
      <c r="I104" s="58"/>
      <c r="J104" s="58"/>
      <c r="K104" s="58"/>
      <c r="L104" s="58"/>
      <c r="M104" s="58"/>
      <c r="N104" s="58"/>
      <c r="Q104" s="58"/>
      <c r="R104" s="58"/>
      <c r="S104" s="58"/>
      <c r="T104" s="58"/>
      <c r="U104" s="58"/>
      <c r="V104" s="58"/>
      <c r="W104" s="57"/>
      <c r="Z104" s="35" t="s">
        <v>74</v>
      </c>
      <c r="AA104" s="31">
        <f>'Finals 1'!S18+'Finals 2'!S18+'Finals 3'!S18</f>
        <v>0</v>
      </c>
      <c r="AB104" s="31">
        <f>'Finals 1'!T18+'Finals 2'!T18+'Finals 3'!T18</f>
        <v>0</v>
      </c>
      <c r="AC104" s="31">
        <f>'Finals 1'!U18+'Finals 2'!U18+'Finals 3'!U18</f>
        <v>0</v>
      </c>
      <c r="AD104" s="31">
        <f>'Finals 1'!V18+'Finals 2'!V18+'Finals 3'!V18</f>
        <v>0</v>
      </c>
      <c r="AE104" s="31">
        <f>Table21127[[#This Row],[Points]]/($AA$87-Table21127[[#This Row],[Missed Games]])</f>
        <v>0</v>
      </c>
      <c r="AF104" s="31">
        <f>Table21127[[#This Row],[Finishes]]/($AA$87-Table21127[[#This Row],[Missed Games]])</f>
        <v>0</v>
      </c>
      <c r="AG104" s="31">
        <f>Table21127[[#This Row],[Midranges]]/($AA$87-Table21127[[#This Row],[Missed Games]])</f>
        <v>0</v>
      </c>
      <c r="AH104" s="31">
        <f>Table21127[[#This Row],[Threes]]/($AA$87-Table21127[[#This Row],[Missed Games]])</f>
        <v>0</v>
      </c>
      <c r="AI104" s="31">
        <f>COUNTIF('Finals 1'!W18, TRUE)+COUNTIF('Finals 2'!W18, TRUE)+COUNTIF('Finals 3'!W18, TRUE)</f>
        <v>0</v>
      </c>
      <c r="AK104" s="35" t="s">
        <v>74</v>
      </c>
      <c r="AL104" s="31"/>
      <c r="AM104" s="31"/>
      <c r="AN104" s="31"/>
      <c r="AO104" s="31"/>
      <c r="AP104" s="31"/>
      <c r="AQ104" s="31"/>
      <c r="AR104" s="31"/>
      <c r="AS104" s="31"/>
      <c r="AT104" s="31"/>
    </row>
    <row r="105" spans="7:46" ht="14.25" customHeight="1" x14ac:dyDescent="0.45">
      <c r="G105" s="57"/>
      <c r="H105" s="58"/>
      <c r="I105" s="58"/>
      <c r="J105" s="58"/>
      <c r="K105" s="58"/>
      <c r="L105" s="58"/>
      <c r="M105" s="58"/>
      <c r="N105" s="58"/>
      <c r="Q105" s="58"/>
      <c r="R105" s="58"/>
      <c r="S105" s="58"/>
      <c r="T105" s="58"/>
      <c r="U105" s="58"/>
      <c r="V105" s="58"/>
      <c r="W105" s="57"/>
      <c r="Z105" s="47" t="s">
        <v>75</v>
      </c>
      <c r="AA105" s="31">
        <f>'Finals 1'!S19+'Finals 2'!S19+'Finals 3'!S19</f>
        <v>0</v>
      </c>
      <c r="AB105" s="31">
        <f>'Finals 1'!T19+'Finals 2'!T19+'Finals 3'!T19</f>
        <v>0</v>
      </c>
      <c r="AC105" s="31">
        <f>'Finals 1'!U19+'Finals 2'!U19+'Finals 3'!U19</f>
        <v>0</v>
      </c>
      <c r="AD105" s="31">
        <f>'Finals 1'!V19+'Finals 2'!V19+'Finals 3'!V19</f>
        <v>0</v>
      </c>
      <c r="AE105" s="31">
        <f>Table21127[[#This Row],[Points]]/($AA$87-Table21127[[#This Row],[Missed Games]])</f>
        <v>0</v>
      </c>
      <c r="AF105" s="31">
        <f>Table21127[[#This Row],[Finishes]]/($AA$87-Table21127[[#This Row],[Missed Games]])</f>
        <v>0</v>
      </c>
      <c r="AG105" s="31">
        <f>Table21127[[#This Row],[Midranges]]/($AA$87-Table21127[[#This Row],[Missed Games]])</f>
        <v>0</v>
      </c>
      <c r="AH105" s="31">
        <f>Table21127[[#This Row],[Threes]]/($AA$87-Table21127[[#This Row],[Missed Games]])</f>
        <v>0</v>
      </c>
      <c r="AI105" s="31">
        <f>COUNTIF('Finals 1'!W19, TRUE)+COUNTIF('Finals 2'!W19, TRUE)+COUNTIF('Finals 3'!W19, TRUE)</f>
        <v>1</v>
      </c>
      <c r="AK105" s="47" t="s">
        <v>75</v>
      </c>
      <c r="AL105" s="31"/>
      <c r="AM105" s="31"/>
      <c r="AN105" s="31"/>
      <c r="AO105" s="31"/>
      <c r="AP105" s="31"/>
      <c r="AQ105" s="31"/>
      <c r="AR105" s="31"/>
      <c r="AS105" s="31"/>
      <c r="AT105" s="31"/>
    </row>
    <row r="106" spans="7:46" ht="14.25" customHeight="1" x14ac:dyDescent="0.45">
      <c r="G106" s="57"/>
      <c r="H106" s="58"/>
      <c r="I106" s="58"/>
      <c r="J106" s="58"/>
      <c r="K106" s="58"/>
      <c r="L106" s="58"/>
      <c r="M106" s="58"/>
      <c r="N106" s="58"/>
      <c r="Q106" s="58"/>
      <c r="R106" s="58"/>
      <c r="S106" s="58"/>
      <c r="T106" s="58"/>
      <c r="U106" s="58"/>
      <c r="V106" s="58"/>
      <c r="W106" s="57"/>
    </row>
    <row r="107" spans="7:46" ht="14.25" customHeight="1" x14ac:dyDescent="0.45">
      <c r="G107" s="57"/>
      <c r="H107" s="58"/>
      <c r="I107" s="58"/>
      <c r="J107" s="58"/>
      <c r="K107" s="58"/>
      <c r="L107" s="58"/>
      <c r="M107" s="58"/>
      <c r="N107" s="58"/>
      <c r="Q107" s="58"/>
      <c r="R107" s="58"/>
      <c r="S107" s="58"/>
      <c r="T107" s="58"/>
      <c r="U107" s="58"/>
      <c r="V107" s="58"/>
      <c r="W107" s="57"/>
    </row>
    <row r="108" spans="7:46" ht="14.25" customHeight="1" x14ac:dyDescent="0.45">
      <c r="G108" s="57"/>
      <c r="H108" s="58"/>
      <c r="I108" s="58"/>
      <c r="J108" s="58"/>
      <c r="K108" s="58"/>
      <c r="L108" s="58"/>
      <c r="M108" s="58"/>
      <c r="N108" s="58"/>
      <c r="Q108" s="58"/>
      <c r="R108" s="58"/>
      <c r="S108" s="58"/>
      <c r="T108" s="58"/>
      <c r="U108" s="58"/>
      <c r="V108" s="58"/>
      <c r="W108" s="57"/>
    </row>
    <row r="109" spans="7:46" ht="14.25" customHeight="1" x14ac:dyDescent="0.45">
      <c r="G109" s="57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7"/>
    </row>
    <row r="110" spans="7:46" ht="14.25" customHeight="1" x14ac:dyDescent="0.45">
      <c r="G110" s="57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7"/>
    </row>
    <row r="111" spans="7:46" ht="14.25" customHeight="1" x14ac:dyDescent="0.45">
      <c r="G111" s="57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7"/>
    </row>
    <row r="112" spans="7:46" ht="14.25" customHeight="1" x14ac:dyDescent="0.45">
      <c r="G112" s="57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7"/>
    </row>
    <row r="113" spans="7:21" ht="14.25" customHeight="1" x14ac:dyDescent="0.45">
      <c r="G113" s="57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7"/>
    </row>
    <row r="114" spans="7:21" ht="14.25" customHeight="1" x14ac:dyDescent="0.45">
      <c r="G114" s="57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7"/>
    </row>
    <row r="115" spans="7:21" ht="14.25" customHeight="1" x14ac:dyDescent="0.45">
      <c r="G115" s="57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7"/>
    </row>
    <row r="116" spans="7:21" ht="14.25" customHeight="1" x14ac:dyDescent="0.45">
      <c r="G116" s="57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7"/>
    </row>
    <row r="117" spans="7:21" ht="14.25" customHeight="1" x14ac:dyDescent="0.45">
      <c r="G117" s="57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7"/>
    </row>
    <row r="118" spans="7:21" ht="14.25" customHeight="1" x14ac:dyDescent="0.45">
      <c r="G118" s="57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7"/>
    </row>
    <row r="119" spans="7:21" ht="14.25" customHeight="1" x14ac:dyDescent="0.45"/>
    <row r="120" spans="7:21" ht="14.25" customHeight="1" x14ac:dyDescent="0.45"/>
    <row r="121" spans="7:21" ht="14.25" customHeight="1" x14ac:dyDescent="0.45"/>
    <row r="122" spans="7:21" ht="14.25" customHeight="1" x14ac:dyDescent="0.45"/>
    <row r="123" spans="7:21" ht="14.25" customHeight="1" x14ac:dyDescent="0.45"/>
    <row r="124" spans="7:21" ht="14.25" customHeight="1" x14ac:dyDescent="0.45"/>
    <row r="125" spans="7:21" ht="14.25" customHeight="1" x14ac:dyDescent="0.45"/>
    <row r="126" spans="7:21" ht="14.25" customHeight="1" x14ac:dyDescent="0.45"/>
    <row r="127" spans="7:21" ht="14.25" customHeight="1" x14ac:dyDescent="0.45"/>
    <row r="128" spans="7:21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34" type="noConversion"/>
  <conditionalFormatting sqref="U109:U118 W103:W108">
    <cfRule type="cellIs" dxfId="11" priority="11" operator="greaterThan">
      <formula>0</formula>
    </cfRule>
  </conditionalFormatting>
  <conditionalFormatting sqref="U109:U118 W103:W108">
    <cfRule type="cellIs" dxfId="10" priority="10" operator="lessThan">
      <formula>0</formula>
    </cfRule>
  </conditionalFormatting>
  <conditionalFormatting sqref="AQ8:AQ24">
    <cfRule type="cellIs" dxfId="9" priority="5" operator="equal">
      <formula>$AA$4</formula>
    </cfRule>
    <cfRule type="cellIs" dxfId="8" priority="6" operator="lessThan">
      <formula>$AA$4</formula>
    </cfRule>
    <cfRule type="cellIs" dxfId="7" priority="7" operator="greaterThan">
      <formula>$AA$4</formula>
    </cfRule>
  </conditionalFormatting>
  <conditionalFormatting sqref="AT8:AT24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AU8:AU24">
    <cfRule type="cellIs" dxfId="4" priority="1" operator="lessThan">
      <formula>0</formula>
    </cfRule>
    <cfRule type="cellIs" dxfId="3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opLeftCell="A10" zoomScale="85" zoomScaleNormal="85" workbookViewId="0">
      <selection activeCell="I43" sqref="I43:I46"/>
    </sheetView>
  </sheetViews>
  <sheetFormatPr defaultColWidth="14.3984375" defaultRowHeight="15" customHeight="1" x14ac:dyDescent="0.45"/>
  <cols>
    <col min="1" max="24" width="8.73046875" style="76" customWidth="1"/>
    <col min="25" max="25" width="9.6640625" style="76" customWidth="1"/>
    <col min="26" max="28" width="8.73046875" style="76" customWidth="1"/>
    <col min="29" max="29" width="17.73046875" style="76" customWidth="1"/>
    <col min="30" max="30" width="9.265625" style="76" customWidth="1"/>
    <col min="31" max="31" width="10.265625" style="76" customWidth="1"/>
    <col min="32" max="32" width="11.33203125" style="76" customWidth="1"/>
    <col min="33" max="33" width="12.46484375" style="76" customWidth="1"/>
    <col min="34" max="34" width="11.06640625" style="76" customWidth="1"/>
    <col min="35" max="35" width="11.33203125" style="76" customWidth="1"/>
    <col min="36" max="37" width="10.6640625" style="76" customWidth="1"/>
    <col min="38" max="39" width="14.3984375" style="76" customWidth="1"/>
    <col min="40" max="16384" width="14.3984375" style="76"/>
  </cols>
  <sheetData>
    <row r="1" spans="1:41" ht="14.35" customHeight="1" x14ac:dyDescent="0.45">
      <c r="L1" s="56"/>
      <c r="M1" s="56"/>
      <c r="N1" s="78"/>
      <c r="O1" s="56"/>
      <c r="P1" s="56"/>
    </row>
    <row r="2" spans="1:41" ht="14.35" customHeight="1" x14ac:dyDescent="0.45">
      <c r="B2" s="77" t="s">
        <v>111</v>
      </c>
      <c r="H2" s="81" t="s">
        <v>90</v>
      </c>
      <c r="I2" s="81" t="s">
        <v>91</v>
      </c>
      <c r="J2" s="56" t="s">
        <v>92</v>
      </c>
      <c r="L2" s="81" t="s">
        <v>86</v>
      </c>
      <c r="N2" s="56"/>
      <c r="O2" s="81" t="s">
        <v>87</v>
      </c>
      <c r="R2" s="98" t="s">
        <v>192</v>
      </c>
      <c r="AA2" s="56"/>
      <c r="AC2" s="56" t="s">
        <v>273</v>
      </c>
      <c r="AD2" s="154" t="s">
        <v>0</v>
      </c>
      <c r="AE2" s="154" t="s">
        <v>1</v>
      </c>
      <c r="AF2" s="154" t="s">
        <v>2</v>
      </c>
      <c r="AG2" s="154" t="s">
        <v>3</v>
      </c>
      <c r="AH2" s="154" t="s">
        <v>274</v>
      </c>
      <c r="AI2" s="154" t="s">
        <v>275</v>
      </c>
      <c r="AJ2" s="154" t="s">
        <v>276</v>
      </c>
      <c r="AK2" s="154" t="s">
        <v>277</v>
      </c>
      <c r="AL2" s="154" t="s">
        <v>278</v>
      </c>
      <c r="AM2" s="154" t="s">
        <v>281</v>
      </c>
      <c r="AN2" s="154" t="s">
        <v>279</v>
      </c>
      <c r="AO2" s="154" t="s">
        <v>280</v>
      </c>
    </row>
    <row r="3" spans="1:41" ht="14.35" customHeight="1" x14ac:dyDescent="0.45">
      <c r="A3" s="79" t="s">
        <v>72</v>
      </c>
      <c r="B3" s="79" t="s">
        <v>88</v>
      </c>
      <c r="C3" s="79" t="s">
        <v>89</v>
      </c>
      <c r="D3" s="79" t="s">
        <v>0</v>
      </c>
      <c r="E3" s="80" t="s">
        <v>140</v>
      </c>
      <c r="F3" s="80" t="s">
        <v>141</v>
      </c>
      <c r="H3" s="81">
        <f>SUM(B7:B40)</f>
        <v>125</v>
      </c>
      <c r="I3" s="81">
        <f>SUM(C7:C40)</f>
        <v>103</v>
      </c>
      <c r="J3" s="78">
        <f>SUM(D7:D40)</f>
        <v>49</v>
      </c>
      <c r="L3" s="81" t="s">
        <v>88</v>
      </c>
      <c r="M3" s="81" t="s">
        <v>89</v>
      </c>
      <c r="N3" s="78"/>
      <c r="O3" s="81" t="s">
        <v>88</v>
      </c>
      <c r="P3" s="81" t="s">
        <v>89</v>
      </c>
      <c r="R3" s="99" t="s">
        <v>4</v>
      </c>
      <c r="S3" s="100" t="s">
        <v>0</v>
      </c>
      <c r="T3" s="100" t="s">
        <v>85</v>
      </c>
      <c r="U3" s="101" t="s">
        <v>1</v>
      </c>
      <c r="V3" s="102" t="s">
        <v>80</v>
      </c>
      <c r="W3" s="102" t="s">
        <v>2</v>
      </c>
      <c r="X3" s="102" t="s">
        <v>117</v>
      </c>
      <c r="Y3" s="101" t="s">
        <v>3</v>
      </c>
      <c r="Z3" s="102" t="s">
        <v>118</v>
      </c>
      <c r="AA3" s="102" t="s">
        <v>120</v>
      </c>
      <c r="AC3" s="152" t="s">
        <v>30</v>
      </c>
      <c r="AD3" s="155">
        <f>'1707'!AC24+'1807'!AC24+'1907'!AC24+'2007'!AC24+'2407'!AC24+'2607'!AC24+'2707'!AC24+'3107'!AC24+'0108'!AC24+'0208'!AC24+'0308'!AC24+'0808'!AC24+'0908'!AC24+'1008'!AC24</f>
        <v>11</v>
      </c>
      <c r="AE3" s="155">
        <f>'1707'!AD24+'1807'!AD24+'1907'!AD24+'2007'!AD24+'2407'!AD24+'2607'!AD24+'2707'!AD24+'3107'!AD24+'0108'!AD24+'0208'!AD24+'0308'!AD24+'0808'!AD24+'0908'!AD24+'1008'!AD24</f>
        <v>11</v>
      </c>
      <c r="AF3" s="155">
        <f>'1707'!AE24+'1807'!AE24+'1907'!AE24+'2007'!AE24+'2407'!AE24+'2607'!AE24+'2707'!AE24+'3107'!AE24+'0108'!AE24+'0208'!AE24+'0308'!AE24+'0808'!AE24+'0908'!AE24+'1008'!AE24</f>
        <v>0</v>
      </c>
      <c r="AG3" s="155">
        <f>'1707'!AF24+'1807'!AF24+'1907'!AF24+'2007'!AF24+'2407'!AF24+'2607'!AF24+'2707'!AF24+'3107'!AF24+'0108'!AF24+'0208'!AF24+'0308'!AF24+'0808'!AF24+'0908'!AF24+'1008'!AF24</f>
        <v>0</v>
      </c>
      <c r="AH3" s="168">
        <f>Table3[[#This Row],[Points]]/('Stats Global'!$AA$6-'Stats Global'!$AJ$10)</f>
        <v>0.91666666666666663</v>
      </c>
      <c r="AI3" s="168">
        <f>Table3[[#This Row],[Finishes]]/('Stats Global'!$AA$6-'Stats Global'!$AJ$10)</f>
        <v>0.91666666666666663</v>
      </c>
      <c r="AJ3" s="168">
        <f>Table3[[#This Row],[Midranges]]/('Stats Global'!$AA$6-'Stats Global'!$AJ$10)</f>
        <v>0</v>
      </c>
      <c r="AK3" s="168">
        <f>Table3[[#This Row],[Threes]]/('Stats Global'!$AA$6-'Stats Global'!$AJ$10)</f>
        <v>0</v>
      </c>
      <c r="AL3" s="168">
        <f>'Stats Global'!AB10-Table3[[#This Row],[AVG P]]</f>
        <v>2.3333333333333335</v>
      </c>
      <c r="AM3" s="168">
        <f>'Stats Global'!AD10-Table3[[#This Row],[AVG F]]</f>
        <v>2.0833333333333335</v>
      </c>
      <c r="AN3" s="168">
        <f>'Stats Global'!AF10-Table3[[#This Row],[AVG M]]</f>
        <v>8.3333333333333329E-2</v>
      </c>
      <c r="AO3" s="168">
        <f>'Stats Global'!AH10-Table3[[#This Row],[AVG T]]</f>
        <v>8.3333333333333329E-2</v>
      </c>
    </row>
    <row r="4" spans="1:41" ht="14.35" customHeight="1" x14ac:dyDescent="0.45">
      <c r="A4" s="116" t="str">
        <f>'Stats Global'!B5</f>
        <v>11-July</v>
      </c>
      <c r="B4" s="117">
        <f>'Stats Global'!F5</f>
        <v>5</v>
      </c>
      <c r="C4" s="117">
        <f>'Stats Global'!G5+'Stats Global'!H5</f>
        <v>6</v>
      </c>
      <c r="D4" s="117">
        <f>'Stats Global'!O5</f>
        <v>2</v>
      </c>
      <c r="E4" s="118" t="s">
        <v>46</v>
      </c>
      <c r="F4" s="118" t="s">
        <v>206</v>
      </c>
      <c r="J4" s="83"/>
      <c r="L4" s="119">
        <f>'Stats Global'!J5</f>
        <v>2</v>
      </c>
      <c r="M4" s="119">
        <f>'Stats Global'!G5</f>
        <v>0</v>
      </c>
      <c r="N4" s="85"/>
      <c r="O4" s="119">
        <f>'Stats Global'!M5</f>
        <v>3</v>
      </c>
      <c r="P4" s="119">
        <f>'Stats Global'!H5</f>
        <v>6</v>
      </c>
      <c r="R4" s="103" t="s">
        <v>61</v>
      </c>
      <c r="S4" s="93">
        <f>'Stats Global'!AA22</f>
        <v>54</v>
      </c>
      <c r="T4" s="93">
        <f>'Stats Global'!AB22</f>
        <v>2.8421052631578947</v>
      </c>
      <c r="U4" s="93">
        <f>'Stats Global'!AC22</f>
        <v>30</v>
      </c>
      <c r="V4" s="93">
        <f>'Stats Global'!AD22</f>
        <v>1.5789473684210527</v>
      </c>
      <c r="W4" s="93">
        <f>'Stats Global'!AE22</f>
        <v>10</v>
      </c>
      <c r="X4" s="93">
        <f>'Stats Global'!AF22</f>
        <v>0.52631578947368418</v>
      </c>
      <c r="Y4" s="93">
        <f>'Stats Global'!AG22</f>
        <v>7</v>
      </c>
      <c r="Z4" s="93">
        <f>'Stats Global'!AH22</f>
        <v>0.36842105263157893</v>
      </c>
      <c r="AA4" s="93">
        <f>'Stats Global'!AJ22</f>
        <v>1</v>
      </c>
      <c r="AC4" s="152" t="s">
        <v>35</v>
      </c>
      <c r="AD4" s="155">
        <f>'1707'!AC25+'1807'!AC25+'1907'!AC25+'2007'!AC25+'2407'!AC25+'2607'!AC25+'2707'!AC25+'3107'!AC25+'0108'!AC25+'0208'!AC25+'0308'!AC25+'0808'!AC25+'0908'!AC25+'1008'!AC25</f>
        <v>7</v>
      </c>
      <c r="AE4" s="155">
        <f>'1707'!AD25+'1807'!AD25+'1907'!AD25+'2007'!AD25+'2407'!AD25+'2607'!AD25+'2707'!AD25+'3107'!AD25+'0108'!AD25+'0208'!AD25+'0308'!AD25+'0808'!AD25+'0908'!AD25+'1008'!AD25</f>
        <v>7</v>
      </c>
      <c r="AF4" s="155">
        <f>'1707'!AE25+'1807'!AE25+'1907'!AE25+'2007'!AE25+'2407'!AE25+'2607'!AE25+'2707'!AE25+'3107'!AE25+'0108'!AE25+'0208'!AE25+'0308'!AE25+'0808'!AE25+'0908'!AE25+'1008'!AE25</f>
        <v>0</v>
      </c>
      <c r="AG4" s="155">
        <f>'1707'!AF25+'1807'!AF25+'1907'!AF25+'2007'!AF25+'2407'!AF25+'2607'!AF25+'2707'!AF25+'3107'!AF25+'0108'!AF25+'0208'!AF25+'0308'!AF25+'0808'!AF25+'0908'!AF25+'1008'!AF25</f>
        <v>0</v>
      </c>
      <c r="AH4" s="169">
        <f>Table3[[#This Row],[Points]]/('Stats Global'!$AA$6-'Stats Global'!$AJ$11)</f>
        <v>0.5</v>
      </c>
      <c r="AI4" s="169">
        <f>Table3[[#This Row],[Finishes]]/('Stats Global'!$AA$6-'Stats Global'!$AJ$11)</f>
        <v>0.5</v>
      </c>
      <c r="AJ4" s="169">
        <f>Table3[[#This Row],[Midranges]]/('Stats Global'!$AA$6-'Stats Global'!$AJ$11)</f>
        <v>0</v>
      </c>
      <c r="AK4" s="169">
        <f>Table3[[#This Row],[Threes]]/('Stats Global'!$AA$6-'Stats Global'!$AJ$11)</f>
        <v>0</v>
      </c>
      <c r="AL4" s="169">
        <f>'Stats Global'!AB11-Table3[[#This Row],[AVG P]]</f>
        <v>0.85714285714285721</v>
      </c>
      <c r="AM4" s="169">
        <f>'Stats Global'!AD11-Table3[[#This Row],[AVG F]]</f>
        <v>0.85714285714285721</v>
      </c>
      <c r="AN4" s="169">
        <f>'Stats Global'!AF11-Table3[[#This Row],[AVG M]]</f>
        <v>0</v>
      </c>
      <c r="AO4" s="169">
        <f>'Stats Global'!AH11-Table3[[#This Row],[AVG T]]</f>
        <v>0</v>
      </c>
    </row>
    <row r="5" spans="1:41" ht="14.35" customHeight="1" x14ac:dyDescent="0.45">
      <c r="A5" s="116" t="str">
        <f>'Stats Global'!B6</f>
        <v>12-July</v>
      </c>
      <c r="B5" s="117">
        <f>'Stats Global'!F6</f>
        <v>9</v>
      </c>
      <c r="C5" s="117">
        <f>'Stats Global'!G6+'Stats Global'!H6</f>
        <v>8</v>
      </c>
      <c r="D5" s="117">
        <f>'Stats Global'!O6</f>
        <v>2</v>
      </c>
      <c r="E5" s="118" t="s">
        <v>61</v>
      </c>
      <c r="F5" s="118" t="s">
        <v>209</v>
      </c>
      <c r="I5" s="81"/>
      <c r="J5" s="83"/>
      <c r="L5" s="119">
        <f>'Stats Global'!J6</f>
        <v>4</v>
      </c>
      <c r="M5" s="119">
        <f>'Stats Global'!G6</f>
        <v>1</v>
      </c>
      <c r="N5" s="85"/>
      <c r="O5" s="119">
        <f>'Stats Global'!M6</f>
        <v>5</v>
      </c>
      <c r="P5" s="119">
        <f>'Stats Global'!H6</f>
        <v>7</v>
      </c>
      <c r="R5" s="83" t="s">
        <v>46</v>
      </c>
      <c r="S5" s="93">
        <f>'Stats Global'!AA16</f>
        <v>39</v>
      </c>
      <c r="T5" s="93">
        <f>'Stats Global'!AB16</f>
        <v>2.1666666666666665</v>
      </c>
      <c r="U5" s="93">
        <f>'Stats Global'!AC16</f>
        <v>17</v>
      </c>
      <c r="V5" s="93">
        <f>'Stats Global'!AD16</f>
        <v>0.94444444444444442</v>
      </c>
      <c r="W5" s="93">
        <f>'Stats Global'!AE16</f>
        <v>16</v>
      </c>
      <c r="X5" s="93">
        <f>'Stats Global'!AF16</f>
        <v>0.88888888888888884</v>
      </c>
      <c r="Y5" s="93">
        <f>'Stats Global'!AG16</f>
        <v>3</v>
      </c>
      <c r="Z5" s="93">
        <f>'Stats Global'!AH16</f>
        <v>0.16666666666666666</v>
      </c>
      <c r="AA5" s="93">
        <f>'Stats Global'!AJ16</f>
        <v>2</v>
      </c>
      <c r="AC5" s="152" t="s">
        <v>37</v>
      </c>
      <c r="AD5" s="155">
        <f>'1707'!AC26+'1807'!AC26+'1907'!AC26+'2007'!AC26+'2407'!AC26+'2607'!AC26+'2707'!AC26+'3107'!AC26+'0108'!AC26+'0208'!AC26+'0308'!AC26+'0808'!AC26+'0908'!AC26+'1008'!AC26</f>
        <v>8</v>
      </c>
      <c r="AE5" s="155">
        <f>'1707'!AD26+'1807'!AD26+'1907'!AD26+'2007'!AD26+'2407'!AD26+'2607'!AD26+'2707'!AD26+'3107'!AD26+'0108'!AD26+'0208'!AD26+'0308'!AD26+'0808'!AD26+'0908'!AD26+'1008'!AD26</f>
        <v>3</v>
      </c>
      <c r="AF5" s="155">
        <f>'1707'!AE26+'1807'!AE26+'1907'!AE26+'2007'!AE26+'2407'!AE26+'2607'!AE26+'2707'!AE26+'3107'!AE26+'0108'!AE26+'0208'!AE26+'0308'!AE26+'0808'!AE26+'0908'!AE26+'1008'!AE26</f>
        <v>3</v>
      </c>
      <c r="AG5" s="155">
        <f>'1707'!AF26+'1807'!AF26+'1907'!AF26+'2007'!AF26+'2407'!AF26+'2607'!AF26+'2707'!AF26+'3107'!AF26+'0108'!AF26+'0208'!AF26+'0308'!AF26+'0808'!AF26+'0908'!AF26+'1008'!AF26</f>
        <v>1</v>
      </c>
      <c r="AH5" s="169">
        <f>Table3[[#This Row],[Points]]/('Stats Global'!$AA$6-'Stats Global'!$AJ$12)</f>
        <v>0.44444444444444442</v>
      </c>
      <c r="AI5" s="169">
        <f>Table3[[#This Row],[Finishes]]/('Stats Global'!$AA$6-'Stats Global'!$AJ$12)</f>
        <v>0.16666666666666666</v>
      </c>
      <c r="AJ5" s="169">
        <f>Table3[[#This Row],[Midranges]]/('Stats Global'!$AA$6-'Stats Global'!$AJ$12)</f>
        <v>0.16666666666666666</v>
      </c>
      <c r="AK5" s="169">
        <f>Table3[[#This Row],[Threes]]/('Stats Global'!$AA$6-'Stats Global'!$AJ$12)</f>
        <v>5.5555555555555552E-2</v>
      </c>
      <c r="AL5" s="169">
        <f>'Stats Global'!AB12-Table3[[#This Row],[AVG P]]</f>
        <v>0.66666666666666674</v>
      </c>
      <c r="AM5" s="169">
        <f>'Stats Global'!AD12-Table3[[#This Row],[AVG F]]</f>
        <v>0.33333333333333337</v>
      </c>
      <c r="AN5" s="169">
        <f>'Stats Global'!AF12-Table3[[#This Row],[AVG M]]</f>
        <v>0.22222222222222224</v>
      </c>
      <c r="AO5" s="169">
        <f>'Stats Global'!AH12-Table3[[#This Row],[AVG T]]</f>
        <v>5.5555555555555552E-2</v>
      </c>
    </row>
    <row r="6" spans="1:41" ht="14.35" customHeight="1" x14ac:dyDescent="0.45">
      <c r="A6" s="116" t="str">
        <f>'Stats Global'!B7</f>
        <v>13-July</v>
      </c>
      <c r="B6" s="117">
        <f>'Stats Global'!F7</f>
        <v>8</v>
      </c>
      <c r="C6" s="117">
        <f>'Stats Global'!G7+'Stats Global'!H7</f>
        <v>2</v>
      </c>
      <c r="D6" s="117">
        <f>'Stats Global'!O7</f>
        <v>3</v>
      </c>
      <c r="E6" s="118" t="s">
        <v>61</v>
      </c>
      <c r="F6" s="118" t="s">
        <v>61</v>
      </c>
      <c r="I6" s="81"/>
      <c r="J6" s="83"/>
      <c r="L6" s="119">
        <f>'Stats Global'!J7</f>
        <v>4</v>
      </c>
      <c r="M6" s="119">
        <f>'Stats Global'!G7</f>
        <v>2</v>
      </c>
      <c r="N6" s="85"/>
      <c r="O6" s="119">
        <f>'Stats Global'!M7</f>
        <v>4</v>
      </c>
      <c r="P6" s="119">
        <f>'Stats Global'!H7</f>
        <v>0</v>
      </c>
      <c r="R6" s="83" t="s">
        <v>58</v>
      </c>
      <c r="S6" s="93">
        <f>'Stats Global'!AA21</f>
        <v>23</v>
      </c>
      <c r="T6" s="93">
        <f>'Stats Global'!AB21</f>
        <v>1.1499999999999999</v>
      </c>
      <c r="U6" s="93">
        <f>'Stats Global'!AC21</f>
        <v>16</v>
      </c>
      <c r="V6" s="93">
        <f>'Stats Global'!AD21</f>
        <v>0.8</v>
      </c>
      <c r="W6" s="93">
        <f>'Stats Global'!AE21</f>
        <v>5</v>
      </c>
      <c r="X6" s="93">
        <f>'Stats Global'!AF21</f>
        <v>0.25</v>
      </c>
      <c r="Y6" s="93">
        <f>'Stats Global'!AG21</f>
        <v>1</v>
      </c>
      <c r="Z6" s="93">
        <f>'Stats Global'!AH21</f>
        <v>0.05</v>
      </c>
      <c r="AA6" s="93">
        <f>'Stats Global'!AJ21</f>
        <v>0</v>
      </c>
      <c r="AC6" s="152" t="s">
        <v>42</v>
      </c>
      <c r="AD6" s="155">
        <f>'1707'!AC27+'1807'!AC27+'1907'!AC27+'2007'!AC27+'2407'!AC27+'2607'!AC27+'2707'!AC27+'3107'!AC27+'0108'!AC27+'0208'!AC27+'0308'!AC27+'0808'!AC27+'0908'!AC27+'1008'!AC27</f>
        <v>4</v>
      </c>
      <c r="AE6" s="155">
        <f>'1707'!AD27+'1807'!AD27+'1907'!AD27+'2007'!AD27+'2407'!AD27+'2607'!AD27+'2707'!AD27+'3107'!AD27+'0108'!AD27+'0208'!AD27+'0308'!AD27+'0808'!AD27+'0908'!AD27+'1008'!AD27</f>
        <v>4</v>
      </c>
      <c r="AF6" s="155">
        <f>'1707'!AE27+'1807'!AE27+'1907'!AE27+'2007'!AE27+'2407'!AE27+'2607'!AE27+'2707'!AE27+'3107'!AE27+'0108'!AE27+'0208'!AE27+'0308'!AE27+'0808'!AE27+'0908'!AE27+'1008'!AE27</f>
        <v>0</v>
      </c>
      <c r="AG6" s="155">
        <f>'1707'!AF27+'1807'!AF27+'1907'!AF27+'2007'!AF27+'2407'!AF27+'2607'!AF27+'2707'!AF27+'3107'!AF27+'0108'!AF27+'0208'!AF27+'0308'!AF27+'0808'!AF27+'0908'!AF27+'1008'!AF27</f>
        <v>0</v>
      </c>
      <c r="AH6" s="169">
        <f>Table3[[#This Row],[Points]]/('Stats Global'!$AA$6-'Stats Global'!$AJ$13)</f>
        <v>0.23529411764705882</v>
      </c>
      <c r="AI6" s="169">
        <f>Table3[[#This Row],[Finishes]]/('Stats Global'!$AA$6-'Stats Global'!$AJ$13)</f>
        <v>0.23529411764705882</v>
      </c>
      <c r="AJ6" s="169">
        <f>Table3[[#This Row],[Midranges]]/('Stats Global'!$AA$6-'Stats Global'!$AJ$13)</f>
        <v>0</v>
      </c>
      <c r="AK6" s="169">
        <f>Table3[[#This Row],[Threes]]/('Stats Global'!$AA$6-'Stats Global'!$AJ$13)</f>
        <v>0</v>
      </c>
      <c r="AL6" s="169">
        <f>'Stats Global'!AB13-Table3[[#This Row],[AVG P]]</f>
        <v>0.70588235294117641</v>
      </c>
      <c r="AM6" s="169">
        <f>'Stats Global'!AD13-Table3[[#This Row],[AVG F]]</f>
        <v>0.52941176470588225</v>
      </c>
      <c r="AN6" s="169">
        <f>'Stats Global'!AF13-Table3[[#This Row],[AVG M]]</f>
        <v>0.17647058823529413</v>
      </c>
      <c r="AO6" s="169">
        <f>'Stats Global'!AH13-Table3[[#This Row],[AVG T]]</f>
        <v>0</v>
      </c>
    </row>
    <row r="7" spans="1:41" ht="14.35" customHeight="1" x14ac:dyDescent="0.45">
      <c r="A7" s="75" t="str">
        <f>'Stats Global'!B8</f>
        <v>17-July</v>
      </c>
      <c r="B7" s="82">
        <f>'Stats Global'!F8</f>
        <v>8</v>
      </c>
      <c r="C7" s="82">
        <f>'Stats Global'!G8+'Stats Global'!H8</f>
        <v>3</v>
      </c>
      <c r="D7" s="82">
        <f>'Stats Global'!O8</f>
        <v>3</v>
      </c>
      <c r="E7" s="80" t="s">
        <v>61</v>
      </c>
      <c r="F7" s="80" t="s">
        <v>61</v>
      </c>
      <c r="I7" s="81"/>
      <c r="J7" s="83"/>
      <c r="L7" s="84">
        <f>'Stats Global'!J8</f>
        <v>5</v>
      </c>
      <c r="M7" s="84">
        <f>'Stats Global'!G8</f>
        <v>0</v>
      </c>
      <c r="N7" s="85"/>
      <c r="O7" s="84">
        <f>'Stats Global'!M8</f>
        <v>3</v>
      </c>
      <c r="P7" s="84">
        <f>'Stats Global'!H8</f>
        <v>3</v>
      </c>
      <c r="R7" s="83" t="s">
        <v>25</v>
      </c>
      <c r="S7" s="93">
        <f>'Stats Global'!AA8</f>
        <v>3</v>
      </c>
      <c r="T7" s="93">
        <f>'Stats Global'!AB8</f>
        <v>0.15</v>
      </c>
      <c r="U7" s="93">
        <f>'Stats Global'!AC8</f>
        <v>0</v>
      </c>
      <c r="V7" s="93">
        <f>'Stats Global'!AD8</f>
        <v>0</v>
      </c>
      <c r="W7" s="93">
        <f>'Stats Global'!AE8</f>
        <v>3</v>
      </c>
      <c r="X7" s="93">
        <f>'Stats Global'!AF8</f>
        <v>0.15</v>
      </c>
      <c r="Y7" s="93">
        <f>'Stats Global'!AG8</f>
        <v>0</v>
      </c>
      <c r="Z7" s="93">
        <f>'Stats Global'!AH8</f>
        <v>0</v>
      </c>
      <c r="AA7" s="93">
        <f>'Stats Global'!AJ8</f>
        <v>0</v>
      </c>
      <c r="AC7" s="152" t="s">
        <v>115</v>
      </c>
      <c r="AD7" s="155">
        <f>'1707'!AC28+'1807'!AC28+'1907'!AC28+'2007'!AC28+'2407'!AC28+'2607'!AC28+'2707'!AC28+'3107'!AC28+'0108'!AC28+'0208'!AC28+'0308'!AC28+'0808'!AC28+'0908'!AC28+'1008'!AC28</f>
        <v>3</v>
      </c>
      <c r="AE7" s="155">
        <f>'1707'!AD28+'1807'!AD28+'1907'!AD28+'2007'!AD28+'2407'!AD28+'2607'!AD28+'2707'!AD28+'3107'!AD28+'0108'!AD28+'0208'!AD28+'0308'!AD28+'0808'!AD28+'0908'!AD28+'1008'!AD28</f>
        <v>2</v>
      </c>
      <c r="AF7" s="155">
        <f>'1707'!AE28+'1807'!AE28+'1907'!AE28+'2007'!AE28+'2407'!AE28+'2607'!AE28+'2707'!AE28+'3107'!AE28+'0108'!AE28+'0208'!AE28+'0308'!AE28+'0808'!AE28+'0908'!AE28+'1008'!AE28</f>
        <v>1</v>
      </c>
      <c r="AG7" s="155">
        <f>'1707'!AF28+'1807'!AF28+'1907'!AF28+'2007'!AF28+'2407'!AF28+'2607'!AF28+'2707'!AF28+'3107'!AF28+'0108'!AF28+'0208'!AF28+'0308'!AF28+'0808'!AF28+'0908'!AF28+'1008'!AF28</f>
        <v>0</v>
      </c>
      <c r="AH7" s="169">
        <f>Table3[[#This Row],[Points]]/('Stats Global'!$AA$6-'Stats Global'!$AJ$14)</f>
        <v>0.15</v>
      </c>
      <c r="AI7" s="169">
        <f>Table3[[#This Row],[Finishes]]/('Stats Global'!$AA$6-'Stats Global'!$AJ$14)</f>
        <v>0.1</v>
      </c>
      <c r="AJ7" s="169">
        <f>Table3[[#This Row],[Midranges]]/('Stats Global'!$AA$6-'Stats Global'!$AJ$14)</f>
        <v>0.05</v>
      </c>
      <c r="AK7" s="169">
        <f>Table3[[#This Row],[Threes]]/('Stats Global'!$AA$6-'Stats Global'!$AJ$14)</f>
        <v>0</v>
      </c>
      <c r="AL7" s="169">
        <f>'Stats Global'!AB14-Table3[[#This Row],[AVG P]]</f>
        <v>0.44999999999999996</v>
      </c>
      <c r="AM7" s="169">
        <f>'Stats Global'!AD14-Table3[[#This Row],[AVG F]]</f>
        <v>0.19999999999999998</v>
      </c>
      <c r="AN7" s="169">
        <f>'Stats Global'!AF14-Table3[[#This Row],[AVG M]]</f>
        <v>0.15000000000000002</v>
      </c>
      <c r="AO7" s="169">
        <f>'Stats Global'!AH14-Table3[[#This Row],[AVG T]]</f>
        <v>0.05</v>
      </c>
    </row>
    <row r="8" spans="1:41" ht="14.35" customHeight="1" x14ac:dyDescent="0.45">
      <c r="A8" s="75" t="str">
        <f>'Stats Global'!B9</f>
        <v>18-July</v>
      </c>
      <c r="B8" s="82">
        <f>'Stats Global'!F9</f>
        <v>12</v>
      </c>
      <c r="C8" s="82">
        <f>'Stats Global'!G9+'Stats Global'!H9</f>
        <v>1</v>
      </c>
      <c r="D8" s="82">
        <f>'Stats Global'!O9</f>
        <v>3</v>
      </c>
      <c r="E8" s="80" t="s">
        <v>61</v>
      </c>
      <c r="F8" s="80" t="s">
        <v>224</v>
      </c>
      <c r="I8" s="81"/>
      <c r="J8" s="83"/>
      <c r="L8" s="84">
        <f>'Stats Global'!J9</f>
        <v>6</v>
      </c>
      <c r="M8" s="84">
        <f>'Stats Global'!G9</f>
        <v>1</v>
      </c>
      <c r="N8" s="85"/>
      <c r="O8" s="84">
        <f>'Stats Global'!M9</f>
        <v>6</v>
      </c>
      <c r="P8" s="84">
        <f>'Stats Global'!H9</f>
        <v>0</v>
      </c>
      <c r="R8" s="83" t="s">
        <v>28</v>
      </c>
      <c r="S8" s="93">
        <f>'Stats Global'!AA9</f>
        <v>17</v>
      </c>
      <c r="T8" s="93">
        <f>'Stats Global'!AB9</f>
        <v>0.94444444444444442</v>
      </c>
      <c r="U8" s="93">
        <f>'Stats Global'!AC9</f>
        <v>16</v>
      </c>
      <c r="V8" s="93">
        <f>'Stats Global'!AD9</f>
        <v>0.88888888888888884</v>
      </c>
      <c r="W8" s="93">
        <f>'Stats Global'!AE9</f>
        <v>1</v>
      </c>
      <c r="X8" s="93">
        <f>'Stats Global'!AF9</f>
        <v>5.5555555555555552E-2</v>
      </c>
      <c r="Y8" s="93">
        <f>'Stats Global'!AG9</f>
        <v>0</v>
      </c>
      <c r="Z8" s="93">
        <f>'Stats Global'!AH9</f>
        <v>0</v>
      </c>
      <c r="AA8" s="93">
        <f>'Stats Global'!AJ9</f>
        <v>2</v>
      </c>
      <c r="AC8" s="152" t="s">
        <v>44</v>
      </c>
      <c r="AD8" s="155">
        <f>'1707'!AC29+'1807'!AC29+'1907'!AC29+'2007'!AC29+'2407'!AC29+'2607'!AC29+'2707'!AC29+'3107'!AC29+'0108'!AC29+'0208'!AC29+'0308'!AC29+'0808'!AC29+'0908'!AC29+'1008'!AC29</f>
        <v>5</v>
      </c>
      <c r="AE8" s="155">
        <f>'1707'!AD29+'1807'!AD29+'1907'!AD29+'2007'!AD29+'2407'!AD29+'2607'!AD29+'2707'!AD29+'3107'!AD29+'0108'!AD29+'0208'!AD29+'0308'!AD29+'0808'!AD29+'0908'!AD29+'1008'!AD29</f>
        <v>0</v>
      </c>
      <c r="AF8" s="155">
        <f>'1707'!AE29+'1807'!AE29+'1907'!AE29+'2007'!AE29+'2407'!AE29+'2607'!AE29+'2707'!AE29+'3107'!AE29+'0108'!AE29+'0208'!AE29+'0308'!AE29+'0808'!AE29+'0908'!AE29+'1008'!AE29</f>
        <v>1</v>
      </c>
      <c r="AG8" s="155">
        <f>'1707'!AF29+'1807'!AF29+'1907'!AF29+'2007'!AF29+'2407'!AF29+'2607'!AF29+'2707'!AF29+'3107'!AF29+'0108'!AF29+'0208'!AF29+'0308'!AF29+'0808'!AF29+'0908'!AF29+'1008'!AF29</f>
        <v>2</v>
      </c>
      <c r="AH8" s="169">
        <f>Table3[[#This Row],[Points]]/('Stats Global'!$AA$6-'Stats Global'!$AJ$15)</f>
        <v>0.35714285714285715</v>
      </c>
      <c r="AI8" s="169">
        <f>Table3[[#This Row],[Finishes]]/('Stats Global'!$AA$6-'Stats Global'!$AJ$15)</f>
        <v>0</v>
      </c>
      <c r="AJ8" s="169">
        <f>Table3[[#This Row],[Midranges]]/('Stats Global'!$AA$6-'Stats Global'!$AJ$15)</f>
        <v>7.1428571428571425E-2</v>
      </c>
      <c r="AK8" s="169">
        <f>Table3[[#This Row],[Threes]]/('Stats Global'!$AA$6-'Stats Global'!$AJ$15)</f>
        <v>0.14285714285714285</v>
      </c>
      <c r="AL8" s="169">
        <f>'Stats Global'!AB15-Table3[[#This Row],[AVG P]]</f>
        <v>1</v>
      </c>
      <c r="AM8" s="169">
        <f>'Stats Global'!AD15-Table3[[#This Row],[AVG F]]</f>
        <v>7.1428571428571425E-2</v>
      </c>
      <c r="AN8" s="169">
        <f>'Stats Global'!AF15-Table3[[#This Row],[AVG M]]</f>
        <v>7.1428571428571425E-2</v>
      </c>
      <c r="AO8" s="169">
        <f>'Stats Global'!AH15-Table3[[#This Row],[AVG T]]</f>
        <v>0.42857142857142855</v>
      </c>
    </row>
    <row r="9" spans="1:41" ht="14.35" customHeight="1" x14ac:dyDescent="0.45">
      <c r="A9" s="75" t="str">
        <f>'Stats Global'!B10</f>
        <v>19-July</v>
      </c>
      <c r="B9" s="82">
        <f>'Stats Global'!F10</f>
        <v>15</v>
      </c>
      <c r="C9" s="82">
        <f>'Stats Global'!G10+'Stats Global'!H10</f>
        <v>0</v>
      </c>
      <c r="D9" s="82">
        <f>'Stats Global'!O10</f>
        <v>3</v>
      </c>
      <c r="E9" s="80" t="s">
        <v>46</v>
      </c>
      <c r="F9" s="80" t="s">
        <v>61</v>
      </c>
      <c r="I9" s="81"/>
      <c r="J9" s="83"/>
      <c r="L9" s="84">
        <f>'Stats Global'!J10</f>
        <v>8</v>
      </c>
      <c r="M9" s="84">
        <f>'Stats Global'!G10</f>
        <v>0</v>
      </c>
      <c r="N9" s="85"/>
      <c r="O9" s="84">
        <f>'Stats Global'!M10</f>
        <v>7</v>
      </c>
      <c r="P9" s="84">
        <f>'Stats Global'!H10</f>
        <v>0</v>
      </c>
      <c r="R9" s="55"/>
      <c r="S9" s="39"/>
      <c r="T9" s="39"/>
      <c r="U9" s="39"/>
      <c r="V9" s="39"/>
      <c r="W9" s="39"/>
      <c r="AC9" s="152" t="s">
        <v>50</v>
      </c>
      <c r="AD9" s="155">
        <f>'1707'!AC30+'1807'!AC30+'1907'!AC30+'2007'!AC30+'2407'!AC30+'2607'!AC30+'2707'!AC30+'3107'!AC30+'0108'!AC30+'0208'!AC30+'0308'!AC30+'0808'!AC30+'0908'!AC30+'1008'!AC30</f>
        <v>23</v>
      </c>
      <c r="AE9" s="155">
        <f>'1707'!AD30+'1807'!AD30+'1907'!AD30+'2007'!AD30+'2407'!AD30+'2607'!AD30+'2707'!AD30+'3107'!AD30+'0108'!AD30+'0208'!AD30+'0308'!AD30+'0808'!AD30+'0908'!AD30+'1008'!AD30</f>
        <v>4</v>
      </c>
      <c r="AF9" s="155">
        <f>'1707'!AE30+'1807'!AE30+'1907'!AE30+'2007'!AE30+'2407'!AE30+'2607'!AE30+'2707'!AE30+'3107'!AE30+'0108'!AE30+'0208'!AE30+'0308'!AE30+'0808'!AE30+'0908'!AE30+'1008'!AE30</f>
        <v>13</v>
      </c>
      <c r="AG9" s="155">
        <f>'1707'!AF30+'1807'!AF30+'1907'!AF30+'2007'!AF30+'2407'!AF30+'2607'!AF30+'2707'!AF30+'3107'!AF30+'0108'!AF30+'0208'!AF30+'0308'!AF30+'0808'!AF30+'0908'!AF30+'1008'!AF30</f>
        <v>3</v>
      </c>
      <c r="AH9" s="169">
        <f>Table3[[#This Row],[Points]]/('Stats Global'!$AA$6-'Stats Global'!$AJ$17)</f>
        <v>1.2105263157894737</v>
      </c>
      <c r="AI9" s="169">
        <f>Table3[[#This Row],[Finishes]]/('Stats Global'!$AA$6-'Stats Global'!$AJ$17)</f>
        <v>0.21052631578947367</v>
      </c>
      <c r="AJ9" s="169">
        <f>Table3[[#This Row],[Midranges]]/('Stats Global'!$AA$6-'Stats Global'!$AJ$17)</f>
        <v>0.68421052631578949</v>
      </c>
      <c r="AK9" s="169">
        <f>Table3[[#This Row],[Threes]]/('Stats Global'!$AA$6-'Stats Global'!$AJ$17)</f>
        <v>0.15789473684210525</v>
      </c>
      <c r="AL9" s="169">
        <f>'Stats Global'!AB17-Table3[[#This Row],[AVG P]]</f>
        <v>2.2631578947368425</v>
      </c>
      <c r="AM9" s="169">
        <f>'Stats Global'!AD17-Table3[[#This Row],[AVG F]]</f>
        <v>0.63157894736842102</v>
      </c>
      <c r="AN9" s="169">
        <f>'Stats Global'!AF17-Table3[[#This Row],[AVG M]]</f>
        <v>1.4210526315789473</v>
      </c>
      <c r="AO9" s="169">
        <f>'Stats Global'!AH17-Table3[[#This Row],[AVG T]]</f>
        <v>0.10526315789473684</v>
      </c>
    </row>
    <row r="10" spans="1:41" ht="14.35" customHeight="1" x14ac:dyDescent="0.45">
      <c r="A10" s="75" t="str">
        <f>'Stats Global'!B11</f>
        <v>20-July</v>
      </c>
      <c r="B10" s="82">
        <f>'Stats Global'!F11</f>
        <v>3</v>
      </c>
      <c r="C10" s="82">
        <f>'Stats Global'!G11+'Stats Global'!H11</f>
        <v>4</v>
      </c>
      <c r="D10" s="82">
        <f>'Stats Global'!O11</f>
        <v>2</v>
      </c>
      <c r="E10" s="80" t="s">
        <v>236</v>
      </c>
      <c r="F10" s="80" t="s">
        <v>46</v>
      </c>
      <c r="I10" s="81"/>
      <c r="J10" s="83"/>
      <c r="L10" s="84">
        <f>'Stats Global'!J11</f>
        <v>2</v>
      </c>
      <c r="M10" s="84">
        <f>'Stats Global'!G11</f>
        <v>3</v>
      </c>
      <c r="N10" s="85"/>
      <c r="O10" s="84">
        <f>'Stats Global'!M11</f>
        <v>1</v>
      </c>
      <c r="P10" s="84">
        <f>'Stats Global'!H11</f>
        <v>1</v>
      </c>
      <c r="R10" s="56"/>
      <c r="S10" s="56"/>
      <c r="T10" s="39"/>
      <c r="U10" s="39"/>
      <c r="V10" s="39"/>
      <c r="W10" s="39"/>
      <c r="AC10" s="152" t="s">
        <v>52</v>
      </c>
      <c r="AD10" s="155">
        <f>'1707'!AC31+'1807'!AC31+'1907'!AC31+'2007'!AC31+'2407'!AC31+'2607'!AC31+'2707'!AC31+'3107'!AC31+'0108'!AC31+'0208'!AC31+'0308'!AC31+'0808'!AC31+'0908'!AC31+'1008'!AC31</f>
        <v>2</v>
      </c>
      <c r="AE10" s="155">
        <f>'1707'!AD31+'1807'!AD31+'1907'!AD31+'2007'!AD31+'2407'!AD31+'2607'!AD31+'2707'!AD31+'3107'!AD31+'0108'!AD31+'0208'!AD31+'0308'!AD31+'0808'!AD31+'0908'!AD31+'1008'!AD31</f>
        <v>1</v>
      </c>
      <c r="AF10" s="155">
        <f>'1707'!AE31+'1807'!AE31+'1907'!AE31+'2007'!AE31+'2407'!AE31+'2607'!AE31+'2707'!AE31+'3107'!AE31+'0108'!AE31+'0208'!AE31+'0308'!AE31+'0808'!AE31+'0908'!AE31+'1008'!AE31</f>
        <v>1</v>
      </c>
      <c r="AG10" s="155">
        <f>'1707'!AF31+'1807'!AF31+'1907'!AF31+'2007'!AF31+'2407'!AF31+'2607'!AF31+'2707'!AF31+'3107'!AF31+'0108'!AF31+'0208'!AF31+'0308'!AF31+'0808'!AF31+'0908'!AF31+'1008'!AF31</f>
        <v>0</v>
      </c>
      <c r="AH10" s="169">
        <f>Table3[[#This Row],[Points]]/('Stats Global'!$AA$6-'Stats Global'!$AJ$18)</f>
        <v>0.1</v>
      </c>
      <c r="AI10" s="169">
        <f>Table3[[#This Row],[Finishes]]/('Stats Global'!$AA$6-'Stats Global'!$AJ$18)</f>
        <v>0.05</v>
      </c>
      <c r="AJ10" s="169">
        <f>Table3[[#This Row],[Midranges]]/('Stats Global'!$AA$6-'Stats Global'!$AJ$18)</f>
        <v>0.05</v>
      </c>
      <c r="AK10" s="169">
        <f>Table3[[#This Row],[Threes]]/('Stats Global'!$AA$6-'Stats Global'!$AJ$18)</f>
        <v>0</v>
      </c>
      <c r="AL10" s="169">
        <f>'Stats Global'!AB18-Table3[[#This Row],[AVG P]]</f>
        <v>0.45000000000000007</v>
      </c>
      <c r="AM10" s="169">
        <f>'Stats Global'!AD18-Table3[[#This Row],[AVG F]]</f>
        <v>9.9999999999999992E-2</v>
      </c>
      <c r="AN10" s="169">
        <f>'Stats Global'!AF18-Table3[[#This Row],[AVG M]]</f>
        <v>0.35000000000000003</v>
      </c>
      <c r="AO10" s="169">
        <f>'Stats Global'!AH18-Table3[[#This Row],[AVG T]]</f>
        <v>0</v>
      </c>
    </row>
    <row r="11" spans="1:41" ht="14.35" customHeight="1" x14ac:dyDescent="0.45">
      <c r="A11" s="75" t="str">
        <f>'Stats Global'!B12</f>
        <v>24-July</v>
      </c>
      <c r="B11" s="82">
        <f>'Stats Global'!F12</f>
        <v>1</v>
      </c>
      <c r="C11" s="82">
        <f>'Stats Global'!G12+'Stats Global'!H12</f>
        <v>5</v>
      </c>
      <c r="D11" s="82">
        <f>'Stats Global'!O12</f>
        <v>2</v>
      </c>
      <c r="E11" s="80" t="s">
        <v>46</v>
      </c>
      <c r="F11" s="80" t="s">
        <v>207</v>
      </c>
      <c r="I11" s="81"/>
      <c r="J11" s="83"/>
      <c r="L11" s="84">
        <f>'Stats Global'!J12</f>
        <v>1</v>
      </c>
      <c r="M11" s="84">
        <f>'Stats Global'!G12</f>
        <v>0</v>
      </c>
      <c r="N11" s="85"/>
      <c r="O11" s="84">
        <f>'Stats Global'!M12</f>
        <v>0</v>
      </c>
      <c r="P11" s="84">
        <f>'Stats Global'!H12</f>
        <v>5</v>
      </c>
      <c r="R11" s="53"/>
      <c r="S11" s="54"/>
      <c r="T11" s="56"/>
      <c r="U11" s="56"/>
      <c r="V11" s="56"/>
      <c r="W11" s="56"/>
      <c r="AC11" s="152" t="s">
        <v>200</v>
      </c>
      <c r="AD11" s="155">
        <f>'1707'!AC32+'1807'!AC32+'1907'!AC32+'2007'!AC32+'2407'!AC32+'2607'!AC32+'2707'!AC32+'3107'!AC32+'0108'!AC32+'0208'!AC32+'0308'!AC32+'0808'!AC32+'0908'!AC32+'1008'!AC32</f>
        <v>1</v>
      </c>
      <c r="AE11" s="155">
        <f>'1707'!AD32+'1807'!AD32+'1907'!AD32+'2007'!AD32+'2407'!AD32+'2607'!AD32+'2707'!AD32+'3107'!AD32+'0108'!AD32+'0208'!AD32+'0308'!AD32+'0808'!AD32+'0908'!AD32+'1008'!AD32</f>
        <v>0</v>
      </c>
      <c r="AF11" s="155">
        <f>'1707'!AE32+'1807'!AE32+'1907'!AE32+'2007'!AE32+'2407'!AE32+'2607'!AE32+'2707'!AE32+'3107'!AE32+'0108'!AE32+'0208'!AE32+'0308'!AE32+'0808'!AE32+'0908'!AE32+'1008'!AE32</f>
        <v>1</v>
      </c>
      <c r="AG11" s="155">
        <f>'1707'!AF32+'1807'!AF32+'1907'!AF32+'2007'!AF32+'2407'!AF32+'2607'!AF32+'2707'!AF32+'3107'!AF32+'0108'!AF32+'0208'!AF32+'0308'!AF32+'0808'!AF32+'0908'!AF32+'1008'!AF32</f>
        <v>0</v>
      </c>
      <c r="AH11" s="169">
        <f>Table3[[#This Row],[Points]]/('Stats Global'!$AA$6-'Stats Global'!$AJ$19)</f>
        <v>0.16666666666666666</v>
      </c>
      <c r="AI11" s="169">
        <f>Table3[[#This Row],[Finishes]]/('Stats Global'!$AA$6-'Stats Global'!$AJ$19)</f>
        <v>0</v>
      </c>
      <c r="AJ11" s="169">
        <f>Table3[[#This Row],[Midranges]]/('Stats Global'!$AA$6-'Stats Global'!$AJ$19)</f>
        <v>0.16666666666666666</v>
      </c>
      <c r="AK11" s="169">
        <f>Table3[[#This Row],[Threes]]/('Stats Global'!$AA$6-'Stats Global'!$AJ$19)</f>
        <v>0</v>
      </c>
      <c r="AL11" s="169">
        <f>'Stats Global'!AB19-Table3[[#This Row],[AVG P]]</f>
        <v>0</v>
      </c>
      <c r="AM11" s="169">
        <f>'Stats Global'!AD19-Table3[[#This Row],[AVG F]]</f>
        <v>0</v>
      </c>
      <c r="AN11" s="169">
        <f>'Stats Global'!AF19-Table3[[#This Row],[AVG M]]</f>
        <v>0</v>
      </c>
      <c r="AO11" s="169">
        <f>'Stats Global'!AH19-Table3[[#This Row],[AVG T]]</f>
        <v>0</v>
      </c>
    </row>
    <row r="12" spans="1:41" ht="14.35" customHeight="1" x14ac:dyDescent="0.45">
      <c r="A12" s="75" t="str">
        <f>'Stats Global'!B13</f>
        <v>26-July</v>
      </c>
      <c r="B12" s="82">
        <f>'Stats Global'!F13</f>
        <v>6</v>
      </c>
      <c r="C12" s="82">
        <f>'Stats Global'!G13+'Stats Global'!H13</f>
        <v>5</v>
      </c>
      <c r="D12" s="82">
        <f>'Stats Global'!O13</f>
        <v>2</v>
      </c>
      <c r="E12" s="80" t="s">
        <v>61</v>
      </c>
      <c r="F12" s="80" t="s">
        <v>242</v>
      </c>
      <c r="I12" s="81"/>
      <c r="J12" s="83"/>
      <c r="L12" s="84">
        <f>'Stats Global'!J13</f>
        <v>2</v>
      </c>
      <c r="M12" s="84">
        <f>'Stats Global'!G13</f>
        <v>2</v>
      </c>
      <c r="N12" s="85"/>
      <c r="O12" s="84">
        <f>'Stats Global'!M13</f>
        <v>4</v>
      </c>
      <c r="P12" s="84">
        <f>'Stats Global'!H13</f>
        <v>3</v>
      </c>
      <c r="R12" s="56"/>
      <c r="S12" s="56"/>
      <c r="T12" s="54"/>
      <c r="U12" s="54"/>
      <c r="V12" s="54"/>
      <c r="W12" s="54"/>
      <c r="AC12" s="152" t="s">
        <v>55</v>
      </c>
      <c r="AD12" s="155">
        <f>'1707'!AC33+'1807'!AC33+'1907'!AC33+'2007'!AC33+'2407'!AC33+'2607'!AC33+'2707'!AC33+'3107'!AC33+'0108'!AC33+'0208'!AC33+'0308'!AC33+'0808'!AC33+'0908'!AC33+'1008'!AC33</f>
        <v>4</v>
      </c>
      <c r="AE12" s="155">
        <f>'1707'!AD33+'1807'!AD33+'1907'!AD33+'2007'!AD33+'2407'!AD33+'2607'!AD33+'2707'!AD33+'3107'!AD33+'0108'!AD33+'0208'!AD33+'0308'!AD33+'0808'!AD33+'0908'!AD33+'1008'!AD33</f>
        <v>3</v>
      </c>
      <c r="AF12" s="155">
        <f>'1707'!AE33+'1807'!AE33+'1907'!AE33+'2007'!AE33+'2407'!AE33+'2607'!AE33+'2707'!AE33+'3107'!AE33+'0108'!AE33+'0208'!AE33+'0308'!AE33+'0808'!AE33+'0908'!AE33+'1008'!AE33</f>
        <v>1</v>
      </c>
      <c r="AG12" s="155">
        <f>'1707'!AF33+'1807'!AF33+'1907'!AF33+'2007'!AF33+'2407'!AF33+'2607'!AF33+'2707'!AF33+'3107'!AF33+'0108'!AF33+'0208'!AF33+'0308'!AF33+'0808'!AF33+'0908'!AF33+'1008'!AF33</f>
        <v>0</v>
      </c>
      <c r="AH12" s="169">
        <f>Table3[[#This Row],[Points]]/('Stats Global'!$AA$6-'Stats Global'!$AJ$20)</f>
        <v>0.23529411764705882</v>
      </c>
      <c r="AI12" s="169">
        <f>Table3[[#This Row],[Finishes]]/('Stats Global'!$AA$6-'Stats Global'!$AJ$20)</f>
        <v>0.17647058823529413</v>
      </c>
      <c r="AJ12" s="169">
        <f>Table3[[#This Row],[Midranges]]/('Stats Global'!$AA$6-'Stats Global'!$AJ$20)</f>
        <v>5.8823529411764705E-2</v>
      </c>
      <c r="AK12" s="169">
        <f>Table3[[#This Row],[Threes]]/('Stats Global'!$AA$6-'Stats Global'!$AJ$20)</f>
        <v>0</v>
      </c>
      <c r="AL12" s="169">
        <f>'Stats Global'!AB20-Table3[[#This Row],[AVG P]]</f>
        <v>0.58823529411764697</v>
      </c>
      <c r="AM12" s="169">
        <f>'Stats Global'!AD20-Table3[[#This Row],[AVG F]]</f>
        <v>0.3529411764705882</v>
      </c>
      <c r="AN12" s="169">
        <f>'Stats Global'!AF20-Table3[[#This Row],[AVG M]]</f>
        <v>0</v>
      </c>
      <c r="AO12" s="169">
        <f>'Stats Global'!AH20-Table3[[#This Row],[AVG T]]</f>
        <v>0.11764705882352941</v>
      </c>
    </row>
    <row r="13" spans="1:41" ht="14.35" customHeight="1" x14ac:dyDescent="0.45">
      <c r="A13" s="75" t="str">
        <f>'Stats Global'!B14</f>
        <v>27-July</v>
      </c>
      <c r="B13" s="82">
        <f>'Stats Global'!F14</f>
        <v>3</v>
      </c>
      <c r="C13" s="82">
        <f>'Stats Global'!G14+'Stats Global'!H14</f>
        <v>5</v>
      </c>
      <c r="D13" s="82">
        <f>'Stats Global'!O14</f>
        <v>2</v>
      </c>
      <c r="E13" s="80" t="s">
        <v>252</v>
      </c>
      <c r="F13" s="80" t="s">
        <v>61</v>
      </c>
      <c r="J13" s="83"/>
      <c r="L13" s="84">
        <f>'Stats Global'!J14</f>
        <v>2</v>
      </c>
      <c r="M13" s="84">
        <f>'Stats Global'!G14</f>
        <v>1</v>
      </c>
      <c r="N13" s="85"/>
      <c r="O13" s="84">
        <f>'Stats Global'!M14</f>
        <v>1</v>
      </c>
      <c r="P13" s="84">
        <f>'Stats Global'!H14</f>
        <v>4</v>
      </c>
      <c r="R13" s="56"/>
      <c r="S13" s="56"/>
      <c r="T13" s="56"/>
      <c r="U13" s="56"/>
      <c r="V13" s="56"/>
      <c r="W13" s="56"/>
      <c r="AC13" s="152" t="s">
        <v>64</v>
      </c>
      <c r="AD13" s="155">
        <f>'1707'!AC34+'1807'!AC34+'1907'!AC34+'2007'!AC34+'2407'!AC34+'2607'!AC34+'2707'!AC34+'3107'!AC34+'0108'!AC34+'0208'!AC34+'0308'!AC34+'0808'!AC34+'0908'!AC34+'1008'!AC34</f>
        <v>0</v>
      </c>
      <c r="AE13" s="155">
        <f>'1707'!AD34+'1807'!AD34+'1907'!AD34+'2007'!AD34+'2407'!AD34+'2607'!AD34+'2707'!AD34+'3107'!AD34+'0108'!AD34+'0208'!AD34+'0308'!AD34+'0808'!AD34+'0908'!AD34+'1008'!AD34</f>
        <v>0</v>
      </c>
      <c r="AF13" s="155">
        <f>'1707'!AE34+'1807'!AE34+'1907'!AE34+'2007'!AE34+'2407'!AE34+'2607'!AE34+'2707'!AE34+'3107'!AE34+'0108'!AE34+'0208'!AE34+'0308'!AE34+'0808'!AE34+'0908'!AE34+'1008'!AE34</f>
        <v>0</v>
      </c>
      <c r="AG13" s="155">
        <f>'1707'!AF34+'1807'!AF34+'1907'!AF34+'2007'!AF34+'2407'!AF34+'2607'!AF34+'2707'!AF34+'3107'!AF34+'0108'!AF34+'0208'!AF34+'0308'!AF34+'0808'!AF34+'0908'!AF34+'1008'!AF34</f>
        <v>0</v>
      </c>
      <c r="AH13" s="169">
        <f>Table3[[#This Row],[Points]]/('Stats Global'!$AA$6-'Stats Global'!$AJ$23)</f>
        <v>0</v>
      </c>
      <c r="AI13" s="169">
        <f>Table3[[#This Row],[Finishes]]/('Stats Global'!$AA$6-'Stats Global'!$AJ$23)</f>
        <v>0</v>
      </c>
      <c r="AJ13" s="169">
        <f>Table3[[#This Row],[Midranges]]/('Stats Global'!$AA$6-'Stats Global'!$AJ$23)</f>
        <v>0</v>
      </c>
      <c r="AK13" s="169">
        <f>Table3[[#This Row],[Threes]]/('Stats Global'!$AA$6-'Stats Global'!$AJ$23)</f>
        <v>0</v>
      </c>
      <c r="AL13" s="169">
        <f>'Stats Global'!AB23-Table3[[#This Row],[AVG P]]</f>
        <v>0.05</v>
      </c>
      <c r="AM13" s="169">
        <f>'Stats Global'!AD23-Table3[[#This Row],[AVG F]]</f>
        <v>0</v>
      </c>
      <c r="AN13" s="169">
        <f>'Stats Global'!AF23-Table3[[#This Row],[AVG M]]</f>
        <v>0.05</v>
      </c>
      <c r="AO13" s="169">
        <f>'Stats Global'!AH23-Table3[[#This Row],[AVG T]]</f>
        <v>0</v>
      </c>
    </row>
    <row r="14" spans="1:41" ht="14.35" customHeight="1" x14ac:dyDescent="0.45">
      <c r="A14" s="75" t="str">
        <f>'Stats Global'!B15</f>
        <v>31-July</v>
      </c>
      <c r="B14" s="82">
        <f>'Stats Global'!F15</f>
        <v>9</v>
      </c>
      <c r="C14" s="82">
        <f>'Stats Global'!G15+'Stats Global'!H15</f>
        <v>3</v>
      </c>
      <c r="D14" s="82">
        <f>'Stats Global'!O15</f>
        <v>3</v>
      </c>
      <c r="E14" s="80" t="s">
        <v>61</v>
      </c>
      <c r="F14" s="80" t="s">
        <v>46</v>
      </c>
      <c r="J14" s="83"/>
      <c r="L14" s="84">
        <f>'Stats Global'!J15</f>
        <v>4</v>
      </c>
      <c r="M14" s="84">
        <f>'Stats Global'!G15</f>
        <v>2</v>
      </c>
      <c r="N14" s="85"/>
      <c r="O14" s="84">
        <f>'Stats Global'!M15</f>
        <v>5</v>
      </c>
      <c r="P14" s="84">
        <f>'Stats Global'!H15</f>
        <v>1</v>
      </c>
      <c r="R14" s="56"/>
      <c r="S14" s="56"/>
      <c r="T14" s="56"/>
      <c r="U14" s="56"/>
      <c r="V14" s="56"/>
      <c r="W14" s="56"/>
      <c r="AC14" s="153" t="s">
        <v>67</v>
      </c>
      <c r="AD14" s="155">
        <f>'1707'!AC35+'1807'!AC35+'1907'!AC35+'2007'!AC35+'2407'!AC35+'2607'!AC35+'2707'!AC35+'3107'!AC35+'0108'!AC35+'0208'!AC35+'0308'!AC35+'0808'!AC35+'0908'!AC35+'1008'!AC35</f>
        <v>3</v>
      </c>
      <c r="AE14" s="155">
        <f>'1707'!AD35+'1807'!AD35+'1907'!AD35+'2007'!AD35+'2407'!AD35+'2607'!AD35+'2707'!AD35+'3107'!AD35+'0108'!AD35+'0208'!AD35+'0308'!AD35+'0808'!AD35+'0908'!AD35+'1008'!AD35</f>
        <v>3</v>
      </c>
      <c r="AF14" s="155">
        <f>'1707'!AE35+'1807'!AE35+'1907'!AE35+'2007'!AE35+'2407'!AE35+'2607'!AE35+'2707'!AE35+'3107'!AE35+'0108'!AE35+'0208'!AE35+'0308'!AE35+'0808'!AE35+'0908'!AE35+'1008'!AE35</f>
        <v>0</v>
      </c>
      <c r="AG14" s="155">
        <f>'1707'!AF35+'1807'!AF35+'1907'!AF35+'2007'!AF35+'2407'!AF35+'2607'!AF35+'2707'!AF35+'3107'!AF35+'0108'!AF35+'0208'!AF35+'0308'!AF35+'0808'!AF35+'0908'!AF35+'1008'!AF35</f>
        <v>0</v>
      </c>
      <c r="AH14" s="170">
        <f>Table3[[#This Row],[Points]]/('Stats Global'!$AA$6-'Stats Global'!$AJ$24)</f>
        <v>0.23076923076923078</v>
      </c>
      <c r="AI14" s="170">
        <f>Table3[[#This Row],[Finishes]]/('Stats Global'!$AA$6-'Stats Global'!$AJ$24)</f>
        <v>0.23076923076923078</v>
      </c>
      <c r="AJ14" s="170">
        <f>Table3[[#This Row],[Midranges]]/('Stats Global'!$AA$6-'Stats Global'!$AJ$24)</f>
        <v>0</v>
      </c>
      <c r="AK14" s="170">
        <f>Table3[[#This Row],[Threes]]/('Stats Global'!$AA$6-'Stats Global'!$AJ$24)</f>
        <v>0</v>
      </c>
      <c r="AL14" s="170">
        <f>'Stats Global'!AB24-Table3[[#This Row],[AVG P]]</f>
        <v>0.23076923076923078</v>
      </c>
      <c r="AM14" s="170">
        <f>'Stats Global'!AD24-Table3[[#This Row],[AVG F]]</f>
        <v>7.6923076923076927E-2</v>
      </c>
      <c r="AN14" s="170">
        <f>'Stats Global'!AF24-Table3[[#This Row],[AVG M]]</f>
        <v>0</v>
      </c>
      <c r="AO14" s="170">
        <f>'Stats Global'!AH24-Table3[[#This Row],[AVG T]]</f>
        <v>7.6923076923076927E-2</v>
      </c>
    </row>
    <row r="15" spans="1:41" ht="14.35" customHeight="1" x14ac:dyDescent="0.45">
      <c r="A15" s="75" t="str">
        <f>'Stats Global'!B16</f>
        <v>1-August</v>
      </c>
      <c r="B15" s="82">
        <f>'Stats Global'!F16</f>
        <v>3</v>
      </c>
      <c r="C15" s="82">
        <f>'Stats Global'!G16+'Stats Global'!H16</f>
        <v>6</v>
      </c>
      <c r="D15" s="82">
        <f>'Stats Global'!O16</f>
        <v>1</v>
      </c>
      <c r="E15" s="80" t="s">
        <v>61</v>
      </c>
      <c r="F15" s="80" t="s">
        <v>262</v>
      </c>
      <c r="J15" s="83"/>
      <c r="L15" s="84">
        <f>'Stats Global'!J16</f>
        <v>1</v>
      </c>
      <c r="M15" s="84">
        <f>'Stats Global'!G16</f>
        <v>3</v>
      </c>
      <c r="N15" s="85"/>
      <c r="O15" s="84">
        <f>'Stats Global'!M16</f>
        <v>2</v>
      </c>
      <c r="P15" s="84">
        <f>'Stats Global'!H16</f>
        <v>3</v>
      </c>
      <c r="R15" s="56"/>
      <c r="S15" s="56"/>
      <c r="T15" s="56"/>
      <c r="U15" s="56"/>
      <c r="V15" s="56"/>
      <c r="W15" s="56"/>
    </row>
    <row r="16" spans="1:41" ht="14.35" customHeight="1" x14ac:dyDescent="0.45">
      <c r="A16" s="75" t="str">
        <f>'Stats Global'!B17</f>
        <v>2-August</v>
      </c>
      <c r="B16" s="82">
        <f>'Stats Global'!F17</f>
        <v>4</v>
      </c>
      <c r="C16" s="82">
        <f>'Stats Global'!G17+'Stats Global'!H17</f>
        <v>11</v>
      </c>
      <c r="D16" s="82">
        <f>'Stats Global'!O17</f>
        <v>1</v>
      </c>
      <c r="E16" s="80" t="s">
        <v>207</v>
      </c>
      <c r="F16" s="80" t="s">
        <v>58</v>
      </c>
      <c r="J16" s="83"/>
      <c r="L16" s="84">
        <f>'Stats Global'!J17</f>
        <v>4</v>
      </c>
      <c r="M16" s="84">
        <f>'Stats Global'!G17</f>
        <v>3</v>
      </c>
      <c r="N16" s="85"/>
      <c r="O16" s="84">
        <f>'Stats Global'!M17</f>
        <v>0</v>
      </c>
      <c r="P16" s="84">
        <f>'Stats Global'!H17</f>
        <v>8</v>
      </c>
      <c r="R16" s="56"/>
      <c r="S16" s="56"/>
      <c r="T16" s="56"/>
      <c r="U16" s="56"/>
      <c r="V16" s="56"/>
      <c r="W16" s="56"/>
    </row>
    <row r="17" spans="1:23" ht="14.35" customHeight="1" x14ac:dyDescent="0.45">
      <c r="A17" s="75" t="str">
        <f>'Stats Global'!B18</f>
        <v>3-August</v>
      </c>
      <c r="B17" s="82">
        <f>'Stats Global'!F18</f>
        <v>7</v>
      </c>
      <c r="C17" s="82">
        <f>'Stats Global'!G18+'Stats Global'!H18</f>
        <v>2</v>
      </c>
      <c r="D17" s="82">
        <f>'Stats Global'!O18</f>
        <v>3</v>
      </c>
      <c r="E17" s="146" t="s">
        <v>61</v>
      </c>
      <c r="F17" s="146" t="s">
        <v>61</v>
      </c>
      <c r="J17" s="83"/>
      <c r="L17" s="84">
        <f>'Stats Global'!J18</f>
        <v>3</v>
      </c>
      <c r="M17" s="84">
        <f>'Stats Global'!G18</f>
        <v>2</v>
      </c>
      <c r="N17" s="85"/>
      <c r="O17" s="84">
        <f>'Stats Global'!M18</f>
        <v>4</v>
      </c>
      <c r="P17" s="84">
        <f>'Stats Global'!H18</f>
        <v>0</v>
      </c>
      <c r="T17" s="56"/>
      <c r="U17" s="56"/>
      <c r="V17" s="56"/>
      <c r="W17" s="56"/>
    </row>
    <row r="18" spans="1:23" ht="14.35" customHeight="1" x14ac:dyDescent="0.45">
      <c r="A18" s="75" t="str">
        <f>'Stats Global'!B19</f>
        <v>8-August</v>
      </c>
      <c r="B18" s="82">
        <f>'Stats Global'!F19</f>
        <v>1</v>
      </c>
      <c r="C18" s="82">
        <f>'Stats Global'!G19+'Stats Global'!H19</f>
        <v>9</v>
      </c>
      <c r="D18" s="82">
        <f>'Stats Global'!O19</f>
        <v>1</v>
      </c>
      <c r="E18" s="148" t="s">
        <v>207</v>
      </c>
      <c r="F18" s="148" t="s">
        <v>58</v>
      </c>
      <c r="J18" s="83"/>
      <c r="L18" s="84">
        <f>'Stats Global'!J19</f>
        <v>0</v>
      </c>
      <c r="M18" s="84">
        <f>'Stats Global'!G19</f>
        <v>1</v>
      </c>
      <c r="N18" s="85"/>
      <c r="O18" s="84">
        <f>'Stats Global'!M19</f>
        <v>1</v>
      </c>
      <c r="P18" s="84">
        <f>'Stats Global'!H19</f>
        <v>8</v>
      </c>
    </row>
    <row r="19" spans="1:23" ht="14.35" customHeight="1" x14ac:dyDescent="0.45">
      <c r="A19" s="75" t="str">
        <f>'Stats Global'!B20</f>
        <v>9-August</v>
      </c>
      <c r="B19" s="82">
        <f>'Stats Global'!F20</f>
        <v>3</v>
      </c>
      <c r="C19" s="82">
        <f>'Stats Global'!G20+'Stats Global'!H20</f>
        <v>5</v>
      </c>
      <c r="D19" s="82">
        <f>'Stats Global'!O20</f>
        <v>2</v>
      </c>
      <c r="E19" s="151" t="s">
        <v>61</v>
      </c>
      <c r="F19" s="151" t="s">
        <v>271</v>
      </c>
      <c r="J19" s="83"/>
      <c r="L19" s="84">
        <f>'Stats Global'!J20</f>
        <v>1</v>
      </c>
      <c r="M19" s="84">
        <f>'Stats Global'!G20</f>
        <v>1</v>
      </c>
      <c r="N19" s="85"/>
      <c r="O19" s="84">
        <f>'Stats Global'!M20</f>
        <v>2</v>
      </c>
      <c r="P19" s="84">
        <f>'Stats Global'!H20</f>
        <v>4</v>
      </c>
    </row>
    <row r="20" spans="1:23" ht="14.35" customHeight="1" x14ac:dyDescent="0.45">
      <c r="A20" s="75" t="str">
        <f>'Stats Global'!B21</f>
        <v>10-August</v>
      </c>
      <c r="B20" s="82">
        <f>'Stats Global'!F21</f>
        <v>10</v>
      </c>
      <c r="C20" s="82">
        <f>'Stats Global'!G21+'Stats Global'!H21</f>
        <v>6</v>
      </c>
      <c r="D20" s="82">
        <f>'Stats Global'!O21</f>
        <v>2</v>
      </c>
      <c r="E20" s="173" t="s">
        <v>61</v>
      </c>
      <c r="F20" s="173" t="s">
        <v>46</v>
      </c>
      <c r="J20" s="83"/>
      <c r="L20" s="84">
        <f>'Stats Global'!J21</f>
        <v>4</v>
      </c>
      <c r="M20" s="84">
        <f>'Stats Global'!G21</f>
        <v>6</v>
      </c>
      <c r="N20" s="85"/>
      <c r="O20" s="84">
        <f>'Stats Global'!M21</f>
        <v>4</v>
      </c>
      <c r="P20" s="84">
        <f>'Stats Global'!H21</f>
        <v>0</v>
      </c>
    </row>
    <row r="21" spans="1:23" ht="14.35" customHeight="1" x14ac:dyDescent="0.45">
      <c r="A21" s="75" t="str">
        <f>'Stats Global'!B22</f>
        <v>14-August</v>
      </c>
      <c r="B21" s="82">
        <f>'Stats Global'!F22</f>
        <v>2</v>
      </c>
      <c r="C21" s="82">
        <f>'Stats Global'!G22+'Stats Global'!H22</f>
        <v>5</v>
      </c>
      <c r="D21" s="82">
        <f>'Stats Global'!O22</f>
        <v>1</v>
      </c>
      <c r="E21" s="80" t="s">
        <v>61</v>
      </c>
      <c r="F21" s="80" t="s">
        <v>46</v>
      </c>
      <c r="J21" s="83"/>
      <c r="L21" s="84">
        <f>'Stats Global'!J22</f>
        <v>1</v>
      </c>
      <c r="M21" s="84">
        <f>'Stats Global'!G22</f>
        <v>2</v>
      </c>
      <c r="N21" s="85"/>
      <c r="O21" s="84">
        <f>'Stats Global'!M22</f>
        <v>1</v>
      </c>
      <c r="P21" s="84">
        <f>'Stats Global'!H22</f>
        <v>3</v>
      </c>
    </row>
    <row r="22" spans="1:23" ht="14.35" customHeight="1" x14ac:dyDescent="0.45">
      <c r="A22" s="75" t="str">
        <f>'Stats Global'!B23</f>
        <v>15-August</v>
      </c>
      <c r="B22" s="82">
        <f>'Stats Global'!F23</f>
        <v>5</v>
      </c>
      <c r="C22" s="82">
        <f>'Stats Global'!G23+'Stats Global'!H23</f>
        <v>13</v>
      </c>
      <c r="D22" s="82">
        <f>'Stats Global'!O23</f>
        <v>1</v>
      </c>
      <c r="E22" s="80" t="s">
        <v>207</v>
      </c>
      <c r="F22" s="80" t="s">
        <v>58</v>
      </c>
      <c r="H22" s="87"/>
      <c r="J22" s="83"/>
      <c r="L22" s="84">
        <f>'Stats Global'!J23</f>
        <v>0</v>
      </c>
      <c r="M22" s="84">
        <f>'Stats Global'!G23</f>
        <v>5</v>
      </c>
      <c r="N22" s="85"/>
      <c r="O22" s="84">
        <f>'Stats Global'!M23</f>
        <v>5</v>
      </c>
      <c r="P22" s="84">
        <f>'Stats Global'!H23</f>
        <v>8</v>
      </c>
    </row>
    <row r="23" spans="1:23" ht="14.35" customHeight="1" x14ac:dyDescent="0.45">
      <c r="A23" s="75" t="str">
        <f>'Stats Global'!B24</f>
        <v>17-August</v>
      </c>
      <c r="B23" s="82">
        <f>'Stats Global'!F24</f>
        <v>4</v>
      </c>
      <c r="C23" s="82">
        <f>'Stats Global'!G24+'Stats Global'!H24</f>
        <v>6</v>
      </c>
      <c r="D23" s="82">
        <f>'Stats Global'!O24</f>
        <v>1</v>
      </c>
      <c r="E23" s="185" t="s">
        <v>61</v>
      </c>
      <c r="F23" s="186" t="s">
        <v>46</v>
      </c>
      <c r="H23" s="87"/>
      <c r="J23" s="83"/>
      <c r="L23" s="84">
        <f>'Stats Global'!J24</f>
        <v>2</v>
      </c>
      <c r="M23" s="84">
        <f>'Stats Global'!G24</f>
        <v>3</v>
      </c>
      <c r="N23" s="85"/>
      <c r="O23" s="84">
        <f>'Stats Global'!M24</f>
        <v>2</v>
      </c>
      <c r="P23" s="84">
        <f>'Stats Global'!H24</f>
        <v>3</v>
      </c>
    </row>
    <row r="24" spans="1:23" ht="14.35" customHeight="1" x14ac:dyDescent="0.45">
      <c r="A24" s="75" t="str">
        <f>'Stats Global'!B25</f>
        <v>21-August</v>
      </c>
      <c r="B24" s="82">
        <f>'Stats Global'!F25</f>
        <v>6</v>
      </c>
      <c r="C24" s="82">
        <f>'Stats Global'!G25+'Stats Global'!H25</f>
        <v>7</v>
      </c>
      <c r="D24" s="82">
        <f>'Stats Global'!O25</f>
        <v>4</v>
      </c>
      <c r="E24" s="86"/>
      <c r="F24" s="80"/>
      <c r="H24" s="87"/>
      <c r="J24" s="83"/>
      <c r="L24" s="84">
        <f>'Stats Global'!J25</f>
        <v>3</v>
      </c>
      <c r="M24" s="84">
        <f>'Stats Global'!G25</f>
        <v>2</v>
      </c>
      <c r="N24" s="85"/>
      <c r="O24" s="84">
        <f>'Stats Global'!M25</f>
        <v>3</v>
      </c>
      <c r="P24" s="84">
        <f>'Stats Global'!H25</f>
        <v>5</v>
      </c>
    </row>
    <row r="25" spans="1:23" ht="14.35" customHeight="1" x14ac:dyDescent="0.45">
      <c r="A25" s="75" t="str">
        <f>'Stats Global'!B26</f>
        <v>22-August</v>
      </c>
      <c r="B25" s="82">
        <f>'Stats Global'!F26</f>
        <v>12</v>
      </c>
      <c r="C25" s="82">
        <f>'Stats Global'!G26+'Stats Global'!H26</f>
        <v>2</v>
      </c>
      <c r="D25" s="82">
        <f>'Stats Global'!O26</f>
        <v>6</v>
      </c>
      <c r="E25" s="86"/>
      <c r="F25" s="80"/>
      <c r="J25" s="83"/>
      <c r="L25" s="84">
        <f>'Stats Global'!J26</f>
        <v>6</v>
      </c>
      <c r="M25" s="84">
        <f>'Stats Global'!G26</f>
        <v>1</v>
      </c>
      <c r="N25" s="85"/>
      <c r="O25" s="84">
        <f>'Stats Global'!M26</f>
        <v>6</v>
      </c>
      <c r="P25" s="84">
        <f>'Stats Global'!H26</f>
        <v>1</v>
      </c>
    </row>
    <row r="26" spans="1:23" ht="14.35" customHeight="1" x14ac:dyDescent="0.45">
      <c r="A26" s="75" t="str">
        <f>'Stats Global'!B27</f>
        <v>23-August</v>
      </c>
      <c r="B26" s="82">
        <f>'Stats Global'!F27</f>
        <v>11</v>
      </c>
      <c r="C26" s="82">
        <f>'Stats Global'!G27+'Stats Global'!H27</f>
        <v>5</v>
      </c>
      <c r="D26" s="82">
        <f>'Stats Global'!O27</f>
        <v>6</v>
      </c>
      <c r="E26" s="80"/>
      <c r="F26" s="80"/>
      <c r="J26" s="83"/>
      <c r="L26" s="84">
        <f>'Stats Global'!J27</f>
        <v>5</v>
      </c>
      <c r="M26" s="84">
        <f>'Stats Global'!G27</f>
        <v>2</v>
      </c>
      <c r="N26" s="85"/>
      <c r="O26" s="84">
        <f>'Stats Global'!M27</f>
        <v>6</v>
      </c>
      <c r="P26" s="84">
        <f>'Stats Global'!H27</f>
        <v>3</v>
      </c>
    </row>
    <row r="27" spans="1:23" ht="14.35" customHeight="1" x14ac:dyDescent="0.45">
      <c r="A27" s="75">
        <f>'Stats Global'!B28</f>
        <v>0</v>
      </c>
      <c r="B27" s="82">
        <f>'Stats Global'!F28</f>
        <v>0</v>
      </c>
      <c r="C27" s="82">
        <f>'Stats Global'!G28+'Stats Global'!H28</f>
        <v>0</v>
      </c>
      <c r="D27" s="82">
        <f>'Stats Global'!O28</f>
        <v>0</v>
      </c>
      <c r="E27" s="80"/>
      <c r="F27" s="80"/>
      <c r="J27" s="83"/>
      <c r="L27" s="84">
        <f>'Stats Global'!J28</f>
        <v>0</v>
      </c>
      <c r="M27" s="84">
        <f>'Stats Global'!G28</f>
        <v>0</v>
      </c>
      <c r="N27" s="85"/>
      <c r="O27" s="84">
        <f>'Stats Global'!M28</f>
        <v>0</v>
      </c>
      <c r="P27" s="84">
        <f>'Stats Global'!H28</f>
        <v>0</v>
      </c>
    </row>
    <row r="28" spans="1:23" ht="14.35" customHeight="1" x14ac:dyDescent="0.45">
      <c r="A28" s="75">
        <f>'Stats Global'!B29</f>
        <v>0</v>
      </c>
      <c r="B28" s="82">
        <f>'Stats Global'!F29</f>
        <v>0</v>
      </c>
      <c r="C28" s="82">
        <f>'Stats Global'!G29+'Stats Global'!H29</f>
        <v>0</v>
      </c>
      <c r="D28" s="82">
        <f>'Stats Global'!O29</f>
        <v>0</v>
      </c>
      <c r="E28" s="80"/>
      <c r="F28" s="80"/>
      <c r="J28" s="83"/>
      <c r="L28" s="84">
        <f>'Stats Global'!J29</f>
        <v>0</v>
      </c>
      <c r="M28" s="84">
        <f>'Stats Global'!G29</f>
        <v>0</v>
      </c>
      <c r="N28" s="85"/>
      <c r="O28" s="84">
        <f>'Stats Global'!M29</f>
        <v>0</v>
      </c>
      <c r="P28" s="84">
        <f>'Stats Global'!H29</f>
        <v>0</v>
      </c>
    </row>
    <row r="29" spans="1:23" ht="14.35" customHeight="1" x14ac:dyDescent="0.45">
      <c r="A29" s="75">
        <f>'Stats Global'!B30</f>
        <v>0</v>
      </c>
      <c r="B29" s="82">
        <f>'Stats Global'!F30</f>
        <v>0</v>
      </c>
      <c r="C29" s="82">
        <f>'Stats Global'!G30+'Stats Global'!H30</f>
        <v>0</v>
      </c>
      <c r="D29" s="82">
        <f>'Stats Global'!O30</f>
        <v>0</v>
      </c>
      <c r="E29" s="80"/>
      <c r="F29" s="80"/>
      <c r="J29" s="83"/>
      <c r="L29" s="84">
        <f>'Stats Global'!J30</f>
        <v>0</v>
      </c>
      <c r="M29" s="84">
        <f>'Stats Global'!G30</f>
        <v>0</v>
      </c>
      <c r="N29" s="85"/>
      <c r="O29" s="84">
        <f>'Stats Global'!M30</f>
        <v>0</v>
      </c>
      <c r="P29" s="84">
        <f>'Stats Global'!H30</f>
        <v>0</v>
      </c>
    </row>
    <row r="30" spans="1:23" ht="14.35" customHeight="1" x14ac:dyDescent="0.45">
      <c r="A30" s="75">
        <f>'Stats Global'!B31</f>
        <v>0</v>
      </c>
      <c r="B30" s="82">
        <f>'Stats Global'!F31</f>
        <v>0</v>
      </c>
      <c r="C30" s="82">
        <f>'Stats Global'!G31+'Stats Global'!H31</f>
        <v>0</v>
      </c>
      <c r="D30" s="82">
        <f>'Stats Global'!O31</f>
        <v>0</v>
      </c>
      <c r="E30" s="80"/>
      <c r="F30" s="80"/>
      <c r="L30" s="84">
        <f>'Stats Global'!J31</f>
        <v>0</v>
      </c>
      <c r="M30" s="84">
        <f>'Stats Global'!G31</f>
        <v>0</v>
      </c>
      <c r="N30" s="85"/>
      <c r="O30" s="84">
        <f>'Stats Global'!M31</f>
        <v>0</v>
      </c>
      <c r="P30" s="84">
        <f>'Stats Global'!H31</f>
        <v>0</v>
      </c>
    </row>
    <row r="31" spans="1:23" ht="14.35" customHeight="1" x14ac:dyDescent="0.45">
      <c r="A31" s="75">
        <f>'Stats Global'!B32</f>
        <v>0</v>
      </c>
      <c r="B31" s="82">
        <f>'Stats Global'!F32</f>
        <v>0</v>
      </c>
      <c r="C31" s="82">
        <f>'Stats Global'!G32+'Stats Global'!H32</f>
        <v>0</v>
      </c>
      <c r="D31" s="82">
        <f>'Stats Global'!O32</f>
        <v>0</v>
      </c>
      <c r="E31" s="80"/>
      <c r="F31" s="80"/>
      <c r="L31" s="84">
        <f>'Stats Global'!J32</f>
        <v>0</v>
      </c>
      <c r="M31" s="84">
        <f>'Stats Global'!G32</f>
        <v>0</v>
      </c>
      <c r="N31" s="85"/>
      <c r="O31" s="84">
        <f>'Stats Global'!M32</f>
        <v>0</v>
      </c>
      <c r="P31" s="84">
        <f>'Stats Global'!H32</f>
        <v>0</v>
      </c>
    </row>
    <row r="32" spans="1:23" ht="14.35" customHeight="1" x14ac:dyDescent="0.45">
      <c r="A32" s="75">
        <f>'Stats Global'!B33</f>
        <v>0</v>
      </c>
      <c r="B32" s="82">
        <f>'Stats Global'!F33</f>
        <v>0</v>
      </c>
      <c r="C32" s="82">
        <f>'Stats Global'!G33+'Stats Global'!H33</f>
        <v>0</v>
      </c>
      <c r="D32" s="82">
        <f>'Stats Global'!O33</f>
        <v>0</v>
      </c>
      <c r="E32" s="80"/>
      <c r="F32" s="80"/>
      <c r="L32" s="84">
        <f>'Stats Global'!J33</f>
        <v>0</v>
      </c>
      <c r="M32" s="84">
        <f>'Stats Global'!G33</f>
        <v>0</v>
      </c>
      <c r="N32" s="85"/>
      <c r="O32" s="84">
        <f>'Stats Global'!M33</f>
        <v>0</v>
      </c>
      <c r="P32" s="84">
        <f>'Stats Global'!H33</f>
        <v>0</v>
      </c>
    </row>
    <row r="33" spans="1:16" ht="14.35" customHeight="1" x14ac:dyDescent="0.45">
      <c r="A33" s="75">
        <f>'Stats Global'!B34</f>
        <v>0</v>
      </c>
      <c r="B33" s="82">
        <f>'Stats Global'!F34</f>
        <v>0</v>
      </c>
      <c r="C33" s="82">
        <f>'Stats Global'!G34+'Stats Global'!H34</f>
        <v>0</v>
      </c>
      <c r="D33" s="82">
        <f>'Stats Global'!O34</f>
        <v>0</v>
      </c>
      <c r="E33" s="80"/>
      <c r="F33" s="80"/>
      <c r="L33" s="84">
        <f>'Stats Global'!J34</f>
        <v>0</v>
      </c>
      <c r="M33" s="84">
        <f>'Stats Global'!G34</f>
        <v>0</v>
      </c>
      <c r="N33" s="85"/>
      <c r="O33" s="84">
        <f>'Stats Global'!M34</f>
        <v>0</v>
      </c>
      <c r="P33" s="84">
        <f>'Stats Global'!H34</f>
        <v>0</v>
      </c>
    </row>
    <row r="34" spans="1:16" ht="14.25" customHeight="1" x14ac:dyDescent="0.45">
      <c r="A34" s="75">
        <f>'Stats Global'!B35</f>
        <v>0</v>
      </c>
      <c r="B34" s="82">
        <f>'Stats Global'!F35</f>
        <v>0</v>
      </c>
      <c r="C34" s="82">
        <f>'Stats Global'!G35+'Stats Global'!H35</f>
        <v>0</v>
      </c>
      <c r="D34" s="82">
        <f>'Stats Global'!O35</f>
        <v>0</v>
      </c>
      <c r="E34" s="80"/>
      <c r="F34" s="80"/>
      <c r="L34" s="84">
        <f>'Stats Global'!J35</f>
        <v>0</v>
      </c>
      <c r="M34" s="84">
        <f>'Stats Global'!G35</f>
        <v>0</v>
      </c>
      <c r="N34" s="85"/>
      <c r="O34" s="84">
        <f>'Stats Global'!M35</f>
        <v>0</v>
      </c>
      <c r="P34" s="84">
        <f>'Stats Global'!H35</f>
        <v>0</v>
      </c>
    </row>
    <row r="35" spans="1:16" ht="14.25" customHeight="1" x14ac:dyDescent="0.45">
      <c r="A35" s="75">
        <f>'Stats Global'!B36</f>
        <v>0</v>
      </c>
      <c r="B35" s="82">
        <f>'Stats Global'!F36</f>
        <v>0</v>
      </c>
      <c r="C35" s="82">
        <f>'Stats Global'!G36+'Stats Global'!H36</f>
        <v>0</v>
      </c>
      <c r="D35" s="82">
        <f>'Stats Global'!O36</f>
        <v>0</v>
      </c>
      <c r="E35" s="80"/>
      <c r="F35" s="80"/>
      <c r="L35" s="84">
        <f>'Stats Global'!J36</f>
        <v>0</v>
      </c>
      <c r="M35" s="84">
        <f>'Stats Global'!G36</f>
        <v>0</v>
      </c>
      <c r="N35" s="85"/>
      <c r="O35" s="84">
        <f>'Stats Global'!M36</f>
        <v>0</v>
      </c>
      <c r="P35" s="84">
        <f>'Stats Global'!H36</f>
        <v>0</v>
      </c>
    </row>
    <row r="36" spans="1:16" ht="14.25" customHeight="1" x14ac:dyDescent="0.45">
      <c r="A36" s="75">
        <f>'Stats Global'!B37</f>
        <v>0</v>
      </c>
      <c r="B36" s="82">
        <f>'Stats Global'!F37</f>
        <v>0</v>
      </c>
      <c r="C36" s="82">
        <f>'Stats Global'!G37+'Stats Global'!H37</f>
        <v>0</v>
      </c>
      <c r="D36" s="82">
        <f>'Stats Global'!O37</f>
        <v>0</v>
      </c>
      <c r="E36" s="80"/>
      <c r="F36" s="80"/>
      <c r="L36" s="84">
        <f>'Stats Global'!J37</f>
        <v>0</v>
      </c>
      <c r="M36" s="84">
        <f>'Stats Global'!G37</f>
        <v>0</v>
      </c>
      <c r="N36" s="85"/>
      <c r="O36" s="84">
        <f>'Stats Global'!M37</f>
        <v>0</v>
      </c>
      <c r="P36" s="84">
        <f>'Stats Global'!H37</f>
        <v>0</v>
      </c>
    </row>
    <row r="37" spans="1:16" ht="14.25" customHeight="1" x14ac:dyDescent="0.45">
      <c r="A37" s="75">
        <f>'Stats Global'!B38</f>
        <v>0</v>
      </c>
      <c r="B37" s="82">
        <f>'Stats Global'!F38</f>
        <v>0</v>
      </c>
      <c r="C37" s="82">
        <f>'Stats Global'!G38+'Stats Global'!H38</f>
        <v>0</v>
      </c>
      <c r="D37" s="82">
        <f>'Stats Global'!O38</f>
        <v>0</v>
      </c>
      <c r="E37" s="80"/>
      <c r="F37" s="80"/>
      <c r="L37" s="84">
        <f>'Stats Global'!J38</f>
        <v>0</v>
      </c>
      <c r="M37" s="84">
        <f>'Stats Global'!G38</f>
        <v>0</v>
      </c>
      <c r="N37" s="85"/>
      <c r="O37" s="84">
        <f>'Stats Global'!M38</f>
        <v>0</v>
      </c>
      <c r="P37" s="84">
        <f>'Stats Global'!H38</f>
        <v>0</v>
      </c>
    </row>
    <row r="38" spans="1:16" ht="14.25" customHeight="1" x14ac:dyDescent="0.45">
      <c r="A38" s="75">
        <f>'Stats Global'!B39</f>
        <v>0</v>
      </c>
      <c r="B38" s="82">
        <f>'Stats Global'!F39</f>
        <v>0</v>
      </c>
      <c r="C38" s="82">
        <f>'Stats Global'!G39+'Stats Global'!H39</f>
        <v>0</v>
      </c>
      <c r="D38" s="82">
        <f>'Stats Global'!O39</f>
        <v>0</v>
      </c>
      <c r="E38" s="80"/>
      <c r="F38" s="80"/>
      <c r="L38" s="84">
        <f>'Stats Global'!J39</f>
        <v>0</v>
      </c>
      <c r="M38" s="84">
        <f>'Stats Global'!G39</f>
        <v>0</v>
      </c>
      <c r="N38" s="85"/>
      <c r="O38" s="84">
        <f>'Stats Global'!M39</f>
        <v>0</v>
      </c>
      <c r="P38" s="84">
        <f>'Stats Global'!H39</f>
        <v>0</v>
      </c>
    </row>
    <row r="39" spans="1:16" ht="14.25" customHeight="1" x14ac:dyDescent="0.45">
      <c r="A39" s="75">
        <f>'Stats Global'!B40</f>
        <v>0</v>
      </c>
      <c r="B39" s="82">
        <f>'Stats Global'!F40</f>
        <v>0</v>
      </c>
      <c r="C39" s="82">
        <f>'Stats Global'!G40+'Stats Global'!H40</f>
        <v>0</v>
      </c>
      <c r="D39" s="82">
        <f>'Stats Global'!O40</f>
        <v>0</v>
      </c>
      <c r="E39" s="80"/>
      <c r="F39" s="80"/>
      <c r="L39" s="84">
        <f>'Stats Global'!J40</f>
        <v>0</v>
      </c>
      <c r="M39" s="84">
        <f>'Stats Global'!G40</f>
        <v>0</v>
      </c>
      <c r="N39" s="85"/>
      <c r="O39" s="84">
        <f>'Stats Global'!M40</f>
        <v>0</v>
      </c>
      <c r="P39" s="84">
        <f>'Stats Global'!H40</f>
        <v>0</v>
      </c>
    </row>
    <row r="40" spans="1:16" ht="14.25" customHeight="1" x14ac:dyDescent="0.45">
      <c r="A40" s="75">
        <f>'Stats Global'!B41</f>
        <v>0</v>
      </c>
      <c r="B40" s="82">
        <f>'Stats Global'!F41</f>
        <v>0</v>
      </c>
      <c r="C40" s="82">
        <f>'Stats Global'!G41+'Stats Global'!H41</f>
        <v>0</v>
      </c>
      <c r="D40" s="82">
        <f>'Stats Global'!O41</f>
        <v>0</v>
      </c>
      <c r="E40" s="80"/>
      <c r="F40" s="80"/>
      <c r="L40" s="84">
        <f>'Stats Global'!J41</f>
        <v>0</v>
      </c>
      <c r="M40" s="84">
        <f>'Stats Global'!G41</f>
        <v>0</v>
      </c>
      <c r="N40" s="85"/>
      <c r="O40" s="84">
        <f>'Stats Global'!M41</f>
        <v>0</v>
      </c>
      <c r="P40" s="84">
        <f>'Stats Global'!H41</f>
        <v>0</v>
      </c>
    </row>
    <row r="41" spans="1:16" ht="14.25" customHeight="1" x14ac:dyDescent="0.45">
      <c r="C41" s="113">
        <f>SUM(B7:B40)/SUM(B7:C40)</f>
        <v>0.54824561403508776</v>
      </c>
      <c r="J41" s="83"/>
      <c r="K41" s="81" t="s">
        <v>94</v>
      </c>
      <c r="L41" s="97">
        <f>SUM(L7:L40)</f>
        <v>60</v>
      </c>
      <c r="M41" s="97">
        <f>SUM(M7:M40)</f>
        <v>40</v>
      </c>
      <c r="N41" s="83"/>
      <c r="O41" s="97">
        <f>SUM(O7:O40)</f>
        <v>63</v>
      </c>
      <c r="P41" s="97">
        <f>SUM(P7:P40)</f>
        <v>63</v>
      </c>
    </row>
    <row r="42" spans="1:16" ht="14.25" customHeight="1" x14ac:dyDescent="0.45">
      <c r="L42" s="88">
        <f>L41/(M41+L41)</f>
        <v>0.6</v>
      </c>
      <c r="O42" s="88">
        <f>O41/(P41+O41)</f>
        <v>0.5</v>
      </c>
    </row>
    <row r="43" spans="1:16" ht="14.25" customHeight="1" x14ac:dyDescent="0.45">
      <c r="I43" s="89" t="str">
        <f>K43&amp;H3&amp;","&amp;I3&amp;","&amp;J3&amp;"],"</f>
        <v>"PartA":[125,103,49],</v>
      </c>
      <c r="K43" s="76" t="s">
        <v>135</v>
      </c>
      <c r="M43" s="76" t="s">
        <v>139</v>
      </c>
      <c r="O43" s="90">
        <f>ROUND((SUM('Stats Global'!AA8,'Stats Global'!AA9,'Stats Global'!AA16,'Stats Global'!AA21,'Stats Global'!AA22))/'Stats Global'!AA6,1)</f>
        <v>6.8</v>
      </c>
    </row>
    <row r="44" spans="1:16" ht="14.25" customHeight="1" x14ac:dyDescent="0.45">
      <c r="I44" s="76" t="str">
        <f>K44&amp;M44&amp;","&amp;CHAR(34)&amp;N44&amp;CHAR(34)&amp;","&amp;M45&amp;","&amp;CHAR(34)&amp;N45&amp;CHAR(34)&amp;","&amp;M46&amp;","&amp;CHAR(34)&amp;N46&amp;CHAR(34)&amp;","&amp;M47&amp;","&amp;CHAR(34)&amp;N47&amp;CHAR(34)&amp;"],"</f>
        <v>"PartB":[54,"Angus Walker",30,"Angus Walker",16,"William Kim",7,"Angus Walker"],</v>
      </c>
      <c r="K44" s="76" t="s">
        <v>136</v>
      </c>
      <c r="M44" s="91">
        <f>MAX(Table1114[Points])</f>
        <v>54</v>
      </c>
      <c r="N44" s="76" t="str">
        <f>IF(M44&lt;&gt;0,IF(M44=S4,R4,IF(M44=S5,R5,IF(S6=M44,R6,IF(S7=M44,R7,R8)))),"N/A")</f>
        <v>Angus Walker</v>
      </c>
      <c r="O44" s="90">
        <f>ROUND(SUM('Stats Global'!AC8,'Stats Global'!AC9,'Stats Global'!AC16,'Stats Global'!AC21,'Stats Global'!AC22)/'Stats Global'!AA6,1)</f>
        <v>4</v>
      </c>
    </row>
    <row r="45" spans="1:16" ht="14.25" customHeight="1" x14ac:dyDescent="0.45">
      <c r="I45" s="76" t="str">
        <f>K45&amp;O43&amp;","&amp;O44&amp;","&amp;O45&amp;","&amp;O46&amp;","&amp;O47&amp;","&amp;O48&amp;"],"</f>
        <v>"PartC":[6.8,4,1.8,0.6,6.3,5.2],</v>
      </c>
      <c r="K45" s="76" t="s">
        <v>137</v>
      </c>
      <c r="M45" s="91">
        <f>MAX(Table1114[Finishes])</f>
        <v>30</v>
      </c>
      <c r="N45" s="98" t="str">
        <f>IF(M45&lt;&gt;0,IF(M45=U4,R4,IF(M45=U5,R5,IF(U6=M45,R6,IF(U7=M45,R7,R8)))),"N/A")</f>
        <v>Angus Walker</v>
      </c>
      <c r="O45" s="90">
        <f>ROUND(SUM('Stats Global'!AE8,'Stats Global'!AE9,'Stats Global'!AE16,'Stats Global'!AE21,'Stats Global'!AE22)/'Stats Global'!AA6,1)</f>
        <v>1.8</v>
      </c>
    </row>
    <row r="46" spans="1:16" ht="14.25" customHeight="1" x14ac:dyDescent="0.45">
      <c r="I46" s="76" t="str">
        <f>K46&amp;L41&amp;","&amp;M41&amp;","&amp;ROUND(L42*100,1)&amp;","&amp;O41&amp;","&amp;P41&amp;","&amp;ROUND(O42*100,1)&amp;"],"</f>
        <v>"PartD":[60,40,60,63,63,50],</v>
      </c>
      <c r="K46" s="76" t="s">
        <v>138</v>
      </c>
      <c r="M46" s="91">
        <f>MAX(Table1114[Midranges])</f>
        <v>16</v>
      </c>
      <c r="N46" s="98" t="str">
        <f>IF(M46&lt;&gt;0,IF(M46=W4,R4,IF(M46=W5,R5,IF(W6=M46,R6,IF(W7=M46,R7,R8)))),"N/A")</f>
        <v>William Kim</v>
      </c>
      <c r="O46" s="90">
        <f>ROUND(SUM('Stats Global'!AG8,'Stats Global'!AG9,'Stats Global'!AG16,'Stats Global'!AG21,'Stats Global'!AG22)/'Stats Global'!AA6,1)</f>
        <v>0.6</v>
      </c>
    </row>
    <row r="47" spans="1:16" ht="14.25" customHeight="1" x14ac:dyDescent="0.45">
      <c r="M47" s="91">
        <f>MAX(Table1114[Threes])</f>
        <v>7</v>
      </c>
      <c r="N47" s="76" t="str">
        <f>IF(M47&lt;&gt;0,IF(M47=Y4,R4,IF(M47=Y5,R5,IF(Y6=M47,R6,IF(Y7=M47,R7,R8)))),"N/A")</f>
        <v>Angus Walker</v>
      </c>
      <c r="O47" s="76">
        <f>ROUND(H3/'Stats Global'!AA6,1)</f>
        <v>6.3</v>
      </c>
    </row>
    <row r="48" spans="1:16" ht="14.25" customHeight="1" x14ac:dyDescent="0.45">
      <c r="O48" s="76">
        <f>ROUND(I3/'Stats Global'!AA6,1)</f>
        <v>5.2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L3:AO14">
    <cfRule type="cellIs" dxfId="2" priority="1" operator="equal">
      <formula>AH3</formula>
    </cfRule>
    <cfRule type="cellIs" dxfId="1" priority="2" operator="lessThan">
      <formula>AH3</formula>
    </cfRule>
    <cfRule type="cellIs" dxfId="0" priority="3" operator="greaterThan">
      <formula>AH3</formula>
    </cfRule>
  </conditionalFormatting>
  <pageMargins left="0.7" right="0.7" top="0.75" bottom="0.75" header="0" footer="0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6" workbookViewId="0">
      <selection activeCell="J43" sqref="J43:J46"/>
    </sheetView>
  </sheetViews>
  <sheetFormatPr defaultColWidth="14.3984375" defaultRowHeight="15" customHeight="1" x14ac:dyDescent="0.45"/>
  <cols>
    <col min="1" max="32" width="8.73046875" style="76" customWidth="1"/>
    <col min="33" max="16384" width="14.3984375" style="76"/>
  </cols>
  <sheetData>
    <row r="1" spans="1:24" ht="14.25" customHeight="1" x14ac:dyDescent="0.45"/>
    <row r="2" spans="1:24" ht="14.25" customHeight="1" x14ac:dyDescent="0.45">
      <c r="B2" s="77" t="s">
        <v>95</v>
      </c>
      <c r="H2" s="81" t="s">
        <v>90</v>
      </c>
      <c r="I2" s="81" t="s">
        <v>91</v>
      </c>
      <c r="J2" s="56" t="s">
        <v>92</v>
      </c>
      <c r="L2" s="81" t="s">
        <v>87</v>
      </c>
      <c r="N2" s="56"/>
      <c r="O2" s="98" t="s">
        <v>192</v>
      </c>
      <c r="X2" s="56"/>
    </row>
    <row r="3" spans="1:24" ht="14.25" customHeight="1" x14ac:dyDescent="0.45">
      <c r="A3" s="79" t="s">
        <v>72</v>
      </c>
      <c r="B3" s="79" t="s">
        <v>88</v>
      </c>
      <c r="C3" s="79" t="s">
        <v>89</v>
      </c>
      <c r="D3" s="79" t="s">
        <v>0</v>
      </c>
      <c r="E3" s="80" t="s">
        <v>140</v>
      </c>
      <c r="F3" s="80" t="s">
        <v>141</v>
      </c>
      <c r="H3" s="81">
        <f>SUM(B7:B40)</f>
        <v>77</v>
      </c>
      <c r="I3" s="81">
        <f>SUM(C7:C40)</f>
        <v>126</v>
      </c>
      <c r="J3" s="78">
        <f>SUM(D7:D40)</f>
        <v>39</v>
      </c>
      <c r="L3" s="81" t="s">
        <v>88</v>
      </c>
      <c r="M3" s="81" t="s">
        <v>89</v>
      </c>
      <c r="N3" s="78"/>
      <c r="O3" s="99" t="s">
        <v>4</v>
      </c>
      <c r="P3" s="100" t="s">
        <v>0</v>
      </c>
      <c r="Q3" s="100" t="s">
        <v>85</v>
      </c>
      <c r="R3" s="101" t="s">
        <v>1</v>
      </c>
      <c r="S3" s="102" t="s">
        <v>80</v>
      </c>
      <c r="T3" s="102" t="s">
        <v>2</v>
      </c>
      <c r="U3" s="102" t="s">
        <v>117</v>
      </c>
      <c r="V3" s="101" t="s">
        <v>3</v>
      </c>
      <c r="W3" s="102" t="s">
        <v>118</v>
      </c>
      <c r="X3" s="102" t="s">
        <v>120</v>
      </c>
    </row>
    <row r="4" spans="1:24" ht="14.25" customHeight="1" x14ac:dyDescent="0.45">
      <c r="A4" s="116" t="str">
        <f>'Stats Global'!B5</f>
        <v>11-July</v>
      </c>
      <c r="B4" s="117">
        <f>'Stats Global'!I5</f>
        <v>0</v>
      </c>
      <c r="C4" s="117">
        <f>'Stats Global'!J5+'Stats Global'!K5</f>
        <v>8</v>
      </c>
      <c r="D4" s="117">
        <f>'Stats Global'!P5</f>
        <v>1</v>
      </c>
      <c r="E4" s="118" t="s">
        <v>207</v>
      </c>
      <c r="F4" s="118" t="s">
        <v>207</v>
      </c>
      <c r="L4" s="119">
        <f>'Stats Global'!N5</f>
        <v>0</v>
      </c>
      <c r="M4" s="119">
        <f>'Stats Global'!K5</f>
        <v>6</v>
      </c>
      <c r="N4" s="85"/>
      <c r="O4" s="83" t="s">
        <v>35</v>
      </c>
      <c r="P4" s="93">
        <f>'Stats Global'!AA11</f>
        <v>19</v>
      </c>
      <c r="Q4" s="93">
        <f>'Stats Global'!AB11</f>
        <v>1.3571428571428572</v>
      </c>
      <c r="R4" s="93">
        <f>'Stats Global'!AC11</f>
        <v>19</v>
      </c>
      <c r="S4" s="93">
        <f>'Stats Global'!AD11</f>
        <v>1.3571428571428572</v>
      </c>
      <c r="T4" s="93">
        <f>'Stats Global'!AE11</f>
        <v>0</v>
      </c>
      <c r="U4" s="93">
        <f>'Stats Global'!AF11</f>
        <v>0</v>
      </c>
      <c r="V4" s="93">
        <f>'Stats Global'!AG11</f>
        <v>0</v>
      </c>
      <c r="W4" s="93">
        <f>'Stats Global'!AH11</f>
        <v>0</v>
      </c>
      <c r="X4" s="93">
        <f>'Stats Global'!AJ11</f>
        <v>6</v>
      </c>
    </row>
    <row r="5" spans="1:24" ht="14.25" customHeight="1" x14ac:dyDescent="0.45">
      <c r="A5" s="116" t="str">
        <f>'Stats Global'!B6</f>
        <v>12-July</v>
      </c>
      <c r="B5" s="117">
        <f>'Stats Global'!I6</f>
        <v>2</v>
      </c>
      <c r="C5" s="117">
        <f>'Stats Global'!J6+'Stats Global'!K6</f>
        <v>12</v>
      </c>
      <c r="D5" s="117">
        <f>'Stats Global'!P6</f>
        <v>1</v>
      </c>
      <c r="E5" s="118" t="s">
        <v>42</v>
      </c>
      <c r="F5" s="118" t="s">
        <v>52</v>
      </c>
      <c r="J5" s="83"/>
      <c r="L5" s="119">
        <f>'Stats Global'!N6</f>
        <v>1</v>
      </c>
      <c r="M5" s="119">
        <f>'Stats Global'!K6</f>
        <v>8</v>
      </c>
      <c r="N5" s="85"/>
      <c r="O5" s="83" t="s">
        <v>37</v>
      </c>
      <c r="P5" s="93">
        <f>'Stats Global'!AA12</f>
        <v>20</v>
      </c>
      <c r="Q5" s="93">
        <f>'Stats Global'!AB12</f>
        <v>1.1111111111111112</v>
      </c>
      <c r="R5" s="93">
        <f>'Stats Global'!AC12</f>
        <v>9</v>
      </c>
      <c r="S5" s="93">
        <f>'Stats Global'!AD12</f>
        <v>0.5</v>
      </c>
      <c r="T5" s="93">
        <f>'Stats Global'!AE12</f>
        <v>7</v>
      </c>
      <c r="U5" s="93">
        <f>'Stats Global'!AF12</f>
        <v>0.3888888888888889</v>
      </c>
      <c r="V5" s="93">
        <f>'Stats Global'!AG12</f>
        <v>2</v>
      </c>
      <c r="W5" s="93">
        <f>'Stats Global'!AH12</f>
        <v>0.1111111111111111</v>
      </c>
      <c r="X5" s="93">
        <f>'Stats Global'!AJ12</f>
        <v>2</v>
      </c>
    </row>
    <row r="6" spans="1:24" ht="14.25" customHeight="1" x14ac:dyDescent="0.45">
      <c r="A6" s="116" t="str">
        <f>'Stats Global'!B7</f>
        <v>13-July</v>
      </c>
      <c r="B6" s="117">
        <f>'Stats Global'!I7</f>
        <v>4</v>
      </c>
      <c r="C6" s="117">
        <f>'Stats Global'!J7+'Stats Global'!K7</f>
        <v>5</v>
      </c>
      <c r="D6" s="117">
        <f>'Stats Global'!P7</f>
        <v>2</v>
      </c>
      <c r="E6" s="118" t="s">
        <v>214</v>
      </c>
      <c r="F6" s="118" t="s">
        <v>215</v>
      </c>
      <c r="I6" s="81"/>
      <c r="J6" s="83"/>
      <c r="L6" s="119">
        <f>'Stats Global'!N7</f>
        <v>2</v>
      </c>
      <c r="M6" s="119">
        <f>'Stats Global'!K7</f>
        <v>1</v>
      </c>
      <c r="N6" s="85"/>
      <c r="O6" s="83" t="s">
        <v>55</v>
      </c>
      <c r="P6" s="93">
        <f>'Stats Global'!AA20</f>
        <v>14</v>
      </c>
      <c r="Q6" s="93">
        <f>'Stats Global'!AB20</f>
        <v>0.82352941176470584</v>
      </c>
      <c r="R6" s="93">
        <f>'Stats Global'!AC20</f>
        <v>9</v>
      </c>
      <c r="S6" s="93">
        <f>'Stats Global'!AD20</f>
        <v>0.52941176470588236</v>
      </c>
      <c r="T6" s="93">
        <f>'Stats Global'!AE20</f>
        <v>1</v>
      </c>
      <c r="U6" s="93">
        <f>'Stats Global'!AF20</f>
        <v>5.8823529411764705E-2</v>
      </c>
      <c r="V6" s="93">
        <f>'Stats Global'!AG20</f>
        <v>2</v>
      </c>
      <c r="W6" s="93">
        <f>'Stats Global'!AH20</f>
        <v>0.11764705882352941</v>
      </c>
      <c r="X6" s="93">
        <f>'Stats Global'!AJ20</f>
        <v>3</v>
      </c>
    </row>
    <row r="7" spans="1:24" ht="14.25" customHeight="1" x14ac:dyDescent="0.45">
      <c r="A7" s="75" t="str">
        <f>'Stats Global'!B8</f>
        <v>17-July</v>
      </c>
      <c r="B7" s="82">
        <f>'Stats Global'!I8</f>
        <v>2</v>
      </c>
      <c r="C7" s="82">
        <f>'Stats Global'!J8+'Stats Global'!K8</f>
        <v>5</v>
      </c>
      <c r="D7" s="82">
        <f>'Stats Global'!P8</f>
        <v>1</v>
      </c>
      <c r="E7" s="80" t="s">
        <v>207</v>
      </c>
      <c r="F7" s="80" t="s">
        <v>52</v>
      </c>
      <c r="I7" s="81"/>
      <c r="J7" s="83"/>
      <c r="L7" s="84">
        <f>'Stats Global'!N8</f>
        <v>2</v>
      </c>
      <c r="M7" s="84">
        <f>'Stats Global'!K8</f>
        <v>0</v>
      </c>
      <c r="N7" s="85"/>
      <c r="O7" s="83" t="s">
        <v>52</v>
      </c>
      <c r="P7" s="93">
        <f>'Stats Global'!AA18</f>
        <v>11</v>
      </c>
      <c r="Q7" s="93">
        <f>'Stats Global'!AB18</f>
        <v>0.55000000000000004</v>
      </c>
      <c r="R7" s="93">
        <f>'Stats Global'!AC18</f>
        <v>3</v>
      </c>
      <c r="S7" s="93">
        <f>'Stats Global'!AD18</f>
        <v>0.15</v>
      </c>
      <c r="T7" s="93">
        <f>'Stats Global'!AE18</f>
        <v>8</v>
      </c>
      <c r="U7" s="93">
        <f>'Stats Global'!AF18</f>
        <v>0.4</v>
      </c>
      <c r="V7" s="93">
        <f>'Stats Global'!AG18</f>
        <v>0</v>
      </c>
      <c r="W7" s="93">
        <f>'Stats Global'!AH18</f>
        <v>0</v>
      </c>
      <c r="X7" s="93">
        <f>'Stats Global'!AJ18</f>
        <v>0</v>
      </c>
    </row>
    <row r="8" spans="1:24" ht="14.25" customHeight="1" x14ac:dyDescent="0.45">
      <c r="A8" s="75" t="str">
        <f>'Stats Global'!B9</f>
        <v>18-July</v>
      </c>
      <c r="B8" s="82">
        <f>'Stats Global'!I9</f>
        <v>1</v>
      </c>
      <c r="C8" s="82">
        <f>'Stats Global'!J9+'Stats Global'!K9</f>
        <v>7</v>
      </c>
      <c r="D8" s="82">
        <f>'Stats Global'!P9</f>
        <v>1</v>
      </c>
      <c r="E8" s="80" t="s">
        <v>52</v>
      </c>
      <c r="F8" s="80" t="s">
        <v>207</v>
      </c>
      <c r="I8" s="81"/>
      <c r="J8" s="83"/>
      <c r="L8" s="84">
        <f>'Stats Global'!N9</f>
        <v>0</v>
      </c>
      <c r="M8" s="84">
        <f>'Stats Global'!K9</f>
        <v>1</v>
      </c>
      <c r="N8" s="85"/>
      <c r="O8" s="83"/>
      <c r="P8" s="93"/>
      <c r="Q8" s="93"/>
      <c r="R8" s="93"/>
      <c r="S8" s="93"/>
      <c r="T8" s="93"/>
      <c r="U8" s="93"/>
      <c r="V8" s="93"/>
      <c r="W8" s="93"/>
      <c r="X8" s="93"/>
    </row>
    <row r="9" spans="1:24" ht="14.25" customHeight="1" x14ac:dyDescent="0.45">
      <c r="A9" s="75" t="str">
        <f>'Stats Global'!B10</f>
        <v>19-July</v>
      </c>
      <c r="B9" s="82">
        <f>'Stats Global'!I10</f>
        <v>0</v>
      </c>
      <c r="C9" s="82">
        <f>'Stats Global'!J10+'Stats Global'!K10</f>
        <v>8</v>
      </c>
      <c r="D9" s="82">
        <f>'Stats Global'!P10</f>
        <v>1</v>
      </c>
      <c r="E9" s="80" t="s">
        <v>207</v>
      </c>
      <c r="F9" s="80" t="s">
        <v>207</v>
      </c>
      <c r="I9" s="81"/>
      <c r="J9" s="83"/>
      <c r="L9" s="84">
        <f>'Stats Global'!N10</f>
        <v>0</v>
      </c>
      <c r="M9" s="84">
        <f>'Stats Global'!K10</f>
        <v>0</v>
      </c>
      <c r="N9" s="85"/>
      <c r="O9" s="83" t="s">
        <v>44</v>
      </c>
      <c r="P9" s="110">
        <f>'Stats Global'!AA15</f>
        <v>19</v>
      </c>
      <c r="Q9" s="110">
        <f>'Stats Global'!AB15</f>
        <v>1.3571428571428572</v>
      </c>
      <c r="R9" s="110">
        <f>'Stats Global'!AC15</f>
        <v>1</v>
      </c>
      <c r="S9" s="110">
        <f>'Stats Global'!AD15</f>
        <v>7.1428571428571425E-2</v>
      </c>
      <c r="T9" s="110">
        <f>'Stats Global'!AE15</f>
        <v>2</v>
      </c>
      <c r="U9" s="110">
        <f>'Stats Global'!AF15</f>
        <v>0.14285714285714285</v>
      </c>
      <c r="V9" s="110">
        <f>'Stats Global'!AG15</f>
        <v>8</v>
      </c>
      <c r="W9" s="110">
        <f>'Stats Global'!AH15</f>
        <v>0.5714285714285714</v>
      </c>
      <c r="X9" s="110">
        <f>'Stats Global'!AJ15</f>
        <v>6</v>
      </c>
    </row>
    <row r="10" spans="1:24" ht="14.25" customHeight="1" x14ac:dyDescent="0.45">
      <c r="A10" s="75" t="str">
        <f>'Stats Global'!B11</f>
        <v>20-July</v>
      </c>
      <c r="B10" s="82">
        <f>'Stats Global'!I11</f>
        <v>6</v>
      </c>
      <c r="C10" s="82">
        <f>'Stats Global'!J11+'Stats Global'!K11</f>
        <v>3</v>
      </c>
      <c r="D10" s="82">
        <f>'Stats Global'!P11</f>
        <v>3</v>
      </c>
      <c r="E10" s="80" t="s">
        <v>237</v>
      </c>
      <c r="F10" s="80" t="s">
        <v>35</v>
      </c>
      <c r="I10" s="81"/>
      <c r="J10" s="83"/>
      <c r="L10" s="84">
        <f>'Stats Global'!N11</f>
        <v>3</v>
      </c>
      <c r="M10" s="84">
        <f>'Stats Global'!K11</f>
        <v>1</v>
      </c>
      <c r="N10" s="85"/>
      <c r="O10" s="83" t="s">
        <v>67</v>
      </c>
      <c r="P10" s="110">
        <f>'Stats Global'!AA24</f>
        <v>6</v>
      </c>
      <c r="Q10" s="110">
        <f>'Stats Global'!AB24</f>
        <v>0.46153846153846156</v>
      </c>
      <c r="R10" s="110">
        <f>'Stats Global'!AC24</f>
        <v>4</v>
      </c>
      <c r="S10" s="110">
        <f>'Stats Global'!AD24</f>
        <v>0.30769230769230771</v>
      </c>
      <c r="T10" s="110">
        <f>'Stats Global'!AE24</f>
        <v>0</v>
      </c>
      <c r="U10" s="110">
        <f>'Stats Global'!AF24</f>
        <v>0</v>
      </c>
      <c r="V10" s="110">
        <f>'Stats Global'!AG24</f>
        <v>1</v>
      </c>
      <c r="W10" s="110">
        <f>'Stats Global'!AH24</f>
        <v>7.6923076923076927E-2</v>
      </c>
      <c r="X10" s="110">
        <f>'Stats Global'!AJ24</f>
        <v>7</v>
      </c>
    </row>
    <row r="11" spans="1:24" ht="14.25" customHeight="1" x14ac:dyDescent="0.45">
      <c r="A11" s="75" t="str">
        <f>'Stats Global'!B12</f>
        <v>24-July</v>
      </c>
      <c r="B11" s="82">
        <f>'Stats Global'!I12</f>
        <v>1</v>
      </c>
      <c r="C11" s="82">
        <f>'Stats Global'!J12+'Stats Global'!K12</f>
        <v>5</v>
      </c>
      <c r="D11" s="82">
        <f>'Stats Global'!P12</f>
        <v>1</v>
      </c>
      <c r="E11" s="80" t="s">
        <v>207</v>
      </c>
      <c r="F11" s="80" t="s">
        <v>37</v>
      </c>
      <c r="I11" s="81"/>
      <c r="J11" s="83"/>
      <c r="L11" s="84">
        <f>'Stats Global'!N12</f>
        <v>1</v>
      </c>
      <c r="M11" s="84">
        <f>'Stats Global'!K12</f>
        <v>4</v>
      </c>
      <c r="N11" s="85"/>
      <c r="O11" s="83"/>
      <c r="P11" s="56"/>
      <c r="W11" s="83"/>
      <c r="X11" s="83"/>
    </row>
    <row r="12" spans="1:24" ht="14.25" customHeight="1" x14ac:dyDescent="0.45">
      <c r="A12" s="75" t="str">
        <f>'Stats Global'!B13</f>
        <v>26-July</v>
      </c>
      <c r="B12" s="82">
        <f>'Stats Global'!I13</f>
        <v>3</v>
      </c>
      <c r="C12" s="82">
        <f>'Stats Global'!J13+'Stats Global'!K13</f>
        <v>7</v>
      </c>
      <c r="D12" s="82">
        <f>'Stats Global'!P13</f>
        <v>1</v>
      </c>
      <c r="E12" s="80" t="s">
        <v>243</v>
      </c>
      <c r="F12" s="80" t="s">
        <v>202</v>
      </c>
      <c r="I12" s="81"/>
      <c r="J12" s="83"/>
      <c r="L12" s="84">
        <f>'Stats Global'!N13</f>
        <v>1</v>
      </c>
      <c r="M12" s="84">
        <f>'Stats Global'!K13</f>
        <v>5</v>
      </c>
      <c r="N12" s="85"/>
      <c r="O12" s="83"/>
      <c r="P12" s="56"/>
      <c r="W12" s="83"/>
      <c r="X12" s="83"/>
    </row>
    <row r="13" spans="1:24" ht="14.25" customHeight="1" x14ac:dyDescent="0.45">
      <c r="A13" s="75" t="str">
        <f>'Stats Global'!B14</f>
        <v>27-July</v>
      </c>
      <c r="B13" s="82">
        <f>'Stats Global'!I14</f>
        <v>3</v>
      </c>
      <c r="C13" s="82">
        <f>'Stats Global'!J14+'Stats Global'!K14</f>
        <v>6</v>
      </c>
      <c r="D13" s="82">
        <f>'Stats Global'!P14</f>
        <v>1</v>
      </c>
      <c r="E13" s="80" t="s">
        <v>35</v>
      </c>
      <c r="F13" s="80" t="s">
        <v>52</v>
      </c>
      <c r="I13" s="81"/>
      <c r="J13" s="83"/>
      <c r="L13" s="84">
        <f>'Stats Global'!N14</f>
        <v>2</v>
      </c>
      <c r="M13" s="84">
        <f>'Stats Global'!K14</f>
        <v>4</v>
      </c>
      <c r="N13" s="85"/>
      <c r="O13" s="83"/>
      <c r="P13" s="56"/>
      <c r="W13" s="83"/>
      <c r="X13" s="83"/>
    </row>
    <row r="14" spans="1:24" ht="14.25" customHeight="1" x14ac:dyDescent="0.45">
      <c r="A14" s="75" t="str">
        <f>'Stats Global'!B15</f>
        <v>31-July</v>
      </c>
      <c r="B14" s="82">
        <f>'Stats Global'!I15</f>
        <v>4</v>
      </c>
      <c r="C14" s="82">
        <f>'Stats Global'!J15+'Stats Global'!K15</f>
        <v>6</v>
      </c>
      <c r="D14" s="82">
        <f>'Stats Global'!P15</f>
        <v>2</v>
      </c>
      <c r="E14" s="80" t="s">
        <v>257</v>
      </c>
      <c r="F14" s="80" t="s">
        <v>37</v>
      </c>
      <c r="J14" s="83"/>
      <c r="L14" s="84">
        <f>'Stats Global'!N15</f>
        <v>2</v>
      </c>
      <c r="M14" s="84">
        <f>'Stats Global'!K15</f>
        <v>2</v>
      </c>
      <c r="N14" s="85"/>
      <c r="O14" s="83"/>
      <c r="P14" s="56"/>
      <c r="W14" s="83"/>
      <c r="X14" s="83"/>
    </row>
    <row r="15" spans="1:24" ht="14.25" customHeight="1" x14ac:dyDescent="0.45">
      <c r="A15" s="75" t="str">
        <f>'Stats Global'!B16</f>
        <v>1-August</v>
      </c>
      <c r="B15" s="82">
        <f>'Stats Global'!I16</f>
        <v>6</v>
      </c>
      <c r="C15" s="82">
        <f>'Stats Global'!J16+'Stats Global'!K16</f>
        <v>4</v>
      </c>
      <c r="D15" s="82">
        <f>'Stats Global'!P16</f>
        <v>3</v>
      </c>
      <c r="E15" s="80" t="s">
        <v>37</v>
      </c>
      <c r="F15" s="80" t="s">
        <v>55</v>
      </c>
      <c r="J15" s="83"/>
      <c r="L15" s="84">
        <f>'Stats Global'!N16</f>
        <v>3</v>
      </c>
      <c r="M15" s="84">
        <f>'Stats Global'!K16</f>
        <v>3</v>
      </c>
      <c r="N15" s="85"/>
      <c r="O15" s="83"/>
      <c r="P15" s="56"/>
      <c r="W15" s="83"/>
      <c r="X15" s="83"/>
    </row>
    <row r="16" spans="1:24" ht="14.25" customHeight="1" x14ac:dyDescent="0.45">
      <c r="A16" s="75" t="str">
        <f>'Stats Global'!B17</f>
        <v>2-August</v>
      </c>
      <c r="B16" s="82">
        <f>'Stats Global'!I17</f>
        <v>10</v>
      </c>
      <c r="C16" s="82">
        <f>'Stats Global'!J17+'Stats Global'!K17</f>
        <v>8</v>
      </c>
      <c r="D16" s="82">
        <f>'Stats Global'!P17</f>
        <v>2</v>
      </c>
      <c r="E16" s="80" t="s">
        <v>67</v>
      </c>
      <c r="F16" s="80" t="s">
        <v>44</v>
      </c>
      <c r="J16" s="83"/>
      <c r="L16" s="84">
        <f>'Stats Global'!N17</f>
        <v>7</v>
      </c>
      <c r="M16" s="84">
        <f>'Stats Global'!K17</f>
        <v>4</v>
      </c>
      <c r="N16" s="85"/>
      <c r="O16" s="83"/>
      <c r="P16" s="56"/>
      <c r="W16" s="83"/>
      <c r="X16" s="83"/>
    </row>
    <row r="17" spans="1:24" ht="14.25" customHeight="1" x14ac:dyDescent="0.45">
      <c r="A17" s="75" t="str">
        <f>'Stats Global'!B18</f>
        <v>3-August</v>
      </c>
      <c r="B17" s="82">
        <f>'Stats Global'!I18</f>
        <v>3</v>
      </c>
      <c r="C17" s="82">
        <f>'Stats Global'!J18+'Stats Global'!K18</f>
        <v>3</v>
      </c>
      <c r="D17" s="82">
        <f>'Stats Global'!P18</f>
        <v>2</v>
      </c>
      <c r="E17" s="146" t="s">
        <v>266</v>
      </c>
      <c r="F17" s="146" t="s">
        <v>55</v>
      </c>
      <c r="J17" s="83"/>
      <c r="L17" s="84">
        <f>'Stats Global'!N18</f>
        <v>1</v>
      </c>
      <c r="M17" s="84">
        <f>'Stats Global'!K18</f>
        <v>0</v>
      </c>
      <c r="N17" s="83"/>
      <c r="O17" s="83"/>
      <c r="P17" s="56"/>
      <c r="W17" s="83"/>
      <c r="X17" s="83"/>
    </row>
    <row r="18" spans="1:24" ht="14.25" customHeight="1" x14ac:dyDescent="0.45">
      <c r="A18" s="75" t="str">
        <f>'Stats Global'!B19</f>
        <v>8-August</v>
      </c>
      <c r="B18" s="82">
        <f>'Stats Global'!I19</f>
        <v>1</v>
      </c>
      <c r="C18" s="82">
        <f>'Stats Global'!J19+'Stats Global'!K19</f>
        <v>9</v>
      </c>
      <c r="D18" s="82">
        <f>'Stats Global'!P19</f>
        <v>2</v>
      </c>
      <c r="E18" s="148" t="s">
        <v>207</v>
      </c>
      <c r="F18" s="148" t="s">
        <v>35</v>
      </c>
      <c r="J18" s="83"/>
      <c r="L18" s="84">
        <f>'Stats Global'!N19</f>
        <v>0</v>
      </c>
      <c r="M18" s="84">
        <f>'Stats Global'!K19</f>
        <v>9</v>
      </c>
      <c r="N18" s="83"/>
      <c r="O18" s="83"/>
      <c r="P18" s="56"/>
      <c r="W18" s="83"/>
      <c r="X18" s="83"/>
    </row>
    <row r="19" spans="1:24" ht="14.25" customHeight="1" x14ac:dyDescent="0.45">
      <c r="A19" s="75" t="str">
        <f>'Stats Global'!B20</f>
        <v>9-August</v>
      </c>
      <c r="B19" s="82">
        <f>'Stats Global'!I20</f>
        <v>2</v>
      </c>
      <c r="C19" s="82">
        <f>'Stats Global'!J20+'Stats Global'!K20</f>
        <v>5</v>
      </c>
      <c r="D19" s="82">
        <f>'Stats Global'!P20</f>
        <v>1</v>
      </c>
      <c r="E19" s="151" t="s">
        <v>37</v>
      </c>
      <c r="F19" s="151" t="s">
        <v>37</v>
      </c>
      <c r="J19" s="83"/>
      <c r="L19" s="84">
        <f>'Stats Global'!N20</f>
        <v>1</v>
      </c>
      <c r="M19" s="84">
        <f>'Stats Global'!K20</f>
        <v>4</v>
      </c>
      <c r="N19" s="83"/>
      <c r="O19" s="83"/>
      <c r="P19" s="56"/>
      <c r="W19" s="83"/>
      <c r="X19" s="83"/>
    </row>
    <row r="20" spans="1:24" ht="14.25" customHeight="1" x14ac:dyDescent="0.45">
      <c r="A20" s="75" t="str">
        <f>'Stats Global'!B21</f>
        <v>10-August</v>
      </c>
      <c r="B20" s="82">
        <f>'Stats Global'!I21</f>
        <v>12</v>
      </c>
      <c r="C20" s="82">
        <f>'Stats Global'!J21+'Stats Global'!K21</f>
        <v>4</v>
      </c>
      <c r="D20" s="82">
        <f>'Stats Global'!P21</f>
        <v>3</v>
      </c>
      <c r="E20" s="173" t="s">
        <v>44</v>
      </c>
      <c r="F20" s="173" t="s">
        <v>35</v>
      </c>
      <c r="J20" s="83"/>
      <c r="L20" s="84">
        <f>'Stats Global'!N21</f>
        <v>6</v>
      </c>
      <c r="M20" s="84">
        <f>'Stats Global'!K21</f>
        <v>0</v>
      </c>
      <c r="N20" s="83"/>
      <c r="O20" s="83"/>
      <c r="P20" s="56"/>
      <c r="W20" s="83"/>
      <c r="X20" s="83"/>
    </row>
    <row r="21" spans="1:24" ht="14.25" customHeight="1" x14ac:dyDescent="0.45">
      <c r="A21" s="75" t="str">
        <f>'Stats Global'!B22</f>
        <v>14-August</v>
      </c>
      <c r="B21" s="82">
        <f>'Stats Global'!I22</f>
        <v>4</v>
      </c>
      <c r="C21" s="82">
        <f>'Stats Global'!J22+'Stats Global'!K22</f>
        <v>5</v>
      </c>
      <c r="D21" s="82">
        <f>'Stats Global'!P22</f>
        <v>2</v>
      </c>
      <c r="E21" s="80" t="s">
        <v>44</v>
      </c>
      <c r="F21" s="80" t="s">
        <v>44</v>
      </c>
      <c r="J21" s="83"/>
      <c r="L21" s="84">
        <f>'Stats Global'!N22</f>
        <v>2</v>
      </c>
      <c r="M21" s="84">
        <f>'Stats Global'!K22</f>
        <v>4</v>
      </c>
      <c r="N21" s="83"/>
      <c r="O21" s="83"/>
      <c r="P21" s="56"/>
      <c r="W21" s="83"/>
      <c r="X21" s="83"/>
    </row>
    <row r="22" spans="1:24" ht="14.25" customHeight="1" x14ac:dyDescent="0.45">
      <c r="A22" s="75" t="str">
        <f>'Stats Global'!B23</f>
        <v>15-August</v>
      </c>
      <c r="B22" s="82">
        <f>'Stats Global'!I23</f>
        <v>5</v>
      </c>
      <c r="C22" s="82">
        <f>'Stats Global'!J23+'Stats Global'!K23</f>
        <v>12</v>
      </c>
      <c r="D22" s="82">
        <f>'Stats Global'!P23</f>
        <v>2</v>
      </c>
      <c r="E22" s="80" t="s">
        <v>52</v>
      </c>
      <c r="F22" s="80" t="s">
        <v>207</v>
      </c>
      <c r="J22" s="83"/>
      <c r="L22" s="84">
        <f>'Stats Global'!N23</f>
        <v>0</v>
      </c>
      <c r="M22" s="84">
        <f>'Stats Global'!K23</f>
        <v>12</v>
      </c>
      <c r="N22" s="83"/>
      <c r="O22" s="83"/>
      <c r="P22" s="56"/>
      <c r="W22" s="83"/>
      <c r="X22" s="83"/>
    </row>
    <row r="23" spans="1:24" ht="14.25" customHeight="1" x14ac:dyDescent="0.45">
      <c r="A23" s="75" t="str">
        <f>'Stats Global'!B24</f>
        <v>17-August</v>
      </c>
      <c r="B23" s="82">
        <f>'Stats Global'!I24</f>
        <v>7</v>
      </c>
      <c r="C23" s="82">
        <f>'Stats Global'!J24+'Stats Global'!K24</f>
        <v>4</v>
      </c>
      <c r="D23" s="82">
        <f>'Stats Global'!P24</f>
        <v>3</v>
      </c>
      <c r="E23" s="185" t="s">
        <v>35</v>
      </c>
      <c r="F23" s="186" t="s">
        <v>35</v>
      </c>
      <c r="H23" s="87"/>
      <c r="J23" s="83"/>
      <c r="L23" s="84">
        <f>'Stats Global'!N24</f>
        <v>4</v>
      </c>
      <c r="M23" s="84">
        <f>'Stats Global'!K24</f>
        <v>2</v>
      </c>
      <c r="N23" s="83"/>
      <c r="O23" s="83"/>
      <c r="P23" s="56"/>
      <c r="W23" s="83"/>
      <c r="X23" s="83"/>
    </row>
    <row r="24" spans="1:24" ht="14.25" customHeight="1" x14ac:dyDescent="0.45">
      <c r="A24" s="75" t="str">
        <f>'Stats Global'!B25</f>
        <v>21-August</v>
      </c>
      <c r="B24" s="82">
        <f>'Stats Global'!I25</f>
        <v>2</v>
      </c>
      <c r="C24" s="82">
        <f>'Stats Global'!J25+'Stats Global'!K25</f>
        <v>9</v>
      </c>
      <c r="D24" s="82">
        <f>'Stats Global'!P25</f>
        <v>2</v>
      </c>
      <c r="E24" s="86"/>
      <c r="F24" s="80"/>
      <c r="H24" s="87"/>
      <c r="J24" s="83"/>
      <c r="L24" s="84">
        <f>'Stats Global'!N25</f>
        <v>0</v>
      </c>
      <c r="M24" s="84">
        <f>'Stats Global'!K25</f>
        <v>6</v>
      </c>
      <c r="N24" s="83"/>
      <c r="O24" s="83"/>
      <c r="P24" s="56"/>
      <c r="W24" s="83"/>
      <c r="X24" s="83"/>
    </row>
    <row r="25" spans="1:24" ht="14.25" customHeight="1" x14ac:dyDescent="0.45">
      <c r="A25" s="75" t="str">
        <f>'Stats Global'!B26</f>
        <v>22-August</v>
      </c>
      <c r="B25" s="82">
        <f>'Stats Global'!I26</f>
        <v>3</v>
      </c>
      <c r="C25" s="82">
        <f>'Stats Global'!J26+'Stats Global'!K26</f>
        <v>9</v>
      </c>
      <c r="D25" s="82">
        <f>'Stats Global'!P26</f>
        <v>4</v>
      </c>
      <c r="E25" s="86"/>
      <c r="F25" s="80"/>
      <c r="H25" s="87"/>
      <c r="J25" s="83"/>
      <c r="L25" s="84">
        <f>'Stats Global'!N26</f>
        <v>2</v>
      </c>
      <c r="M25" s="84">
        <f>'Stats Global'!K26</f>
        <v>3</v>
      </c>
      <c r="N25" s="83"/>
      <c r="O25" s="83"/>
      <c r="P25" s="56"/>
      <c r="W25" s="83"/>
      <c r="X25" s="83"/>
    </row>
    <row r="26" spans="1:24" ht="14.25" customHeight="1" x14ac:dyDescent="0.45">
      <c r="A26" s="75" t="str">
        <f>'Stats Global'!B27</f>
        <v>23-August</v>
      </c>
      <c r="B26" s="82">
        <f>'Stats Global'!I27</f>
        <v>2</v>
      </c>
      <c r="C26" s="82">
        <f>'Stats Global'!J27+'Stats Global'!K27</f>
        <v>7</v>
      </c>
      <c r="D26" s="82">
        <f>'Stats Global'!P27</f>
        <v>2</v>
      </c>
      <c r="E26" s="80"/>
      <c r="F26" s="80"/>
      <c r="J26" s="83"/>
      <c r="L26" s="84">
        <f>'Stats Global'!N27</f>
        <v>0</v>
      </c>
      <c r="M26" s="84">
        <f>'Stats Global'!K27</f>
        <v>2</v>
      </c>
      <c r="N26" s="83"/>
      <c r="O26" s="83"/>
      <c r="P26" s="56"/>
      <c r="W26" s="83"/>
      <c r="X26" s="83"/>
    </row>
    <row r="27" spans="1:24" ht="14.25" customHeight="1" x14ac:dyDescent="0.45">
      <c r="A27" s="75">
        <f>'Stats Global'!B28</f>
        <v>0</v>
      </c>
      <c r="B27" s="82">
        <f>'Stats Global'!I28</f>
        <v>0</v>
      </c>
      <c r="C27" s="82">
        <f>'Stats Global'!J28+'Stats Global'!K28</f>
        <v>0</v>
      </c>
      <c r="D27" s="82">
        <f>'Stats Global'!P28</f>
        <v>0</v>
      </c>
      <c r="E27" s="80"/>
      <c r="F27" s="80"/>
      <c r="J27" s="83"/>
      <c r="L27" s="84">
        <f>'Stats Global'!N28</f>
        <v>0</v>
      </c>
      <c r="M27" s="84">
        <f>'Stats Global'!K28</f>
        <v>0</v>
      </c>
      <c r="N27" s="83"/>
      <c r="O27" s="83"/>
      <c r="P27" s="56"/>
      <c r="W27" s="83"/>
      <c r="X27" s="83"/>
    </row>
    <row r="28" spans="1:24" ht="14.25" customHeight="1" x14ac:dyDescent="0.45">
      <c r="A28" s="75">
        <f>'Stats Global'!B29</f>
        <v>0</v>
      </c>
      <c r="B28" s="82">
        <f>'Stats Global'!I29</f>
        <v>0</v>
      </c>
      <c r="C28" s="82">
        <f>'Stats Global'!J29+'Stats Global'!K29</f>
        <v>0</v>
      </c>
      <c r="D28" s="82">
        <f>'Stats Global'!P29</f>
        <v>0</v>
      </c>
      <c r="E28" s="80"/>
      <c r="F28" s="80"/>
      <c r="J28" s="83"/>
      <c r="L28" s="84">
        <f>'Stats Global'!N29</f>
        <v>0</v>
      </c>
      <c r="M28" s="84">
        <f>'Stats Global'!K29</f>
        <v>0</v>
      </c>
      <c r="N28" s="83"/>
      <c r="O28" s="83"/>
      <c r="P28" s="56"/>
      <c r="W28" s="83"/>
      <c r="X28" s="83"/>
    </row>
    <row r="29" spans="1:24" ht="14.25" customHeight="1" x14ac:dyDescent="0.45">
      <c r="A29" s="75">
        <f>'Stats Global'!B30</f>
        <v>0</v>
      </c>
      <c r="B29" s="82">
        <f>'Stats Global'!I30</f>
        <v>0</v>
      </c>
      <c r="C29" s="82">
        <f>'Stats Global'!J30+'Stats Global'!K30</f>
        <v>0</v>
      </c>
      <c r="D29" s="82">
        <f>'Stats Global'!P30</f>
        <v>0</v>
      </c>
      <c r="E29" s="80"/>
      <c r="F29" s="80"/>
      <c r="J29" s="83"/>
      <c r="L29" s="84">
        <f>'Stats Global'!N30</f>
        <v>0</v>
      </c>
      <c r="M29" s="84">
        <f>'Stats Global'!K30</f>
        <v>0</v>
      </c>
      <c r="N29" s="83"/>
      <c r="O29" s="83"/>
      <c r="P29" s="56"/>
      <c r="W29" s="83"/>
      <c r="X29" s="83"/>
    </row>
    <row r="30" spans="1:24" ht="14.25" customHeight="1" x14ac:dyDescent="0.45">
      <c r="A30" s="75">
        <f>'Stats Global'!B31</f>
        <v>0</v>
      </c>
      <c r="B30" s="82">
        <f>'Stats Global'!I31</f>
        <v>0</v>
      </c>
      <c r="C30" s="82">
        <f>'Stats Global'!J31+'Stats Global'!K31</f>
        <v>0</v>
      </c>
      <c r="D30" s="82">
        <f>'Stats Global'!P31</f>
        <v>0</v>
      </c>
      <c r="E30" s="80"/>
      <c r="F30" s="80"/>
      <c r="L30" s="84">
        <f>'Stats Global'!N31</f>
        <v>0</v>
      </c>
      <c r="M30" s="84">
        <f>'Stats Global'!K31</f>
        <v>0</v>
      </c>
      <c r="W30" s="83"/>
      <c r="X30" s="83"/>
    </row>
    <row r="31" spans="1:24" ht="14.25" customHeight="1" x14ac:dyDescent="0.45">
      <c r="A31" s="75">
        <f>'Stats Global'!B32</f>
        <v>0</v>
      </c>
      <c r="B31" s="82">
        <f>'Stats Global'!I32</f>
        <v>0</v>
      </c>
      <c r="C31" s="82">
        <f>'Stats Global'!J32+'Stats Global'!K32</f>
        <v>0</v>
      </c>
      <c r="D31" s="82">
        <f>'Stats Global'!P32</f>
        <v>0</v>
      </c>
      <c r="E31" s="80"/>
      <c r="F31" s="80"/>
      <c r="L31" s="84">
        <f>'Stats Global'!N32</f>
        <v>0</v>
      </c>
      <c r="M31" s="84">
        <f>'Stats Global'!K32</f>
        <v>0</v>
      </c>
      <c r="W31" s="56"/>
      <c r="X31" s="56"/>
    </row>
    <row r="32" spans="1:24" ht="14.25" customHeight="1" x14ac:dyDescent="0.45">
      <c r="A32" s="75">
        <f>'Stats Global'!B33</f>
        <v>0</v>
      </c>
      <c r="B32" s="82">
        <f>'Stats Global'!I33</f>
        <v>0</v>
      </c>
      <c r="C32" s="82">
        <f>'Stats Global'!J33+'Stats Global'!K33</f>
        <v>0</v>
      </c>
      <c r="D32" s="82">
        <f>'Stats Global'!P33</f>
        <v>0</v>
      </c>
      <c r="E32" s="80"/>
      <c r="F32" s="80"/>
      <c r="L32" s="84">
        <f>'Stats Global'!N33</f>
        <v>0</v>
      </c>
      <c r="M32" s="84">
        <f>'Stats Global'!K33</f>
        <v>0</v>
      </c>
      <c r="W32" s="56"/>
      <c r="X32" s="56"/>
    </row>
    <row r="33" spans="1:16" ht="14.25" customHeight="1" x14ac:dyDescent="0.45">
      <c r="A33" s="75">
        <f>'Stats Global'!B34</f>
        <v>0</v>
      </c>
      <c r="B33" s="82">
        <f>'Stats Global'!I34</f>
        <v>0</v>
      </c>
      <c r="C33" s="82">
        <f>'Stats Global'!J34+'Stats Global'!K34</f>
        <v>0</v>
      </c>
      <c r="D33" s="82">
        <f>'Stats Global'!P34</f>
        <v>0</v>
      </c>
      <c r="E33" s="80"/>
      <c r="F33" s="80"/>
      <c r="L33" s="84">
        <f>'Stats Global'!N34</f>
        <v>0</v>
      </c>
      <c r="M33" s="84">
        <f>'Stats Global'!K34</f>
        <v>0</v>
      </c>
    </row>
    <row r="34" spans="1:16" ht="14.25" customHeight="1" x14ac:dyDescent="0.45">
      <c r="A34" s="75">
        <f>'Stats Global'!B35</f>
        <v>0</v>
      </c>
      <c r="B34" s="82">
        <f>'Stats Global'!I35</f>
        <v>0</v>
      </c>
      <c r="C34" s="82">
        <f>'Stats Global'!J35+'Stats Global'!K35</f>
        <v>0</v>
      </c>
      <c r="D34" s="82">
        <f>'Stats Global'!P35</f>
        <v>0</v>
      </c>
      <c r="E34" s="80"/>
      <c r="F34" s="80"/>
      <c r="L34" s="84">
        <f>'Stats Global'!N35</f>
        <v>0</v>
      </c>
      <c r="M34" s="84">
        <f>'Stats Global'!K35</f>
        <v>0</v>
      </c>
    </row>
    <row r="35" spans="1:16" ht="14.25" customHeight="1" x14ac:dyDescent="0.45">
      <c r="A35" s="75">
        <f>'Stats Global'!B36</f>
        <v>0</v>
      </c>
      <c r="B35" s="82">
        <f>'Stats Global'!I36</f>
        <v>0</v>
      </c>
      <c r="C35" s="82">
        <f>'Stats Global'!J36+'Stats Global'!K36</f>
        <v>0</v>
      </c>
      <c r="D35" s="82">
        <f>'Stats Global'!P36</f>
        <v>0</v>
      </c>
      <c r="E35" s="80"/>
      <c r="F35" s="80"/>
      <c r="L35" s="84">
        <f>'Stats Global'!N36</f>
        <v>0</v>
      </c>
      <c r="M35" s="84">
        <f>'Stats Global'!K36</f>
        <v>0</v>
      </c>
    </row>
    <row r="36" spans="1:16" ht="14.25" customHeight="1" x14ac:dyDescent="0.45">
      <c r="A36" s="75">
        <f>'Stats Global'!B37</f>
        <v>0</v>
      </c>
      <c r="B36" s="82">
        <f>'Stats Global'!I37</f>
        <v>0</v>
      </c>
      <c r="C36" s="82">
        <f>'Stats Global'!J37+'Stats Global'!K37</f>
        <v>0</v>
      </c>
      <c r="D36" s="82">
        <f>'Stats Global'!P37</f>
        <v>0</v>
      </c>
      <c r="E36" s="80"/>
      <c r="F36" s="80"/>
      <c r="L36" s="84">
        <f>'Stats Global'!N37</f>
        <v>0</v>
      </c>
      <c r="M36" s="84">
        <f>'Stats Global'!K37</f>
        <v>0</v>
      </c>
    </row>
    <row r="37" spans="1:16" ht="14.25" customHeight="1" x14ac:dyDescent="0.45">
      <c r="A37" s="75">
        <f>'Stats Global'!B38</f>
        <v>0</v>
      </c>
      <c r="B37" s="82">
        <f>'Stats Global'!I38</f>
        <v>0</v>
      </c>
      <c r="C37" s="82">
        <f>'Stats Global'!J38+'Stats Global'!K38</f>
        <v>0</v>
      </c>
      <c r="D37" s="82">
        <f>'Stats Global'!P38</f>
        <v>0</v>
      </c>
      <c r="E37" s="80"/>
      <c r="F37" s="80"/>
      <c r="L37" s="84">
        <f>'Stats Global'!N38</f>
        <v>0</v>
      </c>
      <c r="M37" s="84">
        <f>'Stats Global'!K38</f>
        <v>0</v>
      </c>
    </row>
    <row r="38" spans="1:16" ht="14.25" customHeight="1" x14ac:dyDescent="0.45">
      <c r="A38" s="75">
        <f>'Stats Global'!B39</f>
        <v>0</v>
      </c>
      <c r="B38" s="82">
        <f>'Stats Global'!I39</f>
        <v>0</v>
      </c>
      <c r="C38" s="82">
        <f>'Stats Global'!J39+'Stats Global'!K39</f>
        <v>0</v>
      </c>
      <c r="D38" s="82">
        <f>'Stats Global'!P39</f>
        <v>0</v>
      </c>
      <c r="E38" s="80"/>
      <c r="F38" s="80"/>
      <c r="L38" s="84">
        <f>'Stats Global'!N39</f>
        <v>0</v>
      </c>
      <c r="M38" s="84">
        <f>'Stats Global'!K39</f>
        <v>0</v>
      </c>
    </row>
    <row r="39" spans="1:16" ht="14.25" customHeight="1" x14ac:dyDescent="0.45">
      <c r="A39" s="75">
        <f>'Stats Global'!B40</f>
        <v>0</v>
      </c>
      <c r="B39" s="82">
        <f>'Stats Global'!I40</f>
        <v>0</v>
      </c>
      <c r="C39" s="82">
        <f>'Stats Global'!J40+'Stats Global'!K40</f>
        <v>0</v>
      </c>
      <c r="D39" s="82">
        <f>'Stats Global'!P40</f>
        <v>0</v>
      </c>
      <c r="E39" s="80"/>
      <c r="F39" s="80"/>
      <c r="L39" s="84">
        <f>'Stats Global'!N40</f>
        <v>0</v>
      </c>
      <c r="M39" s="84">
        <f>'Stats Global'!K40</f>
        <v>0</v>
      </c>
    </row>
    <row r="40" spans="1:16" ht="14.25" customHeight="1" x14ac:dyDescent="0.45">
      <c r="A40" s="75">
        <f>'Stats Global'!B41</f>
        <v>0</v>
      </c>
      <c r="B40" s="82">
        <f>'Stats Global'!I41</f>
        <v>0</v>
      </c>
      <c r="C40" s="82">
        <f>'Stats Global'!J41+'Stats Global'!K41</f>
        <v>0</v>
      </c>
      <c r="D40" s="82">
        <f>'Stats Global'!P41</f>
        <v>0</v>
      </c>
      <c r="E40" s="80"/>
      <c r="F40" s="80"/>
      <c r="L40" s="84">
        <f>'Stats Global'!N41</f>
        <v>0</v>
      </c>
      <c r="M40" s="84">
        <f>'Stats Global'!K41</f>
        <v>0</v>
      </c>
    </row>
    <row r="41" spans="1:16" ht="14.25" customHeight="1" x14ac:dyDescent="0.45">
      <c r="C41" s="113">
        <f>SUM(B7:B40)/SUM(B7:C40)</f>
        <v>0.37931034482758619</v>
      </c>
      <c r="J41" s="83"/>
      <c r="K41" s="76" t="s">
        <v>94</v>
      </c>
      <c r="L41" s="97">
        <f>SUM(L7:L40)</f>
        <v>37</v>
      </c>
      <c r="M41" s="97">
        <f>SUM(M7:M40)</f>
        <v>66</v>
      </c>
      <c r="N41" s="83"/>
      <c r="O41" s="83"/>
      <c r="P41" s="56"/>
    </row>
    <row r="42" spans="1:16" ht="14.25" customHeight="1" x14ac:dyDescent="0.45">
      <c r="L42" s="88">
        <f>L41/(M41+L41)</f>
        <v>0.35922330097087379</v>
      </c>
      <c r="P42" s="56"/>
    </row>
    <row r="43" spans="1:16" ht="14.25" customHeight="1" x14ac:dyDescent="0.45">
      <c r="J43" s="89" t="str">
        <f>L43&amp;H3&amp;","&amp;I3&amp;","&amp;J3&amp;"],"</f>
        <v>"PartA":[77,126,39],</v>
      </c>
      <c r="K43" s="81"/>
      <c r="L43" s="76" t="s">
        <v>135</v>
      </c>
      <c r="N43" s="76" t="s">
        <v>139</v>
      </c>
      <c r="P43" s="90">
        <f>ROUND(SUM('Stats Global'!AA11,'Stats Global'!AA12,'Stats Global'!AA20,'Stats Global'!AA15,'Stats Global'!AA19,'Stats Global'!AA18)/'Stats Global'!AA6,1)</f>
        <v>4.2</v>
      </c>
    </row>
    <row r="44" spans="1:16" ht="14.25" customHeight="1" x14ac:dyDescent="0.45">
      <c r="J44" s="76" t="str">
        <f>L44&amp;N44&amp;","&amp;CHAR(34)&amp;O44&amp;CHAR(34)&amp;","&amp;N45&amp;","&amp;CHAR(34)&amp;O45&amp;CHAR(34)&amp;","&amp;N46&amp;","&amp;CHAR(34)&amp;O46&amp;CHAR(34)&amp;","&amp;N47&amp;","&amp;CHAR(34)&amp;O47&amp;CHAR(34)&amp;"],"</f>
        <v>"PartB":[20,"Michael Iffland",19,"Rudy Hoschke",8,"Ryan Pattemore",8,"Clarrie Jones"],</v>
      </c>
      <c r="L44" s="76" t="s">
        <v>136</v>
      </c>
      <c r="N44" s="91">
        <f>MAX(Table1113[Points])</f>
        <v>20</v>
      </c>
      <c r="O44" s="76" t="str">
        <f>IF(N44&lt;&gt;0,IF(N44=P4,O4,IF(N44=P5,O5,IF(P6=N44,O6,IF(P7=N44,O7,IF(P8=N44,O8,IF(P9=N44,O9,O10)))))),"N/A")</f>
        <v>Michael Iffland</v>
      </c>
      <c r="P44" s="90">
        <f>ROUND(SUM('Stats Global'!AC11,'Stats Global'!AC12,'Stats Global'!AC20,'Stats Global'!AC15,'Stats Global'!AC19,'Stats Global'!AC18)/'Stats Global'!AA6,1)</f>
        <v>2.1</v>
      </c>
    </row>
    <row r="45" spans="1:16" ht="14.25" customHeight="1" x14ac:dyDescent="0.45">
      <c r="J45" s="76" t="str">
        <f>L45&amp;P43&amp;","&amp;P44&amp;","&amp;P45&amp;","&amp;P46&amp;","&amp;P47&amp;","&amp;P48&amp;"],"</f>
        <v>"PartC":[4.2,2.1,1,0.6,3.9,6.3],</v>
      </c>
      <c r="L45" s="76" t="s">
        <v>137</v>
      </c>
      <c r="N45" s="91">
        <f>MAX(Table1113[Finishes])</f>
        <v>19</v>
      </c>
      <c r="O45" s="76" t="str">
        <f>IF(N45&lt;&gt;0,IF(N45=R4,O4,IF(N45=R5,O5,IF(R6=N45,O6,IF(R7=N45,O7,IF(R8=N45,O8,IF(R9=N45,O9,O10)))))),"N/A")</f>
        <v>Rudy Hoschke</v>
      </c>
      <c r="P45" s="90">
        <f>ROUND(SUM('Stats Global'!AE11,'Stats Global'!AE12,'Stats Global'!AE20,'Stats Global'!AE15,'Stats Global'!AE19,'Stats Global'!AE18)/'Stats Global'!AA6,1)</f>
        <v>1</v>
      </c>
    </row>
    <row r="46" spans="1:16" ht="14.25" customHeight="1" x14ac:dyDescent="0.45">
      <c r="J46" s="76" t="str">
        <f>L46&amp;'Statistics LG'!M41&amp;","&amp;'Statistics LG'!L41&amp;","&amp;ROUND((1-'Statistics LG'!L42)*100,1)&amp;","&amp;L41&amp;","&amp;M41&amp;","&amp;ROUND(L42*100,1)&amp;"],"</f>
        <v>"PartD":[40,60,40,37,66,35.9],</v>
      </c>
      <c r="L46" s="76" t="s">
        <v>138</v>
      </c>
      <c r="N46" s="91">
        <f>MAX(Table1113[Midranges])</f>
        <v>8</v>
      </c>
      <c r="O46" s="76" t="str">
        <f>IF(N46&lt;&gt;0,IF(N46=T4,O4,IF(N46=T5,O5,IF(T6=N46,O6,IF(T7=N46,O7,IF(T8=N46,O8,IF(T9=N46,O9,O10)))))),"N/A")</f>
        <v>Ryan Pattemore</v>
      </c>
      <c r="P46" s="90">
        <f>ROUND(SUM('Stats Global'!AG11,'Stats Global'!AG12,'Stats Global'!AG20,'Stats Global'!AG15,'Stats Global'!AG19,'Stats Global'!AG18)/'Stats Global'!AA6,1)</f>
        <v>0.6</v>
      </c>
    </row>
    <row r="47" spans="1:16" ht="14.25" customHeight="1" x14ac:dyDescent="0.45">
      <c r="N47" s="91">
        <f>MAX(Table1113[Threes])</f>
        <v>8</v>
      </c>
      <c r="O47" s="98" t="str">
        <f>IF(N47&lt;&gt;0,IF(N47=V4,O4,IF(N47=V5,O5,IF(V6=N47,O6,IF(V7=N47,O7,IF(V8=N47,O8,IF(V9=N47,O9,O10)))))),"N/A")</f>
        <v>Clarrie Jones</v>
      </c>
      <c r="P47" s="76">
        <f>ROUND(H3/'Stats Global'!AA6,1)</f>
        <v>3.9</v>
      </c>
    </row>
    <row r="48" spans="1:16" ht="14.25" customHeight="1" x14ac:dyDescent="0.45">
      <c r="P48" s="76">
        <f>ROUND(I3/'Stats Global'!AA6,1)</f>
        <v>6.3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32" sqref="K32:K35"/>
    </sheetView>
  </sheetViews>
  <sheetFormatPr defaultColWidth="14.3984375" defaultRowHeight="15" customHeight="1" x14ac:dyDescent="0.45"/>
  <cols>
    <col min="1" max="11" width="8.73046875" style="76" customWidth="1"/>
    <col min="12" max="20" width="10" style="76" customWidth="1"/>
    <col min="21" max="22" width="11.06640625" style="76" customWidth="1"/>
    <col min="23" max="32" width="8.73046875" style="76" customWidth="1"/>
    <col min="33" max="16384" width="14.3984375" style="76"/>
  </cols>
  <sheetData>
    <row r="1" spans="1:24" ht="14.25" customHeight="1" x14ac:dyDescent="0.45"/>
    <row r="2" spans="1:24" ht="14.25" customHeight="1" x14ac:dyDescent="0.45">
      <c r="B2" s="77" t="s">
        <v>96</v>
      </c>
      <c r="H2" s="81" t="s">
        <v>90</v>
      </c>
      <c r="I2" s="81" t="s">
        <v>91</v>
      </c>
      <c r="J2" s="81" t="s">
        <v>92</v>
      </c>
      <c r="K2" s="56"/>
      <c r="L2" s="56"/>
      <c r="M2" s="78"/>
      <c r="N2" s="56"/>
      <c r="O2" s="56"/>
      <c r="Q2" s="78"/>
      <c r="R2" s="56"/>
      <c r="S2" s="56"/>
      <c r="T2" s="56"/>
      <c r="U2" s="56"/>
      <c r="V2" s="56"/>
      <c r="W2" s="56"/>
      <c r="X2" s="56"/>
    </row>
    <row r="3" spans="1:24" ht="14.25" customHeight="1" x14ac:dyDescent="0.45">
      <c r="A3" s="79" t="s">
        <v>72</v>
      </c>
      <c r="B3" s="79" t="s">
        <v>88</v>
      </c>
      <c r="C3" s="79" t="s">
        <v>89</v>
      </c>
      <c r="D3" s="79" t="s">
        <v>0</v>
      </c>
      <c r="E3" s="80" t="s">
        <v>140</v>
      </c>
      <c r="F3" s="80" t="s">
        <v>141</v>
      </c>
      <c r="H3" s="81">
        <f>SUM(B7:B40)</f>
        <v>129</v>
      </c>
      <c r="I3" s="81">
        <f>SUM(C7:C40)</f>
        <v>100</v>
      </c>
      <c r="J3" s="78">
        <f>SUM(D7:D40)</f>
        <v>50</v>
      </c>
      <c r="K3" s="78"/>
      <c r="L3" s="98" t="s">
        <v>192</v>
      </c>
      <c r="U3" s="56"/>
      <c r="V3" s="78"/>
      <c r="W3" s="78"/>
      <c r="X3" s="78"/>
    </row>
    <row r="4" spans="1:24" ht="14.25" customHeight="1" x14ac:dyDescent="0.45">
      <c r="A4" s="116" t="str">
        <f>'Stats Global'!B5</f>
        <v>11-July</v>
      </c>
      <c r="B4" s="117">
        <f>'Stats Global'!L5</f>
        <v>12</v>
      </c>
      <c r="C4" s="117">
        <f>'Stats Global'!M5+'Stats Global'!N5</f>
        <v>3</v>
      </c>
      <c r="D4" s="117">
        <f>'Stats Global'!Q5</f>
        <v>3</v>
      </c>
      <c r="E4" s="118" t="s">
        <v>30</v>
      </c>
      <c r="F4" s="118" t="s">
        <v>50</v>
      </c>
      <c r="K4" s="83"/>
      <c r="L4" s="99" t="s">
        <v>4</v>
      </c>
      <c r="M4" s="100" t="s">
        <v>0</v>
      </c>
      <c r="N4" s="100" t="s">
        <v>85</v>
      </c>
      <c r="O4" s="101" t="s">
        <v>1</v>
      </c>
      <c r="P4" s="102" t="s">
        <v>80</v>
      </c>
      <c r="Q4" s="102" t="s">
        <v>2</v>
      </c>
      <c r="R4" s="102" t="s">
        <v>117</v>
      </c>
      <c r="S4" s="101" t="s">
        <v>3</v>
      </c>
      <c r="T4" s="102" t="s">
        <v>118</v>
      </c>
      <c r="U4" s="102" t="s">
        <v>120</v>
      </c>
      <c r="V4" s="83"/>
      <c r="W4" s="83"/>
      <c r="X4" s="83"/>
    </row>
    <row r="5" spans="1:24" ht="14.25" customHeight="1" x14ac:dyDescent="0.45">
      <c r="A5" s="116" t="str">
        <f>'Stats Global'!B6</f>
        <v>12-July</v>
      </c>
      <c r="B5" s="117">
        <f>'Stats Global'!L6</f>
        <v>15</v>
      </c>
      <c r="C5" s="117">
        <f>'Stats Global'!M6+'Stats Global'!N6</f>
        <v>6</v>
      </c>
      <c r="D5" s="117">
        <f>'Stats Global'!Q6</f>
        <v>3</v>
      </c>
      <c r="E5" s="118" t="s">
        <v>30</v>
      </c>
      <c r="F5" s="118" t="s">
        <v>50</v>
      </c>
      <c r="K5" s="83"/>
      <c r="L5" s="83" t="s">
        <v>50</v>
      </c>
      <c r="M5" s="93">
        <f>'Stats Global'!AA17</f>
        <v>66</v>
      </c>
      <c r="N5" s="93">
        <f>'Stats Global'!AB17</f>
        <v>3.4736842105263159</v>
      </c>
      <c r="O5" s="93">
        <f>'Stats Global'!AC17</f>
        <v>16</v>
      </c>
      <c r="P5" s="93">
        <f>'Stats Global'!AD17</f>
        <v>0.84210526315789469</v>
      </c>
      <c r="Q5" s="93">
        <f>'Stats Global'!AE17</f>
        <v>40</v>
      </c>
      <c r="R5" s="93">
        <f>'Stats Global'!AF17</f>
        <v>2.1052631578947367</v>
      </c>
      <c r="S5" s="93">
        <f>'Stats Global'!AG17</f>
        <v>5</v>
      </c>
      <c r="T5" s="93">
        <f>'Stats Global'!AH17</f>
        <v>0.26315789473684209</v>
      </c>
      <c r="U5" s="93">
        <f>'Stats Global'!AJ17</f>
        <v>1</v>
      </c>
      <c r="V5" s="83"/>
      <c r="W5" s="83"/>
      <c r="X5" s="83"/>
    </row>
    <row r="6" spans="1:24" ht="14.25" customHeight="1" x14ac:dyDescent="0.45">
      <c r="A6" s="116" t="str">
        <f>'Stats Global'!B7</f>
        <v>13-July</v>
      </c>
      <c r="B6" s="117">
        <f>'Stats Global'!L7</f>
        <v>1</v>
      </c>
      <c r="C6" s="117">
        <f>'Stats Global'!M7+'Stats Global'!N7</f>
        <v>6</v>
      </c>
      <c r="D6" s="117">
        <f>'Stats Global'!Q7</f>
        <v>1</v>
      </c>
      <c r="E6" s="118" t="s">
        <v>207</v>
      </c>
      <c r="F6" s="118" t="s">
        <v>55</v>
      </c>
      <c r="H6" s="81"/>
      <c r="I6" s="92"/>
      <c r="K6" s="83"/>
      <c r="L6" s="83" t="s">
        <v>30</v>
      </c>
      <c r="M6" s="93">
        <f>'Stats Global'!AA10</f>
        <v>39</v>
      </c>
      <c r="N6" s="93">
        <f>'Stats Global'!AB10</f>
        <v>3.25</v>
      </c>
      <c r="O6" s="93">
        <f>'Stats Global'!AC10</f>
        <v>36</v>
      </c>
      <c r="P6" s="93">
        <f>'Stats Global'!AD10</f>
        <v>3</v>
      </c>
      <c r="Q6" s="93">
        <f>'Stats Global'!AE10</f>
        <v>1</v>
      </c>
      <c r="R6" s="93">
        <f>'Stats Global'!AF10</f>
        <v>8.3333333333333329E-2</v>
      </c>
      <c r="S6" s="93">
        <f>'Stats Global'!AG10</f>
        <v>1</v>
      </c>
      <c r="T6" s="93">
        <f>'Stats Global'!AH10</f>
        <v>8.3333333333333329E-2</v>
      </c>
      <c r="U6" s="93">
        <f>'Stats Global'!AJ10</f>
        <v>8</v>
      </c>
      <c r="V6" s="83"/>
      <c r="W6" s="83"/>
      <c r="X6" s="83"/>
    </row>
    <row r="7" spans="1:24" ht="14.25" customHeight="1" x14ac:dyDescent="0.45">
      <c r="A7" s="75" t="str">
        <f>'Stats Global'!B8</f>
        <v>17-July</v>
      </c>
      <c r="B7" s="82">
        <f>'Stats Global'!L8</f>
        <v>3</v>
      </c>
      <c r="C7" s="82">
        <f>'Stats Global'!M8+'Stats Global'!N8</f>
        <v>5</v>
      </c>
      <c r="D7" s="82">
        <f>'Stats Global'!Q8</f>
        <v>2</v>
      </c>
      <c r="E7" s="80" t="s">
        <v>50</v>
      </c>
      <c r="F7" s="80" t="s">
        <v>207</v>
      </c>
      <c r="H7" s="81"/>
      <c r="I7" s="92"/>
      <c r="K7" s="83"/>
      <c r="L7" s="83" t="s">
        <v>42</v>
      </c>
      <c r="M7" s="93">
        <f>'Stats Global'!AA13</f>
        <v>16</v>
      </c>
      <c r="N7" s="93">
        <f>'Stats Global'!AB13</f>
        <v>0.94117647058823528</v>
      </c>
      <c r="O7" s="93">
        <f>'Stats Global'!AC13</f>
        <v>13</v>
      </c>
      <c r="P7" s="93">
        <f>'Stats Global'!AD13</f>
        <v>0.76470588235294112</v>
      </c>
      <c r="Q7" s="93">
        <f>'Stats Global'!AE13</f>
        <v>3</v>
      </c>
      <c r="R7" s="93">
        <f>'Stats Global'!AF13</f>
        <v>0.17647058823529413</v>
      </c>
      <c r="S7" s="93">
        <f>'Stats Global'!AG13</f>
        <v>0</v>
      </c>
      <c r="T7" s="93">
        <f>'Stats Global'!AH13</f>
        <v>0</v>
      </c>
      <c r="U7" s="93">
        <f>'Stats Global'!AJ13</f>
        <v>3</v>
      </c>
      <c r="V7" s="83"/>
      <c r="W7" s="83"/>
      <c r="X7" s="83"/>
    </row>
    <row r="8" spans="1:24" ht="14.25" customHeight="1" x14ac:dyDescent="0.45">
      <c r="A8" s="75" t="str">
        <f>'Stats Global'!B9</f>
        <v>18-July</v>
      </c>
      <c r="B8" s="82">
        <f>'Stats Global'!L9</f>
        <v>1</v>
      </c>
      <c r="C8" s="82">
        <f>'Stats Global'!M9+'Stats Global'!N9</f>
        <v>6</v>
      </c>
      <c r="D8" s="82">
        <f>'Stats Global'!Q9</f>
        <v>2</v>
      </c>
      <c r="E8" s="80" t="s">
        <v>207</v>
      </c>
      <c r="F8" s="80" t="s">
        <v>50</v>
      </c>
      <c r="H8" s="81"/>
      <c r="I8" s="92"/>
      <c r="K8" s="83"/>
      <c r="L8" s="83" t="s">
        <v>115</v>
      </c>
      <c r="M8" s="93">
        <f>'Stats Global'!AA14</f>
        <v>12</v>
      </c>
      <c r="N8" s="93">
        <f>'Stats Global'!AB14</f>
        <v>0.6</v>
      </c>
      <c r="O8" s="93">
        <f>'Stats Global'!AC14</f>
        <v>6</v>
      </c>
      <c r="P8" s="93">
        <f>'Stats Global'!AD14</f>
        <v>0.3</v>
      </c>
      <c r="Q8" s="93">
        <f>'Stats Global'!AE14</f>
        <v>4</v>
      </c>
      <c r="R8" s="93">
        <f>'Stats Global'!AF14</f>
        <v>0.2</v>
      </c>
      <c r="S8" s="93">
        <f>'Stats Global'!AG14</f>
        <v>1</v>
      </c>
      <c r="T8" s="93">
        <f>'Stats Global'!AH14</f>
        <v>0.05</v>
      </c>
      <c r="U8" s="93">
        <f>'Stats Global'!AJ14</f>
        <v>0</v>
      </c>
      <c r="V8" s="83"/>
      <c r="W8" s="83"/>
      <c r="X8" s="83"/>
    </row>
    <row r="9" spans="1:24" ht="14.25" customHeight="1" x14ac:dyDescent="0.45">
      <c r="A9" s="75" t="str">
        <f>'Stats Global'!B10</f>
        <v>19-July</v>
      </c>
      <c r="B9" s="82">
        <f>'Stats Global'!L10</f>
        <v>0</v>
      </c>
      <c r="C9" s="82">
        <f>'Stats Global'!M10+'Stats Global'!N10</f>
        <v>7</v>
      </c>
      <c r="D9" s="82">
        <f>'Stats Global'!Q10</f>
        <v>2</v>
      </c>
      <c r="E9" s="80" t="s">
        <v>207</v>
      </c>
      <c r="F9" s="80" t="s">
        <v>207</v>
      </c>
      <c r="H9" s="81"/>
      <c r="I9" s="92"/>
      <c r="K9" s="83"/>
      <c r="L9" s="83" t="s">
        <v>200</v>
      </c>
      <c r="M9" s="93">
        <f>'Stats Global'!AA19</f>
        <v>1</v>
      </c>
      <c r="N9" s="93">
        <f>'Stats Global'!AB19</f>
        <v>0.16666666666666666</v>
      </c>
      <c r="O9" s="93">
        <f>'Stats Global'!AC19</f>
        <v>0</v>
      </c>
      <c r="P9" s="93">
        <f>'Stats Global'!AD19</f>
        <v>0</v>
      </c>
      <c r="Q9" s="93">
        <f>'Stats Global'!AE19</f>
        <v>1</v>
      </c>
      <c r="R9" s="93">
        <f>'Stats Global'!AF19</f>
        <v>0.16666666666666666</v>
      </c>
      <c r="S9" s="93">
        <f>'Stats Global'!AG19</f>
        <v>0</v>
      </c>
      <c r="T9" s="93">
        <f>'Stats Global'!AH19</f>
        <v>0</v>
      </c>
      <c r="U9" s="93">
        <f>'Stats Global'!AJ19</f>
        <v>14</v>
      </c>
      <c r="V9" s="83"/>
      <c r="W9" s="83"/>
      <c r="X9" s="83"/>
    </row>
    <row r="10" spans="1:24" ht="14.25" customHeight="1" x14ac:dyDescent="0.45">
      <c r="A10" s="75" t="str">
        <f>'Stats Global'!B11</f>
        <v>20-July</v>
      </c>
      <c r="B10" s="82">
        <f>'Stats Global'!L11</f>
        <v>2</v>
      </c>
      <c r="C10" s="82">
        <f>'Stats Global'!M11+'Stats Global'!N11</f>
        <v>4</v>
      </c>
      <c r="D10" s="82">
        <f>'Stats Global'!Q11</f>
        <v>1</v>
      </c>
      <c r="E10" s="80" t="s">
        <v>50</v>
      </c>
      <c r="F10" s="80" t="s">
        <v>50</v>
      </c>
      <c r="H10" s="81"/>
      <c r="I10" s="92"/>
      <c r="K10" s="56"/>
      <c r="L10" s="137" t="s">
        <v>202</v>
      </c>
      <c r="M10" s="110">
        <f>'Stats Global'!AA23</f>
        <v>1</v>
      </c>
      <c r="N10" s="110">
        <f>'Stats Global'!AB23</f>
        <v>0.05</v>
      </c>
      <c r="O10" s="110">
        <f>'Stats Global'!AC23</f>
        <v>0</v>
      </c>
      <c r="P10" s="110">
        <f>'Stats Global'!AD23</f>
        <v>0</v>
      </c>
      <c r="Q10" s="110">
        <f>'Stats Global'!AE23</f>
        <v>1</v>
      </c>
      <c r="R10" s="110">
        <f>'Stats Global'!AF23</f>
        <v>0.05</v>
      </c>
      <c r="S10" s="110">
        <f>'Stats Global'!AG23</f>
        <v>0</v>
      </c>
      <c r="T10" s="110">
        <f>'Stats Global'!AH23</f>
        <v>0</v>
      </c>
      <c r="U10" s="110">
        <f>'Stats Global'!AJ23</f>
        <v>0</v>
      </c>
      <c r="V10" s="83"/>
      <c r="W10" s="83"/>
      <c r="X10" s="83"/>
    </row>
    <row r="11" spans="1:24" ht="14.25" customHeight="1" x14ac:dyDescent="0.45">
      <c r="A11" s="75" t="str">
        <f>'Stats Global'!B12</f>
        <v>24-July</v>
      </c>
      <c r="B11" s="82">
        <f>'Stats Global'!L12</f>
        <v>9</v>
      </c>
      <c r="C11" s="82">
        <f>'Stats Global'!M12+'Stats Global'!N12</f>
        <v>1</v>
      </c>
      <c r="D11" s="82">
        <f>'Stats Global'!Q12</f>
        <v>3</v>
      </c>
      <c r="E11" s="80" t="s">
        <v>30</v>
      </c>
      <c r="F11" s="80" t="s">
        <v>115</v>
      </c>
      <c r="H11" s="81"/>
      <c r="I11" s="92"/>
      <c r="K11" s="83"/>
      <c r="L11" s="83"/>
      <c r="M11" s="83"/>
      <c r="N11" s="83"/>
      <c r="O11" s="83"/>
      <c r="Q11" s="83"/>
      <c r="R11" s="83"/>
      <c r="S11" s="83"/>
      <c r="T11" s="83"/>
      <c r="U11" s="56"/>
      <c r="V11" s="83"/>
      <c r="W11" s="83"/>
      <c r="X11" s="83"/>
    </row>
    <row r="12" spans="1:24" ht="14.25" customHeight="1" x14ac:dyDescent="0.45">
      <c r="A12" s="75" t="str">
        <f>'Stats Global'!B13</f>
        <v>26-July</v>
      </c>
      <c r="B12" s="82">
        <f>'Stats Global'!L13</f>
        <v>8</v>
      </c>
      <c r="C12" s="82">
        <f>'Stats Global'!M13+'Stats Global'!N13</f>
        <v>5</v>
      </c>
      <c r="D12" s="82">
        <f>'Stats Global'!Q13</f>
        <v>3</v>
      </c>
      <c r="E12" s="80" t="s">
        <v>30</v>
      </c>
      <c r="F12" s="80" t="s">
        <v>50</v>
      </c>
      <c r="H12" s="81"/>
      <c r="I12" s="92"/>
      <c r="K12" s="83"/>
      <c r="L12" s="83"/>
      <c r="M12" s="83"/>
      <c r="N12" s="83"/>
      <c r="O12" s="83"/>
      <c r="Q12" s="83"/>
      <c r="R12" s="83"/>
      <c r="S12" s="83"/>
      <c r="T12" s="83"/>
      <c r="U12" s="56"/>
      <c r="V12" s="83"/>
      <c r="W12" s="83"/>
      <c r="X12" s="83"/>
    </row>
    <row r="13" spans="1:24" ht="14.25" customHeight="1" x14ac:dyDescent="0.45">
      <c r="A13" s="75" t="str">
        <f>'Stats Global'!B14</f>
        <v>27-July</v>
      </c>
      <c r="B13" s="82">
        <f>'Stats Global'!L14</f>
        <v>8</v>
      </c>
      <c r="C13" s="82">
        <f>'Stats Global'!M14+'Stats Global'!N14</f>
        <v>3</v>
      </c>
      <c r="D13" s="82">
        <f>'Stats Global'!Q14</f>
        <v>3</v>
      </c>
      <c r="E13" s="80" t="s">
        <v>253</v>
      </c>
      <c r="F13" s="80" t="s">
        <v>30</v>
      </c>
      <c r="H13" s="81"/>
      <c r="I13" s="92"/>
      <c r="K13" s="83"/>
      <c r="L13" s="83"/>
      <c r="M13" s="83"/>
      <c r="N13" s="83"/>
      <c r="O13" s="83"/>
      <c r="Q13" s="83"/>
      <c r="R13" s="83"/>
      <c r="S13" s="83"/>
      <c r="T13" s="83"/>
      <c r="U13" s="56"/>
      <c r="V13" s="83"/>
      <c r="W13" s="83"/>
      <c r="X13" s="83"/>
    </row>
    <row r="14" spans="1:24" ht="14.25" customHeight="1" x14ac:dyDescent="0.45">
      <c r="A14" s="75" t="str">
        <f>'Stats Global'!B15</f>
        <v>31-July</v>
      </c>
      <c r="B14" s="82">
        <f>'Stats Global'!L15</f>
        <v>3</v>
      </c>
      <c r="C14" s="82">
        <f>'Stats Global'!M15+'Stats Global'!N15</f>
        <v>7</v>
      </c>
      <c r="D14" s="82">
        <f>'Stats Global'!Q15</f>
        <v>1</v>
      </c>
      <c r="E14" s="80" t="s">
        <v>50</v>
      </c>
      <c r="F14" s="80" t="s">
        <v>258</v>
      </c>
      <c r="K14" s="83"/>
      <c r="L14" s="83"/>
      <c r="M14" s="83"/>
      <c r="N14" s="83"/>
      <c r="O14" s="83"/>
      <c r="Q14" s="83"/>
      <c r="R14" s="83"/>
      <c r="S14" s="83"/>
      <c r="T14" s="83"/>
      <c r="U14" s="56"/>
      <c r="V14" s="83"/>
      <c r="W14" s="83"/>
      <c r="X14" s="83"/>
    </row>
    <row r="15" spans="1:24" ht="14.25" customHeight="1" x14ac:dyDescent="0.45">
      <c r="A15" s="75" t="str">
        <f>'Stats Global'!B16</f>
        <v>1-August</v>
      </c>
      <c r="B15" s="82">
        <f>'Stats Global'!L16</f>
        <v>6</v>
      </c>
      <c r="C15" s="82">
        <f>'Stats Global'!M16+'Stats Global'!N16</f>
        <v>5</v>
      </c>
      <c r="D15" s="82">
        <f>'Stats Global'!Q16</f>
        <v>2</v>
      </c>
      <c r="E15" s="80" t="s">
        <v>50</v>
      </c>
      <c r="F15" s="80" t="s">
        <v>50</v>
      </c>
      <c r="K15" s="83"/>
      <c r="L15" s="83"/>
      <c r="M15" s="83"/>
      <c r="N15" s="83"/>
      <c r="O15" s="83"/>
      <c r="Q15" s="83"/>
      <c r="R15" s="83"/>
      <c r="S15" s="83"/>
      <c r="T15" s="83"/>
      <c r="U15" s="56"/>
      <c r="V15" s="83"/>
      <c r="W15" s="83"/>
      <c r="X15" s="83"/>
    </row>
    <row r="16" spans="1:24" ht="14.25" customHeight="1" x14ac:dyDescent="0.45">
      <c r="A16" s="75" t="str">
        <f>'Stats Global'!B17</f>
        <v>2-August</v>
      </c>
      <c r="B16" s="82">
        <f>'Stats Global'!L17</f>
        <v>12</v>
      </c>
      <c r="C16" s="82">
        <f>'Stats Global'!M17+'Stats Global'!N17</f>
        <v>7</v>
      </c>
      <c r="D16" s="82">
        <f>'Stats Global'!Q17</f>
        <v>3</v>
      </c>
      <c r="E16" s="80" t="s">
        <v>30</v>
      </c>
      <c r="F16" s="80" t="s">
        <v>50</v>
      </c>
      <c r="K16" s="83"/>
      <c r="L16" s="83"/>
      <c r="M16" s="83"/>
      <c r="N16" s="83"/>
      <c r="O16" s="83"/>
      <c r="Q16" s="83"/>
      <c r="R16" s="83"/>
      <c r="S16" s="83"/>
      <c r="T16" s="83"/>
      <c r="U16" s="56"/>
      <c r="V16" s="83"/>
      <c r="W16" s="83"/>
      <c r="X16" s="83"/>
    </row>
    <row r="17" spans="1:24" ht="14.25" customHeight="1" x14ac:dyDescent="0.45">
      <c r="A17" s="75" t="str">
        <f>'Stats Global'!B18</f>
        <v>3-August</v>
      </c>
      <c r="B17" s="82">
        <f>'Stats Global'!L18</f>
        <v>0</v>
      </c>
      <c r="C17" s="82">
        <f>'Stats Global'!M18+'Stats Global'!N18</f>
        <v>5</v>
      </c>
      <c r="D17" s="82">
        <f>'Stats Global'!Q18</f>
        <v>1</v>
      </c>
      <c r="E17" s="146" t="s">
        <v>207</v>
      </c>
      <c r="F17" s="146" t="s">
        <v>207</v>
      </c>
      <c r="K17" s="83"/>
      <c r="L17" s="83"/>
      <c r="M17" s="83"/>
      <c r="N17" s="83"/>
      <c r="O17" s="83"/>
      <c r="Q17" s="83"/>
      <c r="R17" s="83"/>
      <c r="S17" s="83"/>
      <c r="T17" s="83"/>
      <c r="U17" s="56"/>
      <c r="V17" s="83"/>
      <c r="W17" s="83"/>
      <c r="X17" s="83"/>
    </row>
    <row r="18" spans="1:24" ht="14.25" customHeight="1" x14ac:dyDescent="0.45">
      <c r="A18" s="75" t="str">
        <f>'Stats Global'!B19</f>
        <v>8-August</v>
      </c>
      <c r="B18" s="82">
        <f>'Stats Global'!L19</f>
        <v>17</v>
      </c>
      <c r="C18" s="82">
        <f>'Stats Global'!M19+'Stats Global'!N19</f>
        <v>1</v>
      </c>
      <c r="D18" s="82">
        <f>'Stats Global'!Q19</f>
        <v>3</v>
      </c>
      <c r="E18" s="148" t="s">
        <v>50</v>
      </c>
      <c r="F18" s="148" t="s">
        <v>50</v>
      </c>
      <c r="K18" s="83"/>
      <c r="L18" s="83"/>
      <c r="M18" s="83"/>
      <c r="N18" s="83"/>
      <c r="O18" s="83"/>
      <c r="Q18" s="83"/>
      <c r="R18" s="83"/>
      <c r="S18" s="83"/>
      <c r="T18" s="83"/>
      <c r="U18" s="56"/>
      <c r="V18" s="83"/>
      <c r="W18" s="83"/>
      <c r="X18" s="83"/>
    </row>
    <row r="19" spans="1:24" ht="14.25" customHeight="1" x14ac:dyDescent="0.45">
      <c r="A19" s="75" t="str">
        <f>'Stats Global'!B20</f>
        <v>9-August</v>
      </c>
      <c r="B19" s="82">
        <f>'Stats Global'!L20</f>
        <v>8</v>
      </c>
      <c r="C19" s="82">
        <f>'Stats Global'!M20+'Stats Global'!N20</f>
        <v>3</v>
      </c>
      <c r="D19" s="82">
        <f>'Stats Global'!Q20</f>
        <v>3</v>
      </c>
      <c r="E19" s="151" t="s">
        <v>50</v>
      </c>
      <c r="F19" s="151" t="s">
        <v>30</v>
      </c>
      <c r="K19" s="83"/>
      <c r="L19" s="83"/>
      <c r="M19" s="83"/>
      <c r="N19" s="83"/>
      <c r="O19" s="83"/>
      <c r="Q19" s="83"/>
      <c r="R19" s="83"/>
      <c r="S19" s="83"/>
      <c r="T19" s="83"/>
      <c r="U19" s="56"/>
      <c r="V19" s="83"/>
      <c r="W19" s="83"/>
      <c r="X19" s="83"/>
    </row>
    <row r="20" spans="1:24" ht="14.25" customHeight="1" x14ac:dyDescent="0.45">
      <c r="A20" s="75" t="str">
        <f>'Stats Global'!B21</f>
        <v>10-August</v>
      </c>
      <c r="B20" s="82">
        <f>'Stats Global'!L21</f>
        <v>0</v>
      </c>
      <c r="C20" s="82">
        <f>'Stats Global'!M21+'Stats Global'!N21</f>
        <v>10</v>
      </c>
      <c r="D20" s="82">
        <f>'Stats Global'!Q21</f>
        <v>1</v>
      </c>
      <c r="E20" s="173" t="s">
        <v>207</v>
      </c>
      <c r="F20" s="173" t="s">
        <v>207</v>
      </c>
      <c r="K20" s="83"/>
      <c r="L20" s="83"/>
      <c r="M20" s="83"/>
      <c r="N20" s="83"/>
      <c r="O20" s="83"/>
      <c r="Q20" s="83"/>
      <c r="R20" s="83"/>
      <c r="S20" s="83"/>
      <c r="T20" s="83"/>
      <c r="U20" s="56"/>
      <c r="V20" s="83"/>
      <c r="W20" s="83"/>
      <c r="X20" s="83"/>
    </row>
    <row r="21" spans="1:24" ht="14.25" customHeight="1" x14ac:dyDescent="0.45">
      <c r="A21" s="75" t="str">
        <f>'Stats Global'!B22</f>
        <v>14-August</v>
      </c>
      <c r="B21" s="82">
        <f>'Stats Global'!L22</f>
        <v>7</v>
      </c>
      <c r="C21" s="82">
        <f>'Stats Global'!M22+'Stats Global'!N22</f>
        <v>3</v>
      </c>
      <c r="D21" s="82">
        <f>'Stats Global'!Q22</f>
        <v>3</v>
      </c>
      <c r="E21" s="80" t="s">
        <v>30</v>
      </c>
      <c r="F21" s="80" t="s">
        <v>284</v>
      </c>
      <c r="K21" s="83"/>
      <c r="L21" s="83"/>
      <c r="M21" s="83"/>
      <c r="N21" s="83"/>
      <c r="O21" s="83"/>
      <c r="Q21" s="83"/>
      <c r="R21" s="83"/>
      <c r="S21" s="83"/>
      <c r="T21" s="83"/>
      <c r="U21" s="56"/>
      <c r="V21" s="83"/>
      <c r="W21" s="83"/>
      <c r="X21" s="83"/>
    </row>
    <row r="22" spans="1:24" ht="14.25" customHeight="1" x14ac:dyDescent="0.45">
      <c r="A22" s="75" t="str">
        <f>'Stats Global'!B23</f>
        <v>15-August</v>
      </c>
      <c r="B22" s="82">
        <f>'Stats Global'!L23</f>
        <v>20</v>
      </c>
      <c r="C22" s="82">
        <f>'Stats Global'!M23+'Stats Global'!N23</f>
        <v>5</v>
      </c>
      <c r="D22" s="82">
        <f>'Stats Global'!Q23</f>
        <v>3</v>
      </c>
      <c r="E22" s="80" t="s">
        <v>50</v>
      </c>
      <c r="F22" s="80" t="s">
        <v>50</v>
      </c>
      <c r="K22" s="83"/>
      <c r="L22" s="83"/>
      <c r="M22" s="83"/>
      <c r="N22" s="83"/>
      <c r="O22" s="83"/>
      <c r="Q22" s="83"/>
      <c r="R22" s="83"/>
      <c r="S22" s="83"/>
      <c r="T22" s="83"/>
      <c r="U22" s="56"/>
      <c r="V22" s="83"/>
      <c r="W22" s="83"/>
      <c r="X22" s="83"/>
    </row>
    <row r="23" spans="1:24" ht="14.25" customHeight="1" x14ac:dyDescent="0.45">
      <c r="A23" s="75" t="str">
        <f>'Stats Global'!B24</f>
        <v>17-August</v>
      </c>
      <c r="B23" s="82">
        <f>'Stats Global'!L24</f>
        <v>5</v>
      </c>
      <c r="C23" s="82">
        <f>'Stats Global'!M24+'Stats Global'!N24</f>
        <v>6</v>
      </c>
      <c r="D23" s="82">
        <f>'Stats Global'!Q24</f>
        <v>2</v>
      </c>
      <c r="E23" s="185" t="s">
        <v>42</v>
      </c>
      <c r="F23" s="186" t="s">
        <v>30</v>
      </c>
      <c r="G23" s="87"/>
      <c r="K23" s="83"/>
      <c r="L23" s="83"/>
      <c r="M23" s="83"/>
      <c r="N23" s="83"/>
      <c r="O23" s="83"/>
      <c r="Q23" s="83"/>
      <c r="R23" s="83"/>
      <c r="S23" s="83"/>
      <c r="T23" s="83"/>
      <c r="U23" s="56"/>
      <c r="V23" s="83"/>
      <c r="W23" s="83"/>
      <c r="X23" s="83"/>
    </row>
    <row r="24" spans="1:24" ht="14.25" customHeight="1" x14ac:dyDescent="0.45">
      <c r="A24" s="75" t="str">
        <f>'Stats Global'!B25</f>
        <v>21-August</v>
      </c>
      <c r="B24" s="82">
        <f>'Stats Global'!L25</f>
        <v>11</v>
      </c>
      <c r="C24" s="82">
        <f>'Stats Global'!M25+'Stats Global'!N25</f>
        <v>3</v>
      </c>
      <c r="D24" s="82">
        <f>'Stats Global'!Q25</f>
        <v>6</v>
      </c>
      <c r="E24" s="86"/>
      <c r="F24" s="80"/>
      <c r="G24" s="87"/>
      <c r="K24" s="83"/>
      <c r="L24" s="83"/>
      <c r="M24" s="83"/>
      <c r="N24" s="83"/>
      <c r="O24" s="83"/>
      <c r="Q24" s="83"/>
      <c r="R24" s="83"/>
      <c r="S24" s="83"/>
      <c r="T24" s="83"/>
      <c r="U24" s="56"/>
      <c r="V24" s="83"/>
      <c r="W24" s="83"/>
      <c r="X24" s="83"/>
    </row>
    <row r="25" spans="1:24" ht="14.25" customHeight="1" x14ac:dyDescent="0.45">
      <c r="A25" s="75" t="str">
        <f>'Stats Global'!B26</f>
        <v>22-August</v>
      </c>
      <c r="B25" s="82">
        <f>'Stats Global'!L26</f>
        <v>4</v>
      </c>
      <c r="C25" s="82">
        <f>'Stats Global'!M26+'Stats Global'!N26</f>
        <v>8</v>
      </c>
      <c r="D25" s="82">
        <f>'Stats Global'!Q26</f>
        <v>2</v>
      </c>
      <c r="E25" s="86"/>
      <c r="F25" s="80"/>
      <c r="G25" s="87"/>
      <c r="K25" s="83"/>
      <c r="L25" s="83"/>
      <c r="M25" s="83"/>
      <c r="N25" s="83"/>
      <c r="O25" s="83"/>
      <c r="Q25" s="83"/>
      <c r="R25" s="83"/>
      <c r="S25" s="83"/>
      <c r="T25" s="83"/>
      <c r="U25" s="56"/>
      <c r="V25" s="83"/>
      <c r="W25" s="83"/>
      <c r="X25" s="83"/>
    </row>
    <row r="26" spans="1:24" ht="14.25" customHeight="1" x14ac:dyDescent="0.45">
      <c r="A26" s="75" t="str">
        <f>'Stats Global'!B27</f>
        <v>23-August</v>
      </c>
      <c r="B26" s="82">
        <f>'Stats Global'!L27</f>
        <v>5</v>
      </c>
      <c r="C26" s="82">
        <f>'Stats Global'!M27+'Stats Global'!N27</f>
        <v>6</v>
      </c>
      <c r="D26" s="82">
        <f>'Stats Global'!Q27</f>
        <v>4</v>
      </c>
      <c r="E26" s="80"/>
      <c r="F26" s="80"/>
      <c r="K26" s="83"/>
      <c r="L26" s="83"/>
      <c r="M26" s="83"/>
      <c r="N26" s="83"/>
      <c r="O26" s="83"/>
      <c r="Q26" s="83"/>
      <c r="R26" s="83"/>
      <c r="S26" s="83"/>
      <c r="T26" s="83"/>
      <c r="U26" s="56"/>
      <c r="V26" s="83"/>
      <c r="W26" s="83"/>
      <c r="X26" s="83"/>
    </row>
    <row r="27" spans="1:24" ht="14.25" customHeight="1" x14ac:dyDescent="0.45">
      <c r="A27" s="75">
        <f>'Stats Global'!B28</f>
        <v>0</v>
      </c>
      <c r="B27" s="82">
        <f>'Stats Global'!L28</f>
        <v>0</v>
      </c>
      <c r="C27" s="82">
        <f>'Stats Global'!M28+'Stats Global'!N28</f>
        <v>0</v>
      </c>
      <c r="D27" s="82">
        <f>'Stats Global'!Q28</f>
        <v>0</v>
      </c>
      <c r="E27" s="80"/>
      <c r="F27" s="80"/>
      <c r="K27" s="83"/>
      <c r="L27" s="83"/>
      <c r="M27" s="83"/>
      <c r="N27" s="83"/>
      <c r="O27" s="83"/>
      <c r="Q27" s="83"/>
      <c r="R27" s="83"/>
      <c r="S27" s="83"/>
      <c r="T27" s="83"/>
      <c r="U27" s="56"/>
      <c r="V27" s="83"/>
      <c r="W27" s="83"/>
      <c r="X27" s="83"/>
    </row>
    <row r="28" spans="1:24" ht="14.25" customHeight="1" x14ac:dyDescent="0.45">
      <c r="A28" s="75">
        <f>'Stats Global'!B29</f>
        <v>0</v>
      </c>
      <c r="B28" s="82">
        <f>'Stats Global'!L29</f>
        <v>0</v>
      </c>
      <c r="C28" s="82">
        <f>'Stats Global'!M29+'Stats Global'!N29</f>
        <v>0</v>
      </c>
      <c r="D28" s="82">
        <f>'Stats Global'!Q29</f>
        <v>0</v>
      </c>
      <c r="E28" s="80"/>
      <c r="F28" s="80"/>
      <c r="K28" s="83"/>
      <c r="L28" s="83"/>
      <c r="M28" s="83"/>
      <c r="N28" s="83"/>
      <c r="O28" s="83"/>
      <c r="Q28" s="83"/>
      <c r="R28" s="83"/>
      <c r="S28" s="83"/>
      <c r="T28" s="83"/>
      <c r="U28" s="56"/>
      <c r="V28" s="83"/>
      <c r="W28" s="83"/>
      <c r="X28" s="83"/>
    </row>
    <row r="29" spans="1:24" ht="14.25" customHeight="1" x14ac:dyDescent="0.45">
      <c r="A29" s="75">
        <f>'Stats Global'!B30</f>
        <v>0</v>
      </c>
      <c r="B29" s="82">
        <f>'Stats Global'!L30</f>
        <v>0</v>
      </c>
      <c r="C29" s="82">
        <f>'Stats Global'!M30+'Stats Global'!N30</f>
        <v>0</v>
      </c>
      <c r="D29" s="82">
        <f>'Stats Global'!Q30</f>
        <v>0</v>
      </c>
      <c r="E29" s="80"/>
      <c r="F29" s="80"/>
      <c r="K29" s="83"/>
      <c r="L29" s="83"/>
      <c r="M29" s="83"/>
      <c r="N29" s="83"/>
      <c r="O29" s="83"/>
      <c r="Q29" s="83"/>
      <c r="R29" s="83"/>
      <c r="S29" s="83"/>
      <c r="T29" s="83"/>
      <c r="U29" s="56"/>
      <c r="V29" s="93"/>
      <c r="W29" s="83"/>
      <c r="X29" s="83"/>
    </row>
    <row r="30" spans="1:24" ht="14.25" customHeight="1" x14ac:dyDescent="0.45">
      <c r="A30" s="75">
        <f>'Stats Global'!B31</f>
        <v>0</v>
      </c>
      <c r="B30" s="82">
        <f>'Stats Global'!L31</f>
        <v>0</v>
      </c>
      <c r="C30" s="82">
        <f>'Stats Global'!M31+'Stats Global'!N31</f>
        <v>0</v>
      </c>
      <c r="D30" s="82">
        <f>'Stats Global'!Q31</f>
        <v>0</v>
      </c>
      <c r="E30" s="80"/>
      <c r="F30" s="80"/>
      <c r="K30" s="83"/>
      <c r="L30" s="83"/>
      <c r="M30" s="83"/>
      <c r="N30" s="83"/>
      <c r="O30" s="83"/>
      <c r="P30" s="81"/>
      <c r="Q30" s="83"/>
      <c r="R30" s="83"/>
      <c r="S30" s="83"/>
      <c r="T30" s="83"/>
      <c r="U30" s="56"/>
      <c r="V30" s="83"/>
      <c r="W30" s="83"/>
      <c r="X30" s="83"/>
    </row>
    <row r="31" spans="1:24" ht="14.25" customHeight="1" x14ac:dyDescent="0.45">
      <c r="A31" s="75">
        <f>'Stats Global'!B32</f>
        <v>0</v>
      </c>
      <c r="B31" s="82">
        <f>'Stats Global'!L32</f>
        <v>0</v>
      </c>
      <c r="C31" s="82">
        <f>'Stats Global'!M32+'Stats Global'!N32</f>
        <v>0</v>
      </c>
      <c r="D31" s="82">
        <f>'Stats Global'!Q32</f>
        <v>0</v>
      </c>
      <c r="E31" s="80"/>
      <c r="F31" s="80"/>
      <c r="J31" s="81"/>
      <c r="Q31" s="88"/>
      <c r="U31" s="56"/>
      <c r="V31" s="56"/>
      <c r="W31" s="56"/>
      <c r="X31" s="56"/>
    </row>
    <row r="32" spans="1:24" ht="14.25" customHeight="1" x14ac:dyDescent="0.45">
      <c r="A32" s="75">
        <f>'Stats Global'!B33</f>
        <v>0</v>
      </c>
      <c r="B32" s="82">
        <f>'Stats Global'!L33</f>
        <v>0</v>
      </c>
      <c r="C32" s="82">
        <f>'Stats Global'!M33+'Stats Global'!N33</f>
        <v>0</v>
      </c>
      <c r="D32" s="82">
        <f>'Stats Global'!Q33</f>
        <v>0</v>
      </c>
      <c r="E32" s="80"/>
      <c r="F32" s="80"/>
      <c r="J32" s="81"/>
      <c r="K32" s="89" t="str">
        <f>M32&amp;H3&amp;","&amp;I3&amp;","&amp;J3&amp;"],"</f>
        <v>"PartA":[129,100,50],</v>
      </c>
      <c r="L32" s="81"/>
      <c r="M32" s="76" t="s">
        <v>135</v>
      </c>
      <c r="O32" s="76" t="s">
        <v>139</v>
      </c>
      <c r="Q32" s="90">
        <f>ROUND(SUM('Stats Global'!AA10,'Stats Global'!AA14,'Stats Global'!AA17,'Stats Global'!AA13,'Stats Global'!AA24,'Stats Global'!AA23)/'Stats Global'!AA6,1)</f>
        <v>7</v>
      </c>
    </row>
    <row r="33" spans="1:17" ht="14.25" customHeight="1" x14ac:dyDescent="0.45">
      <c r="A33" s="75">
        <f>'Stats Global'!B34</f>
        <v>0</v>
      </c>
      <c r="B33" s="82">
        <f>'Stats Global'!L34</f>
        <v>0</v>
      </c>
      <c r="C33" s="82">
        <f>'Stats Global'!M34+'Stats Global'!N34</f>
        <v>0</v>
      </c>
      <c r="D33" s="82">
        <f>'Stats Global'!Q34</f>
        <v>0</v>
      </c>
      <c r="E33" s="80"/>
      <c r="F33" s="80"/>
      <c r="K33" s="76" t="str">
        <f>M33&amp;O33&amp;","&amp;CHAR(34)&amp;P33&amp;CHAR(34)&amp;","&amp;O34&amp;","&amp;CHAR(34)&amp;P34&amp;CHAR(34)&amp;","&amp;O35&amp;","&amp;CHAR(34)&amp;P35&amp;CHAR(34)&amp;","&amp;O36&amp;","&amp;CHAR(34)&amp;P36&amp;CHAR(34)&amp;"],"</f>
        <v>"PartB":[66,"Samuel McConaghy",36,"Alexander Galt",40,"Samuel McConaghy",5,"Samuel McConaghy"],</v>
      </c>
      <c r="M33" s="76" t="s">
        <v>136</v>
      </c>
      <c r="O33" s="91">
        <f>MAX(Table11[Points])</f>
        <v>66</v>
      </c>
      <c r="P33" s="76" t="str">
        <f>IF(O33&lt;&gt;0,IF(O33=M5,L5,IF(O33=M6,L6,IF(M7=O33,L7,IF(M8=O33,L8,L9)))),"N/A")</f>
        <v>Samuel McConaghy</v>
      </c>
      <c r="Q33" s="90">
        <f>ROUND(SUM('Stats Global'!AC10,'Stats Global'!AC14,'Stats Global'!AC17,'Stats Global'!AC13,'Stats Global'!AC24,'Stats Global'!AC23)/'Stats Global'!AA6,1)</f>
        <v>3.8</v>
      </c>
    </row>
    <row r="34" spans="1:17" ht="14.25" customHeight="1" x14ac:dyDescent="0.45">
      <c r="A34" s="75">
        <f>'Stats Global'!B35</f>
        <v>0</v>
      </c>
      <c r="B34" s="82">
        <f>'Stats Global'!L35</f>
        <v>0</v>
      </c>
      <c r="C34" s="82">
        <f>'Stats Global'!M35+'Stats Global'!N35</f>
        <v>0</v>
      </c>
      <c r="D34" s="82">
        <f>'Stats Global'!Q35</f>
        <v>0</v>
      </c>
      <c r="E34" s="80"/>
      <c r="F34" s="80"/>
      <c r="K34" s="76" t="str">
        <f>M34&amp;Q32&amp;","&amp;Q33&amp;","&amp;Q34&amp;","&amp;Q35&amp;","&amp;Q36&amp;","&amp;Q37&amp;"],"</f>
        <v>"PartC":[7,3.8,2.5,0.4,6.5,5],</v>
      </c>
      <c r="M34" s="76" t="s">
        <v>137</v>
      </c>
      <c r="O34" s="91">
        <f>MAX(Table11[Finishes])</f>
        <v>36</v>
      </c>
      <c r="P34" s="76" t="str">
        <f>IF(O34&lt;&gt;0,IF(O34=O5,L5,IF(O34=O6,L6,IF(O7=O34,L7,IF(O8=O34,L8,L9)))),"N/A")</f>
        <v>Alexander Galt</v>
      </c>
      <c r="Q34" s="90">
        <f>ROUND(SUM('Stats Global'!AE10,'Stats Global'!AE14,'Stats Global'!AE17,'Stats Global'!AE13,'Stats Global'!AE24,'Stats Global'!AE23)/'Stats Global'!AA6,1)</f>
        <v>2.5</v>
      </c>
    </row>
    <row r="35" spans="1:17" ht="14.25" customHeight="1" x14ac:dyDescent="0.45">
      <c r="A35" s="75">
        <f>'Stats Global'!B36</f>
        <v>0</v>
      </c>
      <c r="B35" s="82">
        <f>'Stats Global'!L36</f>
        <v>0</v>
      </c>
      <c r="C35" s="82">
        <f>'Stats Global'!M36+'Stats Global'!N36</f>
        <v>0</v>
      </c>
      <c r="D35" s="82">
        <f>'Stats Global'!Q36</f>
        <v>0</v>
      </c>
      <c r="E35" s="80"/>
      <c r="F35" s="80"/>
      <c r="K35" s="76" t="str">
        <f>M35&amp;'Statistics LG'!P41&amp;","&amp;'Statistics LG'!O41&amp;","&amp;ROUND((1-'Statistics LG'!O42)*100,1)&amp;","&amp;'Statistics WW'!M41&amp;","&amp;'Statistics WW'!L41&amp;","&amp;ROUND((1-'Statistics WW'!L42)*100,1)&amp;"],"</f>
        <v>"PartD":[63,63,50,66,37,64.1],</v>
      </c>
      <c r="M35" s="76" t="s">
        <v>138</v>
      </c>
      <c r="O35" s="91">
        <f>MAX(Table11[Midranges])</f>
        <v>40</v>
      </c>
      <c r="P35" s="76" t="str">
        <f>IF(O35&lt;&gt;0,IF(O35=Q5,L5,IF(O35=Q6,L6,IF(Q7=O35,L7,IF(Q8=O35,L8,L9)))),"N/A")</f>
        <v>Samuel McConaghy</v>
      </c>
      <c r="Q35" s="90">
        <f>ROUND(SUM('Stats Global'!AG10,'Stats Global'!AG14,'Stats Global'!AG17,'Stats Global'!AG13,'Stats Global'!AG24,'Stats Global'!AG23)/'Stats Global'!AA6,1)</f>
        <v>0.4</v>
      </c>
    </row>
    <row r="36" spans="1:17" ht="14.25" customHeight="1" x14ac:dyDescent="0.45">
      <c r="A36" s="75">
        <f>'Stats Global'!B37</f>
        <v>0</v>
      </c>
      <c r="B36" s="82">
        <f>'Stats Global'!L37</f>
        <v>0</v>
      </c>
      <c r="C36" s="82">
        <f>'Stats Global'!M37+'Stats Global'!N37</f>
        <v>0</v>
      </c>
      <c r="D36" s="82">
        <f>'Stats Global'!Q37</f>
        <v>0</v>
      </c>
      <c r="E36" s="80"/>
      <c r="F36" s="80"/>
      <c r="O36" s="91">
        <f>MAX(Table11[Threes])</f>
        <v>5</v>
      </c>
      <c r="P36" s="76" t="str">
        <f>IF(O36&lt;&gt;0,IF(O36=S5,L5,IF(O36=S6,L6,IF(S7=O36,L7,IF(S8=O36,L8,L9)))),"N/A")</f>
        <v>Samuel McConaghy</v>
      </c>
      <c r="Q36" s="76">
        <f>ROUND(H3/'Stats Global'!AA6,1)</f>
        <v>6.5</v>
      </c>
    </row>
    <row r="37" spans="1:17" ht="14.25" customHeight="1" x14ac:dyDescent="0.45">
      <c r="A37" s="75">
        <f>'Stats Global'!B38</f>
        <v>0</v>
      </c>
      <c r="B37" s="82">
        <f>'Stats Global'!L38</f>
        <v>0</v>
      </c>
      <c r="C37" s="82">
        <f>'Stats Global'!M38+'Stats Global'!N38</f>
        <v>0</v>
      </c>
      <c r="D37" s="82">
        <f>'Stats Global'!Q38</f>
        <v>0</v>
      </c>
      <c r="E37" s="80"/>
      <c r="F37" s="80"/>
      <c r="Q37" s="76">
        <f>ROUND(I3/'Stats Global'!AA6,1)</f>
        <v>5</v>
      </c>
    </row>
    <row r="38" spans="1:17" ht="14.25" customHeight="1" x14ac:dyDescent="0.45">
      <c r="A38" s="75">
        <f>'Stats Global'!B39</f>
        <v>0</v>
      </c>
      <c r="B38" s="82">
        <f>'Stats Global'!L39</f>
        <v>0</v>
      </c>
      <c r="C38" s="82">
        <f>'Stats Global'!M39+'Stats Global'!N39</f>
        <v>0</v>
      </c>
      <c r="D38" s="82">
        <f>'Stats Global'!Q39</f>
        <v>0</v>
      </c>
      <c r="E38" s="80"/>
      <c r="F38" s="80"/>
    </row>
    <row r="39" spans="1:17" ht="14.25" customHeight="1" x14ac:dyDescent="0.45">
      <c r="A39" s="75">
        <f>'Stats Global'!B40</f>
        <v>0</v>
      </c>
      <c r="B39" s="82">
        <f>'Stats Global'!L40</f>
        <v>0</v>
      </c>
      <c r="C39" s="82">
        <f>'Stats Global'!M40+'Stats Global'!N40</f>
        <v>0</v>
      </c>
      <c r="D39" s="82">
        <f>'Stats Global'!Q40</f>
        <v>0</v>
      </c>
      <c r="E39" s="80"/>
      <c r="F39" s="80"/>
    </row>
    <row r="40" spans="1:17" ht="14.25" customHeight="1" x14ac:dyDescent="0.45">
      <c r="A40" s="75">
        <f>'Stats Global'!B41</f>
        <v>0</v>
      </c>
      <c r="B40" s="82">
        <f>'Stats Global'!L41</f>
        <v>0</v>
      </c>
      <c r="C40" s="82">
        <f>'Stats Global'!M41+'Stats Global'!N41</f>
        <v>0</v>
      </c>
      <c r="D40" s="82">
        <f>'Stats Global'!Q41</f>
        <v>0</v>
      </c>
      <c r="E40" s="80"/>
      <c r="F40" s="80"/>
    </row>
    <row r="41" spans="1:17" ht="14.25" customHeight="1" x14ac:dyDescent="0.45">
      <c r="C41" s="113">
        <f>SUM(B7:B40)/SUM(B7:C40)</f>
        <v>0.5633187772925764</v>
      </c>
    </row>
    <row r="42" spans="1:17" ht="14.25" customHeight="1" x14ac:dyDescent="0.45"/>
    <row r="43" spans="1:17" ht="14.25" customHeight="1" x14ac:dyDescent="0.45"/>
    <row r="44" spans="1:17" ht="14.25" customHeight="1" x14ac:dyDescent="0.45"/>
    <row r="45" spans="1:17" ht="14.25" customHeight="1" x14ac:dyDescent="0.45"/>
    <row r="46" spans="1:17" ht="14.25" customHeight="1" x14ac:dyDescent="0.45"/>
    <row r="47" spans="1:17" ht="14.25" customHeight="1" x14ac:dyDescent="0.45"/>
    <row r="48" spans="1:1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F1000"/>
  <sheetViews>
    <sheetView topLeftCell="P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255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0</v>
      </c>
      <c r="M3" s="11">
        <f>COUNTIF(D3:D40, "Loose Gooses")</f>
        <v>0</v>
      </c>
      <c r="N3" s="10" t="e">
        <f>L3/(L3+M3)</f>
        <v>#DIV/0!</v>
      </c>
      <c r="O3" s="11">
        <f>IF(M3&lt;&gt;0,IF(AND(N3&gt;N4,N3&gt;N5),3,IF(OR(N3&gt;N4,N3&gt;N5),2,1)),0)</f>
        <v>0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/>
      <c r="C4" s="25"/>
      <c r="D4" s="25"/>
      <c r="E4" s="25"/>
      <c r="F4" s="25"/>
      <c r="G4" s="25"/>
      <c r="H4" s="25"/>
      <c r="I4" s="25"/>
      <c r="K4" s="11" t="s">
        <v>110</v>
      </c>
      <c r="L4" s="11">
        <f>COUNTIF(C3:C40, "5 Musketeers")</f>
        <v>0</v>
      </c>
      <c r="M4" s="11">
        <f>COUNTIF(D3:D40, "5 Musketeers")</f>
        <v>0</v>
      </c>
      <c r="N4" s="10" t="e">
        <f t="shared" ref="N4:N5" si="4">L4/(L4+M4)</f>
        <v>#DIV/0!</v>
      </c>
      <c r="O4" s="11">
        <f>IF(M4&lt;&gt;0,IF(AND(N4&gt;N3,N4&gt;N5),3,IF(OR(N4&gt;N3,N4&gt;N5),2,1)),0)</f>
        <v>0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18" si="5">IF(AND(C4="Loose Gooses",D4="Wet Willies"),"LG/WW", IF(AND(C4="Loose Gooses",D4="5 Musketeers"),"LG/5M", ""))</f>
        <v/>
      </c>
      <c r="Y4" s="52" t="str">
        <f t="shared" ref="Y4:Y18" si="6">IF(AND(C4="Wet Willies",D4="Loose Gooses"),"WW/LG", IF(AND(C4="Wet Willies",D4="5 Musketeers"),"WW/5M", ""))</f>
        <v/>
      </c>
      <c r="Z4" s="52" t="str">
        <f t="shared" ref="Z4:Z18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/>
      <c r="C5" s="25"/>
      <c r="D5" s="25"/>
      <c r="E5" s="25"/>
      <c r="F5" s="25"/>
      <c r="G5" s="25"/>
      <c r="H5" s="25"/>
      <c r="I5" s="25"/>
      <c r="K5" s="11" t="s">
        <v>109</v>
      </c>
      <c r="L5" s="11">
        <f>COUNTIF(C3:C40, "Wet Willies")</f>
        <v>0</v>
      </c>
      <c r="M5" s="11">
        <f>COUNTIF(D3:D40, "Wet Willies")</f>
        <v>0</v>
      </c>
      <c r="N5" s="10" t="e">
        <f t="shared" si="4"/>
        <v>#DIV/0!</v>
      </c>
      <c r="O5" s="11">
        <f>IF(M5&lt;&gt;0,IF(AND(N5&gt;N4, N5&gt;N3), 3, IF(OR(N5&gt;N4, N5&gt;N3), 2, 1)),0)</f>
        <v>0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/>
      <c r="C6" s="25"/>
      <c r="D6" s="25"/>
      <c r="E6" s="25"/>
      <c r="F6" s="25"/>
      <c r="G6" s="25"/>
      <c r="H6" s="25"/>
      <c r="I6" s="25"/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/>
      <c r="C7" s="25"/>
      <c r="D7" s="25"/>
      <c r="E7" s="25"/>
      <c r="F7" s="25"/>
      <c r="G7" s="25"/>
      <c r="H7" s="25"/>
      <c r="I7" s="25"/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45">
      <c r="B8" s="25"/>
      <c r="C8" s="25"/>
      <c r="D8" s="25"/>
      <c r="E8" s="25"/>
      <c r="F8" s="25"/>
      <c r="G8" s="25"/>
      <c r="H8" s="25"/>
      <c r="I8" s="25"/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/>
      <c r="C9" s="25"/>
      <c r="D9" s="25"/>
      <c r="E9" s="25"/>
      <c r="F9" s="25"/>
      <c r="G9" s="25"/>
      <c r="H9" s="25"/>
      <c r="I9" s="25"/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/>
      </c>
    </row>
    <row r="10" spans="2:31" ht="14.25" customHeight="1" x14ac:dyDescent="0.45">
      <c r="B10" s="25"/>
      <c r="C10" s="25"/>
      <c r="D10" s="25"/>
      <c r="E10" s="25"/>
      <c r="F10" s="25"/>
      <c r="G10" s="25"/>
      <c r="H10" s="25"/>
      <c r="I10" s="25"/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/>
      </c>
      <c r="AB10" s="2"/>
    </row>
    <row r="11" spans="2:31" ht="14.25" customHeight="1" x14ac:dyDescent="0.45">
      <c r="B11" s="25"/>
      <c r="C11" s="25"/>
      <c r="D11" s="25"/>
      <c r="E11" s="25"/>
      <c r="F11" s="25"/>
      <c r="G11" s="25"/>
      <c r="H11" s="25"/>
      <c r="I11" s="25"/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45">
      <c r="B12" s="25"/>
      <c r="C12" s="25"/>
      <c r="D12" s="25"/>
      <c r="E12" s="25"/>
      <c r="F12" s="25"/>
      <c r="G12" s="25"/>
      <c r="H12" s="25"/>
      <c r="I12" s="25"/>
      <c r="Q12" s="2" t="s">
        <v>50</v>
      </c>
      <c r="R12" s="8">
        <f t="shared" si="0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/>
      </c>
      <c r="AB12" s="2"/>
    </row>
    <row r="13" spans="2:31" ht="14.25" customHeight="1" x14ac:dyDescent="0.45">
      <c r="B13" s="25"/>
      <c r="C13" s="25"/>
      <c r="D13" s="25"/>
      <c r="E13" s="25"/>
      <c r="F13" s="25"/>
      <c r="G13" s="25"/>
      <c r="H13" s="25"/>
      <c r="I13" s="25"/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/>
      <c r="C14" s="25"/>
      <c r="D14" s="25"/>
      <c r="E14" s="25"/>
      <c r="F14" s="25"/>
      <c r="G14" s="25"/>
      <c r="H14" s="25"/>
      <c r="I14" s="25"/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/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/>
      <c r="C15" s="25"/>
      <c r="D15" s="25"/>
      <c r="E15" s="25"/>
      <c r="F15" s="25"/>
      <c r="G15" s="25"/>
      <c r="H15" s="25"/>
      <c r="I15" s="25"/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/>
      <c r="C16" s="25"/>
      <c r="D16" s="25"/>
      <c r="E16" s="25"/>
      <c r="F16" s="25"/>
      <c r="G16" s="25"/>
      <c r="H16" s="25"/>
      <c r="I16" s="25"/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0</v>
      </c>
      <c r="S17" s="9">
        <f t="shared" si="1"/>
        <v>0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ref="X19:X39" si="8">IF(AND(C19="Loose Gooses",D19="Wet Willies"),"LG/WW", IF(AND(C19="Loose Gooses",D19="5 Musketeers"),"LG/5M", ""))</f>
        <v/>
      </c>
      <c r="Y19" s="52" t="str">
        <f t="shared" ref="Y19:Y39" si="9">IF(AND(C19="Wet Willies",D19="Loose Gooses"),"WW/LG", IF(AND(C19="Wet Willies",D19="5 Musketeers"),"WW/5M", ""))</f>
        <v/>
      </c>
      <c r="Z19" s="52" t="str">
        <f t="shared" ref="Z19:Z39" si="10">IF(AND(C19="5 Musketeers",D19="Loose Gooses"),"5M/LG", IF(AND($C19="5 Musketeers",$D19="Wet Willies"),"5M/WW", ""))</f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8"/>
        <v/>
      </c>
      <c r="Y20" s="52" t="str">
        <f t="shared" si="9"/>
        <v/>
      </c>
      <c r="Z20" s="52" t="str">
        <f t="shared" si="10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8"/>
        <v/>
      </c>
      <c r="Y21" s="52" t="str">
        <f t="shared" si="9"/>
        <v/>
      </c>
      <c r="Z21" s="52" t="str">
        <f t="shared" si="10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8"/>
        <v/>
      </c>
      <c r="Y22" s="52" t="str">
        <f t="shared" si="9"/>
        <v/>
      </c>
      <c r="Z22" s="52" t="str">
        <f t="shared" si="10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11">IF($V3, CHAR(34)&amp;"Did not Play"&amp;CHAR(34), S3)&amp;","</f>
        <v>0,</v>
      </c>
      <c r="T23" s="16" t="str">
        <f t="shared" si="11"/>
        <v>0,</v>
      </c>
      <c r="U23" s="16" t="str">
        <f t="shared" si="11"/>
        <v>0,</v>
      </c>
      <c r="X23" s="52" t="str">
        <f t="shared" si="8"/>
        <v/>
      </c>
      <c r="Y23" s="52" t="str">
        <f t="shared" si="9"/>
        <v/>
      </c>
      <c r="Z23" s="52" t="str">
        <f t="shared" si="10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12">IF($V4, CHAR(34)&amp;"Did not Play"&amp;CHAR(34), R4)&amp;","</f>
        <v>0,</v>
      </c>
      <c r="S24" s="16" t="str">
        <f t="shared" si="12"/>
        <v>0,</v>
      </c>
      <c r="T24" s="16" t="str">
        <f t="shared" si="12"/>
        <v>0,</v>
      </c>
      <c r="U24" s="16" t="str">
        <f t="shared" si="12"/>
        <v>0,</v>
      </c>
      <c r="X24" s="52" t="str">
        <f t="shared" si="8"/>
        <v/>
      </c>
      <c r="Y24" s="52" t="str">
        <f t="shared" si="9"/>
        <v/>
      </c>
      <c r="Z24" s="52" t="str">
        <f t="shared" si="10"/>
        <v/>
      </c>
      <c r="AB24" s="158" t="s">
        <v>30</v>
      </c>
      <c r="AC24" s="165">
        <f>Table631[[#This Row],[Finishes]]+Table631[[#This Row],[Midranges]]+Table631[[#This Row],[Threes]]+Table631[[#This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12"/>
        <v>0,</v>
      </c>
      <c r="S25" s="16" t="str">
        <f t="shared" si="12"/>
        <v>0,</v>
      </c>
      <c r="T25" s="16" t="str">
        <f t="shared" si="12"/>
        <v>0,</v>
      </c>
      <c r="U25" s="16" t="str">
        <f t="shared" si="12"/>
        <v>0,</v>
      </c>
      <c r="X25" s="52" t="str">
        <f t="shared" si="8"/>
        <v/>
      </c>
      <c r="Y25" s="52" t="str">
        <f t="shared" si="9"/>
        <v/>
      </c>
      <c r="Z25" s="52" t="str">
        <f t="shared" si="10"/>
        <v/>
      </c>
      <c r="AB25" s="159" t="s">
        <v>35</v>
      </c>
      <c r="AC25" s="166">
        <f>Table631[[#This Row],[Finishes]]+Table631[[#This Row],[Midranges]]+Table631[[#This Row],[Threes]]+Table631[[#This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12"/>
        <v>0,</v>
      </c>
      <c r="S26" s="16" t="str">
        <f t="shared" si="12"/>
        <v>0,</v>
      </c>
      <c r="T26" s="16" t="str">
        <f t="shared" si="12"/>
        <v>0,</v>
      </c>
      <c r="U26" s="16" t="str">
        <f t="shared" si="12"/>
        <v>0,</v>
      </c>
      <c r="X26" s="52" t="str">
        <f t="shared" si="8"/>
        <v/>
      </c>
      <c r="Y26" s="52" t="str">
        <f t="shared" si="9"/>
        <v/>
      </c>
      <c r="Z26" s="52" t="str">
        <f t="shared" si="10"/>
        <v/>
      </c>
      <c r="AB26" s="158" t="s">
        <v>37</v>
      </c>
      <c r="AC26" s="165">
        <f>Table631[[#This Row],[Finishes]]+Table631[[#This Row],[Midranges]]+Table631[[#This Row],[Threes]]+Table631[[#This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12"/>
        <v>0,</v>
      </c>
      <c r="S27" s="16" t="str">
        <f t="shared" si="12"/>
        <v>0,</v>
      </c>
      <c r="T27" s="16" t="str">
        <f t="shared" si="12"/>
        <v>0,</v>
      </c>
      <c r="U27" s="16" t="str">
        <f t="shared" si="12"/>
        <v>0,</v>
      </c>
      <c r="X27" s="52" t="str">
        <f t="shared" si="8"/>
        <v/>
      </c>
      <c r="Y27" s="52" t="str">
        <f t="shared" si="9"/>
        <v/>
      </c>
      <c r="Z27" s="52" t="str">
        <f t="shared" si="10"/>
        <v/>
      </c>
      <c r="AB27" s="159" t="s">
        <v>42</v>
      </c>
      <c r="AC27" s="166">
        <f>Table631[[#This Row],[Finishes]]+Table631[[#This Row],[Midranges]]+Table631[[#This Row],[Threes]]+Table631[[#This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12"/>
        <v>0,</v>
      </c>
      <c r="S28" s="16" t="str">
        <f t="shared" si="12"/>
        <v>0,</v>
      </c>
      <c r="T28" s="16" t="str">
        <f t="shared" si="12"/>
        <v>0,</v>
      </c>
      <c r="U28" s="16" t="str">
        <f t="shared" si="12"/>
        <v>0,</v>
      </c>
      <c r="X28" s="52" t="str">
        <f t="shared" si="8"/>
        <v/>
      </c>
      <c r="Y28" s="52" t="str">
        <f t="shared" si="9"/>
        <v/>
      </c>
      <c r="Z28" s="52" t="str">
        <f t="shared" si="10"/>
        <v/>
      </c>
      <c r="AB28" s="158" t="s">
        <v>115</v>
      </c>
      <c r="AC28" s="165">
        <f>Table631[[#This Row],[Finishes]]+Table631[[#This Row],[Midranges]]+Table631[[#This Row],[Threes]]+Table631[[#This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12"/>
        <v>0,</v>
      </c>
      <c r="S29" s="16" t="str">
        <f t="shared" si="12"/>
        <v>0,</v>
      </c>
      <c r="T29" s="16" t="str">
        <f t="shared" si="12"/>
        <v>0,</v>
      </c>
      <c r="U29" s="16" t="str">
        <f t="shared" si="12"/>
        <v>0,</v>
      </c>
      <c r="X29" s="52" t="str">
        <f t="shared" si="8"/>
        <v/>
      </c>
      <c r="Y29" s="52" t="str">
        <f t="shared" si="9"/>
        <v/>
      </c>
      <c r="Z29" s="52" t="str">
        <f t="shared" si="10"/>
        <v/>
      </c>
      <c r="AB29" s="159" t="s">
        <v>44</v>
      </c>
      <c r="AC29" s="166">
        <f>Table631[[#This Row],[Finishes]]+Table631[[#This Row],[Midranges]]+Table631[[#This Row],[Threes]]+Table631[[#This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12"/>
        <v>0,</v>
      </c>
      <c r="S30" s="16" t="str">
        <f t="shared" si="12"/>
        <v>0,</v>
      </c>
      <c r="T30" s="16" t="str">
        <f t="shared" si="12"/>
        <v>0,</v>
      </c>
      <c r="U30" s="16" t="str">
        <f t="shared" si="12"/>
        <v>0,</v>
      </c>
      <c r="X30" s="52" t="str">
        <f t="shared" si="8"/>
        <v/>
      </c>
      <c r="Y30" s="52" t="str">
        <f t="shared" si="9"/>
        <v/>
      </c>
      <c r="Z30" s="52" t="str">
        <f t="shared" si="10"/>
        <v/>
      </c>
      <c r="AB30" s="158" t="s">
        <v>50</v>
      </c>
      <c r="AC30" s="165">
        <f>Table631[[#This Row],[Finishes]]+Table631[[#This Row],[Midranges]]+Table631[[#This Row],[Threes]]+Table631[[#This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12"/>
        <v>0,</v>
      </c>
      <c r="S31" s="16" t="str">
        <f t="shared" si="12"/>
        <v>0,</v>
      </c>
      <c r="T31" s="16" t="str">
        <f t="shared" si="12"/>
        <v>0,</v>
      </c>
      <c r="U31" s="16" t="str">
        <f t="shared" si="12"/>
        <v>0,</v>
      </c>
      <c r="X31" s="52" t="str">
        <f t="shared" si="8"/>
        <v/>
      </c>
      <c r="Y31" s="52" t="str">
        <f t="shared" si="9"/>
        <v/>
      </c>
      <c r="Z31" s="52" t="str">
        <f t="shared" si="10"/>
        <v/>
      </c>
      <c r="AB31" s="159" t="s">
        <v>52</v>
      </c>
      <c r="AC31" s="166">
        <f>Table631[[#This Row],[Finishes]]+Table631[[#This Row],[Midranges]]+Table631[[#This Row],[Threes]]+Table631[[#This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12"/>
        <v>0,</v>
      </c>
      <c r="S32" s="16" t="str">
        <f t="shared" si="12"/>
        <v>0,</v>
      </c>
      <c r="T32" s="16" t="str">
        <f t="shared" si="12"/>
        <v>0,</v>
      </c>
      <c r="U32" s="16" t="str">
        <f t="shared" si="12"/>
        <v>0,</v>
      </c>
      <c r="X32" s="52" t="str">
        <f t="shared" si="8"/>
        <v/>
      </c>
      <c r="Y32" s="52" t="str">
        <f t="shared" si="9"/>
        <v/>
      </c>
      <c r="Z32" s="52" t="str">
        <f t="shared" si="10"/>
        <v/>
      </c>
      <c r="AB32" s="158" t="s">
        <v>200</v>
      </c>
      <c r="AC32" s="165">
        <f>Table631[[#This Row],[Finishes]]+Table631[[#This Row],[Midranges]]+Table631[[#This Row],[Threes]]+Table631[[#This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12"/>
        <v>0,</v>
      </c>
      <c r="S33" s="16" t="str">
        <f t="shared" si="12"/>
        <v>0,</v>
      </c>
      <c r="T33" s="16" t="str">
        <f t="shared" si="12"/>
        <v>0,</v>
      </c>
      <c r="U33" s="16" t="str">
        <f t="shared" si="12"/>
        <v>0,</v>
      </c>
      <c r="X33" s="52" t="str">
        <f t="shared" si="8"/>
        <v/>
      </c>
      <c r="Y33" s="52" t="str">
        <f t="shared" si="9"/>
        <v/>
      </c>
      <c r="Z33" s="52" t="str">
        <f t="shared" si="10"/>
        <v/>
      </c>
      <c r="AB33" s="159" t="s">
        <v>55</v>
      </c>
      <c r="AC33" s="166">
        <f>Table631[[#This Row],[Finishes]]+Table631[[#This Row],[Midranges]]+Table631[[#This Row],[Threes]]+Table631[[#This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12"/>
        <v>0,</v>
      </c>
      <c r="S34" s="16" t="str">
        <f t="shared" si="12"/>
        <v>0,</v>
      </c>
      <c r="T34" s="16" t="str">
        <f t="shared" si="12"/>
        <v>0,</v>
      </c>
      <c r="U34" s="16" t="str">
        <f t="shared" si="12"/>
        <v>0,</v>
      </c>
      <c r="X34" s="52" t="str">
        <f t="shared" si="8"/>
        <v/>
      </c>
      <c r="Y34" s="52" t="str">
        <f t="shared" si="9"/>
        <v/>
      </c>
      <c r="Z34" s="52" t="str">
        <f t="shared" si="10"/>
        <v/>
      </c>
      <c r="AB34" s="158" t="s">
        <v>64</v>
      </c>
      <c r="AC34" s="165">
        <f>Table631[[#This Row],[Finishes]]+Table631[[#This Row],[Midranges]]+Table631[[#This Row],[Threes]]+Table631[[#This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12"/>
        <v>0,</v>
      </c>
      <c r="S35" s="16" t="str">
        <f t="shared" si="12"/>
        <v>0,</v>
      </c>
      <c r="T35" s="16" t="str">
        <f t="shared" si="12"/>
        <v>0,</v>
      </c>
      <c r="U35" s="16" t="str">
        <f t="shared" si="12"/>
        <v>0,</v>
      </c>
      <c r="X35" s="52" t="str">
        <f t="shared" si="8"/>
        <v/>
      </c>
      <c r="Y35" s="52" t="str">
        <f t="shared" si="9"/>
        <v/>
      </c>
      <c r="Z35" s="52" t="str">
        <f t="shared" si="10"/>
        <v/>
      </c>
      <c r="AB35" s="160" t="s">
        <v>67</v>
      </c>
      <c r="AC35" s="167">
        <f>Table631[[#This Row],[Finishes]]+Table631[[#This Row],[Midranges]]+Table631[[#This Row],[Threes]]+Table631[[#This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12"/>
        <v>0,</v>
      </c>
      <c r="S36" s="16" t="str">
        <f t="shared" si="12"/>
        <v>0,</v>
      </c>
      <c r="T36" s="16" t="str">
        <f t="shared" si="12"/>
        <v>0,</v>
      </c>
      <c r="U36" s="16" t="str">
        <f t="shared" si="12"/>
        <v>0,</v>
      </c>
      <c r="X36" s="52" t="str">
        <f t="shared" si="8"/>
        <v/>
      </c>
      <c r="Y36" s="52" t="str">
        <f t="shared" si="9"/>
        <v/>
      </c>
      <c r="Z36" s="52" t="str">
        <f t="shared" si="10"/>
        <v/>
      </c>
    </row>
    <row r="37" spans="2:32" ht="14.25" customHeight="1" x14ac:dyDescent="0.45">
      <c r="R37" s="16" t="str">
        <f t="shared" si="12"/>
        <v>0,</v>
      </c>
      <c r="S37" s="16" t="str">
        <f t="shared" si="12"/>
        <v>0,</v>
      </c>
      <c r="T37" s="16" t="str">
        <f t="shared" si="12"/>
        <v>0,</v>
      </c>
      <c r="U37" s="16" t="str">
        <f t="shared" si="12"/>
        <v>0,</v>
      </c>
      <c r="X37" s="52" t="str">
        <f t="shared" si="8"/>
        <v/>
      </c>
      <c r="Y37" s="52" t="str">
        <f t="shared" si="9"/>
        <v/>
      </c>
      <c r="Z37" s="52" t="str">
        <f t="shared" si="10"/>
        <v/>
      </c>
    </row>
    <row r="38" spans="2:32" ht="14.25" customHeight="1" x14ac:dyDescent="0.45">
      <c r="R38" s="16" t="str">
        <f t="shared" si="12"/>
        <v>0,</v>
      </c>
      <c r="S38" s="16" t="str">
        <f t="shared" si="12"/>
        <v>0,</v>
      </c>
      <c r="T38" s="16" t="str">
        <f t="shared" si="12"/>
        <v>0,</v>
      </c>
      <c r="U38" s="16" t="str">
        <f t="shared" si="12"/>
        <v>0,</v>
      </c>
      <c r="X38" s="52" t="str">
        <f t="shared" si="8"/>
        <v/>
      </c>
      <c r="Y38" s="52" t="str">
        <f t="shared" si="9"/>
        <v/>
      </c>
      <c r="Z38" s="52" t="str">
        <f t="shared" si="10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8"/>
        <v/>
      </c>
      <c r="Y39" s="52" t="str">
        <f t="shared" si="9"/>
        <v/>
      </c>
      <c r="Z39" s="52" t="str">
        <f t="shared" si="10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"Date":["12-August"],</v>
      </c>
    </row>
    <row r="45" spans="2:32" ht="14.25" customHeight="1" x14ac:dyDescent="0.45">
      <c r="B45" s="74" t="str">
        <f>C2</f>
        <v>12-August</v>
      </c>
      <c r="C45" s="16">
        <f>MAX(L3:L5)</f>
        <v>0</v>
      </c>
      <c r="D45" s="16">
        <f>COUNT(B4:B42)-C45-E45</f>
        <v>0</v>
      </c>
      <c r="E45" s="16">
        <f>MIN(L3:L5)</f>
        <v>0</v>
      </c>
      <c r="F45" s="16">
        <f>L3</f>
        <v>0</v>
      </c>
      <c r="G45" s="16">
        <f>COUNTIF(Y4:Y39, "WW/LG")</f>
        <v>0</v>
      </c>
      <c r="H45" s="16">
        <f>COUNTIF(Z4:Z39, "5M/LG")</f>
        <v>0</v>
      </c>
      <c r="I45" s="16">
        <f>L5</f>
        <v>0</v>
      </c>
      <c r="J45" s="16">
        <f>COUNTIF(X4:X39, "LG/WW")</f>
        <v>0</v>
      </c>
      <c r="K45" s="16">
        <f>COUNTIF(Z4:Z39, "5M/WW")</f>
        <v>0</v>
      </c>
      <c r="L45" s="16">
        <f>L4</f>
        <v>0</v>
      </c>
      <c r="M45" s="16">
        <f>COUNTIF(X4:X39, "LG/5M")</f>
        <v>0</v>
      </c>
      <c r="N45" s="16">
        <f>COUNTIF(Y4:Y39, "WW/5M")</f>
        <v>0</v>
      </c>
      <c r="O45" s="16">
        <f>O3</f>
        <v>0</v>
      </c>
      <c r="P45" s="16">
        <f>O5</f>
        <v>0</v>
      </c>
      <c r="Q45" s="16">
        <f>O4</f>
        <v>0</v>
      </c>
      <c r="T45" s="16" t="str">
        <f>CHAR(34)&amp;"Points"&amp;CHAR(34)&amp;":["&amp;R23&amp;R24&amp;R25&amp;R26&amp;R27&amp;R28&amp;R29&amp;R30&amp;R31&amp;R32&amp;R33&amp;R34&amp;R35&amp;R36&amp;R37&amp;R38&amp;R39&amp;"],"</f>
        <v>"Points":[0,0,0,0,0,0,0,0,0,0,0,0,0,0,0,0,0],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"Finishes":[0,0,0,0,0,0,0,0,0,0,0,0,0,0,0,0,0],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"Midrange":[0,0,0,0,0,0,0,0,0,0,0,0,0,0,0,0,0],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"ThreePointers":[0,0,0,0,0,0,0,0,0,0,0,0,0,0,0,0,0]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8236-9F4E-4951-8CEE-8A46989A0F1C}">
  <dimension ref="B1:AG1000"/>
  <sheetViews>
    <sheetView zoomScale="79" workbookViewId="0">
      <selection activeCell="B3" sqref="B3:J21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2" ht="14.25" customHeight="1" x14ac:dyDescent="0.45"/>
    <row r="2" spans="2:32" ht="14.25" customHeight="1" x14ac:dyDescent="0.45">
      <c r="B2" s="11" t="s">
        <v>97</v>
      </c>
      <c r="C2" s="50" t="s">
        <v>295</v>
      </c>
      <c r="L2" s="3" t="s">
        <v>98</v>
      </c>
      <c r="M2" s="3" t="s">
        <v>88</v>
      </c>
      <c r="N2" s="3" t="s">
        <v>89</v>
      </c>
      <c r="O2" s="3" t="s">
        <v>83</v>
      </c>
      <c r="P2" s="3" t="s">
        <v>0</v>
      </c>
      <c r="R2" s="3" t="s">
        <v>84</v>
      </c>
      <c r="S2" s="11" t="s">
        <v>0</v>
      </c>
      <c r="T2" s="2" t="s">
        <v>1</v>
      </c>
      <c r="U2" s="2" t="s">
        <v>99</v>
      </c>
      <c r="V2" s="2" t="s">
        <v>100</v>
      </c>
      <c r="W2" s="16" t="s">
        <v>121</v>
      </c>
      <c r="AD2" s="2"/>
      <c r="AE2" s="2"/>
      <c r="AF2" s="2"/>
    </row>
    <row r="3" spans="2:32" ht="14.25" customHeight="1" x14ac:dyDescent="0.45">
      <c r="B3" s="14" t="s">
        <v>101</v>
      </c>
      <c r="C3" s="14" t="s">
        <v>102</v>
      </c>
      <c r="D3" s="14" t="s">
        <v>103</v>
      </c>
      <c r="E3" s="14" t="s">
        <v>292</v>
      </c>
      <c r="F3" s="14" t="s">
        <v>104</v>
      </c>
      <c r="G3" s="14" t="s">
        <v>105</v>
      </c>
      <c r="H3" s="14" t="s">
        <v>106</v>
      </c>
      <c r="I3" s="14" t="s">
        <v>107</v>
      </c>
      <c r="J3" s="14" t="s">
        <v>112</v>
      </c>
      <c r="L3" s="11" t="s">
        <v>108</v>
      </c>
      <c r="M3" s="11">
        <f>COUNTIF(C$3:C40, "Loose Gooses")</f>
        <v>11</v>
      </c>
      <c r="N3" s="11">
        <f>COUNTIF(D$3:D40, "Loose Gooses")</f>
        <v>5</v>
      </c>
      <c r="O3" s="10">
        <f>M3/(M3+N3)</f>
        <v>0.6875</v>
      </c>
      <c r="P3" s="11">
        <v>6</v>
      </c>
      <c r="R3" s="2" t="s">
        <v>25</v>
      </c>
      <c r="S3" s="8">
        <f>COUNTIF($F$3:$F$40, R3)+V3</f>
        <v>0</v>
      </c>
      <c r="T3" s="9">
        <f>COUNTIFS($F$3:$F$40, $R3,$G$3:$G$40,"Finish")</f>
        <v>0</v>
      </c>
      <c r="U3" s="9">
        <f>COUNTIFS($F$3:$F$40, $R3,$G$3:$G$40,"Midrange")</f>
        <v>0</v>
      </c>
      <c r="V3" s="9">
        <f>COUNTIFS($F$3:$F$40, $R3,$G$3:$G$40,"Three Pointer")</f>
        <v>0</v>
      </c>
      <c r="W3" s="26" t="b">
        <v>0</v>
      </c>
      <c r="Y3" s="51" t="s">
        <v>108</v>
      </c>
      <c r="Z3" s="51" t="s">
        <v>109</v>
      </c>
      <c r="AA3" s="51" t="s">
        <v>110</v>
      </c>
      <c r="AC3" s="2"/>
    </row>
    <row r="4" spans="2:32" ht="14.25" customHeight="1" x14ac:dyDescent="0.45">
      <c r="B4" s="25">
        <v>1</v>
      </c>
      <c r="C4" s="25" t="s">
        <v>26</v>
      </c>
      <c r="D4" s="25" t="s">
        <v>47</v>
      </c>
      <c r="E4" s="25" t="s">
        <v>287</v>
      </c>
      <c r="F4" s="25" t="s">
        <v>50</v>
      </c>
      <c r="G4" s="25" t="s">
        <v>99</v>
      </c>
      <c r="H4" s="25" t="s">
        <v>288</v>
      </c>
      <c r="I4" s="25" t="s">
        <v>288</v>
      </c>
      <c r="J4" s="25">
        <v>1</v>
      </c>
      <c r="L4" s="11" t="s">
        <v>110</v>
      </c>
      <c r="M4" s="11">
        <f>COUNTIF(C$3:C41, "5 Musketeers")</f>
        <v>5</v>
      </c>
      <c r="N4" s="11">
        <f>COUNTIF(D$3:D41, "5 Musketeers")</f>
        <v>6</v>
      </c>
      <c r="O4" s="10">
        <f t="shared" ref="O4:O5" si="0">M4/(M4+N4)</f>
        <v>0.45454545454545453</v>
      </c>
      <c r="P4" s="11">
        <v>4</v>
      </c>
      <c r="R4" s="2" t="s">
        <v>28</v>
      </c>
      <c r="S4" s="8">
        <f t="shared" ref="S4:S19" si="1">COUNTIF($F$3:$F$40, R4)+V4</f>
        <v>2</v>
      </c>
      <c r="T4" s="9">
        <f t="shared" ref="T4:T19" si="2">COUNTIFS($F$3:$F$40, $R4,$G$3:$G$40,"Finish")</f>
        <v>2</v>
      </c>
      <c r="U4" s="9">
        <f t="shared" ref="U4:U19" si="3">COUNTIFS($F$3:$F$40, $R4,$G$3:$G$40,"Midrange")</f>
        <v>0</v>
      </c>
      <c r="V4" s="9">
        <f t="shared" ref="V4:V19" si="4">COUNTIFS($F$3:$F$40, $R4,$G$3:$G$40,"Three Pointer")</f>
        <v>0</v>
      </c>
      <c r="W4" s="26" t="b">
        <v>0</v>
      </c>
      <c r="Y4" s="52" t="str">
        <f t="shared" ref="Y4:Y39" si="5">IF(AND(C4="Loose Gooses",D4="Wet Willies"),"LG/WW", IF(AND(C4="Loose Gooses",D4="5 Musketeers"),"LG/5M", ""))</f>
        <v/>
      </c>
      <c r="Z4" s="52" t="str">
        <f t="shared" ref="Z4:Z39" si="6">IF(AND(C4="Wet Willies",D4="Loose Gooses"),"WW/LG", IF(AND(C4="Wet Willies",D4="5 Musketeers"),"WW/5M", ""))</f>
        <v/>
      </c>
      <c r="AA4" s="52" t="str">
        <f t="shared" ref="AA4:AA39" si="7">IF(AND(C4="5 Musketeers",D4="Loose Gooses"),"5M/LG", IF(AND($C4="5 Musketeers",$D4="Wet Willies"),"5M/WW", ""))</f>
        <v>5M/LG</v>
      </c>
      <c r="AC4" s="2"/>
    </row>
    <row r="5" spans="2:32" ht="14.25" customHeight="1" x14ac:dyDescent="0.45">
      <c r="B5" s="25">
        <v>1</v>
      </c>
      <c r="C5" s="25" t="s">
        <v>26</v>
      </c>
      <c r="D5" s="25" t="s">
        <v>47</v>
      </c>
      <c r="E5" s="25" t="s">
        <v>291</v>
      </c>
      <c r="F5" s="25" t="s">
        <v>30</v>
      </c>
      <c r="G5" s="25" t="s">
        <v>204</v>
      </c>
      <c r="H5" s="25">
        <v>1</v>
      </c>
      <c r="I5" s="25">
        <v>1</v>
      </c>
      <c r="J5" s="25">
        <v>1</v>
      </c>
      <c r="L5" s="11" t="s">
        <v>109</v>
      </c>
      <c r="M5" s="11">
        <f>COUNTIF(C$3:C42, "Wet Willies")</f>
        <v>2</v>
      </c>
      <c r="N5" s="11">
        <f>COUNTIF(D$3:D42, "Wet Willies")</f>
        <v>7</v>
      </c>
      <c r="O5" s="10">
        <f t="shared" si="0"/>
        <v>0.22222222222222221</v>
      </c>
      <c r="P5" s="11">
        <v>2</v>
      </c>
      <c r="R5" s="2" t="s">
        <v>30</v>
      </c>
      <c r="S5" s="8">
        <f t="shared" si="1"/>
        <v>3</v>
      </c>
      <c r="T5" s="9">
        <f t="shared" si="2"/>
        <v>3</v>
      </c>
      <c r="U5" s="9">
        <f t="shared" si="3"/>
        <v>0</v>
      </c>
      <c r="V5" s="9">
        <f t="shared" si="4"/>
        <v>0</v>
      </c>
      <c r="W5" s="26" t="b">
        <v>0</v>
      </c>
      <c r="Y5" s="52" t="str">
        <f t="shared" si="5"/>
        <v/>
      </c>
      <c r="Z5" s="52" t="str">
        <f t="shared" si="6"/>
        <v/>
      </c>
      <c r="AA5" s="52" t="str">
        <f t="shared" si="7"/>
        <v>5M/LG</v>
      </c>
      <c r="AC5" s="2"/>
    </row>
    <row r="6" spans="2:32" ht="14.25" customHeight="1" x14ac:dyDescent="0.45">
      <c r="B6" s="25">
        <v>2</v>
      </c>
      <c r="C6" s="25" t="s">
        <v>26</v>
      </c>
      <c r="D6" s="25" t="s">
        <v>31</v>
      </c>
      <c r="E6" s="25" t="s">
        <v>287</v>
      </c>
      <c r="F6" s="25" t="s">
        <v>30</v>
      </c>
      <c r="G6" s="25" t="s">
        <v>204</v>
      </c>
      <c r="H6" s="25" t="s">
        <v>288</v>
      </c>
      <c r="I6" s="25" t="s">
        <v>288</v>
      </c>
      <c r="J6" s="25">
        <v>2</v>
      </c>
      <c r="R6" s="2" t="s">
        <v>35</v>
      </c>
      <c r="S6" s="8">
        <f t="shared" si="1"/>
        <v>0</v>
      </c>
      <c r="T6" s="9">
        <f t="shared" si="2"/>
        <v>0</v>
      </c>
      <c r="U6" s="9">
        <f t="shared" si="3"/>
        <v>0</v>
      </c>
      <c r="V6" s="9">
        <f t="shared" si="4"/>
        <v>0</v>
      </c>
      <c r="W6" s="26" t="b">
        <v>1</v>
      </c>
      <c r="Y6" s="52" t="str">
        <f t="shared" si="5"/>
        <v/>
      </c>
      <c r="Z6" s="52" t="str">
        <f t="shared" si="6"/>
        <v/>
      </c>
      <c r="AA6" s="52" t="str">
        <f t="shared" si="7"/>
        <v>5M/WW</v>
      </c>
      <c r="AC6" s="2"/>
    </row>
    <row r="7" spans="2:32" ht="14.25" customHeight="1" x14ac:dyDescent="0.45">
      <c r="B7" s="25">
        <v>2</v>
      </c>
      <c r="C7" s="25" t="s">
        <v>26</v>
      </c>
      <c r="D7" s="25" t="s">
        <v>31</v>
      </c>
      <c r="E7" s="25" t="s">
        <v>291</v>
      </c>
      <c r="F7" s="25" t="s">
        <v>30</v>
      </c>
      <c r="G7" s="25" t="s">
        <v>204</v>
      </c>
      <c r="H7" s="25">
        <v>2</v>
      </c>
      <c r="I7" s="25">
        <v>1</v>
      </c>
      <c r="J7" s="25">
        <v>3</v>
      </c>
      <c r="R7" s="2" t="s">
        <v>37</v>
      </c>
      <c r="S7" s="8">
        <f t="shared" si="1"/>
        <v>1</v>
      </c>
      <c r="T7" s="9">
        <f t="shared" si="2"/>
        <v>1</v>
      </c>
      <c r="U7" s="9">
        <f t="shared" si="3"/>
        <v>0</v>
      </c>
      <c r="V7" s="9">
        <f t="shared" si="4"/>
        <v>0</v>
      </c>
      <c r="W7" s="26" t="b">
        <v>0</v>
      </c>
      <c r="Y7" s="52" t="str">
        <f t="shared" si="5"/>
        <v/>
      </c>
      <c r="Z7" s="52" t="str">
        <f t="shared" si="6"/>
        <v/>
      </c>
      <c r="AA7" s="52" t="str">
        <f t="shared" si="7"/>
        <v>5M/WW</v>
      </c>
      <c r="AC7" s="2"/>
    </row>
    <row r="8" spans="2:32" ht="14.25" customHeight="1" x14ac:dyDescent="0.45">
      <c r="B8" s="25">
        <v>3</v>
      </c>
      <c r="C8" s="25" t="s">
        <v>47</v>
      </c>
      <c r="D8" s="25" t="s">
        <v>26</v>
      </c>
      <c r="E8" s="25" t="s">
        <v>287</v>
      </c>
      <c r="F8" s="25" t="s">
        <v>61</v>
      </c>
      <c r="G8" s="25" t="s">
        <v>99</v>
      </c>
      <c r="H8" s="25" t="s">
        <v>288</v>
      </c>
      <c r="I8" s="25" t="s">
        <v>288</v>
      </c>
      <c r="J8" s="25">
        <v>1</v>
      </c>
      <c r="R8" s="2" t="s">
        <v>42</v>
      </c>
      <c r="S8" s="8">
        <f t="shared" si="1"/>
        <v>0</v>
      </c>
      <c r="T8" s="9">
        <f t="shared" si="2"/>
        <v>0</v>
      </c>
      <c r="U8" s="9">
        <f t="shared" si="3"/>
        <v>0</v>
      </c>
      <c r="V8" s="9">
        <f t="shared" si="4"/>
        <v>0</v>
      </c>
      <c r="W8" s="26" t="b">
        <v>0</v>
      </c>
      <c r="Y8" s="52" t="str">
        <f t="shared" si="5"/>
        <v>LG/5M</v>
      </c>
      <c r="Z8" s="52" t="str">
        <f t="shared" si="6"/>
        <v/>
      </c>
      <c r="AA8" s="52" t="str">
        <f t="shared" si="7"/>
        <v/>
      </c>
      <c r="AC8" s="2"/>
    </row>
    <row r="9" spans="2:32" ht="14.25" customHeight="1" x14ac:dyDescent="0.45">
      <c r="B9" s="25">
        <v>3</v>
      </c>
      <c r="C9" s="25" t="s">
        <v>47</v>
      </c>
      <c r="D9" s="25" t="s">
        <v>26</v>
      </c>
      <c r="E9" s="25" t="s">
        <v>291</v>
      </c>
      <c r="F9" s="25" t="s">
        <v>28</v>
      </c>
      <c r="G9" s="25" t="s">
        <v>204</v>
      </c>
      <c r="H9" s="25">
        <v>1</v>
      </c>
      <c r="I9" s="25">
        <v>1</v>
      </c>
      <c r="J9" s="25">
        <v>1</v>
      </c>
      <c r="R9" s="16" t="s">
        <v>115</v>
      </c>
      <c r="S9" s="8">
        <f t="shared" si="1"/>
        <v>0</v>
      </c>
      <c r="T9" s="9">
        <f t="shared" si="2"/>
        <v>0</v>
      </c>
      <c r="U9" s="9">
        <f t="shared" si="3"/>
        <v>0</v>
      </c>
      <c r="V9" s="9">
        <f t="shared" si="4"/>
        <v>0</v>
      </c>
      <c r="W9" s="26" t="b">
        <v>0</v>
      </c>
      <c r="Y9" s="52" t="str">
        <f t="shared" si="5"/>
        <v>LG/5M</v>
      </c>
      <c r="Z9" s="52" t="str">
        <f t="shared" si="6"/>
        <v/>
      </c>
      <c r="AA9" s="52" t="str">
        <f t="shared" si="7"/>
        <v/>
      </c>
    </row>
    <row r="10" spans="2:32" ht="14.25" customHeight="1" x14ac:dyDescent="0.45">
      <c r="B10" s="25">
        <v>4</v>
      </c>
      <c r="C10" s="25" t="s">
        <v>47</v>
      </c>
      <c r="D10" s="25" t="s">
        <v>31</v>
      </c>
      <c r="E10" s="25" t="s">
        <v>287</v>
      </c>
      <c r="F10" s="25" t="s">
        <v>28</v>
      </c>
      <c r="G10" s="25" t="s">
        <v>204</v>
      </c>
      <c r="H10" s="25" t="s">
        <v>288</v>
      </c>
      <c r="I10" s="25" t="s">
        <v>288</v>
      </c>
      <c r="J10" s="25">
        <v>2</v>
      </c>
      <c r="R10" s="2" t="s">
        <v>44</v>
      </c>
      <c r="S10" s="8">
        <f t="shared" si="1"/>
        <v>0</v>
      </c>
      <c r="T10" s="9">
        <f t="shared" si="2"/>
        <v>0</v>
      </c>
      <c r="U10" s="9">
        <f t="shared" si="3"/>
        <v>0</v>
      </c>
      <c r="V10" s="9">
        <f t="shared" si="4"/>
        <v>0</v>
      </c>
      <c r="W10" s="26" t="b">
        <v>0</v>
      </c>
      <c r="Y10" s="52" t="str">
        <f t="shared" si="5"/>
        <v>LG/WW</v>
      </c>
      <c r="Z10" s="52" t="str">
        <f t="shared" si="6"/>
        <v/>
      </c>
      <c r="AA10" s="52" t="str">
        <f t="shared" si="7"/>
        <v/>
      </c>
      <c r="AC10" s="2"/>
    </row>
    <row r="11" spans="2:32" ht="14.25" customHeight="1" x14ac:dyDescent="0.45">
      <c r="B11" s="25">
        <v>4</v>
      </c>
      <c r="C11" s="25" t="s">
        <v>47</v>
      </c>
      <c r="D11" s="25" t="s">
        <v>31</v>
      </c>
      <c r="E11" s="25" t="s">
        <v>291</v>
      </c>
      <c r="F11" s="25" t="s">
        <v>61</v>
      </c>
      <c r="G11" s="25" t="s">
        <v>204</v>
      </c>
      <c r="H11" s="25">
        <v>2</v>
      </c>
      <c r="I11" s="25">
        <v>2</v>
      </c>
      <c r="J11" s="25">
        <v>1</v>
      </c>
      <c r="R11" s="2" t="s">
        <v>46</v>
      </c>
      <c r="S11" s="8">
        <f t="shared" si="1"/>
        <v>4</v>
      </c>
      <c r="T11" s="9">
        <f t="shared" si="2"/>
        <v>2</v>
      </c>
      <c r="U11" s="9">
        <f t="shared" si="3"/>
        <v>2</v>
      </c>
      <c r="V11" s="9">
        <f t="shared" si="4"/>
        <v>0</v>
      </c>
      <c r="W11" s="26" t="b">
        <v>0</v>
      </c>
      <c r="Y11" s="52" t="str">
        <f t="shared" si="5"/>
        <v>LG/WW</v>
      </c>
      <c r="Z11" s="52" t="str">
        <f t="shared" si="6"/>
        <v/>
      </c>
      <c r="AA11" s="52" t="str">
        <f t="shared" si="7"/>
        <v/>
      </c>
      <c r="AC11" s="2"/>
    </row>
    <row r="12" spans="2:32" ht="14.25" customHeight="1" x14ac:dyDescent="0.45">
      <c r="B12" s="25">
        <v>5</v>
      </c>
      <c r="C12" s="25" t="s">
        <v>26</v>
      </c>
      <c r="D12" s="25" t="s">
        <v>47</v>
      </c>
      <c r="E12" s="25" t="s">
        <v>287</v>
      </c>
      <c r="F12" s="25" t="s">
        <v>50</v>
      </c>
      <c r="G12" s="25" t="s">
        <v>204</v>
      </c>
      <c r="H12" s="25" t="s">
        <v>288</v>
      </c>
      <c r="I12" s="25" t="s">
        <v>288</v>
      </c>
      <c r="J12" s="25">
        <v>1</v>
      </c>
      <c r="R12" s="2" t="s">
        <v>50</v>
      </c>
      <c r="S12" s="8">
        <f t="shared" si="1"/>
        <v>2</v>
      </c>
      <c r="T12" s="9">
        <f t="shared" si="2"/>
        <v>1</v>
      </c>
      <c r="U12" s="9">
        <f t="shared" si="3"/>
        <v>1</v>
      </c>
      <c r="V12" s="9">
        <f t="shared" si="4"/>
        <v>0</v>
      </c>
      <c r="W12" s="26" t="b">
        <v>0</v>
      </c>
      <c r="Y12" s="52" t="str">
        <f t="shared" si="5"/>
        <v/>
      </c>
      <c r="Z12" s="52" t="str">
        <f t="shared" si="6"/>
        <v/>
      </c>
      <c r="AA12" s="52" t="str">
        <f t="shared" si="7"/>
        <v>5M/LG</v>
      </c>
      <c r="AC12" s="2"/>
    </row>
    <row r="13" spans="2:32" ht="14.25" customHeight="1" x14ac:dyDescent="0.45">
      <c r="B13" s="25">
        <v>5</v>
      </c>
      <c r="C13" s="25" t="s">
        <v>47</v>
      </c>
      <c r="D13" s="25" t="s">
        <v>26</v>
      </c>
      <c r="E13" s="25" t="s">
        <v>289</v>
      </c>
      <c r="F13" s="25" t="s">
        <v>46</v>
      </c>
      <c r="G13" s="25" t="s">
        <v>204</v>
      </c>
      <c r="H13" s="25" t="s">
        <v>288</v>
      </c>
      <c r="I13" s="25" t="s">
        <v>288</v>
      </c>
      <c r="J13" s="25">
        <v>1</v>
      </c>
      <c r="R13" s="2" t="s">
        <v>52</v>
      </c>
      <c r="S13" s="8">
        <f t="shared" si="1"/>
        <v>0</v>
      </c>
      <c r="T13" s="9">
        <f t="shared" si="2"/>
        <v>0</v>
      </c>
      <c r="U13" s="9">
        <f t="shared" si="3"/>
        <v>0</v>
      </c>
      <c r="V13" s="9">
        <f t="shared" si="4"/>
        <v>0</v>
      </c>
      <c r="W13" s="26" t="b">
        <v>0</v>
      </c>
      <c r="Y13" s="52" t="str">
        <f t="shared" si="5"/>
        <v>LG/5M</v>
      </c>
      <c r="Z13" s="52" t="str">
        <f t="shared" si="6"/>
        <v/>
      </c>
      <c r="AA13" s="52" t="str">
        <f t="shared" si="7"/>
        <v/>
      </c>
      <c r="AC13" s="2"/>
    </row>
    <row r="14" spans="2:32" ht="14.25" customHeight="1" x14ac:dyDescent="0.45">
      <c r="B14" s="25">
        <v>5</v>
      </c>
      <c r="C14" s="25" t="s">
        <v>47</v>
      </c>
      <c r="D14" s="25" t="s">
        <v>26</v>
      </c>
      <c r="E14" s="25" t="s">
        <v>290</v>
      </c>
      <c r="F14" s="25" t="s">
        <v>58</v>
      </c>
      <c r="G14" s="25" t="s">
        <v>204</v>
      </c>
      <c r="H14" s="25">
        <v>3</v>
      </c>
      <c r="I14" s="25">
        <v>2</v>
      </c>
      <c r="J14" s="25">
        <v>1</v>
      </c>
      <c r="R14" s="2" t="s">
        <v>200</v>
      </c>
      <c r="S14" s="8">
        <f t="shared" si="1"/>
        <v>0</v>
      </c>
      <c r="T14" s="9">
        <f t="shared" si="2"/>
        <v>0</v>
      </c>
      <c r="U14" s="9">
        <f t="shared" si="3"/>
        <v>0</v>
      </c>
      <c r="V14" s="9">
        <f t="shared" si="4"/>
        <v>0</v>
      </c>
      <c r="W14" s="26" t="b">
        <v>1</v>
      </c>
      <c r="Y14" s="52" t="str">
        <f t="shared" si="5"/>
        <v>LG/5M</v>
      </c>
      <c r="Z14" s="52" t="str">
        <f t="shared" si="6"/>
        <v/>
      </c>
      <c r="AA14" s="52" t="str">
        <f t="shared" si="7"/>
        <v/>
      </c>
      <c r="AC14" s="2"/>
    </row>
    <row r="15" spans="2:32" ht="14.25" customHeight="1" x14ac:dyDescent="0.45">
      <c r="B15" s="25">
        <v>6</v>
      </c>
      <c r="C15" s="25" t="s">
        <v>47</v>
      </c>
      <c r="D15" s="25" t="s">
        <v>31</v>
      </c>
      <c r="E15" s="25" t="s">
        <v>287</v>
      </c>
      <c r="F15" s="25" t="s">
        <v>61</v>
      </c>
      <c r="G15" s="25" t="s">
        <v>204</v>
      </c>
      <c r="H15" s="25" t="s">
        <v>288</v>
      </c>
      <c r="I15" s="25" t="s">
        <v>288</v>
      </c>
      <c r="J15" s="25">
        <v>1</v>
      </c>
      <c r="R15" s="2" t="s">
        <v>55</v>
      </c>
      <c r="S15" s="8">
        <f t="shared" si="1"/>
        <v>2</v>
      </c>
      <c r="T15" s="9">
        <f t="shared" si="2"/>
        <v>0</v>
      </c>
      <c r="U15" s="9">
        <f t="shared" si="3"/>
        <v>0</v>
      </c>
      <c r="V15" s="9">
        <f t="shared" si="4"/>
        <v>1</v>
      </c>
      <c r="W15" s="26" t="b">
        <v>0</v>
      </c>
      <c r="Y15" s="52" t="str">
        <f t="shared" si="5"/>
        <v>LG/WW</v>
      </c>
      <c r="Z15" s="52" t="str">
        <f t="shared" si="6"/>
        <v/>
      </c>
      <c r="AA15" s="52" t="str">
        <f t="shared" si="7"/>
        <v/>
      </c>
      <c r="AC15" s="2"/>
    </row>
    <row r="16" spans="2:32" ht="14.25" customHeight="1" x14ac:dyDescent="0.45">
      <c r="B16" s="25">
        <v>6</v>
      </c>
      <c r="C16" s="25" t="s">
        <v>31</v>
      </c>
      <c r="D16" s="25" t="s">
        <v>47</v>
      </c>
      <c r="E16" s="25" t="s">
        <v>289</v>
      </c>
      <c r="F16" s="25" t="s">
        <v>37</v>
      </c>
      <c r="G16" s="25" t="s">
        <v>204</v>
      </c>
      <c r="H16" s="25" t="s">
        <v>288</v>
      </c>
      <c r="I16" s="25" t="s">
        <v>288</v>
      </c>
      <c r="J16" s="25">
        <v>1</v>
      </c>
      <c r="R16" s="2" t="s">
        <v>58</v>
      </c>
      <c r="S16" s="8">
        <f t="shared" si="1"/>
        <v>1</v>
      </c>
      <c r="T16" s="9">
        <f t="shared" si="2"/>
        <v>1</v>
      </c>
      <c r="U16" s="9">
        <f t="shared" si="3"/>
        <v>0</v>
      </c>
      <c r="V16" s="9">
        <f t="shared" si="4"/>
        <v>0</v>
      </c>
      <c r="W16" s="26" t="b">
        <v>0</v>
      </c>
      <c r="Y16" s="52" t="str">
        <f t="shared" si="5"/>
        <v/>
      </c>
      <c r="Z16" s="52" t="str">
        <f t="shared" si="6"/>
        <v>WW/LG</v>
      </c>
      <c r="AA16" s="52" t="str">
        <f t="shared" si="7"/>
        <v/>
      </c>
      <c r="AC16" s="2"/>
    </row>
    <row r="17" spans="2:33" ht="14.25" customHeight="1" x14ac:dyDescent="0.45">
      <c r="B17" s="25">
        <v>6</v>
      </c>
      <c r="C17" s="25" t="s">
        <v>47</v>
      </c>
      <c r="D17" s="25" t="s">
        <v>31</v>
      </c>
      <c r="E17" s="25" t="s">
        <v>290</v>
      </c>
      <c r="F17" s="25" t="s">
        <v>46</v>
      </c>
      <c r="G17" s="25" t="s">
        <v>99</v>
      </c>
      <c r="H17" s="25">
        <v>4</v>
      </c>
      <c r="I17" s="25">
        <v>3</v>
      </c>
      <c r="J17" s="25">
        <v>1</v>
      </c>
      <c r="R17" s="2" t="s">
        <v>61</v>
      </c>
      <c r="S17" s="8">
        <f t="shared" si="1"/>
        <v>4</v>
      </c>
      <c r="T17" s="9">
        <f t="shared" si="2"/>
        <v>3</v>
      </c>
      <c r="U17" s="9">
        <f t="shared" si="3"/>
        <v>1</v>
      </c>
      <c r="V17" s="9">
        <f t="shared" si="4"/>
        <v>0</v>
      </c>
      <c r="W17" s="26" t="b">
        <v>0</v>
      </c>
      <c r="Y17" s="52" t="str">
        <f t="shared" si="5"/>
        <v>LG/WW</v>
      </c>
      <c r="Z17" s="52" t="str">
        <f t="shared" si="6"/>
        <v/>
      </c>
      <c r="AA17" s="52" t="str">
        <f t="shared" si="7"/>
        <v/>
      </c>
      <c r="AC17" s="2"/>
    </row>
    <row r="18" spans="2:33" ht="14.25" customHeight="1" x14ac:dyDescent="0.45">
      <c r="B18" s="25">
        <v>7</v>
      </c>
      <c r="C18" s="25" t="s">
        <v>47</v>
      </c>
      <c r="D18" s="25" t="s">
        <v>26</v>
      </c>
      <c r="E18" s="25" t="s">
        <v>287</v>
      </c>
      <c r="F18" s="25" t="s">
        <v>61</v>
      </c>
      <c r="G18" s="25" t="s">
        <v>204</v>
      </c>
      <c r="H18" s="25" t="s">
        <v>288</v>
      </c>
      <c r="I18" s="25" t="s">
        <v>288</v>
      </c>
      <c r="J18" s="25">
        <v>1</v>
      </c>
      <c r="R18" s="2" t="s">
        <v>64</v>
      </c>
      <c r="S18" s="8">
        <f t="shared" si="1"/>
        <v>0</v>
      </c>
      <c r="T18" s="9">
        <f t="shared" si="2"/>
        <v>0</v>
      </c>
      <c r="U18" s="9">
        <f t="shared" si="3"/>
        <v>0</v>
      </c>
      <c r="V18" s="9">
        <f t="shared" si="4"/>
        <v>0</v>
      </c>
      <c r="W18" s="26" t="b">
        <v>0</v>
      </c>
      <c r="Y18" s="52" t="str">
        <f t="shared" si="5"/>
        <v>LG/5M</v>
      </c>
      <c r="Z18" s="52" t="str">
        <f t="shared" si="6"/>
        <v/>
      </c>
      <c r="AA18" s="52" t="str">
        <f t="shared" si="7"/>
        <v/>
      </c>
      <c r="AC18" s="2"/>
    </row>
    <row r="19" spans="2:33" ht="14.25" customHeight="1" x14ac:dyDescent="0.45">
      <c r="B19" s="25">
        <v>7</v>
      </c>
      <c r="C19" s="25" t="s">
        <v>47</v>
      </c>
      <c r="D19" s="25" t="s">
        <v>26</v>
      </c>
      <c r="E19" s="25" t="s">
        <v>291</v>
      </c>
      <c r="F19" s="25" t="s">
        <v>46</v>
      </c>
      <c r="G19" s="25" t="s">
        <v>204</v>
      </c>
      <c r="H19" s="25">
        <v>5</v>
      </c>
      <c r="I19" s="25">
        <v>3</v>
      </c>
      <c r="J19" s="25">
        <v>1</v>
      </c>
      <c r="R19" s="2" t="s">
        <v>67</v>
      </c>
      <c r="S19" s="8">
        <f t="shared" si="1"/>
        <v>0</v>
      </c>
      <c r="T19" s="9">
        <f t="shared" si="2"/>
        <v>0</v>
      </c>
      <c r="U19" s="9">
        <f t="shared" si="3"/>
        <v>0</v>
      </c>
      <c r="V19" s="9">
        <f t="shared" si="4"/>
        <v>0</v>
      </c>
      <c r="W19" s="26" t="b">
        <v>0</v>
      </c>
      <c r="Y19" s="52" t="str">
        <f t="shared" si="5"/>
        <v>LG/5M</v>
      </c>
      <c r="Z19" s="52" t="str">
        <f t="shared" si="6"/>
        <v/>
      </c>
      <c r="AA19" s="52" t="str">
        <f t="shared" si="7"/>
        <v/>
      </c>
    </row>
    <row r="20" spans="2:33" ht="14.25" customHeight="1" x14ac:dyDescent="0.45">
      <c r="B20" s="25">
        <v>8</v>
      </c>
      <c r="C20" s="25" t="s">
        <v>47</v>
      </c>
      <c r="D20" s="25" t="s">
        <v>31</v>
      </c>
      <c r="E20" s="25" t="s">
        <v>287</v>
      </c>
      <c r="F20" s="25" t="s">
        <v>46</v>
      </c>
      <c r="G20" s="25" t="s">
        <v>99</v>
      </c>
      <c r="H20" s="25" t="s">
        <v>288</v>
      </c>
      <c r="I20" s="25" t="s">
        <v>288</v>
      </c>
      <c r="J20" s="25">
        <v>2</v>
      </c>
      <c r="Y20" s="52" t="str">
        <f t="shared" si="5"/>
        <v>LG/WW</v>
      </c>
      <c r="Z20" s="52" t="str">
        <f t="shared" si="6"/>
        <v/>
      </c>
      <c r="AA20" s="52" t="str">
        <f t="shared" si="7"/>
        <v/>
      </c>
    </row>
    <row r="21" spans="2:33" ht="14.25" customHeight="1" x14ac:dyDescent="0.45">
      <c r="B21" s="25">
        <v>8</v>
      </c>
      <c r="C21" s="25" t="s">
        <v>31</v>
      </c>
      <c r="D21" s="25" t="s">
        <v>47</v>
      </c>
      <c r="E21" s="25" t="s">
        <v>290</v>
      </c>
      <c r="F21" s="25" t="s">
        <v>55</v>
      </c>
      <c r="G21" s="25" t="s">
        <v>205</v>
      </c>
      <c r="H21" s="25">
        <v>1</v>
      </c>
      <c r="I21" s="25">
        <v>1</v>
      </c>
      <c r="J21" s="25">
        <v>1</v>
      </c>
      <c r="Y21" s="52" t="str">
        <f t="shared" si="5"/>
        <v/>
      </c>
      <c r="Z21" s="52" t="str">
        <f t="shared" si="6"/>
        <v>WW/LG</v>
      </c>
      <c r="AA21" s="52" t="str">
        <f t="shared" si="7"/>
        <v/>
      </c>
    </row>
    <row r="22" spans="2:33" ht="14.25" customHeight="1" x14ac:dyDescent="0.45">
      <c r="B22" s="25"/>
      <c r="C22" s="25"/>
      <c r="D22" s="25"/>
      <c r="E22" s="25"/>
      <c r="F22" s="25"/>
      <c r="G22" s="25"/>
      <c r="H22" s="25"/>
      <c r="I22" s="25"/>
      <c r="J22" s="25"/>
      <c r="Y22" s="52" t="str">
        <f t="shared" si="5"/>
        <v/>
      </c>
      <c r="Z22" s="52" t="str">
        <f t="shared" si="6"/>
        <v/>
      </c>
      <c r="AA22" s="52" t="str">
        <f t="shared" si="7"/>
        <v/>
      </c>
      <c r="AC22" s="16" t="s">
        <v>282</v>
      </c>
    </row>
    <row r="23" spans="2:33" ht="14.25" customHeight="1" x14ac:dyDescent="0.45">
      <c r="B23" s="25"/>
      <c r="C23" s="25"/>
      <c r="D23" s="25"/>
      <c r="E23" s="25"/>
      <c r="F23" s="25"/>
      <c r="G23" s="25"/>
      <c r="H23" s="25"/>
      <c r="I23" s="25"/>
      <c r="R23" s="2"/>
      <c r="S23" s="16" t="str">
        <f t="shared" ref="S23:V38" si="8">IF($W3,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V23" s="16" t="str">
        <f t="shared" si="8"/>
        <v>0,</v>
      </c>
      <c r="Y23" s="52" t="str">
        <f t="shared" si="5"/>
        <v/>
      </c>
      <c r="Z23" s="52" t="str">
        <f t="shared" si="6"/>
        <v/>
      </c>
      <c r="AA23" s="52" t="str">
        <f t="shared" si="7"/>
        <v/>
      </c>
      <c r="AC23" s="162" t="s">
        <v>4</v>
      </c>
      <c r="AD23" s="163" t="s">
        <v>0</v>
      </c>
      <c r="AE23" s="164" t="s">
        <v>1</v>
      </c>
      <c r="AF23" s="164" t="s">
        <v>2</v>
      </c>
      <c r="AG23" s="164" t="s">
        <v>3</v>
      </c>
    </row>
    <row r="24" spans="2:33" ht="14.25" customHeight="1" x14ac:dyDescent="0.45">
      <c r="B24" s="25"/>
      <c r="C24" s="25"/>
      <c r="D24" s="25"/>
      <c r="E24" s="25"/>
      <c r="F24" s="25"/>
      <c r="G24" s="25"/>
      <c r="H24" s="25"/>
      <c r="I24" s="25"/>
      <c r="S24" s="16" t="str">
        <f t="shared" si="8"/>
        <v>2,</v>
      </c>
      <c r="T24" s="16" t="str">
        <f t="shared" si="8"/>
        <v>2,</v>
      </c>
      <c r="U24" s="16" t="str">
        <f t="shared" si="8"/>
        <v>0,</v>
      </c>
      <c r="V24" s="16" t="str">
        <f t="shared" si="8"/>
        <v>0,</v>
      </c>
      <c r="Y24" s="52" t="str">
        <f t="shared" si="5"/>
        <v/>
      </c>
      <c r="Z24" s="52" t="str">
        <f t="shared" si="6"/>
        <v/>
      </c>
      <c r="AA24" s="52" t="str">
        <f t="shared" si="7"/>
        <v/>
      </c>
      <c r="AC24" s="158" t="s">
        <v>30</v>
      </c>
      <c r="AD24" s="165">
        <f>Table631343537[[#This Row],[Finishes]]+Table631343537[[#This Row],[Midranges]]+Table631343537[[#This Row],[Threes]]+Table631343537[[#This Row],[Threes]]</f>
        <v>0</v>
      </c>
      <c r="AE24" s="156">
        <f>COUNTIFS(D4:D35, "Loose Gooses", E$4:E$35,AC24,F$4:F$35,"Finish")</f>
        <v>0</v>
      </c>
      <c r="AF24" s="156">
        <f>COUNTIFS(D4:D35, "Loose Gooses", E$4:E$35,AC24,F$4:F$35,"Midrange")</f>
        <v>0</v>
      </c>
      <c r="AG24" s="156">
        <f>COUNTIFS(D4:D35, "Loose Gooses", E$4:E$35,AC24,F$4:F$35,"Three Pointer")</f>
        <v>0</v>
      </c>
    </row>
    <row r="25" spans="2:33" ht="14.25" customHeight="1" x14ac:dyDescent="0.45">
      <c r="B25" s="25"/>
      <c r="C25" s="25"/>
      <c r="D25" s="25"/>
      <c r="E25" s="25"/>
      <c r="F25" s="25"/>
      <c r="G25" s="25"/>
      <c r="H25" s="25"/>
      <c r="I25" s="25"/>
      <c r="R25" s="6"/>
      <c r="S25" s="16" t="str">
        <f t="shared" si="8"/>
        <v>3,</v>
      </c>
      <c r="T25" s="16" t="str">
        <f t="shared" si="8"/>
        <v>3,</v>
      </c>
      <c r="U25" s="16" t="str">
        <f t="shared" si="8"/>
        <v>0,</v>
      </c>
      <c r="V25" s="16" t="str">
        <f t="shared" si="8"/>
        <v>0,</v>
      </c>
      <c r="Y25" s="52" t="str">
        <f t="shared" si="5"/>
        <v/>
      </c>
      <c r="Z25" s="52" t="str">
        <f t="shared" si="6"/>
        <v/>
      </c>
      <c r="AA25" s="52" t="str">
        <f t="shared" si="7"/>
        <v/>
      </c>
      <c r="AC25" s="159" t="s">
        <v>35</v>
      </c>
      <c r="AD25" s="166">
        <f>Table631343537[[#This Row],[Finishes]]+Table631343537[[#This Row],[Midranges]]+Table631343537[[#This Row],[Threes]]+Table631343537[[#This Row],[Threes]]</f>
        <v>0</v>
      </c>
      <c r="AE25" s="157">
        <f>COUNTIFS(D4:D35, "Loose Gooses", E$4:E$35,AC25,F$4:F$35,"Finish")</f>
        <v>0</v>
      </c>
      <c r="AF25" s="157">
        <f>COUNTIFS(D4:D35, "Loose Gooses", E$4:E$35,AC25,F$4:F$35,"Midrange")</f>
        <v>0</v>
      </c>
      <c r="AG25" s="157">
        <f>COUNTIFS(D4:D35, "Loose Gooses", E$4:E$35,AC25,F$4:F$35,"Three Pointer")</f>
        <v>0</v>
      </c>
    </row>
    <row r="26" spans="2:33" ht="14.25" customHeight="1" x14ac:dyDescent="0.45">
      <c r="B26" s="25"/>
      <c r="C26" s="25"/>
      <c r="D26" s="25"/>
      <c r="E26" s="25"/>
      <c r="F26" s="25"/>
      <c r="G26" s="25"/>
      <c r="H26" s="25"/>
      <c r="I26" s="25"/>
      <c r="R26" s="12"/>
      <c r="S26" s="16" t="str">
        <f t="shared" si="8"/>
        <v>"Did not Play",</v>
      </c>
      <c r="T26" s="16" t="str">
        <f t="shared" si="8"/>
        <v>"Did not Play",</v>
      </c>
      <c r="U26" s="16" t="str">
        <f t="shared" si="8"/>
        <v>"Did not Play",</v>
      </c>
      <c r="V26" s="16" t="str">
        <f t="shared" si="8"/>
        <v>"Did not Play",</v>
      </c>
      <c r="Y26" s="52" t="str">
        <f t="shared" si="5"/>
        <v/>
      </c>
      <c r="Z26" s="52" t="str">
        <f t="shared" si="6"/>
        <v/>
      </c>
      <c r="AA26" s="52" t="str">
        <f t="shared" si="7"/>
        <v/>
      </c>
      <c r="AC26" s="158" t="s">
        <v>37</v>
      </c>
      <c r="AD26" s="165">
        <f>Table631343537[[#This Row],[Finishes]]+Table631343537[[#This Row],[Midranges]]+Table631343537[[#This Row],[Threes]]+Table631343537[[#This Row],[Threes]]</f>
        <v>0</v>
      </c>
      <c r="AE26" s="156">
        <f>COUNTIFS(D4:D35, "Loose Gooses", E$4:E$35,AC26,F$4:F$35,"Finish")</f>
        <v>0</v>
      </c>
      <c r="AF26" s="156">
        <f>COUNTIFS(D4:D35, "Loose Gooses", E$4:E$35,AC26,F$4:F$35,"Midrange")</f>
        <v>0</v>
      </c>
      <c r="AG26" s="156">
        <f>COUNTIFS(D4:D35, "Loose Gooses", E$4:E$35,AC26,F$4:F$35,"Three Pointer")</f>
        <v>0</v>
      </c>
    </row>
    <row r="27" spans="2:33" ht="14.25" customHeight="1" x14ac:dyDescent="0.45">
      <c r="B27" s="25"/>
      <c r="C27" s="25"/>
      <c r="D27" s="25"/>
      <c r="E27" s="25"/>
      <c r="F27" s="25"/>
      <c r="G27" s="25"/>
      <c r="H27" s="25"/>
      <c r="I27" s="25"/>
      <c r="S27" s="16" t="str">
        <f t="shared" si="8"/>
        <v>1,</v>
      </c>
      <c r="T27" s="16" t="str">
        <f t="shared" si="8"/>
        <v>1,</v>
      </c>
      <c r="U27" s="16" t="str">
        <f t="shared" si="8"/>
        <v>0,</v>
      </c>
      <c r="V27" s="16" t="str">
        <f t="shared" si="8"/>
        <v>0,</v>
      </c>
      <c r="Y27" s="52" t="str">
        <f t="shared" si="5"/>
        <v/>
      </c>
      <c r="Z27" s="52" t="str">
        <f t="shared" si="6"/>
        <v/>
      </c>
      <c r="AA27" s="52" t="str">
        <f t="shared" si="7"/>
        <v/>
      </c>
      <c r="AC27" s="159" t="s">
        <v>42</v>
      </c>
      <c r="AD27" s="166">
        <f>Table631343537[[#This Row],[Finishes]]+Table631343537[[#This Row],[Midranges]]+Table631343537[[#This Row],[Threes]]+Table631343537[[#This Row],[Threes]]</f>
        <v>0</v>
      </c>
      <c r="AE27" s="157">
        <f>COUNTIFS(D4:D35, "Loose Gooses", E$4:E$35,AC27,F$4:F$35,"Finish")</f>
        <v>0</v>
      </c>
      <c r="AF27" s="157">
        <f>COUNTIFS(D4:D35, "Loose Gooses", E$4:E$35,AC27,F$4:F$35,"Midrange")</f>
        <v>0</v>
      </c>
      <c r="AG27" s="157">
        <f>COUNTIFS(D4:D35, "Loose Gooses", E$4:E$35,AC27,F$4:F$35,"Three Pointer")</f>
        <v>0</v>
      </c>
    </row>
    <row r="28" spans="2:33" ht="14.25" customHeight="1" x14ac:dyDescent="0.45">
      <c r="B28" s="25"/>
      <c r="C28" s="25"/>
      <c r="D28" s="25"/>
      <c r="E28" s="25"/>
      <c r="F28" s="25"/>
      <c r="G28" s="25"/>
      <c r="H28" s="25"/>
      <c r="I28" s="25"/>
      <c r="S28" s="16" t="str">
        <f t="shared" si="8"/>
        <v>0,</v>
      </c>
      <c r="T28" s="16" t="str">
        <f t="shared" si="8"/>
        <v>0,</v>
      </c>
      <c r="U28" s="16" t="str">
        <f t="shared" si="8"/>
        <v>0,</v>
      </c>
      <c r="V28" s="16" t="str">
        <f t="shared" si="8"/>
        <v>0,</v>
      </c>
      <c r="Y28" s="52" t="str">
        <f t="shared" si="5"/>
        <v/>
      </c>
      <c r="Z28" s="52" t="str">
        <f t="shared" si="6"/>
        <v/>
      </c>
      <c r="AA28" s="52" t="str">
        <f t="shared" si="7"/>
        <v/>
      </c>
      <c r="AC28" s="158" t="s">
        <v>115</v>
      </c>
      <c r="AD28" s="165">
        <f>Table631343537[[#This Row],[Finishes]]+Table631343537[[#This Row],[Midranges]]+Table631343537[[#This Row],[Threes]]+Table631343537[[#This Row],[Threes]]</f>
        <v>0</v>
      </c>
      <c r="AE28" s="156">
        <f>COUNTIFS(D4:D35, "Loose Gooses", E$4:E$35,AC28,F$4:F$35,"Finish")</f>
        <v>0</v>
      </c>
      <c r="AF28" s="156">
        <f>COUNTIFS(D4:D35, "Loose Gooses", E$4:E$35,AC28,F$4:F$35,"Midrange")</f>
        <v>0</v>
      </c>
      <c r="AG28" s="156">
        <f>COUNTIFS(D4:D35, "Loose Gooses", E$4:E$35,AC28,F$4:F$35,"Three Pointer")</f>
        <v>0</v>
      </c>
    </row>
    <row r="29" spans="2:33" ht="14.25" customHeight="1" x14ac:dyDescent="0.45">
      <c r="B29" s="25"/>
      <c r="C29" s="25"/>
      <c r="D29" s="25"/>
      <c r="E29" s="25"/>
      <c r="F29" s="25"/>
      <c r="G29" s="25"/>
      <c r="H29" s="25"/>
      <c r="I29" s="25"/>
      <c r="S29" s="16" t="str">
        <f t="shared" si="8"/>
        <v>0,</v>
      </c>
      <c r="T29" s="16" t="str">
        <f t="shared" si="8"/>
        <v>0,</v>
      </c>
      <c r="U29" s="16" t="str">
        <f t="shared" si="8"/>
        <v>0,</v>
      </c>
      <c r="V29" s="16" t="str">
        <f t="shared" si="8"/>
        <v>0,</v>
      </c>
      <c r="Y29" s="52" t="str">
        <f t="shared" si="5"/>
        <v/>
      </c>
      <c r="Z29" s="52" t="str">
        <f t="shared" si="6"/>
        <v/>
      </c>
      <c r="AA29" s="52" t="str">
        <f t="shared" si="7"/>
        <v/>
      </c>
      <c r="AC29" s="159" t="s">
        <v>44</v>
      </c>
      <c r="AD29" s="166">
        <f>Table631343537[[#This Row],[Finishes]]+Table631343537[[#This Row],[Midranges]]+Table631343537[[#This Row],[Threes]]+Table631343537[[#This Row],[Threes]]</f>
        <v>0</v>
      </c>
      <c r="AE29" s="157">
        <f>COUNTIFS(D4:D35, "Loose Gooses", E$4:E$35,AC29,F$4:F$35,"Finish")</f>
        <v>0</v>
      </c>
      <c r="AF29" s="157">
        <f>COUNTIFS(D4:D35, "Loose Gooses", E$4:E$35,AC29,F$4:F$35,"Midrange")</f>
        <v>0</v>
      </c>
      <c r="AG29" s="157">
        <f>COUNTIFS(D4:D35, "Loose Gooses", E$4:E$35,AC29,F$4:F$35,"Three Pointer")</f>
        <v>0</v>
      </c>
    </row>
    <row r="30" spans="2:33" ht="14.25" customHeight="1" x14ac:dyDescent="0.45">
      <c r="B30" s="25"/>
      <c r="C30" s="25"/>
      <c r="D30" s="25"/>
      <c r="E30" s="25"/>
      <c r="F30" s="25"/>
      <c r="G30" s="25"/>
      <c r="H30" s="25"/>
      <c r="I30" s="25"/>
      <c r="S30" s="16" t="str">
        <f t="shared" si="8"/>
        <v>0,</v>
      </c>
      <c r="T30" s="16" t="str">
        <f t="shared" si="8"/>
        <v>0,</v>
      </c>
      <c r="U30" s="16" t="str">
        <f t="shared" si="8"/>
        <v>0,</v>
      </c>
      <c r="V30" s="16" t="str">
        <f t="shared" si="8"/>
        <v>0,</v>
      </c>
      <c r="Y30" s="52" t="str">
        <f t="shared" si="5"/>
        <v/>
      </c>
      <c r="Z30" s="52" t="str">
        <f t="shared" si="6"/>
        <v/>
      </c>
      <c r="AA30" s="52" t="str">
        <f t="shared" si="7"/>
        <v/>
      </c>
      <c r="AC30" s="158" t="s">
        <v>50</v>
      </c>
      <c r="AD30" s="165">
        <f>Table631343537[[#This Row],[Finishes]]+Table631343537[[#This Row],[Midranges]]+Table631343537[[#This Row],[Threes]]+Table631343537[[#This Row],[Threes]]</f>
        <v>0</v>
      </c>
      <c r="AE30" s="156">
        <f>COUNTIFS(D4:D35, "Loose Gooses", E$4:E$35,AC30,F$4:F$35,"Finish")</f>
        <v>0</v>
      </c>
      <c r="AF30" s="156">
        <f>COUNTIFS(D4:D35, "Loose Gooses", E$4:E$35,AC30,F$4:F$35,"Midrange")</f>
        <v>0</v>
      </c>
      <c r="AG30" s="156">
        <f>COUNTIFS(D4:D35, "Loose Gooses", E$4:E$35,AC30,F$4:F$35,"Three Pointer")</f>
        <v>0</v>
      </c>
    </row>
    <row r="31" spans="2:33" ht="14.25" customHeight="1" x14ac:dyDescent="0.45">
      <c r="B31" s="25"/>
      <c r="C31" s="25"/>
      <c r="D31" s="25"/>
      <c r="E31" s="25"/>
      <c r="F31" s="25"/>
      <c r="G31" s="25"/>
      <c r="H31" s="25"/>
      <c r="I31" s="25"/>
      <c r="S31" s="16" t="str">
        <f t="shared" si="8"/>
        <v>4,</v>
      </c>
      <c r="T31" s="16" t="str">
        <f t="shared" si="8"/>
        <v>2,</v>
      </c>
      <c r="U31" s="16" t="str">
        <f t="shared" si="8"/>
        <v>2,</v>
      </c>
      <c r="V31" s="16" t="str">
        <f t="shared" si="8"/>
        <v>0,</v>
      </c>
      <c r="Y31" s="52" t="str">
        <f t="shared" si="5"/>
        <v/>
      </c>
      <c r="Z31" s="52" t="str">
        <f t="shared" si="6"/>
        <v/>
      </c>
      <c r="AA31" s="52" t="str">
        <f t="shared" si="7"/>
        <v/>
      </c>
      <c r="AC31" s="159" t="s">
        <v>52</v>
      </c>
      <c r="AD31" s="166">
        <f>Table631343537[[#This Row],[Finishes]]+Table631343537[[#This Row],[Midranges]]+Table631343537[[#This Row],[Threes]]+Table631343537[[#This Row],[Threes]]</f>
        <v>0</v>
      </c>
      <c r="AE31" s="157">
        <f>COUNTIFS(D4:D35, "Loose Gooses", E$4:E$35,AC31,F$4:F$35,"Finish")</f>
        <v>0</v>
      </c>
      <c r="AF31" s="157">
        <f>COUNTIFS(D4:D35, "Loose Gooses", E$4:E$35,AC31,F$4:F$35,"Midrange")</f>
        <v>0</v>
      </c>
      <c r="AG31" s="157">
        <f>COUNTIFS(D4:D35, "Loose Gooses", E$4:E$35,AC31,F$4:F$35,"Three Pointer")</f>
        <v>0</v>
      </c>
    </row>
    <row r="32" spans="2:33" ht="14.25" customHeight="1" x14ac:dyDescent="0.45">
      <c r="B32" s="25"/>
      <c r="C32" s="25"/>
      <c r="D32" s="25"/>
      <c r="E32" s="25"/>
      <c r="F32" s="25"/>
      <c r="G32" s="25"/>
      <c r="H32" s="25"/>
      <c r="I32" s="25"/>
      <c r="S32" s="16" t="str">
        <f t="shared" si="8"/>
        <v>2,</v>
      </c>
      <c r="T32" s="16" t="str">
        <f t="shared" si="8"/>
        <v>1,</v>
      </c>
      <c r="U32" s="16" t="str">
        <f t="shared" si="8"/>
        <v>1,</v>
      </c>
      <c r="V32" s="16" t="str">
        <f t="shared" si="8"/>
        <v>0,</v>
      </c>
      <c r="Y32" s="52" t="str">
        <f t="shared" si="5"/>
        <v/>
      </c>
      <c r="Z32" s="52" t="str">
        <f t="shared" si="6"/>
        <v/>
      </c>
      <c r="AA32" s="52" t="str">
        <f t="shared" si="7"/>
        <v/>
      </c>
      <c r="AC32" s="158" t="s">
        <v>200</v>
      </c>
      <c r="AD32" s="165">
        <f>Table631343537[[#This Row],[Finishes]]+Table631343537[[#This Row],[Midranges]]+Table631343537[[#This Row],[Threes]]+Table631343537[[#This Row],[Threes]]</f>
        <v>0</v>
      </c>
      <c r="AE32" s="156">
        <f>COUNTIFS(D4:D35, "Loose Gooses", E$4:E$35,AC32,F$4:F$35,"Finish")</f>
        <v>0</v>
      </c>
      <c r="AF32" s="156">
        <f>COUNTIFS(D4:D35, "Loose Gooses", E$4:E$35,AC32,F$4:F$35,"Midrange")</f>
        <v>0</v>
      </c>
      <c r="AG32" s="156">
        <f>COUNTIFS(D4:D35, "Loose Gooses", E$4:E$35,AC32,F$4:F$35,"Three Pointer")</f>
        <v>0</v>
      </c>
    </row>
    <row r="33" spans="2:33" ht="14.25" customHeight="1" x14ac:dyDescent="0.45">
      <c r="B33" s="25"/>
      <c r="C33" s="25"/>
      <c r="D33" s="25"/>
      <c r="E33" s="25"/>
      <c r="F33" s="25"/>
      <c r="G33" s="25"/>
      <c r="H33" s="25"/>
      <c r="I33" s="25"/>
      <c r="S33" s="16" t="str">
        <f t="shared" si="8"/>
        <v>0,</v>
      </c>
      <c r="T33" s="16" t="str">
        <f t="shared" si="8"/>
        <v>0,</v>
      </c>
      <c r="U33" s="16" t="str">
        <f t="shared" si="8"/>
        <v>0,</v>
      </c>
      <c r="V33" s="16" t="str">
        <f t="shared" si="8"/>
        <v>0,</v>
      </c>
      <c r="Y33" s="52" t="str">
        <f t="shared" si="5"/>
        <v/>
      </c>
      <c r="Z33" s="52" t="str">
        <f t="shared" si="6"/>
        <v/>
      </c>
      <c r="AA33" s="52" t="str">
        <f t="shared" si="7"/>
        <v/>
      </c>
      <c r="AC33" s="159" t="s">
        <v>55</v>
      </c>
      <c r="AD33" s="166">
        <f>Table631343537[[#This Row],[Finishes]]+Table631343537[[#This Row],[Midranges]]+Table631343537[[#This Row],[Threes]]+Table631343537[[#This Row],[Threes]]</f>
        <v>0</v>
      </c>
      <c r="AE33" s="157">
        <f>COUNTIFS(D4:D35, "Loose Gooses", E$4:E$35,AC33,F$4:F$35,"Finish")</f>
        <v>0</v>
      </c>
      <c r="AF33" s="157">
        <f>COUNTIFS(D4:D35, "Loose Gooses", E$4:E$35,AC33,F$4:F$35,"Midrange")</f>
        <v>0</v>
      </c>
      <c r="AG33" s="157">
        <f>COUNTIFS(D4:D35, "Loose Gooses", E$4:E$35,AC33,F$4:F$35,"Three Pointer")</f>
        <v>0</v>
      </c>
    </row>
    <row r="34" spans="2:33" ht="14.25" customHeight="1" x14ac:dyDescent="0.45">
      <c r="B34" s="25"/>
      <c r="C34" s="25"/>
      <c r="D34" s="25"/>
      <c r="E34" s="25"/>
      <c r="F34" s="25"/>
      <c r="G34" s="25"/>
      <c r="H34" s="25"/>
      <c r="I34" s="25"/>
      <c r="S34" s="16" t="str">
        <f t="shared" si="8"/>
        <v>"Did not Play",</v>
      </c>
      <c r="T34" s="16" t="str">
        <f t="shared" si="8"/>
        <v>"Did not Play",</v>
      </c>
      <c r="U34" s="16" t="str">
        <f t="shared" si="8"/>
        <v>"Did not Play",</v>
      </c>
      <c r="V34" s="16" t="str">
        <f t="shared" si="8"/>
        <v>"Did not Play",</v>
      </c>
      <c r="Y34" s="52" t="str">
        <f t="shared" si="5"/>
        <v/>
      </c>
      <c r="Z34" s="52" t="str">
        <f t="shared" si="6"/>
        <v/>
      </c>
      <c r="AA34" s="52" t="str">
        <f t="shared" si="7"/>
        <v/>
      </c>
      <c r="AC34" s="158" t="s">
        <v>64</v>
      </c>
      <c r="AD34" s="165">
        <f>Table631343537[[#This Row],[Finishes]]+Table631343537[[#This Row],[Midranges]]+Table631343537[[#This Row],[Threes]]+Table631343537[[#This Row],[Threes]]</f>
        <v>0</v>
      </c>
      <c r="AE34" s="156">
        <f>COUNTIFS(D4:D35, "Loose Gooses", E$4:E$35,AC34,F$4:F$35,"Finish")</f>
        <v>0</v>
      </c>
      <c r="AF34" s="156">
        <f>COUNTIFS(D4:D35, "Loose Gooses", E$4:E$35,AC34,F$4:F$35,"Midrange")</f>
        <v>0</v>
      </c>
      <c r="AG34" s="156">
        <f>COUNTIFS(D4:D35, "Loose Gooses", E$4:E$35,AC34,F$4:F$35,"Three Pointer")</f>
        <v>0</v>
      </c>
    </row>
    <row r="35" spans="2:33" ht="14.25" customHeight="1" x14ac:dyDescent="0.45">
      <c r="S35" s="16" t="str">
        <f t="shared" si="8"/>
        <v>2,</v>
      </c>
      <c r="T35" s="16" t="str">
        <f t="shared" si="8"/>
        <v>0,</v>
      </c>
      <c r="U35" s="16" t="str">
        <f t="shared" si="8"/>
        <v>0,</v>
      </c>
      <c r="V35" s="16" t="str">
        <f t="shared" si="8"/>
        <v>1,</v>
      </c>
      <c r="Y35" s="52" t="str">
        <f t="shared" si="5"/>
        <v/>
      </c>
      <c r="Z35" s="52" t="str">
        <f t="shared" si="6"/>
        <v/>
      </c>
      <c r="AA35" s="52" t="str">
        <f t="shared" si="7"/>
        <v/>
      </c>
      <c r="AC35" s="160" t="s">
        <v>67</v>
      </c>
      <c r="AD35" s="167">
        <f>Table631343537[[#This Row],[Finishes]]+Table631343537[[#This Row],[Midranges]]+Table631343537[[#This Row],[Threes]]+Table631343537[[#This Row],[Threes]]</f>
        <v>0</v>
      </c>
      <c r="AE35" s="161">
        <f>COUNTIFS(D4:D35, "Loose Gooses", E$4:E$35,AC35,F$4:F$35,"Finish")</f>
        <v>0</v>
      </c>
      <c r="AF35" s="161">
        <f>COUNTIFS(D4:D35, "Loose Gooses", E$4:E$35,AC35,F$4:F$35,"Midrange")</f>
        <v>0</v>
      </c>
      <c r="AG35" s="161">
        <f>COUNTIFS(D4:D35, "Loose Gooses", E$4:E$35,AC35,F$4:F$35,"Three Pointer")</f>
        <v>0</v>
      </c>
    </row>
    <row r="36" spans="2:33" ht="14.25" customHeight="1" x14ac:dyDescent="0.45">
      <c r="S36" s="16" t="str">
        <f t="shared" si="8"/>
        <v>1,</v>
      </c>
      <c r="T36" s="16" t="str">
        <f t="shared" si="8"/>
        <v>1,</v>
      </c>
      <c r="U36" s="16" t="str">
        <f t="shared" si="8"/>
        <v>0,</v>
      </c>
      <c r="V36" s="16" t="str">
        <f t="shared" si="8"/>
        <v>0,</v>
      </c>
      <c r="Y36" s="52" t="str">
        <f t="shared" si="5"/>
        <v/>
      </c>
      <c r="Z36" s="52" t="str">
        <f t="shared" si="6"/>
        <v/>
      </c>
      <c r="AA36" s="52" t="str">
        <f t="shared" si="7"/>
        <v/>
      </c>
    </row>
    <row r="37" spans="2:33" ht="14.25" customHeight="1" x14ac:dyDescent="0.45">
      <c r="S37" s="16" t="str">
        <f t="shared" si="8"/>
        <v>4,</v>
      </c>
      <c r="T37" s="16" t="str">
        <f t="shared" si="8"/>
        <v>3,</v>
      </c>
      <c r="U37" s="16" t="str">
        <f t="shared" si="8"/>
        <v>1,</v>
      </c>
      <c r="V37" s="16" t="str">
        <f t="shared" si="8"/>
        <v>0,</v>
      </c>
      <c r="Y37" s="52" t="str">
        <f t="shared" si="5"/>
        <v/>
      </c>
      <c r="Z37" s="52" t="str">
        <f t="shared" si="6"/>
        <v/>
      </c>
      <c r="AA37" s="52" t="str">
        <f t="shared" si="7"/>
        <v/>
      </c>
    </row>
    <row r="38" spans="2:33" ht="14.25" customHeight="1" x14ac:dyDescent="0.45">
      <c r="S38" s="16" t="str">
        <f t="shared" si="8"/>
        <v>0,</v>
      </c>
      <c r="T38" s="16" t="str">
        <f t="shared" si="8"/>
        <v>0,</v>
      </c>
      <c r="U38" s="16" t="str">
        <f t="shared" si="8"/>
        <v>0,</v>
      </c>
      <c r="V38" s="16" t="str">
        <f t="shared" si="8"/>
        <v>0,</v>
      </c>
      <c r="Y38" s="52" t="str">
        <f t="shared" si="5"/>
        <v/>
      </c>
      <c r="Z38" s="52" t="str">
        <f t="shared" si="6"/>
        <v/>
      </c>
      <c r="AA38" s="52" t="str">
        <f t="shared" si="7"/>
        <v/>
      </c>
    </row>
    <row r="39" spans="2:33" ht="14.25" customHeight="1" x14ac:dyDescent="0.45">
      <c r="S39" s="16">
        <f>IF($W19, CHAR(34)&amp;"Did not Play"&amp;CHAR(34), S19)</f>
        <v>0</v>
      </c>
      <c r="T39" s="16">
        <f>IF($W19, CHAR(34)&amp;"Did not Play"&amp;CHAR(34), T19)</f>
        <v>0</v>
      </c>
      <c r="U39" s="16">
        <f>IF($W19, CHAR(34)&amp;"Did not Play"&amp;CHAR(34), U19)</f>
        <v>0</v>
      </c>
      <c r="V39" s="16">
        <f>IF($W19, CHAR(34)&amp;"Did not Play"&amp;CHAR(34), V19)</f>
        <v>0</v>
      </c>
      <c r="Y39" s="52" t="str">
        <f t="shared" si="5"/>
        <v/>
      </c>
      <c r="Z39" s="52" t="str">
        <f t="shared" si="6"/>
        <v/>
      </c>
      <c r="AA39" s="52" t="str">
        <f t="shared" si="7"/>
        <v/>
      </c>
    </row>
    <row r="40" spans="2:33" ht="14.25" customHeight="1" x14ac:dyDescent="0.45">
      <c r="B40" s="73"/>
      <c r="T40" s="8"/>
      <c r="U40" s="8"/>
      <c r="V40" s="8"/>
    </row>
    <row r="41" spans="2:33" ht="14.25" customHeight="1" x14ac:dyDescent="0.9">
      <c r="R41" s="94"/>
      <c r="S41" s="94"/>
      <c r="T41" s="190" t="s">
        <v>119</v>
      </c>
      <c r="U41" s="190"/>
      <c r="V41" s="190"/>
    </row>
    <row r="42" spans="2:33" ht="14.25" customHeight="1" x14ac:dyDescent="0.9">
      <c r="R42" s="94"/>
      <c r="S42" s="94"/>
      <c r="T42" s="190"/>
      <c r="U42" s="190"/>
      <c r="V42" s="190"/>
    </row>
    <row r="43" spans="2:33" ht="14.25" customHeight="1" x14ac:dyDescent="0.45">
      <c r="B43" s="16" t="s">
        <v>169</v>
      </c>
      <c r="T43" s="69" t="s">
        <v>167</v>
      </c>
    </row>
    <row r="44" spans="2:33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"Date":["23-August"],</v>
      </c>
    </row>
    <row r="45" spans="2:33" ht="14.25" customHeight="1" x14ac:dyDescent="0.45">
      <c r="B45" s="74" t="str">
        <f>C2</f>
        <v>23-August</v>
      </c>
      <c r="C45" s="16">
        <f>MAX(M3:M5)</f>
        <v>11</v>
      </c>
      <c r="D45" s="16">
        <f>COUNT(B4:B42)-C45-E45</f>
        <v>5</v>
      </c>
      <c r="E45" s="16">
        <f>MIN(M3:M5)</f>
        <v>2</v>
      </c>
      <c r="F45" s="16">
        <f>M3</f>
        <v>11</v>
      </c>
      <c r="G45" s="16">
        <f>COUNTIF(Z4:Z39, "WW/LG")</f>
        <v>2</v>
      </c>
      <c r="H45" s="16">
        <f>COUNTIF(AA4:AA39, "5M/LG")</f>
        <v>3</v>
      </c>
      <c r="I45" s="16">
        <f>M5</f>
        <v>2</v>
      </c>
      <c r="J45" s="16">
        <f>COUNTIF(Y4:Y39, "LG/WW")</f>
        <v>5</v>
      </c>
      <c r="K45" s="16">
        <f>COUNTIF(AA4:AA39, "5M/WW")</f>
        <v>2</v>
      </c>
      <c r="L45" s="16">
        <f>M4</f>
        <v>5</v>
      </c>
      <c r="M45" s="16">
        <f>COUNTIF(Y4:Y39, "LG/5M")</f>
        <v>6</v>
      </c>
      <c r="N45" s="16">
        <f>COUNTIF(Z4:Z39, "WW/5M")</f>
        <v>0</v>
      </c>
      <c r="O45" s="16">
        <f>P3</f>
        <v>6</v>
      </c>
      <c r="P45" s="16">
        <f>P5</f>
        <v>2</v>
      </c>
      <c r="Q45" s="16">
        <f>P4</f>
        <v>4</v>
      </c>
      <c r="T45" s="16" t="str">
        <f>CHAR(34)&amp;"Points"&amp;CHAR(34)&amp;":["&amp;S23&amp;S24&amp;S25&amp;S26&amp;S27&amp;S28&amp;S29&amp;S30&amp;S31&amp;S32&amp;S33&amp;S34&amp;S35&amp;S36&amp;S37&amp;S38&amp;S39&amp;"],"</f>
        <v>"Points":[0,2,3,"Did not Play",1,0,0,0,4,2,0,"Did not Play",2,1,4,0,0],</v>
      </c>
    </row>
    <row r="46" spans="2:33" ht="14.25" customHeight="1" x14ac:dyDescent="0.45">
      <c r="T46" s="16" t="str">
        <f>CHAR(34)&amp;"Finishes"&amp;CHAR(34)&amp;":["&amp;T23&amp;T24&amp;T25&amp;T26&amp;T27&amp;T28&amp;T29&amp;T30&amp;T31&amp;T32&amp;T33&amp;T34&amp;T35&amp;T36&amp;T37&amp;T38&amp;T39&amp;"],"</f>
        <v>"Finishes":[0,2,3,"Did not Play",1,0,0,0,2,1,0,"Did not Play",0,1,3,0,0],</v>
      </c>
    </row>
    <row r="47" spans="2:33" ht="14.25" customHeight="1" x14ac:dyDescent="0.45">
      <c r="T47" s="16" t="str">
        <f>CHAR(34)&amp;"Midrange"&amp;CHAR(34)&amp;":["&amp;U23&amp;U24&amp;U25&amp;U26&amp;U27&amp;U28&amp;U29&amp;U30&amp;U31&amp;U32&amp;U33&amp;U34&amp;U35&amp;U36&amp;U37&amp;U38&amp;U39&amp;"],"</f>
        <v>"Midrange":[0,0,0,"Did not Play",0,0,0,0,2,1,0,"Did not Play",0,0,1,0,0],</v>
      </c>
    </row>
    <row r="48" spans="2:33" ht="14.25" customHeight="1" x14ac:dyDescent="0.45">
      <c r="T48" s="16" t="str">
        <f>CHAR(34)&amp;"ThreePointers"&amp;CHAR(34)&amp;":["&amp;V23&amp;V24&amp;V25&amp;V26&amp;V27&amp;V28&amp;V29&amp;V30&amp;V31&amp;V32&amp;V33&amp;V34&amp;V35&amp;V36&amp;V37&amp;V38&amp;V39&amp;"]"</f>
        <v>"ThreePointers":[0,0,0,"Did not Play",0,0,0,0,0,0,0,"Did not Play",1,0,0,0,0]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2C97-A046-4884-9984-95484485DF96}">
  <dimension ref="B1:AG1000"/>
  <sheetViews>
    <sheetView zoomScale="61" zoomScaleNormal="70" workbookViewId="0">
      <selection activeCell="M3" sqref="A1:XFD1048576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2" ht="14.25" customHeight="1" x14ac:dyDescent="0.45"/>
    <row r="2" spans="2:32" ht="14.25" customHeight="1" x14ac:dyDescent="0.45">
      <c r="B2" s="11" t="s">
        <v>97</v>
      </c>
      <c r="C2" s="50" t="s">
        <v>293</v>
      </c>
      <c r="L2" s="3" t="s">
        <v>98</v>
      </c>
      <c r="M2" s="3" t="s">
        <v>88</v>
      </c>
      <c r="N2" s="3" t="s">
        <v>89</v>
      </c>
      <c r="O2" s="3" t="s">
        <v>83</v>
      </c>
      <c r="P2" s="3" t="s">
        <v>0</v>
      </c>
      <c r="R2" s="3" t="s">
        <v>84</v>
      </c>
      <c r="S2" s="11" t="s">
        <v>0</v>
      </c>
      <c r="T2" s="2" t="s">
        <v>1</v>
      </c>
      <c r="U2" s="2" t="s">
        <v>99</v>
      </c>
      <c r="V2" s="2" t="s">
        <v>100</v>
      </c>
      <c r="W2" s="16" t="s">
        <v>121</v>
      </c>
      <c r="AD2" s="2"/>
      <c r="AE2" s="2"/>
      <c r="AF2" s="2"/>
    </row>
    <row r="3" spans="2:32" ht="14.25" customHeight="1" x14ac:dyDescent="0.45">
      <c r="B3" s="14" t="s">
        <v>101</v>
      </c>
      <c r="C3" s="14" t="s">
        <v>102</v>
      </c>
      <c r="D3" s="14" t="s">
        <v>103</v>
      </c>
      <c r="E3" s="14" t="s">
        <v>292</v>
      </c>
      <c r="F3" s="14" t="s">
        <v>104</v>
      </c>
      <c r="G3" s="14" t="s">
        <v>105</v>
      </c>
      <c r="H3" s="14" t="s">
        <v>106</v>
      </c>
      <c r="I3" s="14" t="s">
        <v>107</v>
      </c>
      <c r="J3" s="14" t="s">
        <v>112</v>
      </c>
      <c r="L3" s="11" t="s">
        <v>108</v>
      </c>
      <c r="M3" s="11">
        <f>COUNTIF(C$3:C40, "Loose Gooses")</f>
        <v>12</v>
      </c>
      <c r="N3" s="11">
        <f>COUNTIF(D$3:D40, "Loose Gooses")</f>
        <v>2</v>
      </c>
      <c r="O3" s="10">
        <f>M3/(M3+N3)</f>
        <v>0.8571428571428571</v>
      </c>
      <c r="P3" s="11">
        <v>6</v>
      </c>
      <c r="R3" s="2" t="s">
        <v>25</v>
      </c>
      <c r="S3" s="8">
        <f>COUNTIF($F$3:$F$40, R3)+V3</f>
        <v>0</v>
      </c>
      <c r="T3" s="9">
        <f>COUNTIFS($F$3:$F$40, $R3,$G$3:$G$40,"Finish")</f>
        <v>0</v>
      </c>
      <c r="U3" s="9">
        <f>COUNTIFS($F$3:$F$40, $R3,$G$3:$G$40,"Midrange")</f>
        <v>0</v>
      </c>
      <c r="V3" s="9">
        <f>COUNTIFS($F$3:$F$40, $R3,$G$3:$G$40,"Three Pointer")</f>
        <v>0</v>
      </c>
      <c r="W3" s="26" t="b">
        <v>0</v>
      </c>
      <c r="Y3" s="51" t="s">
        <v>108</v>
      </c>
      <c r="Z3" s="51" t="s">
        <v>109</v>
      </c>
      <c r="AA3" s="51" t="s">
        <v>110</v>
      </c>
      <c r="AC3" s="2"/>
    </row>
    <row r="4" spans="2:32" ht="14.25" customHeight="1" x14ac:dyDescent="0.45">
      <c r="B4" s="25">
        <v>1</v>
      </c>
      <c r="C4" s="25" t="s">
        <v>26</v>
      </c>
      <c r="D4" s="25" t="s">
        <v>31</v>
      </c>
      <c r="E4" s="25" t="s">
        <v>287</v>
      </c>
      <c r="F4" s="25" t="s">
        <v>42</v>
      </c>
      <c r="G4" s="25" t="s">
        <v>204</v>
      </c>
      <c r="H4" s="25" t="s">
        <v>288</v>
      </c>
      <c r="I4" s="25" t="s">
        <v>288</v>
      </c>
      <c r="J4" s="25">
        <v>1</v>
      </c>
      <c r="L4" s="11" t="s">
        <v>110</v>
      </c>
      <c r="M4" s="11">
        <f>COUNTIF(C$3:C41, "5 Musketeers")</f>
        <v>4</v>
      </c>
      <c r="N4" s="11">
        <f>COUNTIF(D$3:D41, "5 Musketeers")</f>
        <v>8</v>
      </c>
      <c r="O4" s="10">
        <f t="shared" ref="O4:O5" si="0">M4/(M4+N4)</f>
        <v>0.33333333333333331</v>
      </c>
      <c r="P4" s="11">
        <v>2</v>
      </c>
      <c r="R4" s="2" t="s">
        <v>28</v>
      </c>
      <c r="S4" s="8">
        <f t="shared" ref="S4:S19" si="1">COUNTIF($F$3:$F$40, R4)+V4</f>
        <v>3</v>
      </c>
      <c r="T4" s="9">
        <f t="shared" ref="T4:T19" si="2">COUNTIFS($F$3:$F$40, $R4,$G$3:$G$40,"Finish")</f>
        <v>2</v>
      </c>
      <c r="U4" s="9">
        <f t="shared" ref="U4:U19" si="3">COUNTIFS($F$3:$F$40, $R4,$G$3:$G$40,"Midrange")</f>
        <v>1</v>
      </c>
      <c r="V4" s="9">
        <f t="shared" ref="V4:V19" si="4">COUNTIFS($F$3:$F$40, $R4,$G$3:$G$40,"Three Pointer")</f>
        <v>0</v>
      </c>
      <c r="W4" s="26" t="b">
        <v>0</v>
      </c>
      <c r="Y4" s="52" t="str">
        <f t="shared" ref="Y4:Y39" si="5">IF(AND(C4="Loose Gooses",D4="Wet Willies"),"LG/WW", IF(AND(C4="Loose Gooses",D4="5 Musketeers"),"LG/5M", ""))</f>
        <v/>
      </c>
      <c r="Z4" s="52" t="str">
        <f t="shared" ref="Z4:Z39" si="6">IF(AND(C4="Wet Willies",D4="Loose Gooses"),"WW/LG", IF(AND(C4="Wet Willies",D4="5 Musketeers"),"WW/5M", ""))</f>
        <v/>
      </c>
      <c r="AA4" s="52" t="str">
        <f t="shared" ref="AA4:AA39" si="7">IF(AND(C4="5 Musketeers",D4="Loose Gooses"),"5M/LG", IF(AND($C4="5 Musketeers",$D4="Wet Willies"),"5M/WW", ""))</f>
        <v>5M/WW</v>
      </c>
      <c r="AC4" s="2"/>
    </row>
    <row r="5" spans="2:32" ht="14.25" customHeight="1" x14ac:dyDescent="0.45">
      <c r="B5" s="25">
        <v>1</v>
      </c>
      <c r="C5" s="25" t="s">
        <v>26</v>
      </c>
      <c r="D5" s="25" t="s">
        <v>31</v>
      </c>
      <c r="E5" s="25" t="s">
        <v>291</v>
      </c>
      <c r="F5" s="25" t="s">
        <v>30</v>
      </c>
      <c r="G5" s="25" t="s">
        <v>204</v>
      </c>
      <c r="H5" s="25">
        <v>1</v>
      </c>
      <c r="I5" s="25">
        <v>1</v>
      </c>
      <c r="J5" s="25">
        <v>1</v>
      </c>
      <c r="L5" s="11" t="s">
        <v>109</v>
      </c>
      <c r="M5" s="11">
        <f>COUNTIF(C$3:C42, "Wet Willies")</f>
        <v>3</v>
      </c>
      <c r="N5" s="11">
        <f>COUNTIF(D$3:D42, "Wet Willies")</f>
        <v>9</v>
      </c>
      <c r="O5" s="10">
        <f t="shared" si="0"/>
        <v>0.25</v>
      </c>
      <c r="P5" s="11">
        <v>4</v>
      </c>
      <c r="R5" s="2" t="s">
        <v>30</v>
      </c>
      <c r="S5" s="8">
        <f t="shared" si="1"/>
        <v>1</v>
      </c>
      <c r="T5" s="9">
        <f t="shared" si="2"/>
        <v>1</v>
      </c>
      <c r="U5" s="9">
        <f t="shared" si="3"/>
        <v>0</v>
      </c>
      <c r="V5" s="9">
        <f t="shared" si="4"/>
        <v>0</v>
      </c>
      <c r="W5" s="26" t="b">
        <v>0</v>
      </c>
      <c r="Y5" s="52" t="str">
        <f t="shared" si="5"/>
        <v/>
      </c>
      <c r="Z5" s="52" t="str">
        <f t="shared" si="6"/>
        <v/>
      </c>
      <c r="AA5" s="52" t="str">
        <f t="shared" si="7"/>
        <v>5M/WW</v>
      </c>
      <c r="AC5" s="2"/>
    </row>
    <row r="6" spans="2:32" ht="14.25" customHeight="1" x14ac:dyDescent="0.45">
      <c r="B6" s="25">
        <v>2</v>
      </c>
      <c r="C6" s="25" t="s">
        <v>47</v>
      </c>
      <c r="D6" s="25" t="s">
        <v>26</v>
      </c>
      <c r="E6" s="25" t="s">
        <v>287</v>
      </c>
      <c r="F6" s="25" t="s">
        <v>46</v>
      </c>
      <c r="G6" s="25" t="s">
        <v>204</v>
      </c>
      <c r="H6" s="25" t="s">
        <v>288</v>
      </c>
      <c r="I6" s="25" t="s">
        <v>288</v>
      </c>
      <c r="J6" s="25">
        <v>1</v>
      </c>
      <c r="R6" s="2" t="s">
        <v>35</v>
      </c>
      <c r="S6" s="8">
        <f t="shared" si="1"/>
        <v>1</v>
      </c>
      <c r="T6" s="9">
        <f t="shared" si="2"/>
        <v>1</v>
      </c>
      <c r="U6" s="9">
        <f t="shared" si="3"/>
        <v>0</v>
      </c>
      <c r="V6" s="9">
        <f t="shared" si="4"/>
        <v>0</v>
      </c>
      <c r="W6" s="26" t="b">
        <v>0</v>
      </c>
      <c r="Y6" s="52" t="str">
        <f t="shared" si="5"/>
        <v>LG/5M</v>
      </c>
      <c r="Z6" s="52" t="str">
        <f t="shared" si="6"/>
        <v/>
      </c>
      <c r="AA6" s="52" t="str">
        <f t="shared" si="7"/>
        <v/>
      </c>
      <c r="AC6" s="2"/>
    </row>
    <row r="7" spans="2:32" ht="14.25" customHeight="1" x14ac:dyDescent="0.45">
      <c r="B7" s="25">
        <v>2</v>
      </c>
      <c r="C7" s="25" t="s">
        <v>47</v>
      </c>
      <c r="D7" s="25" t="s">
        <v>26</v>
      </c>
      <c r="E7" s="25" t="s">
        <v>291</v>
      </c>
      <c r="F7" s="25" t="s">
        <v>28</v>
      </c>
      <c r="G7" s="25" t="s">
        <v>204</v>
      </c>
      <c r="H7" s="25">
        <v>1</v>
      </c>
      <c r="I7" s="25">
        <v>1</v>
      </c>
      <c r="J7" s="25">
        <v>1</v>
      </c>
      <c r="R7" s="2" t="s">
        <v>37</v>
      </c>
      <c r="S7" s="8">
        <f t="shared" si="1"/>
        <v>0</v>
      </c>
      <c r="T7" s="9">
        <f t="shared" si="2"/>
        <v>0</v>
      </c>
      <c r="U7" s="9">
        <f t="shared" si="3"/>
        <v>0</v>
      </c>
      <c r="V7" s="9">
        <f t="shared" si="4"/>
        <v>0</v>
      </c>
      <c r="W7" s="26" t="b">
        <v>0</v>
      </c>
      <c r="Y7" s="52" t="str">
        <f t="shared" si="5"/>
        <v>LG/5M</v>
      </c>
      <c r="Z7" s="52" t="str">
        <f t="shared" si="6"/>
        <v/>
      </c>
      <c r="AA7" s="52" t="str">
        <f t="shared" si="7"/>
        <v/>
      </c>
      <c r="AC7" s="2"/>
    </row>
    <row r="8" spans="2:32" ht="14.25" customHeight="1" x14ac:dyDescent="0.45">
      <c r="B8" s="25">
        <v>3</v>
      </c>
      <c r="C8" s="25" t="s">
        <v>31</v>
      </c>
      <c r="D8" s="25" t="s">
        <v>47</v>
      </c>
      <c r="E8" s="25" t="s">
        <v>291</v>
      </c>
      <c r="F8" s="25" t="s">
        <v>44</v>
      </c>
      <c r="G8" s="25" t="s">
        <v>205</v>
      </c>
      <c r="H8" s="25">
        <v>1</v>
      </c>
      <c r="I8" s="25">
        <v>1</v>
      </c>
      <c r="J8" s="25">
        <v>1</v>
      </c>
      <c r="R8" s="2" t="s">
        <v>42</v>
      </c>
      <c r="S8" s="8">
        <f t="shared" si="1"/>
        <v>2</v>
      </c>
      <c r="T8" s="9">
        <f t="shared" si="2"/>
        <v>2</v>
      </c>
      <c r="U8" s="9">
        <f t="shared" si="3"/>
        <v>0</v>
      </c>
      <c r="V8" s="9">
        <f t="shared" si="4"/>
        <v>0</v>
      </c>
      <c r="W8" s="26" t="b">
        <v>0</v>
      </c>
      <c r="Y8" s="52" t="str">
        <f t="shared" si="5"/>
        <v/>
      </c>
      <c r="Z8" s="52" t="str">
        <f t="shared" si="6"/>
        <v>WW/LG</v>
      </c>
      <c r="AA8" s="52" t="str">
        <f t="shared" si="7"/>
        <v/>
      </c>
      <c r="AC8" s="2"/>
    </row>
    <row r="9" spans="2:32" ht="14.25" customHeight="1" x14ac:dyDescent="0.45">
      <c r="B9" s="25">
        <v>4</v>
      </c>
      <c r="C9" s="25" t="s">
        <v>31</v>
      </c>
      <c r="D9" s="25" t="s">
        <v>26</v>
      </c>
      <c r="E9" s="25" t="s">
        <v>287</v>
      </c>
      <c r="F9" s="25" t="s">
        <v>52</v>
      </c>
      <c r="G9" s="25" t="s">
        <v>204</v>
      </c>
      <c r="H9" s="25" t="s">
        <v>288</v>
      </c>
      <c r="I9" s="25" t="s">
        <v>288</v>
      </c>
      <c r="J9" s="25">
        <v>1</v>
      </c>
      <c r="R9" s="16" t="s">
        <v>115</v>
      </c>
      <c r="S9" s="8">
        <f t="shared" si="1"/>
        <v>0</v>
      </c>
      <c r="T9" s="9">
        <f t="shared" si="2"/>
        <v>0</v>
      </c>
      <c r="U9" s="9">
        <f t="shared" si="3"/>
        <v>0</v>
      </c>
      <c r="V9" s="9">
        <f t="shared" si="4"/>
        <v>0</v>
      </c>
      <c r="W9" s="26" t="b">
        <v>0</v>
      </c>
      <c r="Y9" s="52" t="str">
        <f t="shared" si="5"/>
        <v/>
      </c>
      <c r="Z9" s="52" t="str">
        <f t="shared" si="6"/>
        <v>WW/5M</v>
      </c>
      <c r="AA9" s="52" t="str">
        <f t="shared" si="7"/>
        <v/>
      </c>
    </row>
    <row r="10" spans="2:32" ht="14.25" customHeight="1" x14ac:dyDescent="0.45">
      <c r="B10" s="25">
        <v>4</v>
      </c>
      <c r="C10" s="25" t="s">
        <v>26</v>
      </c>
      <c r="D10" s="25" t="s">
        <v>31</v>
      </c>
      <c r="E10" s="25" t="s">
        <v>289</v>
      </c>
      <c r="F10" s="25" t="s">
        <v>50</v>
      </c>
      <c r="G10" s="25" t="s">
        <v>99</v>
      </c>
      <c r="H10" s="25" t="s">
        <v>288</v>
      </c>
      <c r="I10" s="25" t="s">
        <v>288</v>
      </c>
      <c r="J10" s="25">
        <v>1</v>
      </c>
      <c r="R10" s="2" t="s">
        <v>44</v>
      </c>
      <c r="S10" s="8">
        <f t="shared" si="1"/>
        <v>2</v>
      </c>
      <c r="T10" s="9">
        <f t="shared" si="2"/>
        <v>0</v>
      </c>
      <c r="U10" s="9">
        <f t="shared" si="3"/>
        <v>0</v>
      </c>
      <c r="V10" s="9">
        <f t="shared" si="4"/>
        <v>1</v>
      </c>
      <c r="W10" s="26" t="b">
        <v>0</v>
      </c>
      <c r="Y10" s="52" t="str">
        <f t="shared" si="5"/>
        <v/>
      </c>
      <c r="Z10" s="52" t="str">
        <f t="shared" si="6"/>
        <v/>
      </c>
      <c r="AA10" s="52" t="str">
        <f t="shared" si="7"/>
        <v>5M/WW</v>
      </c>
      <c r="AC10" s="2"/>
    </row>
    <row r="11" spans="2:32" ht="14.25" customHeight="1" x14ac:dyDescent="0.45">
      <c r="B11" s="25">
        <v>4</v>
      </c>
      <c r="C11" s="25" t="s">
        <v>31</v>
      </c>
      <c r="D11" s="25" t="s">
        <v>26</v>
      </c>
      <c r="E11" s="25" t="s">
        <v>290</v>
      </c>
      <c r="F11" s="25" t="s">
        <v>35</v>
      </c>
      <c r="G11" s="25" t="s">
        <v>204</v>
      </c>
      <c r="H11" s="25">
        <v>2</v>
      </c>
      <c r="I11" s="25">
        <v>2</v>
      </c>
      <c r="J11" s="25">
        <v>1</v>
      </c>
      <c r="R11" s="2" t="s">
        <v>46</v>
      </c>
      <c r="S11" s="8">
        <f t="shared" si="1"/>
        <v>4</v>
      </c>
      <c r="T11" s="9">
        <f t="shared" si="2"/>
        <v>2</v>
      </c>
      <c r="U11" s="9">
        <f t="shared" si="3"/>
        <v>2</v>
      </c>
      <c r="V11" s="9">
        <f t="shared" si="4"/>
        <v>0</v>
      </c>
      <c r="W11" s="26" t="b">
        <v>0</v>
      </c>
      <c r="Y11" s="52" t="str">
        <f t="shared" si="5"/>
        <v/>
      </c>
      <c r="Z11" s="52" t="str">
        <f t="shared" si="6"/>
        <v>WW/5M</v>
      </c>
      <c r="AA11" s="52" t="str">
        <f t="shared" si="7"/>
        <v/>
      </c>
      <c r="AC11" s="2"/>
    </row>
    <row r="12" spans="2:32" ht="14.25" customHeight="1" x14ac:dyDescent="0.45">
      <c r="B12" s="25">
        <v>5</v>
      </c>
      <c r="C12" s="25" t="s">
        <v>47</v>
      </c>
      <c r="D12" s="25" t="s">
        <v>31</v>
      </c>
      <c r="E12" s="25" t="s">
        <v>287</v>
      </c>
      <c r="F12" s="25" t="s">
        <v>58</v>
      </c>
      <c r="G12" s="25" t="s">
        <v>204</v>
      </c>
      <c r="H12" s="25" t="s">
        <v>288</v>
      </c>
      <c r="I12" s="25" t="s">
        <v>288</v>
      </c>
      <c r="J12" s="25">
        <v>1</v>
      </c>
      <c r="R12" s="2" t="s">
        <v>50</v>
      </c>
      <c r="S12" s="8">
        <f t="shared" si="1"/>
        <v>1</v>
      </c>
      <c r="T12" s="9">
        <f t="shared" si="2"/>
        <v>0</v>
      </c>
      <c r="U12" s="9">
        <f t="shared" si="3"/>
        <v>1</v>
      </c>
      <c r="V12" s="9">
        <f t="shared" si="4"/>
        <v>0</v>
      </c>
      <c r="W12" s="26" t="b">
        <v>0</v>
      </c>
      <c r="Y12" s="52" t="str">
        <f t="shared" si="5"/>
        <v>LG/WW</v>
      </c>
      <c r="Z12" s="52" t="str">
        <f t="shared" si="6"/>
        <v/>
      </c>
      <c r="AA12" s="52" t="str">
        <f t="shared" si="7"/>
        <v/>
      </c>
      <c r="AC12" s="2"/>
    </row>
    <row r="13" spans="2:32" ht="14.25" customHeight="1" x14ac:dyDescent="0.45">
      <c r="B13" s="25">
        <v>5</v>
      </c>
      <c r="C13" s="25" t="s">
        <v>47</v>
      </c>
      <c r="D13" s="25" t="s">
        <v>31</v>
      </c>
      <c r="E13" s="25" t="s">
        <v>291</v>
      </c>
      <c r="F13" s="25" t="s">
        <v>46</v>
      </c>
      <c r="G13" s="25" t="s">
        <v>204</v>
      </c>
      <c r="H13" s="25">
        <v>1</v>
      </c>
      <c r="I13" s="25">
        <v>1</v>
      </c>
      <c r="J13" s="25">
        <v>1</v>
      </c>
      <c r="R13" s="2" t="s">
        <v>52</v>
      </c>
      <c r="S13" s="8">
        <f t="shared" si="1"/>
        <v>1</v>
      </c>
      <c r="T13" s="9">
        <f t="shared" si="2"/>
        <v>1</v>
      </c>
      <c r="U13" s="9">
        <f t="shared" si="3"/>
        <v>0</v>
      </c>
      <c r="V13" s="9">
        <f t="shared" si="4"/>
        <v>0</v>
      </c>
      <c r="W13" s="26" t="b">
        <v>0</v>
      </c>
      <c r="Y13" s="52" t="str">
        <f t="shared" si="5"/>
        <v>LG/WW</v>
      </c>
      <c r="Z13" s="52" t="str">
        <f t="shared" si="6"/>
        <v/>
      </c>
      <c r="AA13" s="52" t="str">
        <f t="shared" si="7"/>
        <v/>
      </c>
      <c r="AC13" s="2"/>
    </row>
    <row r="14" spans="2:32" ht="14.25" customHeight="1" x14ac:dyDescent="0.45">
      <c r="B14" s="25">
        <v>6</v>
      </c>
      <c r="C14" s="25" t="s">
        <v>47</v>
      </c>
      <c r="D14" s="25" t="s">
        <v>26</v>
      </c>
      <c r="E14" s="25" t="s">
        <v>287</v>
      </c>
      <c r="F14" s="25" t="s">
        <v>46</v>
      </c>
      <c r="G14" s="25" t="s">
        <v>99</v>
      </c>
      <c r="H14" s="25" t="s">
        <v>288</v>
      </c>
      <c r="I14" s="25" t="s">
        <v>288</v>
      </c>
      <c r="J14" s="25">
        <v>2</v>
      </c>
      <c r="R14" s="2" t="s">
        <v>200</v>
      </c>
      <c r="S14" s="8">
        <f t="shared" si="1"/>
        <v>0</v>
      </c>
      <c r="T14" s="9">
        <f t="shared" si="2"/>
        <v>0</v>
      </c>
      <c r="U14" s="9">
        <f t="shared" si="3"/>
        <v>0</v>
      </c>
      <c r="V14" s="9">
        <f t="shared" si="4"/>
        <v>0</v>
      </c>
      <c r="W14" s="26" t="b">
        <v>1</v>
      </c>
      <c r="Y14" s="52" t="str">
        <f t="shared" si="5"/>
        <v>LG/5M</v>
      </c>
      <c r="Z14" s="52" t="str">
        <f t="shared" si="6"/>
        <v/>
      </c>
      <c r="AA14" s="52" t="str">
        <f t="shared" si="7"/>
        <v/>
      </c>
      <c r="AC14" s="2"/>
    </row>
    <row r="15" spans="2:32" ht="14.25" customHeight="1" x14ac:dyDescent="0.45">
      <c r="B15" s="25">
        <v>6</v>
      </c>
      <c r="C15" s="25" t="s">
        <v>26</v>
      </c>
      <c r="D15" s="25" t="s">
        <v>47</v>
      </c>
      <c r="E15" s="25" t="s">
        <v>289</v>
      </c>
      <c r="F15" s="25" t="s">
        <v>42</v>
      </c>
      <c r="G15" s="25" t="s">
        <v>204</v>
      </c>
      <c r="H15" s="25" t="s">
        <v>288</v>
      </c>
      <c r="I15" s="25" t="s">
        <v>288</v>
      </c>
      <c r="J15" s="25">
        <v>1</v>
      </c>
      <c r="R15" s="2" t="s">
        <v>55</v>
      </c>
      <c r="S15" s="8">
        <f t="shared" si="1"/>
        <v>0</v>
      </c>
      <c r="T15" s="9">
        <f t="shared" si="2"/>
        <v>0</v>
      </c>
      <c r="U15" s="9">
        <f t="shared" si="3"/>
        <v>0</v>
      </c>
      <c r="V15" s="9">
        <f t="shared" si="4"/>
        <v>0</v>
      </c>
      <c r="W15" s="26" t="b">
        <v>0</v>
      </c>
      <c r="Y15" s="52" t="str">
        <f t="shared" si="5"/>
        <v/>
      </c>
      <c r="Z15" s="52" t="str">
        <f t="shared" si="6"/>
        <v/>
      </c>
      <c r="AA15" s="52" t="str">
        <f t="shared" si="7"/>
        <v>5M/LG</v>
      </c>
      <c r="AC15" s="2"/>
    </row>
    <row r="16" spans="2:32" ht="14.25" customHeight="1" x14ac:dyDescent="0.45">
      <c r="B16" s="25">
        <v>6</v>
      </c>
      <c r="C16" s="25" t="s">
        <v>47</v>
      </c>
      <c r="D16" s="25" t="s">
        <v>26</v>
      </c>
      <c r="E16" s="25" t="s">
        <v>290</v>
      </c>
      <c r="F16" s="25" t="s">
        <v>61</v>
      </c>
      <c r="G16" s="25" t="s">
        <v>204</v>
      </c>
      <c r="H16" s="25">
        <v>2</v>
      </c>
      <c r="I16" s="25">
        <v>3</v>
      </c>
      <c r="J16" s="25">
        <v>1</v>
      </c>
      <c r="R16" s="2" t="s">
        <v>58</v>
      </c>
      <c r="S16" s="8">
        <f t="shared" si="1"/>
        <v>2</v>
      </c>
      <c r="T16" s="9">
        <f t="shared" si="2"/>
        <v>2</v>
      </c>
      <c r="U16" s="9">
        <f t="shared" si="3"/>
        <v>0</v>
      </c>
      <c r="V16" s="9">
        <f t="shared" si="4"/>
        <v>0</v>
      </c>
      <c r="W16" s="26" t="b">
        <v>0</v>
      </c>
      <c r="Y16" s="52" t="str">
        <f t="shared" si="5"/>
        <v>LG/5M</v>
      </c>
      <c r="Z16" s="52" t="str">
        <f t="shared" si="6"/>
        <v/>
      </c>
      <c r="AA16" s="52" t="str">
        <f t="shared" si="7"/>
        <v/>
      </c>
      <c r="AC16" s="2"/>
    </row>
    <row r="17" spans="2:33" ht="14.25" customHeight="1" x14ac:dyDescent="0.45">
      <c r="B17" s="25">
        <v>7</v>
      </c>
      <c r="C17" s="25" t="s">
        <v>47</v>
      </c>
      <c r="D17" s="25" t="s">
        <v>31</v>
      </c>
      <c r="E17" s="25" t="s">
        <v>287</v>
      </c>
      <c r="F17" s="25" t="s">
        <v>61</v>
      </c>
      <c r="G17" s="25" t="s">
        <v>204</v>
      </c>
      <c r="H17" s="25" t="s">
        <v>288</v>
      </c>
      <c r="I17" s="25" t="s">
        <v>288</v>
      </c>
      <c r="J17" s="25">
        <v>2</v>
      </c>
      <c r="R17" s="2" t="s">
        <v>61</v>
      </c>
      <c r="S17" s="8">
        <f t="shared" si="1"/>
        <v>3</v>
      </c>
      <c r="T17" s="9">
        <f t="shared" si="2"/>
        <v>2</v>
      </c>
      <c r="U17" s="9">
        <f t="shared" si="3"/>
        <v>1</v>
      </c>
      <c r="V17" s="9">
        <f t="shared" si="4"/>
        <v>0</v>
      </c>
      <c r="W17" s="26" t="b">
        <v>0</v>
      </c>
      <c r="Y17" s="52" t="str">
        <f t="shared" si="5"/>
        <v>LG/WW</v>
      </c>
      <c r="Z17" s="52" t="str">
        <f t="shared" si="6"/>
        <v/>
      </c>
      <c r="AA17" s="52" t="str">
        <f t="shared" si="7"/>
        <v/>
      </c>
      <c r="AC17" s="2"/>
    </row>
    <row r="18" spans="2:33" ht="14.25" customHeight="1" x14ac:dyDescent="0.45">
      <c r="B18" s="25">
        <v>7</v>
      </c>
      <c r="C18" s="25" t="s">
        <v>47</v>
      </c>
      <c r="D18" s="25" t="s">
        <v>31</v>
      </c>
      <c r="E18" s="25" t="s">
        <v>291</v>
      </c>
      <c r="F18" s="25" t="s">
        <v>46</v>
      </c>
      <c r="G18" s="25" t="s">
        <v>99</v>
      </c>
      <c r="H18" s="25">
        <v>3</v>
      </c>
      <c r="I18" s="25">
        <v>2</v>
      </c>
      <c r="J18" s="25">
        <v>1</v>
      </c>
      <c r="R18" s="2" t="s">
        <v>64</v>
      </c>
      <c r="S18" s="8">
        <f t="shared" si="1"/>
        <v>0</v>
      </c>
      <c r="T18" s="9">
        <f t="shared" si="2"/>
        <v>0</v>
      </c>
      <c r="U18" s="9">
        <f t="shared" si="3"/>
        <v>0</v>
      </c>
      <c r="V18" s="9">
        <f t="shared" si="4"/>
        <v>0</v>
      </c>
      <c r="W18" s="26" t="b">
        <v>0</v>
      </c>
      <c r="Y18" s="52" t="str">
        <f t="shared" si="5"/>
        <v>LG/WW</v>
      </c>
      <c r="Z18" s="52" t="str">
        <f t="shared" si="6"/>
        <v/>
      </c>
      <c r="AA18" s="52" t="str">
        <f t="shared" si="7"/>
        <v/>
      </c>
      <c r="AC18" s="2"/>
    </row>
    <row r="19" spans="2:33" ht="14.25" customHeight="1" x14ac:dyDescent="0.45">
      <c r="B19" s="25">
        <v>8</v>
      </c>
      <c r="C19" s="25" t="s">
        <v>47</v>
      </c>
      <c r="D19" s="25" t="s">
        <v>26</v>
      </c>
      <c r="E19" s="25" t="s">
        <v>287</v>
      </c>
      <c r="F19" s="25" t="s">
        <v>58</v>
      </c>
      <c r="G19" s="25" t="s">
        <v>204</v>
      </c>
      <c r="H19" s="25" t="s">
        <v>288</v>
      </c>
      <c r="I19" s="25" t="s">
        <v>288</v>
      </c>
      <c r="J19" s="25">
        <v>1</v>
      </c>
      <c r="R19" s="2" t="s">
        <v>67</v>
      </c>
      <c r="S19" s="8">
        <f t="shared" si="1"/>
        <v>0</v>
      </c>
      <c r="T19" s="9">
        <f t="shared" si="2"/>
        <v>0</v>
      </c>
      <c r="U19" s="9">
        <f t="shared" si="3"/>
        <v>0</v>
      </c>
      <c r="V19" s="9">
        <f t="shared" si="4"/>
        <v>0</v>
      </c>
      <c r="W19" s="26" t="b">
        <v>1</v>
      </c>
      <c r="Y19" s="52" t="str">
        <f t="shared" si="5"/>
        <v>LG/5M</v>
      </c>
      <c r="Z19" s="52" t="str">
        <f t="shared" si="6"/>
        <v/>
      </c>
      <c r="AA19" s="52" t="str">
        <f t="shared" si="7"/>
        <v/>
      </c>
    </row>
    <row r="20" spans="2:33" ht="14.25" customHeight="1" x14ac:dyDescent="0.45">
      <c r="B20" s="25">
        <v>8</v>
      </c>
      <c r="C20" s="25" t="s">
        <v>47</v>
      </c>
      <c r="D20" s="25" t="s">
        <v>26</v>
      </c>
      <c r="E20" s="25" t="s">
        <v>291</v>
      </c>
      <c r="F20" s="25" t="s">
        <v>61</v>
      </c>
      <c r="G20" s="25" t="s">
        <v>99</v>
      </c>
      <c r="H20" s="25">
        <v>4</v>
      </c>
      <c r="I20" s="25">
        <v>4</v>
      </c>
      <c r="J20" s="25">
        <v>1</v>
      </c>
      <c r="Y20" s="52" t="str">
        <f t="shared" si="5"/>
        <v>LG/5M</v>
      </c>
      <c r="Z20" s="52" t="str">
        <f t="shared" si="6"/>
        <v/>
      </c>
      <c r="AA20" s="52" t="str">
        <f t="shared" si="7"/>
        <v/>
      </c>
    </row>
    <row r="21" spans="2:33" ht="14.25" customHeight="1" x14ac:dyDescent="0.45">
      <c r="B21" s="25">
        <v>9</v>
      </c>
      <c r="C21" s="25" t="s">
        <v>47</v>
      </c>
      <c r="D21" s="25" t="s">
        <v>31</v>
      </c>
      <c r="E21" s="25" t="s">
        <v>287</v>
      </c>
      <c r="F21" s="25" t="s">
        <v>28</v>
      </c>
      <c r="G21" s="25" t="s">
        <v>204</v>
      </c>
      <c r="H21" s="25" t="s">
        <v>288</v>
      </c>
      <c r="I21" s="25" t="s">
        <v>288</v>
      </c>
      <c r="J21" s="25">
        <v>1</v>
      </c>
      <c r="Y21" s="52" t="str">
        <f t="shared" si="5"/>
        <v>LG/WW</v>
      </c>
      <c r="Z21" s="52" t="str">
        <f t="shared" si="6"/>
        <v/>
      </c>
      <c r="AA21" s="52" t="str">
        <f t="shared" si="7"/>
        <v/>
      </c>
    </row>
    <row r="22" spans="2:33" ht="14.25" customHeight="1" x14ac:dyDescent="0.45">
      <c r="B22" s="25">
        <v>9</v>
      </c>
      <c r="C22" s="25" t="s">
        <v>47</v>
      </c>
      <c r="D22" s="25" t="s">
        <v>31</v>
      </c>
      <c r="E22" s="25" t="s">
        <v>291</v>
      </c>
      <c r="F22" s="25" t="s">
        <v>28</v>
      </c>
      <c r="G22" s="25" t="s">
        <v>99</v>
      </c>
      <c r="H22" s="25">
        <v>5</v>
      </c>
      <c r="I22" s="25">
        <v>3</v>
      </c>
      <c r="J22" s="25">
        <v>2</v>
      </c>
      <c r="Y22" s="52" t="str">
        <f t="shared" si="5"/>
        <v>LG/WW</v>
      </c>
      <c r="Z22" s="52" t="str">
        <f t="shared" si="6"/>
        <v/>
      </c>
      <c r="AA22" s="52" t="str">
        <f t="shared" si="7"/>
        <v/>
      </c>
      <c r="AC22" s="16" t="s">
        <v>282</v>
      </c>
    </row>
    <row r="23" spans="2:33" ht="14.25" customHeight="1" x14ac:dyDescent="0.45">
      <c r="B23" s="25"/>
      <c r="C23" s="25"/>
      <c r="D23" s="25"/>
      <c r="E23" s="25"/>
      <c r="F23" s="25"/>
      <c r="G23" s="25"/>
      <c r="H23" s="25"/>
      <c r="I23" s="25"/>
      <c r="R23" s="2"/>
      <c r="S23" s="16" t="str">
        <f t="shared" ref="S23:V38" si="8">IF($W3,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V23" s="16" t="str">
        <f t="shared" si="8"/>
        <v>0,</v>
      </c>
      <c r="Y23" s="52" t="str">
        <f t="shared" si="5"/>
        <v/>
      </c>
      <c r="Z23" s="52" t="str">
        <f t="shared" si="6"/>
        <v/>
      </c>
      <c r="AA23" s="52" t="str">
        <f t="shared" si="7"/>
        <v/>
      </c>
      <c r="AC23" s="162" t="s">
        <v>4</v>
      </c>
      <c r="AD23" s="163" t="s">
        <v>0</v>
      </c>
      <c r="AE23" s="164" t="s">
        <v>1</v>
      </c>
      <c r="AF23" s="164" t="s">
        <v>2</v>
      </c>
      <c r="AG23" s="164" t="s">
        <v>3</v>
      </c>
    </row>
    <row r="24" spans="2:33" ht="14.25" customHeight="1" x14ac:dyDescent="0.45">
      <c r="B24" s="25"/>
      <c r="C24" s="25"/>
      <c r="D24" s="25"/>
      <c r="E24" s="25"/>
      <c r="F24" s="25"/>
      <c r="G24" s="25"/>
      <c r="H24" s="25"/>
      <c r="I24" s="25"/>
      <c r="S24" s="16" t="str">
        <f t="shared" si="8"/>
        <v>3,</v>
      </c>
      <c r="T24" s="16" t="str">
        <f t="shared" si="8"/>
        <v>2,</v>
      </c>
      <c r="U24" s="16" t="str">
        <f t="shared" si="8"/>
        <v>1,</v>
      </c>
      <c r="V24" s="16" t="str">
        <f t="shared" si="8"/>
        <v>0,</v>
      </c>
      <c r="Y24" s="52" t="str">
        <f t="shared" si="5"/>
        <v/>
      </c>
      <c r="Z24" s="52" t="str">
        <f t="shared" si="6"/>
        <v/>
      </c>
      <c r="AA24" s="52" t="str">
        <f t="shared" si="7"/>
        <v/>
      </c>
      <c r="AC24" s="158" t="s">
        <v>30</v>
      </c>
      <c r="AD24" s="165">
        <f>Table6313435[[#This Row],[Finishes]]+Table6313435[[#This Row],[Midranges]]+Table6313435[[#This Row],[Threes]]+Table6313435[[#This Row],[Threes]]</f>
        <v>0</v>
      </c>
      <c r="AE24" s="156">
        <f>COUNTIFS(D4:D35, "Loose Gooses", E$4:E$35,AC24,F$4:F$35,"Finish")</f>
        <v>0</v>
      </c>
      <c r="AF24" s="156">
        <f>COUNTIFS(D4:D35, "Loose Gooses", E$4:E$35,AC24,F$4:F$35,"Midrange")</f>
        <v>0</v>
      </c>
      <c r="AG24" s="156">
        <f>COUNTIFS(D4:D35, "Loose Gooses", E$4:E$35,AC24,F$4:F$35,"Three Pointer")</f>
        <v>0</v>
      </c>
    </row>
    <row r="25" spans="2:33" ht="14.25" customHeight="1" x14ac:dyDescent="0.45">
      <c r="B25" s="25"/>
      <c r="C25" s="25"/>
      <c r="D25" s="25"/>
      <c r="E25" s="25"/>
      <c r="F25" s="25"/>
      <c r="G25" s="25"/>
      <c r="H25" s="25"/>
      <c r="I25" s="25"/>
      <c r="R25" s="6"/>
      <c r="S25" s="16" t="str">
        <f t="shared" si="8"/>
        <v>1,</v>
      </c>
      <c r="T25" s="16" t="str">
        <f t="shared" si="8"/>
        <v>1,</v>
      </c>
      <c r="U25" s="16" t="str">
        <f t="shared" si="8"/>
        <v>0,</v>
      </c>
      <c r="V25" s="16" t="str">
        <f t="shared" si="8"/>
        <v>0,</v>
      </c>
      <c r="Y25" s="52" t="str">
        <f t="shared" si="5"/>
        <v/>
      </c>
      <c r="Z25" s="52" t="str">
        <f t="shared" si="6"/>
        <v/>
      </c>
      <c r="AA25" s="52" t="str">
        <f t="shared" si="7"/>
        <v/>
      </c>
      <c r="AC25" s="159" t="s">
        <v>35</v>
      </c>
      <c r="AD25" s="166">
        <f>Table6313435[[#This Row],[Finishes]]+Table6313435[[#This Row],[Midranges]]+Table6313435[[#This Row],[Threes]]+Table6313435[[#This Row],[Threes]]</f>
        <v>0</v>
      </c>
      <c r="AE25" s="157">
        <f>COUNTIFS(D4:D35, "Loose Gooses", E$4:E$35,AC25,F$4:F$35,"Finish")</f>
        <v>0</v>
      </c>
      <c r="AF25" s="157">
        <f>COUNTIFS(D4:D35, "Loose Gooses", E$4:E$35,AC25,F$4:F$35,"Midrange")</f>
        <v>0</v>
      </c>
      <c r="AG25" s="157">
        <f>COUNTIFS(D4:D35, "Loose Gooses", E$4:E$35,AC25,F$4:F$35,"Three Pointer")</f>
        <v>0</v>
      </c>
    </row>
    <row r="26" spans="2:33" ht="14.25" customHeight="1" x14ac:dyDescent="0.45">
      <c r="B26" s="25"/>
      <c r="C26" s="25"/>
      <c r="D26" s="25"/>
      <c r="E26" s="25"/>
      <c r="F26" s="25"/>
      <c r="G26" s="25"/>
      <c r="H26" s="25"/>
      <c r="I26" s="25"/>
      <c r="R26" s="12"/>
      <c r="S26" s="16" t="str">
        <f t="shared" si="8"/>
        <v>1,</v>
      </c>
      <c r="T26" s="16" t="str">
        <f t="shared" si="8"/>
        <v>1,</v>
      </c>
      <c r="U26" s="16" t="str">
        <f t="shared" si="8"/>
        <v>0,</v>
      </c>
      <c r="V26" s="16" t="str">
        <f t="shared" si="8"/>
        <v>0,</v>
      </c>
      <c r="Y26" s="52" t="str">
        <f t="shared" si="5"/>
        <v/>
      </c>
      <c r="Z26" s="52" t="str">
        <f t="shared" si="6"/>
        <v/>
      </c>
      <c r="AA26" s="52" t="str">
        <f t="shared" si="7"/>
        <v/>
      </c>
      <c r="AC26" s="158" t="s">
        <v>37</v>
      </c>
      <c r="AD26" s="165">
        <f>Table6313435[[#This Row],[Finishes]]+Table6313435[[#This Row],[Midranges]]+Table6313435[[#This Row],[Threes]]+Table6313435[[#This Row],[Threes]]</f>
        <v>0</v>
      </c>
      <c r="AE26" s="156">
        <f>COUNTIFS(D4:D35, "Loose Gooses", E$4:E$35,AC26,F$4:F$35,"Finish")</f>
        <v>0</v>
      </c>
      <c r="AF26" s="156">
        <f>COUNTIFS(D4:D35, "Loose Gooses", E$4:E$35,AC26,F$4:F$35,"Midrange")</f>
        <v>0</v>
      </c>
      <c r="AG26" s="156">
        <f>COUNTIFS(D4:D35, "Loose Gooses", E$4:E$35,AC26,F$4:F$35,"Three Pointer")</f>
        <v>0</v>
      </c>
    </row>
    <row r="27" spans="2:33" ht="14.25" customHeight="1" x14ac:dyDescent="0.45">
      <c r="B27" s="25"/>
      <c r="C27" s="25"/>
      <c r="D27" s="25"/>
      <c r="E27" s="25"/>
      <c r="F27" s="25"/>
      <c r="G27" s="25"/>
      <c r="H27" s="25"/>
      <c r="I27" s="25"/>
      <c r="S27" s="16" t="str">
        <f t="shared" si="8"/>
        <v>0,</v>
      </c>
      <c r="T27" s="16" t="str">
        <f t="shared" si="8"/>
        <v>0,</v>
      </c>
      <c r="U27" s="16" t="str">
        <f t="shared" si="8"/>
        <v>0,</v>
      </c>
      <c r="V27" s="16" t="str">
        <f t="shared" si="8"/>
        <v>0,</v>
      </c>
      <c r="Y27" s="52" t="str">
        <f t="shared" si="5"/>
        <v/>
      </c>
      <c r="Z27" s="52" t="str">
        <f t="shared" si="6"/>
        <v/>
      </c>
      <c r="AA27" s="52" t="str">
        <f t="shared" si="7"/>
        <v/>
      </c>
      <c r="AC27" s="159" t="s">
        <v>42</v>
      </c>
      <c r="AD27" s="166">
        <f>Table6313435[[#This Row],[Finishes]]+Table6313435[[#This Row],[Midranges]]+Table6313435[[#This Row],[Threes]]+Table6313435[[#This Row],[Threes]]</f>
        <v>0</v>
      </c>
      <c r="AE27" s="157">
        <f>COUNTIFS(D4:D35, "Loose Gooses", E$4:E$35,AC27,F$4:F$35,"Finish")</f>
        <v>0</v>
      </c>
      <c r="AF27" s="157">
        <f>COUNTIFS(D4:D35, "Loose Gooses", E$4:E$35,AC27,F$4:F$35,"Midrange")</f>
        <v>0</v>
      </c>
      <c r="AG27" s="157">
        <f>COUNTIFS(D4:D35, "Loose Gooses", E$4:E$35,AC27,F$4:F$35,"Three Pointer")</f>
        <v>0</v>
      </c>
    </row>
    <row r="28" spans="2:33" ht="14.25" customHeight="1" x14ac:dyDescent="0.45">
      <c r="B28" s="25"/>
      <c r="C28" s="25"/>
      <c r="D28" s="25"/>
      <c r="E28" s="25"/>
      <c r="F28" s="25"/>
      <c r="G28" s="25"/>
      <c r="H28" s="25"/>
      <c r="I28" s="25"/>
      <c r="S28" s="16" t="str">
        <f t="shared" si="8"/>
        <v>2,</v>
      </c>
      <c r="T28" s="16" t="str">
        <f t="shared" si="8"/>
        <v>2,</v>
      </c>
      <c r="U28" s="16" t="str">
        <f t="shared" si="8"/>
        <v>0,</v>
      </c>
      <c r="V28" s="16" t="str">
        <f t="shared" si="8"/>
        <v>0,</v>
      </c>
      <c r="Y28" s="52" t="str">
        <f t="shared" si="5"/>
        <v/>
      </c>
      <c r="Z28" s="52" t="str">
        <f t="shared" si="6"/>
        <v/>
      </c>
      <c r="AA28" s="52" t="str">
        <f t="shared" si="7"/>
        <v/>
      </c>
      <c r="AC28" s="158" t="s">
        <v>115</v>
      </c>
      <c r="AD28" s="165">
        <f>Table6313435[[#This Row],[Finishes]]+Table6313435[[#This Row],[Midranges]]+Table6313435[[#This Row],[Threes]]+Table6313435[[#This Row],[Threes]]</f>
        <v>0</v>
      </c>
      <c r="AE28" s="156">
        <f>COUNTIFS(D4:D35, "Loose Gooses", E$4:E$35,AC28,F$4:F$35,"Finish")</f>
        <v>0</v>
      </c>
      <c r="AF28" s="156">
        <f>COUNTIFS(D4:D35, "Loose Gooses", E$4:E$35,AC28,F$4:F$35,"Midrange")</f>
        <v>0</v>
      </c>
      <c r="AG28" s="156">
        <f>COUNTIFS(D4:D35, "Loose Gooses", E$4:E$35,AC28,F$4:F$35,"Three Pointer")</f>
        <v>0</v>
      </c>
    </row>
    <row r="29" spans="2:33" ht="14.25" customHeight="1" x14ac:dyDescent="0.45">
      <c r="B29" s="25"/>
      <c r="C29" s="25"/>
      <c r="D29" s="25"/>
      <c r="E29" s="25"/>
      <c r="F29" s="25"/>
      <c r="G29" s="25"/>
      <c r="H29" s="25"/>
      <c r="I29" s="25"/>
      <c r="S29" s="16" t="str">
        <f t="shared" si="8"/>
        <v>0,</v>
      </c>
      <c r="T29" s="16" t="str">
        <f t="shared" si="8"/>
        <v>0,</v>
      </c>
      <c r="U29" s="16" t="str">
        <f t="shared" si="8"/>
        <v>0,</v>
      </c>
      <c r="V29" s="16" t="str">
        <f t="shared" si="8"/>
        <v>0,</v>
      </c>
      <c r="Y29" s="52" t="str">
        <f t="shared" si="5"/>
        <v/>
      </c>
      <c r="Z29" s="52" t="str">
        <f t="shared" si="6"/>
        <v/>
      </c>
      <c r="AA29" s="52" t="str">
        <f t="shared" si="7"/>
        <v/>
      </c>
      <c r="AC29" s="159" t="s">
        <v>44</v>
      </c>
      <c r="AD29" s="166">
        <f>Table6313435[[#This Row],[Finishes]]+Table6313435[[#This Row],[Midranges]]+Table6313435[[#This Row],[Threes]]+Table6313435[[#This Row],[Threes]]</f>
        <v>0</v>
      </c>
      <c r="AE29" s="157">
        <f>COUNTIFS(D4:D35, "Loose Gooses", E$4:E$35,AC29,F$4:F$35,"Finish")</f>
        <v>0</v>
      </c>
      <c r="AF29" s="157">
        <f>COUNTIFS(D4:D35, "Loose Gooses", E$4:E$35,AC29,F$4:F$35,"Midrange")</f>
        <v>0</v>
      </c>
      <c r="AG29" s="157">
        <f>COUNTIFS(D4:D35, "Loose Gooses", E$4:E$35,AC29,F$4:F$35,"Three Pointer")</f>
        <v>0</v>
      </c>
    </row>
    <row r="30" spans="2:33" ht="14.25" customHeight="1" x14ac:dyDescent="0.45">
      <c r="B30" s="25"/>
      <c r="C30" s="25"/>
      <c r="D30" s="25"/>
      <c r="E30" s="25"/>
      <c r="F30" s="25"/>
      <c r="G30" s="25"/>
      <c r="H30" s="25"/>
      <c r="I30" s="25"/>
      <c r="S30" s="16" t="str">
        <f t="shared" si="8"/>
        <v>2,</v>
      </c>
      <c r="T30" s="16" t="str">
        <f t="shared" si="8"/>
        <v>0,</v>
      </c>
      <c r="U30" s="16" t="str">
        <f t="shared" si="8"/>
        <v>0,</v>
      </c>
      <c r="V30" s="16" t="str">
        <f t="shared" si="8"/>
        <v>1,</v>
      </c>
      <c r="Y30" s="52" t="str">
        <f t="shared" si="5"/>
        <v/>
      </c>
      <c r="Z30" s="52" t="str">
        <f t="shared" si="6"/>
        <v/>
      </c>
      <c r="AA30" s="52" t="str">
        <f t="shared" si="7"/>
        <v/>
      </c>
      <c r="AC30" s="158" t="s">
        <v>50</v>
      </c>
      <c r="AD30" s="165">
        <f>Table6313435[[#This Row],[Finishes]]+Table6313435[[#This Row],[Midranges]]+Table6313435[[#This Row],[Threes]]+Table6313435[[#This Row],[Threes]]</f>
        <v>0</v>
      </c>
      <c r="AE30" s="156">
        <f>COUNTIFS(D4:D35, "Loose Gooses", E$4:E$35,AC30,F$4:F$35,"Finish")</f>
        <v>0</v>
      </c>
      <c r="AF30" s="156">
        <f>COUNTIFS(D4:D35, "Loose Gooses", E$4:E$35,AC30,F$4:F$35,"Midrange")</f>
        <v>0</v>
      </c>
      <c r="AG30" s="156">
        <f>COUNTIFS(D4:D35, "Loose Gooses", E$4:E$35,AC30,F$4:F$35,"Three Pointer")</f>
        <v>0</v>
      </c>
    </row>
    <row r="31" spans="2:33" ht="14.25" customHeight="1" x14ac:dyDescent="0.45">
      <c r="B31" s="25"/>
      <c r="C31" s="25"/>
      <c r="D31" s="25"/>
      <c r="E31" s="25"/>
      <c r="F31" s="25"/>
      <c r="G31" s="25"/>
      <c r="H31" s="25"/>
      <c r="I31" s="25"/>
      <c r="S31" s="16" t="str">
        <f t="shared" si="8"/>
        <v>4,</v>
      </c>
      <c r="T31" s="16" t="str">
        <f t="shared" si="8"/>
        <v>2,</v>
      </c>
      <c r="U31" s="16" t="str">
        <f t="shared" si="8"/>
        <v>2,</v>
      </c>
      <c r="V31" s="16" t="str">
        <f t="shared" si="8"/>
        <v>0,</v>
      </c>
      <c r="Y31" s="52" t="str">
        <f t="shared" si="5"/>
        <v/>
      </c>
      <c r="Z31" s="52" t="str">
        <f t="shared" si="6"/>
        <v/>
      </c>
      <c r="AA31" s="52" t="str">
        <f t="shared" si="7"/>
        <v/>
      </c>
      <c r="AC31" s="159" t="s">
        <v>52</v>
      </c>
      <c r="AD31" s="166">
        <f>Table6313435[[#This Row],[Finishes]]+Table6313435[[#This Row],[Midranges]]+Table6313435[[#This Row],[Threes]]+Table6313435[[#This Row],[Threes]]</f>
        <v>0</v>
      </c>
      <c r="AE31" s="157">
        <f>COUNTIFS(D4:D35, "Loose Gooses", E$4:E$35,AC31,F$4:F$35,"Finish")</f>
        <v>0</v>
      </c>
      <c r="AF31" s="157">
        <f>COUNTIFS(D4:D35, "Loose Gooses", E$4:E$35,AC31,F$4:F$35,"Midrange")</f>
        <v>0</v>
      </c>
      <c r="AG31" s="157">
        <f>COUNTIFS(D4:D35, "Loose Gooses", E$4:E$35,AC31,F$4:F$35,"Three Pointer")</f>
        <v>0</v>
      </c>
    </row>
    <row r="32" spans="2:33" ht="14.25" customHeight="1" x14ac:dyDescent="0.45">
      <c r="B32" s="25"/>
      <c r="C32" s="25"/>
      <c r="D32" s="25"/>
      <c r="E32" s="25"/>
      <c r="F32" s="25"/>
      <c r="G32" s="25"/>
      <c r="H32" s="25"/>
      <c r="I32" s="25"/>
      <c r="S32" s="16" t="str">
        <f t="shared" si="8"/>
        <v>1,</v>
      </c>
      <c r="T32" s="16" t="str">
        <f t="shared" si="8"/>
        <v>0,</v>
      </c>
      <c r="U32" s="16" t="str">
        <f t="shared" si="8"/>
        <v>1,</v>
      </c>
      <c r="V32" s="16" t="str">
        <f t="shared" si="8"/>
        <v>0,</v>
      </c>
      <c r="Y32" s="52" t="str">
        <f t="shared" si="5"/>
        <v/>
      </c>
      <c r="Z32" s="52" t="str">
        <f t="shared" si="6"/>
        <v/>
      </c>
      <c r="AA32" s="52" t="str">
        <f t="shared" si="7"/>
        <v/>
      </c>
      <c r="AC32" s="158" t="s">
        <v>200</v>
      </c>
      <c r="AD32" s="165">
        <f>Table6313435[[#This Row],[Finishes]]+Table6313435[[#This Row],[Midranges]]+Table6313435[[#This Row],[Threes]]+Table6313435[[#This Row],[Threes]]</f>
        <v>0</v>
      </c>
      <c r="AE32" s="156">
        <f>COUNTIFS(D4:D35, "Loose Gooses", E$4:E$35,AC32,F$4:F$35,"Finish")</f>
        <v>0</v>
      </c>
      <c r="AF32" s="156">
        <f>COUNTIFS(D4:D35, "Loose Gooses", E$4:E$35,AC32,F$4:F$35,"Midrange")</f>
        <v>0</v>
      </c>
      <c r="AG32" s="156">
        <f>COUNTIFS(D4:D35, "Loose Gooses", E$4:E$35,AC32,F$4:F$35,"Three Pointer")</f>
        <v>0</v>
      </c>
    </row>
    <row r="33" spans="2:33" ht="14.25" customHeight="1" x14ac:dyDescent="0.45">
      <c r="B33" s="25"/>
      <c r="C33" s="25"/>
      <c r="D33" s="25"/>
      <c r="E33" s="25"/>
      <c r="F33" s="25"/>
      <c r="G33" s="25"/>
      <c r="H33" s="25"/>
      <c r="I33" s="25"/>
      <c r="S33" s="16" t="str">
        <f t="shared" si="8"/>
        <v>1,</v>
      </c>
      <c r="T33" s="16" t="str">
        <f t="shared" si="8"/>
        <v>1,</v>
      </c>
      <c r="U33" s="16" t="str">
        <f t="shared" si="8"/>
        <v>0,</v>
      </c>
      <c r="V33" s="16" t="str">
        <f t="shared" si="8"/>
        <v>0,</v>
      </c>
      <c r="Y33" s="52" t="str">
        <f t="shared" si="5"/>
        <v/>
      </c>
      <c r="Z33" s="52" t="str">
        <f t="shared" si="6"/>
        <v/>
      </c>
      <c r="AA33" s="52" t="str">
        <f t="shared" si="7"/>
        <v/>
      </c>
      <c r="AC33" s="159" t="s">
        <v>55</v>
      </c>
      <c r="AD33" s="166">
        <f>Table6313435[[#This Row],[Finishes]]+Table6313435[[#This Row],[Midranges]]+Table6313435[[#This Row],[Threes]]+Table6313435[[#This Row],[Threes]]</f>
        <v>0</v>
      </c>
      <c r="AE33" s="157">
        <f>COUNTIFS(D4:D35, "Loose Gooses", E$4:E$35,AC33,F$4:F$35,"Finish")</f>
        <v>0</v>
      </c>
      <c r="AF33" s="157">
        <f>COUNTIFS(D4:D35, "Loose Gooses", E$4:E$35,AC33,F$4:F$35,"Midrange")</f>
        <v>0</v>
      </c>
      <c r="AG33" s="157">
        <f>COUNTIFS(D4:D35, "Loose Gooses", E$4:E$35,AC33,F$4:F$35,"Three Pointer")</f>
        <v>0</v>
      </c>
    </row>
    <row r="34" spans="2:33" ht="14.25" customHeight="1" x14ac:dyDescent="0.45">
      <c r="B34" s="25"/>
      <c r="C34" s="25"/>
      <c r="D34" s="25"/>
      <c r="E34" s="25"/>
      <c r="F34" s="25"/>
      <c r="G34" s="25"/>
      <c r="H34" s="25"/>
      <c r="I34" s="25"/>
      <c r="S34" s="16" t="str">
        <f t="shared" si="8"/>
        <v>"Did not Play",</v>
      </c>
      <c r="T34" s="16" t="str">
        <f t="shared" si="8"/>
        <v>"Did not Play",</v>
      </c>
      <c r="U34" s="16" t="str">
        <f t="shared" si="8"/>
        <v>"Did not Play",</v>
      </c>
      <c r="V34" s="16" t="str">
        <f t="shared" si="8"/>
        <v>"Did not Play",</v>
      </c>
      <c r="Y34" s="52" t="str">
        <f t="shared" si="5"/>
        <v/>
      </c>
      <c r="Z34" s="52" t="str">
        <f t="shared" si="6"/>
        <v/>
      </c>
      <c r="AA34" s="52" t="str">
        <f t="shared" si="7"/>
        <v/>
      </c>
      <c r="AC34" s="158" t="s">
        <v>64</v>
      </c>
      <c r="AD34" s="165">
        <f>Table6313435[[#This Row],[Finishes]]+Table6313435[[#This Row],[Midranges]]+Table6313435[[#This Row],[Threes]]+Table6313435[[#This Row],[Threes]]</f>
        <v>0</v>
      </c>
      <c r="AE34" s="156">
        <f>COUNTIFS(D4:D35, "Loose Gooses", E$4:E$35,AC34,F$4:F$35,"Finish")</f>
        <v>0</v>
      </c>
      <c r="AF34" s="156">
        <f>COUNTIFS(D4:D35, "Loose Gooses", E$4:E$35,AC34,F$4:F$35,"Midrange")</f>
        <v>0</v>
      </c>
      <c r="AG34" s="156">
        <f>COUNTIFS(D4:D35, "Loose Gooses", E$4:E$35,AC34,F$4:F$35,"Three Pointer")</f>
        <v>0</v>
      </c>
    </row>
    <row r="35" spans="2:33" ht="14.25" customHeight="1" x14ac:dyDescent="0.45">
      <c r="S35" s="16" t="str">
        <f t="shared" si="8"/>
        <v>0,</v>
      </c>
      <c r="T35" s="16" t="str">
        <f t="shared" si="8"/>
        <v>0,</v>
      </c>
      <c r="U35" s="16" t="str">
        <f t="shared" si="8"/>
        <v>0,</v>
      </c>
      <c r="V35" s="16" t="str">
        <f t="shared" si="8"/>
        <v>0,</v>
      </c>
      <c r="Y35" s="52" t="str">
        <f t="shared" si="5"/>
        <v/>
      </c>
      <c r="Z35" s="52" t="str">
        <f t="shared" si="6"/>
        <v/>
      </c>
      <c r="AA35" s="52" t="str">
        <f t="shared" si="7"/>
        <v/>
      </c>
      <c r="AC35" s="160" t="s">
        <v>67</v>
      </c>
      <c r="AD35" s="167">
        <f>Table6313435[[#This Row],[Finishes]]+Table6313435[[#This Row],[Midranges]]+Table6313435[[#This Row],[Threes]]+Table6313435[[#This Row],[Threes]]</f>
        <v>0</v>
      </c>
      <c r="AE35" s="161">
        <f>COUNTIFS(D4:D35, "Loose Gooses", E$4:E$35,AC35,F$4:F$35,"Finish")</f>
        <v>0</v>
      </c>
      <c r="AF35" s="161">
        <f>COUNTIFS(D4:D35, "Loose Gooses", E$4:E$35,AC35,F$4:F$35,"Midrange")</f>
        <v>0</v>
      </c>
      <c r="AG35" s="161">
        <f>COUNTIFS(D4:D35, "Loose Gooses", E$4:E$35,AC35,F$4:F$35,"Three Pointer")</f>
        <v>0</v>
      </c>
    </row>
    <row r="36" spans="2:33" ht="14.25" customHeight="1" x14ac:dyDescent="0.45">
      <c r="S36" s="16" t="str">
        <f t="shared" si="8"/>
        <v>2,</v>
      </c>
      <c r="T36" s="16" t="str">
        <f t="shared" si="8"/>
        <v>2,</v>
      </c>
      <c r="U36" s="16" t="str">
        <f t="shared" si="8"/>
        <v>0,</v>
      </c>
      <c r="V36" s="16" t="str">
        <f t="shared" si="8"/>
        <v>0,</v>
      </c>
      <c r="Y36" s="52" t="str">
        <f t="shared" si="5"/>
        <v/>
      </c>
      <c r="Z36" s="52" t="str">
        <f t="shared" si="6"/>
        <v/>
      </c>
      <c r="AA36" s="52" t="str">
        <f t="shared" si="7"/>
        <v/>
      </c>
    </row>
    <row r="37" spans="2:33" ht="14.25" customHeight="1" x14ac:dyDescent="0.45">
      <c r="S37" s="16" t="str">
        <f t="shared" si="8"/>
        <v>3,</v>
      </c>
      <c r="T37" s="16" t="str">
        <f t="shared" si="8"/>
        <v>2,</v>
      </c>
      <c r="U37" s="16" t="str">
        <f t="shared" si="8"/>
        <v>1,</v>
      </c>
      <c r="V37" s="16" t="str">
        <f t="shared" si="8"/>
        <v>0,</v>
      </c>
      <c r="Y37" s="52" t="str">
        <f t="shared" si="5"/>
        <v/>
      </c>
      <c r="Z37" s="52" t="str">
        <f t="shared" si="6"/>
        <v/>
      </c>
      <c r="AA37" s="52" t="str">
        <f t="shared" si="7"/>
        <v/>
      </c>
    </row>
    <row r="38" spans="2:33" ht="14.25" customHeight="1" x14ac:dyDescent="0.45">
      <c r="S38" s="16" t="str">
        <f t="shared" si="8"/>
        <v>0,</v>
      </c>
      <c r="T38" s="16" t="str">
        <f t="shared" si="8"/>
        <v>0,</v>
      </c>
      <c r="U38" s="16" t="str">
        <f t="shared" si="8"/>
        <v>0,</v>
      </c>
      <c r="V38" s="16" t="str">
        <f t="shared" si="8"/>
        <v>0,</v>
      </c>
      <c r="Y38" s="52" t="str">
        <f t="shared" si="5"/>
        <v/>
      </c>
      <c r="Z38" s="52" t="str">
        <f t="shared" si="6"/>
        <v/>
      </c>
      <c r="AA38" s="52" t="str">
        <f t="shared" si="7"/>
        <v/>
      </c>
    </row>
    <row r="39" spans="2:33" ht="14.25" customHeight="1" x14ac:dyDescent="0.45">
      <c r="S39" s="16" t="str">
        <f>IF($W19, CHAR(34)&amp;"Did not Play"&amp;CHAR(34), S19)</f>
        <v>"Did not Play"</v>
      </c>
      <c r="T39" s="16" t="str">
        <f>IF($W19, CHAR(34)&amp;"Did not Play"&amp;CHAR(34), T19)</f>
        <v>"Did not Play"</v>
      </c>
      <c r="U39" s="16" t="str">
        <f>IF($W19, CHAR(34)&amp;"Did not Play"&amp;CHAR(34), U19)</f>
        <v>"Did not Play"</v>
      </c>
      <c r="V39" s="16" t="str">
        <f>IF($W19, CHAR(34)&amp;"Did not Play"&amp;CHAR(34), V19)</f>
        <v>"Did not Play"</v>
      </c>
      <c r="Y39" s="52" t="str">
        <f t="shared" si="5"/>
        <v/>
      </c>
      <c r="Z39" s="52" t="str">
        <f t="shared" si="6"/>
        <v/>
      </c>
      <c r="AA39" s="52" t="str">
        <f t="shared" si="7"/>
        <v/>
      </c>
    </row>
    <row r="40" spans="2:33" ht="14.25" customHeight="1" x14ac:dyDescent="0.45">
      <c r="B40" s="73"/>
      <c r="T40" s="8"/>
      <c r="U40" s="8"/>
      <c r="V40" s="8"/>
    </row>
    <row r="41" spans="2:33" ht="14.25" customHeight="1" x14ac:dyDescent="0.9">
      <c r="R41" s="94"/>
      <c r="S41" s="94"/>
      <c r="T41" s="190" t="s">
        <v>119</v>
      </c>
      <c r="U41" s="190"/>
      <c r="V41" s="190"/>
    </row>
    <row r="42" spans="2:33" ht="14.25" customHeight="1" x14ac:dyDescent="0.9">
      <c r="R42" s="94"/>
      <c r="S42" s="94"/>
      <c r="T42" s="190"/>
      <c r="U42" s="190"/>
      <c r="V42" s="190"/>
    </row>
    <row r="43" spans="2:33" ht="14.25" customHeight="1" x14ac:dyDescent="0.45">
      <c r="B43" s="16" t="s">
        <v>169</v>
      </c>
      <c r="T43" s="69" t="s">
        <v>167</v>
      </c>
    </row>
    <row r="44" spans="2:33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"Date":["22-August"],</v>
      </c>
    </row>
    <row r="45" spans="2:33" ht="14.25" customHeight="1" x14ac:dyDescent="0.45">
      <c r="B45" s="74" t="str">
        <f>C2</f>
        <v>22-August</v>
      </c>
      <c r="C45" s="16">
        <f>MAX(M3:M5)</f>
        <v>12</v>
      </c>
      <c r="D45" s="16">
        <f>COUNT(B4:B42)-C45-E45</f>
        <v>4</v>
      </c>
      <c r="E45" s="16">
        <f>MIN(M3:M5)</f>
        <v>3</v>
      </c>
      <c r="F45" s="16">
        <f>M3</f>
        <v>12</v>
      </c>
      <c r="G45" s="16">
        <f>COUNTIF(Z4:Z39, "WW/LG")</f>
        <v>1</v>
      </c>
      <c r="H45" s="16">
        <f>COUNTIF(AA4:AA39, "5M/LG")</f>
        <v>1</v>
      </c>
      <c r="I45" s="16">
        <f>M5</f>
        <v>3</v>
      </c>
      <c r="J45" s="16">
        <f>COUNTIF(Y4:Y39, "LG/WW")</f>
        <v>6</v>
      </c>
      <c r="K45" s="16">
        <f>COUNTIF(AA4:AA39, "5M/WW")</f>
        <v>3</v>
      </c>
      <c r="L45" s="16">
        <f>M4</f>
        <v>4</v>
      </c>
      <c r="M45" s="16">
        <f>COUNTIF(Y4:Y39, "LG/5M")</f>
        <v>6</v>
      </c>
      <c r="N45" s="16">
        <f>COUNTIF(Z4:Z39, "WW/5M")</f>
        <v>2</v>
      </c>
      <c r="O45" s="16">
        <f>P3</f>
        <v>6</v>
      </c>
      <c r="P45" s="16">
        <f>P5</f>
        <v>4</v>
      </c>
      <c r="Q45" s="16">
        <f>P4</f>
        <v>2</v>
      </c>
      <c r="T45" s="16" t="str">
        <f>CHAR(34)&amp;"Points"&amp;CHAR(34)&amp;":["&amp;S23&amp;S24&amp;S25&amp;S26&amp;S27&amp;S28&amp;S29&amp;S30&amp;S31&amp;S32&amp;S33&amp;S34&amp;S35&amp;S36&amp;S37&amp;S38&amp;S39&amp;"],"</f>
        <v>"Points":[0,3,1,1,0,2,0,2,4,1,1,"Did not Play",0,2,3,0,"Did not Play"],</v>
      </c>
    </row>
    <row r="46" spans="2:33" ht="14.25" customHeight="1" x14ac:dyDescent="0.45">
      <c r="T46" s="16" t="str">
        <f>CHAR(34)&amp;"Finishes"&amp;CHAR(34)&amp;":["&amp;T23&amp;T24&amp;T25&amp;T26&amp;T27&amp;T28&amp;T29&amp;T30&amp;T31&amp;T32&amp;T33&amp;T34&amp;T35&amp;T36&amp;T37&amp;T38&amp;T39&amp;"],"</f>
        <v>"Finishes":[0,2,1,1,0,2,0,0,2,0,1,"Did not Play",0,2,2,0,"Did not Play"],</v>
      </c>
    </row>
    <row r="47" spans="2:33" ht="14.25" customHeight="1" x14ac:dyDescent="0.45">
      <c r="T47" s="16" t="str">
        <f>CHAR(34)&amp;"Midrange"&amp;CHAR(34)&amp;":["&amp;U23&amp;U24&amp;U25&amp;U26&amp;U27&amp;U28&amp;U29&amp;U30&amp;U31&amp;U32&amp;U33&amp;U34&amp;U35&amp;U36&amp;U37&amp;U38&amp;U39&amp;"],"</f>
        <v>"Midrange":[0,1,0,0,0,0,0,0,2,1,0,"Did not Play",0,0,1,0,"Did not Play"],</v>
      </c>
    </row>
    <row r="48" spans="2:33" ht="14.25" customHeight="1" x14ac:dyDescent="0.45">
      <c r="T48" s="16" t="str">
        <f>CHAR(34)&amp;"ThreePointers"&amp;CHAR(34)&amp;":["&amp;V23&amp;V24&amp;V25&amp;V26&amp;V27&amp;V28&amp;V29&amp;V30&amp;V31&amp;V32&amp;V33&amp;V34&amp;V35&amp;V36&amp;V37&amp;V38&amp;V39&amp;"]"</f>
        <v>"ThreePointers":[0,0,0,0,0,0,0,1,0,0,0,"Did not Play",0,0,0,0,"Did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5FB2-8B2F-4995-81D9-788FC04F683F}">
  <dimension ref="B1:AG1000"/>
  <sheetViews>
    <sheetView zoomScale="61" zoomScaleNormal="70" workbookViewId="0">
      <selection activeCell="M3" sqref="M3:N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2" ht="14.25" customHeight="1" x14ac:dyDescent="0.45"/>
    <row r="2" spans="2:32" ht="14.25" customHeight="1" x14ac:dyDescent="0.45">
      <c r="B2" s="11" t="s">
        <v>97</v>
      </c>
      <c r="C2" s="50" t="s">
        <v>294</v>
      </c>
      <c r="L2" s="3" t="s">
        <v>98</v>
      </c>
      <c r="M2" s="3" t="s">
        <v>88</v>
      </c>
      <c r="N2" s="3" t="s">
        <v>89</v>
      </c>
      <c r="O2" s="3" t="s">
        <v>83</v>
      </c>
      <c r="P2" s="3" t="s">
        <v>0</v>
      </c>
      <c r="R2" s="3" t="s">
        <v>84</v>
      </c>
      <c r="S2" s="11" t="s">
        <v>0</v>
      </c>
      <c r="T2" s="2" t="s">
        <v>1</v>
      </c>
      <c r="U2" s="2" t="s">
        <v>99</v>
      </c>
      <c r="V2" s="2" t="s">
        <v>100</v>
      </c>
      <c r="W2" s="16" t="s">
        <v>121</v>
      </c>
      <c r="AD2" s="2"/>
      <c r="AE2" s="2"/>
      <c r="AF2" s="2"/>
    </row>
    <row r="3" spans="2:32" ht="14.25" customHeight="1" x14ac:dyDescent="0.45">
      <c r="B3" s="14" t="s">
        <v>101</v>
      </c>
      <c r="C3" s="14" t="s">
        <v>102</v>
      </c>
      <c r="D3" s="14" t="s">
        <v>103</v>
      </c>
      <c r="E3" s="14" t="s">
        <v>292</v>
      </c>
      <c r="F3" s="14" t="s">
        <v>104</v>
      </c>
      <c r="G3" s="14" t="s">
        <v>105</v>
      </c>
      <c r="H3" s="14" t="s">
        <v>106</v>
      </c>
      <c r="I3" s="14" t="s">
        <v>107</v>
      </c>
      <c r="J3" s="14" t="s">
        <v>112</v>
      </c>
      <c r="L3" s="11" t="s">
        <v>108</v>
      </c>
      <c r="M3" s="11">
        <f>COUNTIF(C$3:C40, "Loose Gooses")</f>
        <v>6</v>
      </c>
      <c r="N3" s="11">
        <f>COUNTIF(D$3:D40, "Loose Gooses")</f>
        <v>7</v>
      </c>
      <c r="O3" s="10">
        <f>M3/(M3+N3)</f>
        <v>0.46153846153846156</v>
      </c>
      <c r="P3" s="11">
        <v>4</v>
      </c>
      <c r="R3" s="2" t="s">
        <v>25</v>
      </c>
      <c r="S3" s="8">
        <f>COUNTIF($F$3:$F$40, R3)+V3</f>
        <v>0</v>
      </c>
      <c r="T3" s="9">
        <f>COUNTIFS($F$3:$F$40, $R3,$G$3:$G$40,"Finish")</f>
        <v>0</v>
      </c>
      <c r="U3" s="9">
        <f>COUNTIFS($F$3:$F$40, $R3,$G$3:$G$40,"Midrange")</f>
        <v>0</v>
      </c>
      <c r="V3" s="9">
        <f>COUNTIFS($F$3:$F$40, $R3,$G$3:$G$40,"Three Pointer")</f>
        <v>0</v>
      </c>
      <c r="W3" s="26" t="b">
        <v>0</v>
      </c>
      <c r="Y3" s="51" t="s">
        <v>108</v>
      </c>
      <c r="Z3" s="51" t="s">
        <v>109</v>
      </c>
      <c r="AA3" s="51" t="s">
        <v>110</v>
      </c>
      <c r="AC3" s="2"/>
    </row>
    <row r="4" spans="2:32" ht="14.25" customHeight="1" x14ac:dyDescent="0.5">
      <c r="B4" s="187">
        <v>1</v>
      </c>
      <c r="C4" s="187" t="s">
        <v>31</v>
      </c>
      <c r="D4" s="187" t="s">
        <v>47</v>
      </c>
      <c r="E4" s="187" t="s">
        <v>287</v>
      </c>
      <c r="F4" s="187" t="s">
        <v>35</v>
      </c>
      <c r="G4" s="187" t="s">
        <v>204</v>
      </c>
      <c r="H4" s="187" t="s">
        <v>288</v>
      </c>
      <c r="I4" s="187" t="s">
        <v>288</v>
      </c>
      <c r="J4" s="187">
        <v>1</v>
      </c>
      <c r="L4" s="11" t="s">
        <v>110</v>
      </c>
      <c r="M4" s="11">
        <f>COUNTIF(C$3:C41, "5 Musketeers")</f>
        <v>11</v>
      </c>
      <c r="N4" s="11">
        <f>COUNTIF(D$3:D41, "5 Musketeers")</f>
        <v>3</v>
      </c>
      <c r="O4" s="10">
        <f t="shared" ref="O4:O5" si="0">M4/(M4+N4)</f>
        <v>0.7857142857142857</v>
      </c>
      <c r="P4" s="11">
        <v>6</v>
      </c>
      <c r="R4" s="2" t="s">
        <v>28</v>
      </c>
      <c r="S4" s="8">
        <f t="shared" ref="S4:S19" si="1">COUNTIF($F$3:$F$40, R4)+V4</f>
        <v>0</v>
      </c>
      <c r="T4" s="9">
        <f t="shared" ref="T4:T19" si="2">COUNTIFS($F$3:$F$40, $R4,$G$3:$G$40,"Finish")</f>
        <v>0</v>
      </c>
      <c r="U4" s="9">
        <f t="shared" ref="U4:U19" si="3">COUNTIFS($F$3:$F$40, $R4,$G$3:$G$40,"Midrange")</f>
        <v>0</v>
      </c>
      <c r="V4" s="9">
        <f t="shared" ref="V4:V19" si="4">COUNTIFS($F$3:$F$40, $R4,$G$3:$G$40,"Three Pointer")</f>
        <v>0</v>
      </c>
      <c r="W4" s="26" t="b">
        <v>0</v>
      </c>
      <c r="Y4" s="52" t="str">
        <f t="shared" ref="Y4:Y39" si="5">IF(AND(C4="Loose Gooses",D4="Wet Willies"),"LG/WW", IF(AND(C4="Loose Gooses",D4="5 Musketeers"),"LG/5M", ""))</f>
        <v/>
      </c>
      <c r="Z4" s="52" t="str">
        <f t="shared" ref="Z4:Z39" si="6">IF(AND(C4="Wet Willies",D4="Loose Gooses"),"WW/LG", IF(AND(C4="Wet Willies",D4="5 Musketeers"),"WW/5M", ""))</f>
        <v>WW/LG</v>
      </c>
      <c r="AA4" s="52" t="str">
        <f t="shared" ref="AA4:AA39" si="7">IF(AND(C4="5 Musketeers",D4="Loose Gooses"),"5M/LG", IF(AND($C4="5 Musketeers",$D4="Wet Willies"),"5M/WW", ""))</f>
        <v/>
      </c>
      <c r="AC4" s="2"/>
    </row>
    <row r="5" spans="2:32" ht="14.25" customHeight="1" x14ac:dyDescent="0.5">
      <c r="B5" s="187">
        <v>1</v>
      </c>
      <c r="C5" s="187" t="s">
        <v>47</v>
      </c>
      <c r="D5" s="187" t="s">
        <v>31</v>
      </c>
      <c r="E5" s="187" t="s">
        <v>289</v>
      </c>
      <c r="F5" s="187" t="s">
        <v>46</v>
      </c>
      <c r="G5" s="187" t="s">
        <v>204</v>
      </c>
      <c r="H5" s="187" t="s">
        <v>288</v>
      </c>
      <c r="I5" s="187" t="s">
        <v>288</v>
      </c>
      <c r="J5" s="187">
        <v>1</v>
      </c>
      <c r="L5" s="11" t="s">
        <v>109</v>
      </c>
      <c r="M5" s="11">
        <f>COUNTIF(C$3:C42, "Wet Willies")</f>
        <v>2</v>
      </c>
      <c r="N5" s="11">
        <f>COUNTIF(D$3:D42, "Wet Willies")</f>
        <v>9</v>
      </c>
      <c r="O5" s="10">
        <f t="shared" si="0"/>
        <v>0.18181818181818182</v>
      </c>
      <c r="P5" s="11">
        <v>2</v>
      </c>
      <c r="R5" s="2" t="s">
        <v>30</v>
      </c>
      <c r="S5" s="8">
        <f t="shared" si="1"/>
        <v>5</v>
      </c>
      <c r="T5" s="9">
        <f t="shared" si="2"/>
        <v>4</v>
      </c>
      <c r="U5" s="9">
        <f t="shared" si="3"/>
        <v>1</v>
      </c>
      <c r="V5" s="9">
        <f t="shared" si="4"/>
        <v>0</v>
      </c>
      <c r="W5" s="26" t="b">
        <v>0</v>
      </c>
      <c r="Y5" s="52" t="str">
        <f t="shared" si="5"/>
        <v>LG/WW</v>
      </c>
      <c r="Z5" s="52" t="str">
        <f t="shared" si="6"/>
        <v/>
      </c>
      <c r="AA5" s="52" t="str">
        <f t="shared" si="7"/>
        <v/>
      </c>
      <c r="AC5" s="2"/>
    </row>
    <row r="6" spans="2:32" ht="14.25" customHeight="1" x14ac:dyDescent="0.5">
      <c r="B6" s="187">
        <v>1</v>
      </c>
      <c r="C6" s="187" t="s">
        <v>31</v>
      </c>
      <c r="D6" s="187" t="s">
        <v>47</v>
      </c>
      <c r="E6" s="187" t="s">
        <v>290</v>
      </c>
      <c r="F6" s="187" t="s">
        <v>35</v>
      </c>
      <c r="G6" s="187" t="s">
        <v>204</v>
      </c>
      <c r="H6" s="187">
        <v>1</v>
      </c>
      <c r="I6" s="187">
        <v>1</v>
      </c>
      <c r="J6" s="187">
        <v>1</v>
      </c>
      <c r="R6" s="2" t="s">
        <v>35</v>
      </c>
      <c r="S6" s="8">
        <f t="shared" si="1"/>
        <v>2</v>
      </c>
      <c r="T6" s="9">
        <f t="shared" si="2"/>
        <v>2</v>
      </c>
      <c r="U6" s="9">
        <f t="shared" si="3"/>
        <v>0</v>
      </c>
      <c r="V6" s="9">
        <f t="shared" si="4"/>
        <v>0</v>
      </c>
      <c r="W6" s="26" t="b">
        <v>0</v>
      </c>
      <c r="Y6" s="52" t="str">
        <f t="shared" si="5"/>
        <v/>
      </c>
      <c r="Z6" s="52" t="str">
        <f t="shared" si="6"/>
        <v>WW/LG</v>
      </c>
      <c r="AA6" s="52" t="str">
        <f t="shared" si="7"/>
        <v/>
      </c>
      <c r="AC6" s="2"/>
    </row>
    <row r="7" spans="2:32" ht="14.25" customHeight="1" x14ac:dyDescent="0.5">
      <c r="B7" s="187">
        <v>2</v>
      </c>
      <c r="C7" s="187" t="s">
        <v>26</v>
      </c>
      <c r="D7" s="187" t="s">
        <v>31</v>
      </c>
      <c r="E7" s="187" t="s">
        <v>287</v>
      </c>
      <c r="F7" s="187" t="s">
        <v>50</v>
      </c>
      <c r="G7" s="187" t="s">
        <v>99</v>
      </c>
      <c r="H7" s="187" t="s">
        <v>288</v>
      </c>
      <c r="I7" s="187" t="s">
        <v>288</v>
      </c>
      <c r="J7" s="187">
        <v>1</v>
      </c>
      <c r="R7" s="2" t="s">
        <v>37</v>
      </c>
      <c r="S7" s="8">
        <f t="shared" si="1"/>
        <v>0</v>
      </c>
      <c r="T7" s="9">
        <f t="shared" si="2"/>
        <v>0</v>
      </c>
      <c r="U7" s="9">
        <f t="shared" si="3"/>
        <v>0</v>
      </c>
      <c r="V7" s="9">
        <f t="shared" si="4"/>
        <v>0</v>
      </c>
      <c r="W7" s="26" t="b">
        <v>0</v>
      </c>
      <c r="Y7" s="52" t="str">
        <f t="shared" si="5"/>
        <v/>
      </c>
      <c r="Z7" s="52" t="str">
        <f t="shared" si="6"/>
        <v/>
      </c>
      <c r="AA7" s="52" t="str">
        <f t="shared" si="7"/>
        <v>5M/WW</v>
      </c>
      <c r="AC7" s="2"/>
    </row>
    <row r="8" spans="2:32" ht="14.25" customHeight="1" x14ac:dyDescent="0.5">
      <c r="B8" s="187">
        <v>2</v>
      </c>
      <c r="C8" s="187" t="s">
        <v>26</v>
      </c>
      <c r="D8" s="187" t="s">
        <v>31</v>
      </c>
      <c r="E8" s="187" t="s">
        <v>291</v>
      </c>
      <c r="F8" s="187" t="s">
        <v>30</v>
      </c>
      <c r="G8" s="187" t="s">
        <v>204</v>
      </c>
      <c r="H8" s="187">
        <v>1</v>
      </c>
      <c r="I8" s="187">
        <v>1</v>
      </c>
      <c r="J8" s="187">
        <v>1</v>
      </c>
      <c r="R8" s="2" t="s">
        <v>42</v>
      </c>
      <c r="S8" s="8">
        <f t="shared" si="1"/>
        <v>1</v>
      </c>
      <c r="T8" s="9">
        <f t="shared" si="2"/>
        <v>1</v>
      </c>
      <c r="U8" s="9">
        <f t="shared" si="3"/>
        <v>0</v>
      </c>
      <c r="V8" s="9">
        <f t="shared" si="4"/>
        <v>0</v>
      </c>
      <c r="W8" s="26" t="b">
        <v>0</v>
      </c>
      <c r="Y8" s="52" t="str">
        <f t="shared" si="5"/>
        <v/>
      </c>
      <c r="Z8" s="52" t="str">
        <f t="shared" si="6"/>
        <v/>
      </c>
      <c r="AA8" s="52" t="str">
        <f t="shared" si="7"/>
        <v>5M/WW</v>
      </c>
      <c r="AC8" s="2"/>
    </row>
    <row r="9" spans="2:32" ht="14.25" customHeight="1" x14ac:dyDescent="0.5">
      <c r="B9" s="187">
        <v>3</v>
      </c>
      <c r="C9" s="187" t="s">
        <v>47</v>
      </c>
      <c r="D9" s="187" t="s">
        <v>26</v>
      </c>
      <c r="E9" s="187" t="s">
        <v>287</v>
      </c>
      <c r="F9" s="187" t="s">
        <v>61</v>
      </c>
      <c r="G9" s="187" t="s">
        <v>204</v>
      </c>
      <c r="H9" s="187" t="s">
        <v>288</v>
      </c>
      <c r="I9" s="187" t="s">
        <v>288</v>
      </c>
      <c r="J9" s="187">
        <v>1</v>
      </c>
      <c r="R9" s="16" t="s">
        <v>115</v>
      </c>
      <c r="S9" s="8">
        <f t="shared" si="1"/>
        <v>1</v>
      </c>
      <c r="T9" s="9">
        <f t="shared" si="2"/>
        <v>0</v>
      </c>
      <c r="U9" s="9">
        <f t="shared" si="3"/>
        <v>1</v>
      </c>
      <c r="V9" s="9">
        <f t="shared" si="4"/>
        <v>0</v>
      </c>
      <c r="W9" s="26" t="b">
        <v>0</v>
      </c>
      <c r="Y9" s="52" t="str">
        <f t="shared" si="5"/>
        <v>LG/5M</v>
      </c>
      <c r="Z9" s="52" t="str">
        <f t="shared" si="6"/>
        <v/>
      </c>
      <c r="AA9" s="52" t="str">
        <f t="shared" si="7"/>
        <v/>
      </c>
    </row>
    <row r="10" spans="2:32" ht="14.25" customHeight="1" x14ac:dyDescent="0.5">
      <c r="B10" s="187">
        <v>3</v>
      </c>
      <c r="C10" s="187" t="s">
        <v>26</v>
      </c>
      <c r="D10" s="187" t="s">
        <v>47</v>
      </c>
      <c r="E10" s="187" t="s">
        <v>289</v>
      </c>
      <c r="F10" s="187" t="s">
        <v>50</v>
      </c>
      <c r="G10" s="187" t="s">
        <v>99</v>
      </c>
      <c r="H10" s="187" t="s">
        <v>288</v>
      </c>
      <c r="I10" s="187" t="s">
        <v>288</v>
      </c>
      <c r="J10" s="187">
        <v>1</v>
      </c>
      <c r="R10" s="2" t="s">
        <v>44</v>
      </c>
      <c r="S10" s="8">
        <f t="shared" si="1"/>
        <v>0</v>
      </c>
      <c r="T10" s="9">
        <f t="shared" si="2"/>
        <v>0</v>
      </c>
      <c r="U10" s="9">
        <f t="shared" si="3"/>
        <v>0</v>
      </c>
      <c r="V10" s="9">
        <f t="shared" si="4"/>
        <v>0</v>
      </c>
      <c r="W10" s="26" t="b">
        <v>0</v>
      </c>
      <c r="Y10" s="52" t="str">
        <f t="shared" si="5"/>
        <v/>
      </c>
      <c r="Z10" s="52" t="str">
        <f t="shared" si="6"/>
        <v/>
      </c>
      <c r="AA10" s="52" t="str">
        <f t="shared" si="7"/>
        <v>5M/LG</v>
      </c>
      <c r="AC10" s="2"/>
    </row>
    <row r="11" spans="2:32" ht="14.25" customHeight="1" x14ac:dyDescent="0.5">
      <c r="B11" s="187">
        <v>3</v>
      </c>
      <c r="C11" s="187" t="s">
        <v>26</v>
      </c>
      <c r="D11" s="187" t="s">
        <v>47</v>
      </c>
      <c r="E11" s="187" t="s">
        <v>290</v>
      </c>
      <c r="F11" s="187" t="s">
        <v>50</v>
      </c>
      <c r="G11" s="187" t="s">
        <v>99</v>
      </c>
      <c r="H11" s="187">
        <v>2</v>
      </c>
      <c r="I11" s="187">
        <v>2</v>
      </c>
      <c r="J11" s="187">
        <v>2</v>
      </c>
      <c r="R11" s="2" t="s">
        <v>46</v>
      </c>
      <c r="S11" s="8">
        <f t="shared" si="1"/>
        <v>3</v>
      </c>
      <c r="T11" s="9">
        <f t="shared" si="2"/>
        <v>2</v>
      </c>
      <c r="U11" s="9">
        <f t="shared" si="3"/>
        <v>1</v>
      </c>
      <c r="V11" s="9">
        <f t="shared" si="4"/>
        <v>0</v>
      </c>
      <c r="W11" s="26" t="b">
        <v>0</v>
      </c>
      <c r="Y11" s="52" t="str">
        <f t="shared" si="5"/>
        <v/>
      </c>
      <c r="Z11" s="52" t="str">
        <f t="shared" si="6"/>
        <v/>
      </c>
      <c r="AA11" s="52" t="str">
        <f t="shared" si="7"/>
        <v>5M/LG</v>
      </c>
      <c r="AC11" s="2"/>
    </row>
    <row r="12" spans="2:32" ht="14.25" customHeight="1" x14ac:dyDescent="0.5">
      <c r="B12" s="187">
        <v>4</v>
      </c>
      <c r="C12" s="187" t="s">
        <v>26</v>
      </c>
      <c r="D12" s="187" t="s">
        <v>31</v>
      </c>
      <c r="E12" s="187" t="s">
        <v>287</v>
      </c>
      <c r="F12" s="187" t="s">
        <v>30</v>
      </c>
      <c r="G12" s="187" t="s">
        <v>204</v>
      </c>
      <c r="H12" s="187" t="s">
        <v>288</v>
      </c>
      <c r="I12" s="187" t="s">
        <v>288</v>
      </c>
      <c r="J12" s="187">
        <v>1</v>
      </c>
      <c r="R12" s="2" t="s">
        <v>50</v>
      </c>
      <c r="S12" s="8">
        <f t="shared" si="1"/>
        <v>4</v>
      </c>
      <c r="T12" s="9">
        <f t="shared" si="2"/>
        <v>0</v>
      </c>
      <c r="U12" s="9">
        <f t="shared" si="3"/>
        <v>4</v>
      </c>
      <c r="V12" s="9">
        <f t="shared" si="4"/>
        <v>0</v>
      </c>
      <c r="W12" s="26" t="b">
        <v>0</v>
      </c>
      <c r="Y12" s="52" t="str">
        <f t="shared" si="5"/>
        <v/>
      </c>
      <c r="Z12" s="52" t="str">
        <f t="shared" si="6"/>
        <v/>
      </c>
      <c r="AA12" s="52" t="str">
        <f t="shared" si="7"/>
        <v>5M/WW</v>
      </c>
      <c r="AC12" s="2"/>
    </row>
    <row r="13" spans="2:32" ht="14.25" customHeight="1" x14ac:dyDescent="0.5">
      <c r="B13" s="187">
        <v>4</v>
      </c>
      <c r="C13" s="187" t="s">
        <v>26</v>
      </c>
      <c r="D13" s="187" t="s">
        <v>31</v>
      </c>
      <c r="E13" s="187" t="s">
        <v>291</v>
      </c>
      <c r="F13" s="187" t="s">
        <v>30</v>
      </c>
      <c r="G13" s="187" t="s">
        <v>204</v>
      </c>
      <c r="H13" s="187">
        <v>3</v>
      </c>
      <c r="I13" s="187">
        <v>2</v>
      </c>
      <c r="J13" s="187">
        <v>2</v>
      </c>
      <c r="R13" s="2" t="s">
        <v>52</v>
      </c>
      <c r="S13" s="8">
        <f t="shared" si="1"/>
        <v>0</v>
      </c>
      <c r="T13" s="9">
        <f t="shared" si="2"/>
        <v>0</v>
      </c>
      <c r="U13" s="9">
        <f t="shared" si="3"/>
        <v>0</v>
      </c>
      <c r="V13" s="9">
        <f t="shared" si="4"/>
        <v>0</v>
      </c>
      <c r="W13" s="26" t="b">
        <v>0</v>
      </c>
      <c r="Y13" s="52" t="str">
        <f t="shared" si="5"/>
        <v/>
      </c>
      <c r="Z13" s="52" t="str">
        <f t="shared" si="6"/>
        <v/>
      </c>
      <c r="AA13" s="52" t="str">
        <f t="shared" si="7"/>
        <v>5M/WW</v>
      </c>
      <c r="AC13" s="2"/>
    </row>
    <row r="14" spans="2:32" ht="14.25" customHeight="1" x14ac:dyDescent="0.5">
      <c r="B14" s="187">
        <v>5</v>
      </c>
      <c r="C14" s="187" t="s">
        <v>26</v>
      </c>
      <c r="D14" s="187" t="s">
        <v>47</v>
      </c>
      <c r="E14" s="187" t="s">
        <v>287</v>
      </c>
      <c r="F14" s="187" t="s">
        <v>115</v>
      </c>
      <c r="G14" s="187" t="s">
        <v>99</v>
      </c>
      <c r="H14" s="187" t="s">
        <v>288</v>
      </c>
      <c r="I14" s="187" t="s">
        <v>288</v>
      </c>
      <c r="J14" s="187">
        <v>1</v>
      </c>
      <c r="R14" s="2" t="s">
        <v>200</v>
      </c>
      <c r="S14" s="8">
        <f t="shared" si="1"/>
        <v>0</v>
      </c>
      <c r="T14" s="9">
        <f t="shared" si="2"/>
        <v>0</v>
      </c>
      <c r="U14" s="9">
        <f t="shared" si="3"/>
        <v>0</v>
      </c>
      <c r="V14" s="9">
        <f t="shared" si="4"/>
        <v>0</v>
      </c>
      <c r="W14" s="26" t="b">
        <v>1</v>
      </c>
      <c r="Y14" s="52" t="str">
        <f t="shared" si="5"/>
        <v/>
      </c>
      <c r="Z14" s="52" t="str">
        <f t="shared" si="6"/>
        <v/>
      </c>
      <c r="AA14" s="52" t="str">
        <f t="shared" si="7"/>
        <v>5M/LG</v>
      </c>
      <c r="AC14" s="2"/>
    </row>
    <row r="15" spans="2:32" ht="14.25" customHeight="1" x14ac:dyDescent="0.5">
      <c r="B15" s="187">
        <v>5</v>
      </c>
      <c r="C15" s="187" t="s">
        <v>26</v>
      </c>
      <c r="D15" s="187" t="s">
        <v>47</v>
      </c>
      <c r="E15" s="187" t="s">
        <v>291</v>
      </c>
      <c r="F15" s="187" t="s">
        <v>42</v>
      </c>
      <c r="G15" s="187" t="s">
        <v>204</v>
      </c>
      <c r="H15" s="187">
        <v>4</v>
      </c>
      <c r="I15" s="187">
        <v>3</v>
      </c>
      <c r="J15" s="187">
        <v>1</v>
      </c>
      <c r="R15" s="2" t="s">
        <v>55</v>
      </c>
      <c r="S15" s="8">
        <f t="shared" si="1"/>
        <v>0</v>
      </c>
      <c r="T15" s="9">
        <f t="shared" si="2"/>
        <v>0</v>
      </c>
      <c r="U15" s="9">
        <f t="shared" si="3"/>
        <v>0</v>
      </c>
      <c r="V15" s="9">
        <f t="shared" si="4"/>
        <v>0</v>
      </c>
      <c r="W15" s="26" t="b">
        <v>0</v>
      </c>
      <c r="Y15" s="52" t="str">
        <f t="shared" si="5"/>
        <v/>
      </c>
      <c r="Z15" s="52" t="str">
        <f t="shared" si="6"/>
        <v/>
      </c>
      <c r="AA15" s="52" t="str">
        <f t="shared" si="7"/>
        <v>5M/LG</v>
      </c>
      <c r="AC15" s="2"/>
    </row>
    <row r="16" spans="2:32" ht="14.25" customHeight="1" x14ac:dyDescent="0.5">
      <c r="B16" s="187">
        <v>6</v>
      </c>
      <c r="C16" s="187" t="s">
        <v>26</v>
      </c>
      <c r="D16" s="187" t="s">
        <v>31</v>
      </c>
      <c r="E16" s="187" t="s">
        <v>287</v>
      </c>
      <c r="F16" s="187" t="s">
        <v>30</v>
      </c>
      <c r="G16" s="187" t="s">
        <v>204</v>
      </c>
      <c r="H16" s="187" t="s">
        <v>288</v>
      </c>
      <c r="I16" s="187" t="s">
        <v>288</v>
      </c>
      <c r="J16" s="187">
        <v>1</v>
      </c>
      <c r="R16" s="2" t="s">
        <v>58</v>
      </c>
      <c r="S16" s="8">
        <f t="shared" si="1"/>
        <v>0</v>
      </c>
      <c r="T16" s="9">
        <f t="shared" si="2"/>
        <v>0</v>
      </c>
      <c r="U16" s="9">
        <f t="shared" si="3"/>
        <v>0</v>
      </c>
      <c r="V16" s="9">
        <f t="shared" si="4"/>
        <v>0</v>
      </c>
      <c r="W16" s="26" t="b">
        <v>0</v>
      </c>
      <c r="Y16" s="52" t="str">
        <f t="shared" si="5"/>
        <v/>
      </c>
      <c r="Z16" s="52" t="str">
        <f t="shared" si="6"/>
        <v/>
      </c>
      <c r="AA16" s="52" t="str">
        <f t="shared" si="7"/>
        <v>5M/WW</v>
      </c>
      <c r="AC16" s="2"/>
    </row>
    <row r="17" spans="2:33" ht="14.25" customHeight="1" x14ac:dyDescent="0.5">
      <c r="B17" s="187">
        <v>6</v>
      </c>
      <c r="C17" s="187" t="s">
        <v>26</v>
      </c>
      <c r="D17" s="187" t="s">
        <v>31</v>
      </c>
      <c r="E17" s="187" t="s">
        <v>291</v>
      </c>
      <c r="F17" s="187" t="s">
        <v>30</v>
      </c>
      <c r="G17" s="187" t="s">
        <v>99</v>
      </c>
      <c r="H17" s="187">
        <v>5</v>
      </c>
      <c r="I17" s="187">
        <v>3</v>
      </c>
      <c r="J17" s="187">
        <v>2</v>
      </c>
      <c r="R17" s="2" t="s">
        <v>61</v>
      </c>
      <c r="S17" s="8">
        <f t="shared" si="1"/>
        <v>3</v>
      </c>
      <c r="T17" s="9">
        <f t="shared" si="2"/>
        <v>3</v>
      </c>
      <c r="U17" s="9">
        <f t="shared" si="3"/>
        <v>0</v>
      </c>
      <c r="V17" s="9">
        <f t="shared" si="4"/>
        <v>0</v>
      </c>
      <c r="W17" s="26" t="b">
        <v>0</v>
      </c>
      <c r="Y17" s="52" t="str">
        <f t="shared" si="5"/>
        <v/>
      </c>
      <c r="Z17" s="52" t="str">
        <f t="shared" si="6"/>
        <v/>
      </c>
      <c r="AA17" s="52" t="str">
        <f t="shared" si="7"/>
        <v>5M/WW</v>
      </c>
      <c r="AC17" s="2"/>
    </row>
    <row r="18" spans="2:33" ht="14.25" customHeight="1" x14ac:dyDescent="0.5">
      <c r="B18" s="187">
        <v>7</v>
      </c>
      <c r="C18" s="187" t="s">
        <v>26</v>
      </c>
      <c r="D18" s="187" t="s">
        <v>47</v>
      </c>
      <c r="E18" s="187" t="s">
        <v>287</v>
      </c>
      <c r="F18" s="187" t="s">
        <v>50</v>
      </c>
      <c r="G18" s="187" t="s">
        <v>99</v>
      </c>
      <c r="H18" s="187" t="s">
        <v>288</v>
      </c>
      <c r="I18" s="187" t="s">
        <v>288</v>
      </c>
      <c r="J18" s="187">
        <v>1</v>
      </c>
      <c r="R18" s="2" t="s">
        <v>64</v>
      </c>
      <c r="S18" s="8">
        <f t="shared" si="1"/>
        <v>0</v>
      </c>
      <c r="T18" s="9">
        <f t="shared" si="2"/>
        <v>0</v>
      </c>
      <c r="U18" s="9">
        <f t="shared" si="3"/>
        <v>0</v>
      </c>
      <c r="V18" s="9">
        <f t="shared" si="4"/>
        <v>0</v>
      </c>
      <c r="W18" s="26" t="b">
        <v>0</v>
      </c>
      <c r="Y18" s="52" t="str">
        <f t="shared" si="5"/>
        <v/>
      </c>
      <c r="Z18" s="52" t="str">
        <f t="shared" si="6"/>
        <v/>
      </c>
      <c r="AA18" s="52" t="str">
        <f t="shared" si="7"/>
        <v>5M/LG</v>
      </c>
      <c r="AC18" s="2"/>
    </row>
    <row r="19" spans="2:33" ht="14.25" customHeight="1" x14ac:dyDescent="0.5">
      <c r="B19" s="187">
        <v>7</v>
      </c>
      <c r="C19" s="187" t="s">
        <v>47</v>
      </c>
      <c r="D19" s="187" t="s">
        <v>26</v>
      </c>
      <c r="E19" s="187" t="s">
        <v>289</v>
      </c>
      <c r="F19" s="187" t="s">
        <v>46</v>
      </c>
      <c r="G19" s="187" t="s">
        <v>204</v>
      </c>
      <c r="H19" s="187" t="s">
        <v>288</v>
      </c>
      <c r="I19" s="187" t="s">
        <v>288</v>
      </c>
      <c r="J19" s="187">
        <v>1</v>
      </c>
      <c r="R19" s="2" t="s">
        <v>67</v>
      </c>
      <c r="S19" s="8">
        <f t="shared" si="1"/>
        <v>0</v>
      </c>
      <c r="T19" s="9">
        <f t="shared" si="2"/>
        <v>0</v>
      </c>
      <c r="U19" s="9">
        <f t="shared" si="3"/>
        <v>0</v>
      </c>
      <c r="V19" s="9">
        <f t="shared" si="4"/>
        <v>0</v>
      </c>
      <c r="W19" s="26" t="b">
        <v>0</v>
      </c>
      <c r="Y19" s="52" t="str">
        <f t="shared" si="5"/>
        <v>LG/5M</v>
      </c>
      <c r="Z19" s="52" t="str">
        <f t="shared" si="6"/>
        <v/>
      </c>
      <c r="AA19" s="52" t="str">
        <f t="shared" si="7"/>
        <v/>
      </c>
    </row>
    <row r="20" spans="2:33" ht="14.25" customHeight="1" x14ac:dyDescent="0.5">
      <c r="B20" s="187">
        <v>7</v>
      </c>
      <c r="C20" s="187" t="s">
        <v>47</v>
      </c>
      <c r="D20" s="187" t="s">
        <v>26</v>
      </c>
      <c r="E20" s="187" t="s">
        <v>290</v>
      </c>
      <c r="F20" s="187" t="s">
        <v>61</v>
      </c>
      <c r="G20" s="187" t="s">
        <v>204</v>
      </c>
      <c r="H20" s="187">
        <v>1</v>
      </c>
      <c r="I20" s="187">
        <v>1</v>
      </c>
      <c r="J20" s="187">
        <v>1</v>
      </c>
      <c r="Y20" s="52" t="str">
        <f t="shared" si="5"/>
        <v>LG/5M</v>
      </c>
      <c r="Z20" s="52" t="str">
        <f t="shared" si="6"/>
        <v/>
      </c>
      <c r="AA20" s="52" t="str">
        <f t="shared" si="7"/>
        <v/>
      </c>
    </row>
    <row r="21" spans="2:33" ht="14.25" customHeight="1" x14ac:dyDescent="0.5">
      <c r="B21" s="187">
        <v>8</v>
      </c>
      <c r="C21" s="187" t="s">
        <v>47</v>
      </c>
      <c r="D21" s="187" t="s">
        <v>31</v>
      </c>
      <c r="E21" s="187" t="s">
        <v>287</v>
      </c>
      <c r="F21" s="187" t="s">
        <v>61</v>
      </c>
      <c r="G21" s="187" t="s">
        <v>204</v>
      </c>
      <c r="H21" s="187" t="s">
        <v>288</v>
      </c>
      <c r="I21" s="187" t="s">
        <v>288</v>
      </c>
      <c r="J21" s="187">
        <v>2</v>
      </c>
      <c r="Y21" s="52" t="str">
        <f t="shared" si="5"/>
        <v>LG/WW</v>
      </c>
      <c r="Z21" s="52" t="str">
        <f t="shared" si="6"/>
        <v/>
      </c>
      <c r="AA21" s="52" t="str">
        <f t="shared" si="7"/>
        <v/>
      </c>
    </row>
    <row r="22" spans="2:33" ht="14.25" customHeight="1" x14ac:dyDescent="0.5">
      <c r="B22" s="187">
        <v>8</v>
      </c>
      <c r="C22" s="187" t="s">
        <v>47</v>
      </c>
      <c r="D22" s="187" t="s">
        <v>31</v>
      </c>
      <c r="E22" s="187" t="s">
        <v>291</v>
      </c>
      <c r="F22" s="187" t="s">
        <v>46</v>
      </c>
      <c r="G22" s="187" t="s">
        <v>99</v>
      </c>
      <c r="H22" s="187">
        <v>2</v>
      </c>
      <c r="I22" s="187">
        <v>4</v>
      </c>
      <c r="J22" s="187">
        <v>1</v>
      </c>
      <c r="Y22" s="52" t="str">
        <f t="shared" si="5"/>
        <v>LG/WW</v>
      </c>
      <c r="Z22" s="52" t="str">
        <f t="shared" si="6"/>
        <v/>
      </c>
      <c r="AA22" s="52" t="str">
        <f t="shared" si="7"/>
        <v/>
      </c>
      <c r="AC22" s="16" t="s">
        <v>282</v>
      </c>
    </row>
    <row r="23" spans="2:33" ht="14.25" customHeight="1" x14ac:dyDescent="0.45">
      <c r="B23" s="25"/>
      <c r="C23" s="25"/>
      <c r="D23" s="25"/>
      <c r="E23" s="25"/>
      <c r="F23" s="25"/>
      <c r="G23" s="25"/>
      <c r="H23" s="25"/>
      <c r="I23" s="25"/>
      <c r="R23" s="2"/>
      <c r="S23" s="16" t="str">
        <f t="shared" ref="S23:V38" si="8">IF($W3,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V23" s="16" t="str">
        <f t="shared" si="8"/>
        <v>0,</v>
      </c>
      <c r="Y23" s="52" t="str">
        <f t="shared" si="5"/>
        <v/>
      </c>
      <c r="Z23" s="52" t="str">
        <f t="shared" si="6"/>
        <v/>
      </c>
      <c r="AA23" s="52" t="str">
        <f t="shared" si="7"/>
        <v/>
      </c>
      <c r="AC23" s="162" t="s">
        <v>4</v>
      </c>
      <c r="AD23" s="163" t="s">
        <v>0</v>
      </c>
      <c r="AE23" s="164" t="s">
        <v>1</v>
      </c>
      <c r="AF23" s="164" t="s">
        <v>2</v>
      </c>
      <c r="AG23" s="164" t="s">
        <v>3</v>
      </c>
    </row>
    <row r="24" spans="2:33" ht="14.25" customHeight="1" x14ac:dyDescent="0.45">
      <c r="B24" s="25"/>
      <c r="C24" s="25"/>
      <c r="D24" s="25"/>
      <c r="E24" s="25"/>
      <c r="F24" s="25"/>
      <c r="G24" s="25"/>
      <c r="H24" s="25"/>
      <c r="I24" s="25"/>
      <c r="S24" s="16" t="str">
        <f t="shared" si="8"/>
        <v>0,</v>
      </c>
      <c r="T24" s="16" t="str">
        <f t="shared" si="8"/>
        <v>0,</v>
      </c>
      <c r="U24" s="16" t="str">
        <f t="shared" si="8"/>
        <v>0,</v>
      </c>
      <c r="V24" s="16" t="str">
        <f t="shared" si="8"/>
        <v>0,</v>
      </c>
      <c r="Y24" s="52" t="str">
        <f t="shared" si="5"/>
        <v/>
      </c>
      <c r="Z24" s="52" t="str">
        <f t="shared" si="6"/>
        <v/>
      </c>
      <c r="AA24" s="52" t="str">
        <f t="shared" si="7"/>
        <v/>
      </c>
      <c r="AC24" s="158" t="s">
        <v>30</v>
      </c>
      <c r="AD24" s="165">
        <f>Table63134[[#This Row],[Finishes]]+Table63134[[#This Row],[Midranges]]+Table63134[[#This Row],[Threes]]+Table63134[[#This Row],[Threes]]</f>
        <v>0</v>
      </c>
      <c r="AE24" s="156">
        <f>COUNTIFS(D4:D35, "Loose Gooses", E$4:E$35,AC24,F$4:F$35,"Finish")</f>
        <v>0</v>
      </c>
      <c r="AF24" s="156">
        <f>COUNTIFS(D4:D35, "Loose Gooses", E$4:E$35,AC24,F$4:F$35,"Midrange")</f>
        <v>0</v>
      </c>
      <c r="AG24" s="156">
        <f>COUNTIFS(D4:D35, "Loose Gooses", E$4:E$35,AC24,F$4:F$35,"Three Pointer")</f>
        <v>0</v>
      </c>
    </row>
    <row r="25" spans="2:33" ht="14.25" customHeight="1" x14ac:dyDescent="0.45">
      <c r="B25" s="25"/>
      <c r="C25" s="25"/>
      <c r="D25" s="25"/>
      <c r="E25" s="25"/>
      <c r="F25" s="25"/>
      <c r="G25" s="25"/>
      <c r="H25" s="25"/>
      <c r="I25" s="25"/>
      <c r="R25" s="6"/>
      <c r="S25" s="16" t="str">
        <f t="shared" si="8"/>
        <v>5,</v>
      </c>
      <c r="T25" s="16" t="str">
        <f t="shared" si="8"/>
        <v>4,</v>
      </c>
      <c r="U25" s="16" t="str">
        <f t="shared" si="8"/>
        <v>1,</v>
      </c>
      <c r="V25" s="16" t="str">
        <f t="shared" si="8"/>
        <v>0,</v>
      </c>
      <c r="Y25" s="52" t="str">
        <f t="shared" si="5"/>
        <v/>
      </c>
      <c r="Z25" s="52" t="str">
        <f t="shared" si="6"/>
        <v/>
      </c>
      <c r="AA25" s="52" t="str">
        <f t="shared" si="7"/>
        <v/>
      </c>
      <c r="AC25" s="159" t="s">
        <v>35</v>
      </c>
      <c r="AD25" s="166">
        <f>Table63134[[#This Row],[Finishes]]+Table63134[[#This Row],[Midranges]]+Table63134[[#This Row],[Threes]]+Table63134[[#This Row],[Threes]]</f>
        <v>0</v>
      </c>
      <c r="AE25" s="157">
        <f>COUNTIFS(D4:D35, "Loose Gooses", E$4:E$35,AC25,F$4:F$35,"Finish")</f>
        <v>0</v>
      </c>
      <c r="AF25" s="157">
        <f>COUNTIFS(D4:D35, "Loose Gooses", E$4:E$35,AC25,F$4:F$35,"Midrange")</f>
        <v>0</v>
      </c>
      <c r="AG25" s="157">
        <f>COUNTIFS(D4:D35, "Loose Gooses", E$4:E$35,AC25,F$4:F$35,"Three Pointer")</f>
        <v>0</v>
      </c>
    </row>
    <row r="26" spans="2:33" ht="14.25" customHeight="1" x14ac:dyDescent="0.45">
      <c r="B26" s="25"/>
      <c r="C26" s="25"/>
      <c r="D26" s="25"/>
      <c r="E26" s="25"/>
      <c r="F26" s="25"/>
      <c r="G26" s="25"/>
      <c r="H26" s="25"/>
      <c r="I26" s="25"/>
      <c r="R26" s="12"/>
      <c r="S26" s="16" t="str">
        <f t="shared" si="8"/>
        <v>2,</v>
      </c>
      <c r="T26" s="16" t="str">
        <f t="shared" si="8"/>
        <v>2,</v>
      </c>
      <c r="U26" s="16" t="str">
        <f t="shared" si="8"/>
        <v>0,</v>
      </c>
      <c r="V26" s="16" t="str">
        <f t="shared" si="8"/>
        <v>0,</v>
      </c>
      <c r="Y26" s="52" t="str">
        <f t="shared" si="5"/>
        <v/>
      </c>
      <c r="Z26" s="52" t="str">
        <f t="shared" si="6"/>
        <v/>
      </c>
      <c r="AA26" s="52" t="str">
        <f t="shared" si="7"/>
        <v/>
      </c>
      <c r="AC26" s="158" t="s">
        <v>37</v>
      </c>
      <c r="AD26" s="165">
        <f>Table63134[[#This Row],[Finishes]]+Table63134[[#This Row],[Midranges]]+Table63134[[#This Row],[Threes]]+Table63134[[#This Row],[Threes]]</f>
        <v>0</v>
      </c>
      <c r="AE26" s="156">
        <f>COUNTIFS(D4:D35, "Loose Gooses", E$4:E$35,AC26,F$4:F$35,"Finish")</f>
        <v>0</v>
      </c>
      <c r="AF26" s="156">
        <f>COUNTIFS(D4:D35, "Loose Gooses", E$4:E$35,AC26,F$4:F$35,"Midrange")</f>
        <v>0</v>
      </c>
      <c r="AG26" s="156">
        <f>COUNTIFS(D4:D35, "Loose Gooses", E$4:E$35,AC26,F$4:F$35,"Three Pointer")</f>
        <v>0</v>
      </c>
    </row>
    <row r="27" spans="2:33" ht="14.25" customHeight="1" x14ac:dyDescent="0.45">
      <c r="B27" s="25"/>
      <c r="C27" s="25"/>
      <c r="D27" s="25"/>
      <c r="E27" s="25"/>
      <c r="F27" s="25"/>
      <c r="G27" s="25"/>
      <c r="H27" s="25"/>
      <c r="I27" s="25"/>
      <c r="S27" s="16" t="str">
        <f t="shared" si="8"/>
        <v>0,</v>
      </c>
      <c r="T27" s="16" t="str">
        <f t="shared" si="8"/>
        <v>0,</v>
      </c>
      <c r="U27" s="16" t="str">
        <f t="shared" si="8"/>
        <v>0,</v>
      </c>
      <c r="V27" s="16" t="str">
        <f t="shared" si="8"/>
        <v>0,</v>
      </c>
      <c r="Y27" s="52" t="str">
        <f t="shared" si="5"/>
        <v/>
      </c>
      <c r="Z27" s="52" t="str">
        <f t="shared" si="6"/>
        <v/>
      </c>
      <c r="AA27" s="52" t="str">
        <f t="shared" si="7"/>
        <v/>
      </c>
      <c r="AC27" s="159" t="s">
        <v>42</v>
      </c>
      <c r="AD27" s="166">
        <f>Table63134[[#This Row],[Finishes]]+Table63134[[#This Row],[Midranges]]+Table63134[[#This Row],[Threes]]+Table63134[[#This Row],[Threes]]</f>
        <v>0</v>
      </c>
      <c r="AE27" s="157">
        <f>COUNTIFS(D4:D35, "Loose Gooses", E$4:E$35,AC27,F$4:F$35,"Finish")</f>
        <v>0</v>
      </c>
      <c r="AF27" s="157">
        <f>COUNTIFS(D4:D35, "Loose Gooses", E$4:E$35,AC27,F$4:F$35,"Midrange")</f>
        <v>0</v>
      </c>
      <c r="AG27" s="157">
        <f>COUNTIFS(D4:D35, "Loose Gooses", E$4:E$35,AC27,F$4:F$35,"Three Pointer")</f>
        <v>0</v>
      </c>
    </row>
    <row r="28" spans="2:33" ht="14.25" customHeight="1" x14ac:dyDescent="0.45">
      <c r="B28" s="25"/>
      <c r="C28" s="25"/>
      <c r="D28" s="25"/>
      <c r="E28" s="25"/>
      <c r="F28" s="25"/>
      <c r="G28" s="25"/>
      <c r="H28" s="25"/>
      <c r="I28" s="25"/>
      <c r="S28" s="16" t="str">
        <f t="shared" si="8"/>
        <v>1,</v>
      </c>
      <c r="T28" s="16" t="str">
        <f t="shared" si="8"/>
        <v>1,</v>
      </c>
      <c r="U28" s="16" t="str">
        <f t="shared" si="8"/>
        <v>0,</v>
      </c>
      <c r="V28" s="16" t="str">
        <f t="shared" si="8"/>
        <v>0,</v>
      </c>
      <c r="Y28" s="52" t="str">
        <f t="shared" si="5"/>
        <v/>
      </c>
      <c r="Z28" s="52" t="str">
        <f t="shared" si="6"/>
        <v/>
      </c>
      <c r="AA28" s="52" t="str">
        <f t="shared" si="7"/>
        <v/>
      </c>
      <c r="AC28" s="158" t="s">
        <v>115</v>
      </c>
      <c r="AD28" s="165">
        <f>Table63134[[#This Row],[Finishes]]+Table63134[[#This Row],[Midranges]]+Table63134[[#This Row],[Threes]]+Table63134[[#This Row],[Threes]]</f>
        <v>0</v>
      </c>
      <c r="AE28" s="156">
        <f>COUNTIFS(D4:D35, "Loose Gooses", E$4:E$35,AC28,F$4:F$35,"Finish")</f>
        <v>0</v>
      </c>
      <c r="AF28" s="156">
        <f>COUNTIFS(D4:D35, "Loose Gooses", E$4:E$35,AC28,F$4:F$35,"Midrange")</f>
        <v>0</v>
      </c>
      <c r="AG28" s="156">
        <f>COUNTIFS(D4:D35, "Loose Gooses", E$4:E$35,AC28,F$4:F$35,"Three Pointer")</f>
        <v>0</v>
      </c>
    </row>
    <row r="29" spans="2:33" ht="14.25" customHeight="1" x14ac:dyDescent="0.45">
      <c r="B29" s="25"/>
      <c r="C29" s="25"/>
      <c r="D29" s="25"/>
      <c r="E29" s="25"/>
      <c r="F29" s="25"/>
      <c r="G29" s="25"/>
      <c r="H29" s="25"/>
      <c r="I29" s="25"/>
      <c r="S29" s="16" t="str">
        <f t="shared" si="8"/>
        <v>1,</v>
      </c>
      <c r="T29" s="16" t="str">
        <f t="shared" si="8"/>
        <v>0,</v>
      </c>
      <c r="U29" s="16" t="str">
        <f t="shared" si="8"/>
        <v>1,</v>
      </c>
      <c r="V29" s="16" t="str">
        <f t="shared" si="8"/>
        <v>0,</v>
      </c>
      <c r="Y29" s="52" t="str">
        <f t="shared" si="5"/>
        <v/>
      </c>
      <c r="Z29" s="52" t="str">
        <f t="shared" si="6"/>
        <v/>
      </c>
      <c r="AA29" s="52" t="str">
        <f t="shared" si="7"/>
        <v/>
      </c>
      <c r="AC29" s="159" t="s">
        <v>44</v>
      </c>
      <c r="AD29" s="166">
        <f>Table63134[[#This Row],[Finishes]]+Table63134[[#This Row],[Midranges]]+Table63134[[#This Row],[Threes]]+Table63134[[#This Row],[Threes]]</f>
        <v>0</v>
      </c>
      <c r="AE29" s="157">
        <f>COUNTIFS(D4:D35, "Loose Gooses", E$4:E$35,AC29,F$4:F$35,"Finish")</f>
        <v>0</v>
      </c>
      <c r="AF29" s="157">
        <f>COUNTIFS(D4:D35, "Loose Gooses", E$4:E$35,AC29,F$4:F$35,"Midrange")</f>
        <v>0</v>
      </c>
      <c r="AG29" s="157">
        <f>COUNTIFS(D4:D35, "Loose Gooses", E$4:E$35,AC29,F$4:F$35,"Three Pointer")</f>
        <v>0</v>
      </c>
    </row>
    <row r="30" spans="2:33" ht="14.25" customHeight="1" x14ac:dyDescent="0.45">
      <c r="B30" s="25"/>
      <c r="C30" s="25"/>
      <c r="D30" s="25"/>
      <c r="E30" s="25"/>
      <c r="F30" s="25"/>
      <c r="G30" s="25"/>
      <c r="H30" s="25"/>
      <c r="I30" s="25"/>
      <c r="S30" s="16" t="str">
        <f t="shared" si="8"/>
        <v>0,</v>
      </c>
      <c r="T30" s="16" t="str">
        <f t="shared" si="8"/>
        <v>0,</v>
      </c>
      <c r="U30" s="16" t="str">
        <f t="shared" si="8"/>
        <v>0,</v>
      </c>
      <c r="V30" s="16" t="str">
        <f t="shared" si="8"/>
        <v>0,</v>
      </c>
      <c r="Y30" s="52" t="str">
        <f t="shared" si="5"/>
        <v/>
      </c>
      <c r="Z30" s="52" t="str">
        <f t="shared" si="6"/>
        <v/>
      </c>
      <c r="AA30" s="52" t="str">
        <f t="shared" si="7"/>
        <v/>
      </c>
      <c r="AC30" s="158" t="s">
        <v>50</v>
      </c>
      <c r="AD30" s="165">
        <f>Table63134[[#This Row],[Finishes]]+Table63134[[#This Row],[Midranges]]+Table63134[[#This Row],[Threes]]+Table63134[[#This Row],[Threes]]</f>
        <v>0</v>
      </c>
      <c r="AE30" s="156">
        <f>COUNTIFS(D4:D35, "Loose Gooses", E$4:E$35,AC30,F$4:F$35,"Finish")</f>
        <v>0</v>
      </c>
      <c r="AF30" s="156">
        <f>COUNTIFS(D4:D35, "Loose Gooses", E$4:E$35,AC30,F$4:F$35,"Midrange")</f>
        <v>0</v>
      </c>
      <c r="AG30" s="156">
        <f>COUNTIFS(D4:D35, "Loose Gooses", E$4:E$35,AC30,F$4:F$35,"Three Pointer")</f>
        <v>0</v>
      </c>
    </row>
    <row r="31" spans="2:33" ht="14.25" customHeight="1" x14ac:dyDescent="0.45">
      <c r="B31" s="25"/>
      <c r="C31" s="25"/>
      <c r="D31" s="25"/>
      <c r="E31" s="25"/>
      <c r="F31" s="25"/>
      <c r="G31" s="25"/>
      <c r="H31" s="25"/>
      <c r="I31" s="25"/>
      <c r="S31" s="16" t="str">
        <f t="shared" si="8"/>
        <v>3,</v>
      </c>
      <c r="T31" s="16" t="str">
        <f t="shared" si="8"/>
        <v>2,</v>
      </c>
      <c r="U31" s="16" t="str">
        <f t="shared" si="8"/>
        <v>1,</v>
      </c>
      <c r="V31" s="16" t="str">
        <f t="shared" si="8"/>
        <v>0,</v>
      </c>
      <c r="Y31" s="52" t="str">
        <f t="shared" si="5"/>
        <v/>
      </c>
      <c r="Z31" s="52" t="str">
        <f t="shared" si="6"/>
        <v/>
      </c>
      <c r="AA31" s="52" t="str">
        <f t="shared" si="7"/>
        <v/>
      </c>
      <c r="AC31" s="159" t="s">
        <v>52</v>
      </c>
      <c r="AD31" s="166">
        <f>Table63134[[#This Row],[Finishes]]+Table63134[[#This Row],[Midranges]]+Table63134[[#This Row],[Threes]]+Table63134[[#This Row],[Threes]]</f>
        <v>0</v>
      </c>
      <c r="AE31" s="157">
        <f>COUNTIFS(D4:D35, "Loose Gooses", E$4:E$35,AC31,F$4:F$35,"Finish")</f>
        <v>0</v>
      </c>
      <c r="AF31" s="157">
        <f>COUNTIFS(D4:D35, "Loose Gooses", E$4:E$35,AC31,F$4:F$35,"Midrange")</f>
        <v>0</v>
      </c>
      <c r="AG31" s="157">
        <f>COUNTIFS(D4:D35, "Loose Gooses", E$4:E$35,AC31,F$4:F$35,"Three Pointer")</f>
        <v>0</v>
      </c>
    </row>
    <row r="32" spans="2:33" ht="14.25" customHeight="1" x14ac:dyDescent="0.45">
      <c r="B32" s="25"/>
      <c r="C32" s="25"/>
      <c r="D32" s="25"/>
      <c r="E32" s="25"/>
      <c r="F32" s="25"/>
      <c r="G32" s="25"/>
      <c r="H32" s="25"/>
      <c r="I32" s="25"/>
      <c r="S32" s="16" t="str">
        <f t="shared" si="8"/>
        <v>4,</v>
      </c>
      <c r="T32" s="16" t="str">
        <f t="shared" si="8"/>
        <v>0,</v>
      </c>
      <c r="U32" s="16" t="str">
        <f t="shared" si="8"/>
        <v>4,</v>
      </c>
      <c r="V32" s="16" t="str">
        <f t="shared" si="8"/>
        <v>0,</v>
      </c>
      <c r="Y32" s="52" t="str">
        <f t="shared" si="5"/>
        <v/>
      </c>
      <c r="Z32" s="52" t="str">
        <f t="shared" si="6"/>
        <v/>
      </c>
      <c r="AA32" s="52" t="str">
        <f t="shared" si="7"/>
        <v/>
      </c>
      <c r="AC32" s="158" t="s">
        <v>200</v>
      </c>
      <c r="AD32" s="165">
        <f>Table63134[[#This Row],[Finishes]]+Table63134[[#This Row],[Midranges]]+Table63134[[#This Row],[Threes]]+Table63134[[#This Row],[Threes]]</f>
        <v>0</v>
      </c>
      <c r="AE32" s="156">
        <f>COUNTIFS(D4:D35, "Loose Gooses", E$4:E$35,AC32,F$4:F$35,"Finish")</f>
        <v>0</v>
      </c>
      <c r="AF32" s="156">
        <f>COUNTIFS(D4:D35, "Loose Gooses", E$4:E$35,AC32,F$4:F$35,"Midrange")</f>
        <v>0</v>
      </c>
      <c r="AG32" s="156">
        <f>COUNTIFS(D4:D35, "Loose Gooses", E$4:E$35,AC32,F$4:F$35,"Three Pointer")</f>
        <v>0</v>
      </c>
    </row>
    <row r="33" spans="2:33" ht="14.25" customHeight="1" x14ac:dyDescent="0.45">
      <c r="B33" s="25"/>
      <c r="C33" s="25"/>
      <c r="D33" s="25"/>
      <c r="E33" s="25"/>
      <c r="F33" s="25"/>
      <c r="G33" s="25"/>
      <c r="H33" s="25"/>
      <c r="I33" s="25"/>
      <c r="S33" s="16" t="str">
        <f t="shared" si="8"/>
        <v>0,</v>
      </c>
      <c r="T33" s="16" t="str">
        <f t="shared" si="8"/>
        <v>0,</v>
      </c>
      <c r="U33" s="16" t="str">
        <f t="shared" si="8"/>
        <v>0,</v>
      </c>
      <c r="V33" s="16" t="str">
        <f t="shared" si="8"/>
        <v>0,</v>
      </c>
      <c r="Y33" s="52" t="str">
        <f t="shared" si="5"/>
        <v/>
      </c>
      <c r="Z33" s="52" t="str">
        <f t="shared" si="6"/>
        <v/>
      </c>
      <c r="AA33" s="52" t="str">
        <f t="shared" si="7"/>
        <v/>
      </c>
      <c r="AC33" s="159" t="s">
        <v>55</v>
      </c>
      <c r="AD33" s="166">
        <f>Table63134[[#This Row],[Finishes]]+Table63134[[#This Row],[Midranges]]+Table63134[[#This Row],[Threes]]+Table63134[[#This Row],[Threes]]</f>
        <v>0</v>
      </c>
      <c r="AE33" s="157">
        <f>COUNTIFS(D4:D35, "Loose Gooses", E$4:E$35,AC33,F$4:F$35,"Finish")</f>
        <v>0</v>
      </c>
      <c r="AF33" s="157">
        <f>COUNTIFS(D4:D35, "Loose Gooses", E$4:E$35,AC33,F$4:F$35,"Midrange")</f>
        <v>0</v>
      </c>
      <c r="AG33" s="157">
        <f>COUNTIFS(D4:D35, "Loose Gooses", E$4:E$35,AC33,F$4:F$35,"Three Pointer")</f>
        <v>0</v>
      </c>
    </row>
    <row r="34" spans="2:33" ht="14.25" customHeight="1" x14ac:dyDescent="0.45">
      <c r="B34" s="25"/>
      <c r="C34" s="25"/>
      <c r="D34" s="25"/>
      <c r="E34" s="25"/>
      <c r="F34" s="25"/>
      <c r="G34" s="25"/>
      <c r="H34" s="25"/>
      <c r="I34" s="25"/>
      <c r="S34" s="16" t="str">
        <f t="shared" si="8"/>
        <v>"Did not Play",</v>
      </c>
      <c r="T34" s="16" t="str">
        <f t="shared" si="8"/>
        <v>"Did not Play",</v>
      </c>
      <c r="U34" s="16" t="str">
        <f t="shared" si="8"/>
        <v>"Did not Play",</v>
      </c>
      <c r="V34" s="16" t="str">
        <f t="shared" si="8"/>
        <v>"Did not Play",</v>
      </c>
      <c r="Y34" s="52" t="str">
        <f t="shared" si="5"/>
        <v/>
      </c>
      <c r="Z34" s="52" t="str">
        <f t="shared" si="6"/>
        <v/>
      </c>
      <c r="AA34" s="52" t="str">
        <f t="shared" si="7"/>
        <v/>
      </c>
      <c r="AC34" s="158" t="s">
        <v>64</v>
      </c>
      <c r="AD34" s="165">
        <f>Table63134[[#This Row],[Finishes]]+Table63134[[#This Row],[Midranges]]+Table63134[[#This Row],[Threes]]+Table63134[[#This Row],[Threes]]</f>
        <v>0</v>
      </c>
      <c r="AE34" s="156">
        <f>COUNTIFS(D4:D35, "Loose Gooses", E$4:E$35,AC34,F$4:F$35,"Finish")</f>
        <v>0</v>
      </c>
      <c r="AF34" s="156">
        <f>COUNTIFS(D4:D35, "Loose Gooses", E$4:E$35,AC34,F$4:F$35,"Midrange")</f>
        <v>0</v>
      </c>
      <c r="AG34" s="156">
        <f>COUNTIFS(D4:D35, "Loose Gooses", E$4:E$35,AC34,F$4:F$35,"Three Pointer")</f>
        <v>0</v>
      </c>
    </row>
    <row r="35" spans="2:33" ht="14.25" customHeight="1" x14ac:dyDescent="0.45">
      <c r="S35" s="16" t="str">
        <f t="shared" si="8"/>
        <v>0,</v>
      </c>
      <c r="T35" s="16" t="str">
        <f t="shared" si="8"/>
        <v>0,</v>
      </c>
      <c r="U35" s="16" t="str">
        <f t="shared" si="8"/>
        <v>0,</v>
      </c>
      <c r="V35" s="16" t="str">
        <f t="shared" si="8"/>
        <v>0,</v>
      </c>
      <c r="Y35" s="52" t="str">
        <f t="shared" si="5"/>
        <v/>
      </c>
      <c r="Z35" s="52" t="str">
        <f t="shared" si="6"/>
        <v/>
      </c>
      <c r="AA35" s="52" t="str">
        <f t="shared" si="7"/>
        <v/>
      </c>
      <c r="AC35" s="160" t="s">
        <v>67</v>
      </c>
      <c r="AD35" s="167">
        <f>Table63134[[#This Row],[Finishes]]+Table63134[[#This Row],[Midranges]]+Table63134[[#This Row],[Threes]]+Table63134[[#This Row],[Threes]]</f>
        <v>0</v>
      </c>
      <c r="AE35" s="161">
        <f>COUNTIFS(D4:D35, "Loose Gooses", E$4:E$35,AC35,F$4:F$35,"Finish")</f>
        <v>0</v>
      </c>
      <c r="AF35" s="161">
        <f>COUNTIFS(D4:D35, "Loose Gooses", E$4:E$35,AC35,F$4:F$35,"Midrange")</f>
        <v>0</v>
      </c>
      <c r="AG35" s="161">
        <f>COUNTIFS(D4:D35, "Loose Gooses", E$4:E$35,AC35,F$4:F$35,"Three Pointer")</f>
        <v>0</v>
      </c>
    </row>
    <row r="36" spans="2:33" ht="14.25" customHeight="1" x14ac:dyDescent="0.45">
      <c r="S36" s="16" t="str">
        <f t="shared" si="8"/>
        <v>0,</v>
      </c>
      <c r="T36" s="16" t="str">
        <f t="shared" si="8"/>
        <v>0,</v>
      </c>
      <c r="U36" s="16" t="str">
        <f t="shared" si="8"/>
        <v>0,</v>
      </c>
      <c r="V36" s="16" t="str">
        <f t="shared" si="8"/>
        <v>0,</v>
      </c>
      <c r="Y36" s="52" t="str">
        <f t="shared" si="5"/>
        <v/>
      </c>
      <c r="Z36" s="52" t="str">
        <f t="shared" si="6"/>
        <v/>
      </c>
      <c r="AA36" s="52" t="str">
        <f t="shared" si="7"/>
        <v/>
      </c>
    </row>
    <row r="37" spans="2:33" ht="14.25" customHeight="1" x14ac:dyDescent="0.45">
      <c r="S37" s="16" t="str">
        <f t="shared" si="8"/>
        <v>3,</v>
      </c>
      <c r="T37" s="16" t="str">
        <f t="shared" si="8"/>
        <v>3,</v>
      </c>
      <c r="U37" s="16" t="str">
        <f t="shared" si="8"/>
        <v>0,</v>
      </c>
      <c r="V37" s="16" t="str">
        <f t="shared" si="8"/>
        <v>0,</v>
      </c>
      <c r="Y37" s="52" t="str">
        <f t="shared" si="5"/>
        <v/>
      </c>
      <c r="Z37" s="52" t="str">
        <f t="shared" si="6"/>
        <v/>
      </c>
      <c r="AA37" s="52" t="str">
        <f t="shared" si="7"/>
        <v/>
      </c>
    </row>
    <row r="38" spans="2:33" ht="14.25" customHeight="1" x14ac:dyDescent="0.45">
      <c r="S38" s="16" t="str">
        <f t="shared" si="8"/>
        <v>0,</v>
      </c>
      <c r="T38" s="16" t="str">
        <f t="shared" si="8"/>
        <v>0,</v>
      </c>
      <c r="U38" s="16" t="str">
        <f t="shared" si="8"/>
        <v>0,</v>
      </c>
      <c r="V38" s="16" t="str">
        <f t="shared" si="8"/>
        <v>0,</v>
      </c>
      <c r="Y38" s="52" t="str">
        <f t="shared" si="5"/>
        <v/>
      </c>
      <c r="Z38" s="52" t="str">
        <f t="shared" si="6"/>
        <v/>
      </c>
      <c r="AA38" s="52" t="str">
        <f t="shared" si="7"/>
        <v/>
      </c>
    </row>
    <row r="39" spans="2:33" ht="14.25" customHeight="1" x14ac:dyDescent="0.45">
      <c r="S39" s="16">
        <f>IF($W19, CHAR(34)&amp;"Did not Play"&amp;CHAR(34), S19)</f>
        <v>0</v>
      </c>
      <c r="T39" s="16">
        <f>IF($W19, CHAR(34)&amp;"Did not Play"&amp;CHAR(34), T19)</f>
        <v>0</v>
      </c>
      <c r="U39" s="16">
        <f>IF($W19, CHAR(34)&amp;"Did not Play"&amp;CHAR(34), U19)</f>
        <v>0</v>
      </c>
      <c r="V39" s="16">
        <f>IF($W19, CHAR(34)&amp;"Did not Play"&amp;CHAR(34), V19)</f>
        <v>0</v>
      </c>
      <c r="Y39" s="52" t="str">
        <f t="shared" si="5"/>
        <v/>
      </c>
      <c r="Z39" s="52" t="str">
        <f t="shared" si="6"/>
        <v/>
      </c>
      <c r="AA39" s="52" t="str">
        <f t="shared" si="7"/>
        <v/>
      </c>
    </row>
    <row r="40" spans="2:33" ht="14.25" customHeight="1" x14ac:dyDescent="0.45">
      <c r="B40" s="73"/>
      <c r="T40" s="8"/>
      <c r="U40" s="8"/>
      <c r="V40" s="8"/>
    </row>
    <row r="41" spans="2:33" ht="14.25" customHeight="1" x14ac:dyDescent="0.9">
      <c r="R41" s="94"/>
      <c r="S41" s="94"/>
      <c r="T41" s="190" t="s">
        <v>119</v>
      </c>
      <c r="U41" s="190"/>
      <c r="V41" s="190"/>
    </row>
    <row r="42" spans="2:33" ht="14.25" customHeight="1" x14ac:dyDescent="0.9">
      <c r="R42" s="94"/>
      <c r="S42" s="94"/>
      <c r="T42" s="190"/>
      <c r="U42" s="190"/>
      <c r="V42" s="190"/>
    </row>
    <row r="43" spans="2:33" ht="14.25" customHeight="1" x14ac:dyDescent="0.45">
      <c r="B43" s="16" t="s">
        <v>169</v>
      </c>
      <c r="T43" s="69" t="s">
        <v>167</v>
      </c>
    </row>
    <row r="44" spans="2:33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"Date":["21-August"],</v>
      </c>
    </row>
    <row r="45" spans="2:33" ht="14.25" customHeight="1" x14ac:dyDescent="0.45">
      <c r="B45" s="74" t="str">
        <f>C2</f>
        <v>21-August</v>
      </c>
      <c r="C45" s="16">
        <f>MAX(M3:M5)</f>
        <v>11</v>
      </c>
      <c r="D45" s="16">
        <f>COUNT(B4:B42)-C45-E45</f>
        <v>6</v>
      </c>
      <c r="E45" s="16">
        <f>MIN(M3:M5)</f>
        <v>2</v>
      </c>
      <c r="F45" s="16">
        <f>M3</f>
        <v>6</v>
      </c>
      <c r="G45" s="16">
        <f>COUNTIF(Z4:Z39, "WW/LG")</f>
        <v>2</v>
      </c>
      <c r="H45" s="16">
        <f>COUNTIF(AA4:AA39, "5M/LG")</f>
        <v>5</v>
      </c>
      <c r="I45" s="16">
        <f>M5</f>
        <v>2</v>
      </c>
      <c r="J45" s="16">
        <f>COUNTIF(Y4:Y39, "LG/WW")</f>
        <v>3</v>
      </c>
      <c r="K45" s="16">
        <f>COUNTIF(AA4:AA39, "5M/WW")</f>
        <v>6</v>
      </c>
      <c r="L45" s="16">
        <f>M4</f>
        <v>11</v>
      </c>
      <c r="M45" s="16">
        <f>COUNTIF(Y4:Y39, "LG/5M")</f>
        <v>3</v>
      </c>
      <c r="N45" s="16">
        <f>COUNTIF(Z4:Z39, "WW/5M")</f>
        <v>0</v>
      </c>
      <c r="O45" s="16">
        <f>P3</f>
        <v>4</v>
      </c>
      <c r="P45" s="16">
        <f>P5</f>
        <v>2</v>
      </c>
      <c r="Q45" s="16">
        <f>P4</f>
        <v>6</v>
      </c>
      <c r="T45" s="16" t="str">
        <f>CHAR(34)&amp;"Points"&amp;CHAR(34)&amp;":["&amp;S23&amp;S24&amp;S25&amp;S26&amp;S27&amp;S28&amp;S29&amp;S30&amp;S31&amp;S32&amp;S33&amp;S34&amp;S35&amp;S36&amp;S37&amp;S38&amp;S39&amp;"],"</f>
        <v>"Points":[0,0,5,2,0,1,1,0,3,4,0,"Did not Play",0,0,3,0,0],</v>
      </c>
    </row>
    <row r="46" spans="2:33" ht="14.25" customHeight="1" x14ac:dyDescent="0.45">
      <c r="T46" s="16" t="str">
        <f>CHAR(34)&amp;"Finishes"&amp;CHAR(34)&amp;":["&amp;T23&amp;T24&amp;T25&amp;T26&amp;T27&amp;T28&amp;T29&amp;T30&amp;T31&amp;T32&amp;T33&amp;T34&amp;T35&amp;T36&amp;T37&amp;T38&amp;T39&amp;"],"</f>
        <v>"Finishes":[0,0,4,2,0,1,0,0,2,0,0,"Did not Play",0,0,3,0,0],</v>
      </c>
    </row>
    <row r="47" spans="2:33" ht="14.25" customHeight="1" x14ac:dyDescent="0.45">
      <c r="T47" s="16" t="str">
        <f>CHAR(34)&amp;"Midrange"&amp;CHAR(34)&amp;":["&amp;U23&amp;U24&amp;U25&amp;U26&amp;U27&amp;U28&amp;U29&amp;U30&amp;U31&amp;U32&amp;U33&amp;U34&amp;U35&amp;U36&amp;U37&amp;U38&amp;U39&amp;"],"</f>
        <v>"Midrange":[0,0,1,0,0,0,1,0,1,4,0,"Did not Play",0,0,0,0,0],</v>
      </c>
    </row>
    <row r="48" spans="2:33" ht="14.25" customHeight="1" x14ac:dyDescent="0.45">
      <c r="T48" s="16" t="str">
        <f>CHAR(34)&amp;"ThreePointers"&amp;CHAR(34)&amp;":["&amp;V23&amp;V24&amp;V25&amp;V26&amp;V27&amp;V28&amp;V29&amp;V30&amp;V31&amp;V32&amp;V33&amp;V34&amp;V35&amp;V36&amp;V37&amp;V38&amp;V39&amp;"]"</f>
        <v>"ThreePointers":[0,0,0,0,0,0,0,0,0,0,0,"Did not Play",0,0,0,0,0]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A8D5-11BE-4397-9F7A-64BFF140AB1E}">
  <dimension ref="B1:AF1000"/>
  <sheetViews>
    <sheetView zoomScale="79" workbookViewId="0">
      <selection activeCell="K37" sqref="K37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286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4</v>
      </c>
      <c r="M3" s="11">
        <f>COUNTIF(D3:D40, "Loose Gooses")</f>
        <v>6</v>
      </c>
      <c r="N3" s="10">
        <f>L3/(L3+M3)</f>
        <v>0.4</v>
      </c>
      <c r="O3" s="11">
        <f>IF(M3&lt;&gt;0,IF(AND(N3&gt;N4,N3&gt;N5),3,IF(OR(N3&gt;N4,N3&gt;N5),2,1)),0)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47</v>
      </c>
      <c r="D4" s="25" t="s">
        <v>26</v>
      </c>
      <c r="E4" s="25" t="s">
        <v>46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5</v>
      </c>
      <c r="M4" s="11">
        <f>COUNTIF(D3:D40, "5 Musketeers")</f>
        <v>6</v>
      </c>
      <c r="N4" s="10">
        <f t="shared" ref="N4:N5" si="4">L4/(L4+M4)</f>
        <v>0.45454545454545453</v>
      </c>
      <c r="O4" s="11">
        <f>IF(M4&lt;&gt;0,IF(AND(N4&gt;N3,N4&gt;N5),3,IF(OR(N4&gt;N3,N4&gt;N5),2,1)),0)</f>
        <v>2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LG/5M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46</v>
      </c>
      <c r="F5" s="25" t="s">
        <v>99</v>
      </c>
      <c r="G5" s="25">
        <v>2</v>
      </c>
      <c r="H5" s="25">
        <v>1</v>
      </c>
      <c r="I5" s="25">
        <v>2</v>
      </c>
      <c r="K5" s="11" t="s">
        <v>109</v>
      </c>
      <c r="L5" s="11">
        <f>COUNTIF(C3:C40, "Wet Willies")</f>
        <v>7</v>
      </c>
      <c r="M5" s="11">
        <f>COUNTIF(D3:D40, "Wet Willies")</f>
        <v>4</v>
      </c>
      <c r="N5" s="10">
        <f t="shared" si="4"/>
        <v>0.63636363636363635</v>
      </c>
      <c r="O5" s="11">
        <f>IF(M5&lt;&gt;0,IF(AND(N5&gt;N4, N5&gt;N3), 3, IF(OR(N5&gt;N4, N5&gt;N3), 2, 1)),0)</f>
        <v>3</v>
      </c>
      <c r="Q5" s="2" t="s">
        <v>30</v>
      </c>
      <c r="R5" s="8">
        <f t="shared" si="0"/>
        <v>2</v>
      </c>
      <c r="S5" s="9">
        <f t="shared" si="1"/>
        <v>2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47</v>
      </c>
      <c r="D6" s="25" t="s">
        <v>26</v>
      </c>
      <c r="E6" s="25" t="s">
        <v>61</v>
      </c>
      <c r="F6" s="25" t="s">
        <v>205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4</v>
      </c>
      <c r="S6" s="9">
        <f t="shared" si="1"/>
        <v>4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>LG/5M</v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31</v>
      </c>
      <c r="D7" s="25" t="s">
        <v>47</v>
      </c>
      <c r="E7" s="25" t="s">
        <v>37</v>
      </c>
      <c r="F7" s="25" t="s">
        <v>99</v>
      </c>
      <c r="G7" s="25">
        <v>1</v>
      </c>
      <c r="H7" s="25">
        <v>1</v>
      </c>
      <c r="I7" s="25">
        <v>1</v>
      </c>
      <c r="Q7" s="2" t="s">
        <v>37</v>
      </c>
      <c r="R7" s="8">
        <f t="shared" si="0"/>
        <v>2</v>
      </c>
      <c r="S7" s="9">
        <f t="shared" si="1"/>
        <v>0</v>
      </c>
      <c r="T7" s="9">
        <f t="shared" si="2"/>
        <v>2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>WW/LG</v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31</v>
      </c>
      <c r="E8" s="25" t="s">
        <v>42</v>
      </c>
      <c r="F8" s="25" t="s">
        <v>204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2</v>
      </c>
      <c r="S8" s="9">
        <f t="shared" si="1"/>
        <v>2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5M/WW</v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47</v>
      </c>
      <c r="E9" s="25" t="s">
        <v>30</v>
      </c>
      <c r="F9" s="25" t="s">
        <v>204</v>
      </c>
      <c r="G9" s="25">
        <v>2</v>
      </c>
      <c r="H9" s="25">
        <v>2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</row>
    <row r="10" spans="2:31" ht="14.25" customHeight="1" x14ac:dyDescent="0.45">
      <c r="B10" s="25">
        <v>7</v>
      </c>
      <c r="C10" s="25" t="s">
        <v>31</v>
      </c>
      <c r="D10" s="25" t="s">
        <v>26</v>
      </c>
      <c r="E10" s="25" t="s">
        <v>37</v>
      </c>
      <c r="F10" s="25" t="s">
        <v>99</v>
      </c>
      <c r="G10" s="25">
        <v>1</v>
      </c>
      <c r="H10" s="25">
        <v>1</v>
      </c>
      <c r="I10" s="25">
        <v>1</v>
      </c>
      <c r="Q10" s="2" t="s">
        <v>44</v>
      </c>
      <c r="R10" s="8">
        <f t="shared" si="0"/>
        <v>2</v>
      </c>
      <c r="S10" s="9">
        <f t="shared" si="1"/>
        <v>0</v>
      </c>
      <c r="T10" s="9">
        <f t="shared" si="2"/>
        <v>0</v>
      </c>
      <c r="U10" s="9">
        <f t="shared" si="3"/>
        <v>1</v>
      </c>
      <c r="V10" s="26" t="b">
        <v>0</v>
      </c>
      <c r="X10" s="52" t="str">
        <f t="shared" si="5"/>
        <v/>
      </c>
      <c r="Y10" s="52" t="str">
        <f t="shared" si="6"/>
        <v>WW/5M</v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31</v>
      </c>
      <c r="D11" s="25" t="s">
        <v>47</v>
      </c>
      <c r="E11" s="25" t="s">
        <v>35</v>
      </c>
      <c r="F11" s="25" t="s">
        <v>204</v>
      </c>
      <c r="G11" s="25">
        <v>2</v>
      </c>
      <c r="H11" s="25">
        <v>3</v>
      </c>
      <c r="I11" s="25">
        <v>1</v>
      </c>
      <c r="Q11" s="2" t="s">
        <v>46</v>
      </c>
      <c r="R11" s="8">
        <f t="shared" si="0"/>
        <v>2</v>
      </c>
      <c r="S11" s="9">
        <f t="shared" si="1"/>
        <v>1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>WW/LG</v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26</v>
      </c>
      <c r="E12" s="25" t="s">
        <v>35</v>
      </c>
      <c r="F12" s="25" t="s">
        <v>204</v>
      </c>
      <c r="G12" s="25">
        <v>3</v>
      </c>
      <c r="H12" s="25">
        <v>2</v>
      </c>
      <c r="I12" s="25">
        <v>2</v>
      </c>
      <c r="Q12" s="2" t="s">
        <v>50</v>
      </c>
      <c r="R12" s="8">
        <f t="shared" si="0"/>
        <v>1</v>
      </c>
      <c r="S12" s="9">
        <f t="shared" si="1"/>
        <v>1</v>
      </c>
      <c r="T12" s="9">
        <f t="shared" si="2"/>
        <v>0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WW/5M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47</v>
      </c>
      <c r="D13" s="25" t="s">
        <v>31</v>
      </c>
      <c r="E13" s="25" t="s">
        <v>58</v>
      </c>
      <c r="F13" s="25" t="s">
        <v>204</v>
      </c>
      <c r="G13" s="25">
        <v>1</v>
      </c>
      <c r="H13" s="25">
        <v>1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>LG/WW</v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26</v>
      </c>
      <c r="D14" s="25" t="s">
        <v>47</v>
      </c>
      <c r="E14" s="25" t="s">
        <v>42</v>
      </c>
      <c r="F14" s="25" t="s">
        <v>204</v>
      </c>
      <c r="G14" s="25">
        <v>1</v>
      </c>
      <c r="H14" s="25">
        <v>1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/>
    </row>
    <row r="15" spans="2:31" ht="14.25" customHeight="1" x14ac:dyDescent="0.45">
      <c r="B15" s="25">
        <v>12</v>
      </c>
      <c r="C15" s="25" t="s">
        <v>26</v>
      </c>
      <c r="D15" s="25" t="s">
        <v>31</v>
      </c>
      <c r="E15" s="25" t="s">
        <v>30</v>
      </c>
      <c r="F15" s="25" t="s">
        <v>204</v>
      </c>
      <c r="G15" s="25">
        <v>2</v>
      </c>
      <c r="H15" s="25">
        <v>2</v>
      </c>
      <c r="I15" s="25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1</v>
      </c>
      <c r="X15" s="52" t="str">
        <f t="shared" si="5"/>
        <v/>
      </c>
      <c r="Y15" s="52" t="str">
        <f t="shared" si="6"/>
        <v/>
      </c>
      <c r="Z15" s="52" t="str">
        <f t="shared" si="7"/>
        <v>5M/WW</v>
      </c>
      <c r="AB15" s="2"/>
    </row>
    <row r="16" spans="2:31" ht="14.25" customHeight="1" x14ac:dyDescent="0.45">
      <c r="B16" s="25">
        <v>13</v>
      </c>
      <c r="C16" s="25" t="s">
        <v>26</v>
      </c>
      <c r="D16" s="25" t="s">
        <v>47</v>
      </c>
      <c r="E16" s="25" t="s">
        <v>50</v>
      </c>
      <c r="F16" s="25" t="s">
        <v>204</v>
      </c>
      <c r="G16" s="25">
        <v>3</v>
      </c>
      <c r="H16" s="25">
        <v>2</v>
      </c>
      <c r="I16" s="25">
        <v>1</v>
      </c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>5M/LG</v>
      </c>
      <c r="AB16" s="2"/>
    </row>
    <row r="17" spans="2:32" ht="14.25" customHeight="1" x14ac:dyDescent="0.45">
      <c r="B17" s="25">
        <v>14</v>
      </c>
      <c r="C17" s="25" t="s">
        <v>31</v>
      </c>
      <c r="D17" s="25" t="s">
        <v>26</v>
      </c>
      <c r="E17" s="25" t="s">
        <v>35</v>
      </c>
      <c r="F17" s="25" t="s">
        <v>204</v>
      </c>
      <c r="G17" s="25">
        <v>1</v>
      </c>
      <c r="H17" s="25">
        <v>1</v>
      </c>
      <c r="I17" s="25">
        <v>1</v>
      </c>
      <c r="Q17" s="2" t="s">
        <v>61</v>
      </c>
      <c r="R17" s="8">
        <f t="shared" si="0"/>
        <v>2</v>
      </c>
      <c r="S17" s="9">
        <f t="shared" si="1"/>
        <v>0</v>
      </c>
      <c r="T17" s="9">
        <f t="shared" si="2"/>
        <v>0</v>
      </c>
      <c r="U17" s="9">
        <f t="shared" si="3"/>
        <v>1</v>
      </c>
      <c r="V17" s="26" t="b">
        <v>0</v>
      </c>
      <c r="X17" s="52" t="str">
        <f t="shared" si="5"/>
        <v/>
      </c>
      <c r="Y17" s="52" t="str">
        <f t="shared" si="6"/>
        <v>WW/5M</v>
      </c>
      <c r="Z17" s="52" t="str">
        <f t="shared" si="7"/>
        <v/>
      </c>
      <c r="AB17" s="2"/>
    </row>
    <row r="18" spans="2:32" ht="14.25" customHeight="1" x14ac:dyDescent="0.45">
      <c r="B18" s="25">
        <v>15</v>
      </c>
      <c r="C18" s="25" t="s">
        <v>31</v>
      </c>
      <c r="D18" s="25" t="s">
        <v>47</v>
      </c>
      <c r="E18" s="25" t="s">
        <v>35</v>
      </c>
      <c r="F18" s="25" t="s">
        <v>204</v>
      </c>
      <c r="G18" s="25">
        <v>2</v>
      </c>
      <c r="H18" s="25">
        <v>3</v>
      </c>
      <c r="I18" s="25">
        <v>2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>WW/LG</v>
      </c>
      <c r="Z18" s="52" t="str">
        <f t="shared" si="7"/>
        <v/>
      </c>
      <c r="AB18" s="2"/>
    </row>
    <row r="19" spans="2:32" ht="14.25" customHeight="1" x14ac:dyDescent="0.45">
      <c r="B19" s="25">
        <v>16</v>
      </c>
      <c r="C19" s="25" t="s">
        <v>31</v>
      </c>
      <c r="D19" s="25" t="s">
        <v>26</v>
      </c>
      <c r="E19" s="25" t="s">
        <v>44</v>
      </c>
      <c r="F19" s="25" t="s">
        <v>205</v>
      </c>
      <c r="G19" s="25">
        <v>3</v>
      </c>
      <c r="H19" s="25">
        <v>2</v>
      </c>
      <c r="I19" s="25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>WW/5M</v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Table63133[[#This Row],[Finishes]]+Table63133[[#This Row],[Midranges]]+Table63133[[#This Row],[Threes]]+Table63133[[#This Row],[Threes]]</f>
        <v>1</v>
      </c>
      <c r="AD24" s="156">
        <f>COUNTIFS(D4:D35, "Loose Gooses", E$4:E$35,AB24,F$4:F$35,"Finish")</f>
        <v>1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2,</v>
      </c>
      <c r="S25" s="16" t="str">
        <f t="shared" si="9"/>
        <v>2,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Table63133[[#This Row],[Finishes]]+Table63133[[#This Row],[Midranges]]+Table63133[[#This Row],[Threes]]+Table63133[[#This Row],[Threes]]</f>
        <v>2</v>
      </c>
      <c r="AD25" s="157">
        <f>COUNTIFS(D4:D35, "Loose Gooses", E$4:E$35,AB25,F$4:F$35,"Finish")</f>
        <v>2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4,</v>
      </c>
      <c r="S26" s="16" t="str">
        <f t="shared" si="9"/>
        <v>4,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Table63133[[#This Row],[Finishes]]+Table63133[[#This Row],[Midranges]]+Table63133[[#This Row],[Threes]]+Table63133[[#This Row],[Threes]]</f>
        <v>1</v>
      </c>
      <c r="AD26" s="156">
        <f>COUNTIFS(D4:D35, "Loose Gooses", E$4:E$35,AB26,F$4:F$35,"Finish")</f>
        <v>0</v>
      </c>
      <c r="AE26" s="156">
        <f>COUNTIFS(D4:D35, "Loose Gooses", E$4:E$35,AB26,F$4:F$35,"Midrange")</f>
        <v>1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2,</v>
      </c>
      <c r="S27" s="16" t="str">
        <f t="shared" si="9"/>
        <v>0,</v>
      </c>
      <c r="T27" s="16" t="str">
        <f t="shared" si="9"/>
        <v>2,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Table63133[[#This Row],[Finishes]]+Table63133[[#This Row],[Midranges]]+Table63133[[#This Row],[Threes]]+Table63133[[#This Row],[Threes]]</f>
        <v>1</v>
      </c>
      <c r="AD27" s="157">
        <f>COUNTIFS(D4:D35, "Loose Gooses", E$4:E$35,AB27,F$4:F$35,"Finish")</f>
        <v>1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2,</v>
      </c>
      <c r="S28" s="16" t="str">
        <f t="shared" si="9"/>
        <v>2,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Table63133[[#This Row],[Finishes]]+Table63133[[#This Row],[Midranges]]+Table63133[[#This Row],[Threes]]+Table63133[[#This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Table63133[[#This Row],[Finishes]]+Table63133[[#This Row],[Midranges]]+Table63133[[#This Row],[Threes]]+Table63133[[#This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2,</v>
      </c>
      <c r="S30" s="16" t="str">
        <f t="shared" si="9"/>
        <v>0,</v>
      </c>
      <c r="T30" s="16" t="str">
        <f t="shared" si="9"/>
        <v>0,</v>
      </c>
      <c r="U30" s="16" t="str">
        <f t="shared" si="9"/>
        <v>1,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Table63133[[#This Row],[Finishes]]+Table63133[[#This Row],[Midranges]]+Table63133[[#This Row],[Threes]]+Table63133[[#This Row],[Threes]]</f>
        <v>1</v>
      </c>
      <c r="AD30" s="156">
        <f>COUNTIFS(D4:D35, "Loose Gooses", E$4:E$35,AB30,F$4:F$35,"Finish")</f>
        <v>1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2,</v>
      </c>
      <c r="S31" s="16" t="str">
        <f t="shared" si="9"/>
        <v>1,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Table63133[[#This Row],[Finishes]]+Table63133[[#This Row],[Midranges]]+Table63133[[#This Row],[Threes]]+Table63133[[#This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1,</v>
      </c>
      <c r="S32" s="16" t="str">
        <f t="shared" si="9"/>
        <v>1,</v>
      </c>
      <c r="T32" s="16" t="str">
        <f t="shared" si="9"/>
        <v>0,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Table63133[[#This Row],[Finishes]]+Table63133[[#This Row],[Midranges]]+Table63133[[#This Row],[Threes]]+Table63133[[#This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Table63133[[#This Row],[Finishes]]+Table63133[[#This Row],[Midranges]]+Table63133[[#This Row],[Threes]]+Table63133[[#This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Table63133[[#This Row],[Finishes]]+Table63133[[#This Row],[Midranges]]+Table63133[[#This Row],[Threes]]+Table63133[[#This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"Did not Play",</v>
      </c>
      <c r="S35" s="16" t="str">
        <f t="shared" si="9"/>
        <v>"Did not Play",</v>
      </c>
      <c r="T35" s="16" t="str">
        <f t="shared" si="9"/>
        <v>"Did not Play",</v>
      </c>
      <c r="U35" s="16" t="str">
        <f t="shared" si="9"/>
        <v>"Did not Play",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Table63133[[#This Row],[Finishes]]+Table63133[[#This Row],[Midranges]]+Table63133[[#This Row],[Threes]]+Table63133[[#This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2,</v>
      </c>
      <c r="S37" s="16" t="str">
        <f t="shared" si="9"/>
        <v>0,</v>
      </c>
      <c r="T37" s="16" t="str">
        <f t="shared" si="9"/>
        <v>0,</v>
      </c>
      <c r="U37" s="16" t="str">
        <f t="shared" si="9"/>
        <v>1,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"Date":["17-August"],</v>
      </c>
    </row>
    <row r="45" spans="2:32" ht="14.25" customHeight="1" x14ac:dyDescent="0.45">
      <c r="B45" s="74" t="str">
        <f>C2</f>
        <v>17-August</v>
      </c>
      <c r="C45" s="16">
        <f>MAX(L3:L5)</f>
        <v>7</v>
      </c>
      <c r="D45" s="16">
        <f>COUNT(B4:B42)-C45-E45</f>
        <v>5</v>
      </c>
      <c r="E45" s="16">
        <f>MIN(L3:L5)</f>
        <v>4</v>
      </c>
      <c r="F45" s="16">
        <f>L3</f>
        <v>4</v>
      </c>
      <c r="G45" s="16">
        <f>COUNTIF(Y4:Y39, "WW/LG")</f>
        <v>3</v>
      </c>
      <c r="H45" s="16">
        <f>COUNTIF(Z4:Z39, "5M/LG")</f>
        <v>3</v>
      </c>
      <c r="I45" s="16">
        <f>L5</f>
        <v>7</v>
      </c>
      <c r="J45" s="16">
        <f>COUNTIF(X4:X39, "LG/WW")</f>
        <v>2</v>
      </c>
      <c r="K45" s="16">
        <f>COUNTIF(Z4:Z39, "5M/WW")</f>
        <v>2</v>
      </c>
      <c r="L45" s="16">
        <f>L4</f>
        <v>5</v>
      </c>
      <c r="M45" s="16">
        <f>COUNTIF(X4:X39, "LG/5M")</f>
        <v>2</v>
      </c>
      <c r="N45" s="16">
        <f>COUNTIF(Y4:Y39, "WW/5M")</f>
        <v>4</v>
      </c>
      <c r="O45" s="16">
        <f>O3</f>
        <v>1</v>
      </c>
      <c r="P45" s="16">
        <f>O5</f>
        <v>3</v>
      </c>
      <c r="Q45" s="16">
        <f>O4</f>
        <v>2</v>
      </c>
      <c r="T45" s="16" t="str">
        <f>CHAR(34)&amp;"Points"&amp;CHAR(34)&amp;":["&amp;R23&amp;R24&amp;R25&amp;R26&amp;R27&amp;R28&amp;R29&amp;R30&amp;R31&amp;R32&amp;R33&amp;R34&amp;R35&amp;R36&amp;R37&amp;R38&amp;R39&amp;"],"</f>
        <v>"Points":[0,0,2,4,2,2,0,2,2,1,0,"Did not Play","Did not Play",1,2,0,0],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"Finishes":[0,0,2,4,0,2,0,0,1,1,0,"Did not Play","Did not Play",1,0,0,0],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"Midrange":[0,0,0,0,2,0,0,0,1,0,0,"Did not Play","Did not Play",0,0,0,0],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"ThreePointers":[0,0,0,0,0,0,0,1,0,0,0,"Did not Play","Did not Play",0,1,0,0]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E862-8CE5-4231-9B7D-B24E0E62539F}">
  <dimension ref="B1:AF1000"/>
  <sheetViews>
    <sheetView zoomScale="79" workbookViewId="0">
      <selection activeCell="L3" sqref="L3:M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285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5</v>
      </c>
      <c r="M3" s="11">
        <f>COUNTIF(D3:D40, "Loose Gooses")</f>
        <v>13</v>
      </c>
      <c r="N3" s="10">
        <f>L3/(L3+M3)</f>
        <v>0.27777777777777779</v>
      </c>
      <c r="O3" s="11">
        <f>IF(M3&lt;&gt;0,IF(AND(N3&gt;N4,N3&gt;N5),3,IF(OR(N3&gt;N4,N3&gt;N5),2,1)),0)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5">
      <c r="B4" s="184">
        <v>1</v>
      </c>
      <c r="C4" s="184" t="s">
        <v>47</v>
      </c>
      <c r="D4" s="184" t="s">
        <v>26</v>
      </c>
      <c r="E4" s="184" t="s">
        <v>46</v>
      </c>
      <c r="F4" s="184" t="s">
        <v>99</v>
      </c>
      <c r="G4" s="184">
        <v>1</v>
      </c>
      <c r="H4" s="184">
        <v>1</v>
      </c>
      <c r="I4" s="184">
        <v>1</v>
      </c>
      <c r="K4" s="11" t="s">
        <v>110</v>
      </c>
      <c r="L4" s="11">
        <f>COUNTIF(C3:C40, "5 Musketeers")</f>
        <v>20</v>
      </c>
      <c r="M4" s="11">
        <f>COUNTIF(D3:D40, "5 Musketeers")</f>
        <v>5</v>
      </c>
      <c r="N4" s="10">
        <f t="shared" ref="N4:N5" si="4">L4/(L4+M4)</f>
        <v>0.8</v>
      </c>
      <c r="O4" s="11">
        <f>IF(M4&lt;&gt;0,IF(AND(N4&gt;N3,N4&gt;N5),3,IF(OR(N4&gt;N3,N4&gt;N5),2,1)),0)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1</v>
      </c>
      <c r="X4" s="52" t="str">
        <f t="shared" ref="X4:X39" si="5">IF(AND(C4="Loose Gooses",D4="Wet Willies"),"LG/WW", IF(AND(C4="Loose Gooses",D4="5 Musketeers"),"LG/5M", ""))</f>
        <v>LG/5M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5">
      <c r="B5" s="184">
        <v>2</v>
      </c>
      <c r="C5" s="184" t="s">
        <v>31</v>
      </c>
      <c r="D5" s="184" t="s">
        <v>47</v>
      </c>
      <c r="E5" s="184" t="s">
        <v>52</v>
      </c>
      <c r="F5" s="184" t="s">
        <v>204</v>
      </c>
      <c r="G5" s="184">
        <v>1</v>
      </c>
      <c r="H5" s="184">
        <v>1</v>
      </c>
      <c r="I5" s="184">
        <v>1</v>
      </c>
      <c r="K5" s="11" t="s">
        <v>109</v>
      </c>
      <c r="L5" s="11">
        <f>COUNTIF(C3:C40, "Wet Willies")</f>
        <v>5</v>
      </c>
      <c r="M5" s="11">
        <f>COUNTIF(D3:D40, "Wet Willies")</f>
        <v>12</v>
      </c>
      <c r="N5" s="10">
        <f t="shared" si="4"/>
        <v>0.29411764705882354</v>
      </c>
      <c r="O5" s="11">
        <f>IF(M5&lt;&gt;0,IF(AND(N5&gt;N4, N5&gt;N3), 3, IF(OR(N5&gt;N4, N5&gt;N3), 2, 1)),0)</f>
        <v>2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/>
      </c>
      <c r="Y5" s="52" t="str">
        <f t="shared" si="6"/>
        <v>WW/LG</v>
      </c>
      <c r="Z5" s="52" t="str">
        <f t="shared" si="7"/>
        <v/>
      </c>
      <c r="AB5" s="2"/>
    </row>
    <row r="6" spans="2:31" ht="14.25" customHeight="1" x14ac:dyDescent="0.5">
      <c r="B6" s="184">
        <v>3</v>
      </c>
      <c r="C6" s="184" t="s">
        <v>26</v>
      </c>
      <c r="D6" s="184" t="s">
        <v>31</v>
      </c>
      <c r="E6" s="184" t="s">
        <v>115</v>
      </c>
      <c r="F6" s="184" t="s">
        <v>204</v>
      </c>
      <c r="G6" s="184">
        <v>1</v>
      </c>
      <c r="H6" s="184">
        <v>1</v>
      </c>
      <c r="I6" s="184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/>
      </c>
      <c r="Z6" s="52" t="str">
        <f t="shared" si="7"/>
        <v>5M/WW</v>
      </c>
      <c r="AB6" s="2"/>
    </row>
    <row r="7" spans="2:31" ht="14.25" customHeight="1" x14ac:dyDescent="0.5">
      <c r="B7" s="184">
        <v>4</v>
      </c>
      <c r="C7" s="184" t="s">
        <v>26</v>
      </c>
      <c r="D7" s="184" t="s">
        <v>47</v>
      </c>
      <c r="E7" s="184" t="s">
        <v>115</v>
      </c>
      <c r="F7" s="184" t="s">
        <v>99</v>
      </c>
      <c r="G7" s="184">
        <v>2</v>
      </c>
      <c r="H7" s="184">
        <v>2</v>
      </c>
      <c r="I7" s="184">
        <v>2</v>
      </c>
      <c r="Q7" s="2" t="s">
        <v>37</v>
      </c>
      <c r="R7" s="8">
        <f t="shared" si="0"/>
        <v>1</v>
      </c>
      <c r="S7" s="9">
        <f t="shared" si="1"/>
        <v>1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5M/LG</v>
      </c>
      <c r="AB7" s="2"/>
    </row>
    <row r="8" spans="2:31" ht="14.25" customHeight="1" x14ac:dyDescent="0.5">
      <c r="B8" s="184">
        <v>5</v>
      </c>
      <c r="C8" s="184" t="s">
        <v>26</v>
      </c>
      <c r="D8" s="184" t="s">
        <v>31</v>
      </c>
      <c r="E8" s="184" t="s">
        <v>42</v>
      </c>
      <c r="F8" s="184" t="s">
        <v>99</v>
      </c>
      <c r="G8" s="184">
        <v>3</v>
      </c>
      <c r="H8" s="184">
        <v>2</v>
      </c>
      <c r="I8" s="184">
        <v>1</v>
      </c>
      <c r="Q8" s="2" t="s">
        <v>42</v>
      </c>
      <c r="R8" s="8">
        <f t="shared" si="0"/>
        <v>5</v>
      </c>
      <c r="S8" s="9">
        <f t="shared" si="1"/>
        <v>3</v>
      </c>
      <c r="T8" s="9">
        <f t="shared" si="2"/>
        <v>2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5M/WW</v>
      </c>
      <c r="AB8" s="2"/>
    </row>
    <row r="9" spans="2:31" ht="14.25" customHeight="1" x14ac:dyDescent="0.5">
      <c r="B9" s="184">
        <v>6</v>
      </c>
      <c r="C9" s="184" t="s">
        <v>26</v>
      </c>
      <c r="D9" s="184" t="s">
        <v>47</v>
      </c>
      <c r="E9" s="184" t="s">
        <v>115</v>
      </c>
      <c r="F9" s="184" t="s">
        <v>204</v>
      </c>
      <c r="G9" s="184">
        <v>4</v>
      </c>
      <c r="H9" s="184">
        <v>3</v>
      </c>
      <c r="I9" s="184">
        <v>1</v>
      </c>
      <c r="Q9" s="16" t="s">
        <v>115</v>
      </c>
      <c r="R9" s="18">
        <f t="shared" si="0"/>
        <v>5</v>
      </c>
      <c r="S9" s="9">
        <f t="shared" si="1"/>
        <v>2</v>
      </c>
      <c r="T9" s="9">
        <f t="shared" si="2"/>
        <v>1</v>
      </c>
      <c r="U9" s="9">
        <f t="shared" si="3"/>
        <v>1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</row>
    <row r="10" spans="2:31" ht="14.25" customHeight="1" x14ac:dyDescent="0.5">
      <c r="B10" s="184">
        <v>7</v>
      </c>
      <c r="C10" s="184" t="s">
        <v>26</v>
      </c>
      <c r="D10" s="184" t="s">
        <v>31</v>
      </c>
      <c r="E10" s="184" t="s">
        <v>42</v>
      </c>
      <c r="F10" s="184" t="s">
        <v>204</v>
      </c>
      <c r="G10" s="184">
        <v>5</v>
      </c>
      <c r="H10" s="184">
        <v>3</v>
      </c>
      <c r="I10" s="184">
        <v>1</v>
      </c>
      <c r="Q10" s="2" t="s">
        <v>44</v>
      </c>
      <c r="R10" s="8">
        <f t="shared" si="0"/>
        <v>1</v>
      </c>
      <c r="S10" s="9">
        <f t="shared" si="1"/>
        <v>0</v>
      </c>
      <c r="T10" s="9">
        <f t="shared" si="2"/>
        <v>1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5M/WW</v>
      </c>
      <c r="AB10" s="2"/>
    </row>
    <row r="11" spans="2:31" ht="14.25" customHeight="1" x14ac:dyDescent="0.5">
      <c r="B11" s="184">
        <v>8</v>
      </c>
      <c r="C11" s="184" t="s">
        <v>47</v>
      </c>
      <c r="D11" s="184" t="s">
        <v>26</v>
      </c>
      <c r="E11" s="184" t="s">
        <v>46</v>
      </c>
      <c r="F11" s="184" t="s">
        <v>204</v>
      </c>
      <c r="G11" s="184">
        <v>1</v>
      </c>
      <c r="H11" s="184">
        <v>1</v>
      </c>
      <c r="I11" s="184">
        <v>1</v>
      </c>
      <c r="Q11" s="2" t="s">
        <v>46</v>
      </c>
      <c r="R11" s="8">
        <f t="shared" si="0"/>
        <v>2</v>
      </c>
      <c r="S11" s="9">
        <f t="shared" si="1"/>
        <v>1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>LG/5M</v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5">
      <c r="B12" s="184">
        <v>9</v>
      </c>
      <c r="C12" s="184" t="s">
        <v>31</v>
      </c>
      <c r="D12" s="184" t="s">
        <v>47</v>
      </c>
      <c r="E12" s="184" t="s">
        <v>44</v>
      </c>
      <c r="F12" s="184" t="s">
        <v>99</v>
      </c>
      <c r="G12" s="184">
        <v>1</v>
      </c>
      <c r="H12" s="184">
        <v>1</v>
      </c>
      <c r="I12" s="184">
        <v>1</v>
      </c>
      <c r="Q12" s="2" t="s">
        <v>50</v>
      </c>
      <c r="R12" s="8">
        <f t="shared" si="0"/>
        <v>10</v>
      </c>
      <c r="S12" s="9">
        <f t="shared" si="1"/>
        <v>6</v>
      </c>
      <c r="T12" s="9">
        <f t="shared" si="2"/>
        <v>4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WW/LG</v>
      </c>
      <c r="Z12" s="52" t="str">
        <f t="shared" si="7"/>
        <v/>
      </c>
      <c r="AB12" s="2"/>
    </row>
    <row r="13" spans="2:31" ht="14.25" customHeight="1" x14ac:dyDescent="0.5">
      <c r="B13" s="184">
        <v>10</v>
      </c>
      <c r="C13" s="184" t="s">
        <v>26</v>
      </c>
      <c r="D13" s="184" t="s">
        <v>31</v>
      </c>
      <c r="E13" s="184" t="s">
        <v>50</v>
      </c>
      <c r="F13" s="184" t="s">
        <v>204</v>
      </c>
      <c r="G13" s="184">
        <v>1</v>
      </c>
      <c r="H13" s="184">
        <v>1</v>
      </c>
      <c r="I13" s="184">
        <v>1</v>
      </c>
      <c r="Q13" s="2" t="s">
        <v>52</v>
      </c>
      <c r="R13" s="8">
        <f t="shared" si="0"/>
        <v>2</v>
      </c>
      <c r="S13" s="9">
        <f t="shared" si="1"/>
        <v>1</v>
      </c>
      <c r="T13" s="9">
        <f t="shared" si="2"/>
        <v>1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5">
      <c r="B14" s="184">
        <v>11</v>
      </c>
      <c r="C14" s="184" t="s">
        <v>26</v>
      </c>
      <c r="D14" s="184" t="s">
        <v>47</v>
      </c>
      <c r="E14" s="184" t="s">
        <v>50</v>
      </c>
      <c r="F14" s="184" t="s">
        <v>204</v>
      </c>
      <c r="G14" s="184">
        <v>2</v>
      </c>
      <c r="H14" s="184">
        <v>2</v>
      </c>
      <c r="I14" s="184">
        <v>2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/>
    </row>
    <row r="15" spans="2:31" ht="14.25" customHeight="1" x14ac:dyDescent="0.5">
      <c r="B15" s="184">
        <v>12</v>
      </c>
      <c r="C15" s="184" t="s">
        <v>26</v>
      </c>
      <c r="D15" s="184" t="s">
        <v>31</v>
      </c>
      <c r="E15" s="184" t="s">
        <v>42</v>
      </c>
      <c r="F15" s="184" t="s">
        <v>204</v>
      </c>
      <c r="G15" s="184">
        <v>3</v>
      </c>
      <c r="H15" s="184">
        <v>2</v>
      </c>
      <c r="I15" s="184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1</v>
      </c>
      <c r="X15" s="52" t="str">
        <f t="shared" si="5"/>
        <v/>
      </c>
      <c r="Y15" s="52" t="str">
        <f t="shared" si="6"/>
        <v/>
      </c>
      <c r="Z15" s="52" t="str">
        <f t="shared" si="7"/>
        <v>5M/WW</v>
      </c>
      <c r="AB15" s="2"/>
    </row>
    <row r="16" spans="2:31" ht="14.25" customHeight="1" x14ac:dyDescent="0.5">
      <c r="B16" s="184">
        <v>13</v>
      </c>
      <c r="C16" s="184" t="s">
        <v>26</v>
      </c>
      <c r="D16" s="184" t="s">
        <v>47</v>
      </c>
      <c r="E16" s="184" t="s">
        <v>50</v>
      </c>
      <c r="F16" s="184" t="s">
        <v>204</v>
      </c>
      <c r="G16" s="184">
        <v>4</v>
      </c>
      <c r="H16" s="184">
        <v>3</v>
      </c>
      <c r="I16" s="184">
        <v>1</v>
      </c>
      <c r="Q16" s="2" t="s">
        <v>58</v>
      </c>
      <c r="R16" s="8">
        <f t="shared" si="0"/>
        <v>3</v>
      </c>
      <c r="S16" s="9">
        <f t="shared" si="1"/>
        <v>1</v>
      </c>
      <c r="T16" s="9">
        <f t="shared" si="2"/>
        <v>2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>5M/LG</v>
      </c>
      <c r="AB16" s="2"/>
    </row>
    <row r="17" spans="2:32" ht="14.25" customHeight="1" x14ac:dyDescent="0.5">
      <c r="B17" s="184">
        <v>14</v>
      </c>
      <c r="C17" s="184" t="s">
        <v>26</v>
      </c>
      <c r="D17" s="184" t="s">
        <v>31</v>
      </c>
      <c r="E17" s="184" t="s">
        <v>42</v>
      </c>
      <c r="F17" s="184" t="s">
        <v>204</v>
      </c>
      <c r="G17" s="184">
        <v>5</v>
      </c>
      <c r="H17" s="184">
        <v>3</v>
      </c>
      <c r="I17" s="184">
        <v>1</v>
      </c>
      <c r="Q17" s="2" t="s">
        <v>61</v>
      </c>
      <c r="R17" s="8">
        <f t="shared" si="0"/>
        <v>0</v>
      </c>
      <c r="S17" s="9">
        <f t="shared" si="1"/>
        <v>0</v>
      </c>
      <c r="T17" s="9">
        <f t="shared" si="2"/>
        <v>0</v>
      </c>
      <c r="U17" s="9">
        <f t="shared" si="3"/>
        <v>0</v>
      </c>
      <c r="V17" s="26" t="b">
        <v>1</v>
      </c>
      <c r="X17" s="52" t="str">
        <f t="shared" si="5"/>
        <v/>
      </c>
      <c r="Y17" s="52" t="str">
        <f t="shared" si="6"/>
        <v/>
      </c>
      <c r="Z17" s="52" t="str">
        <f t="shared" si="7"/>
        <v>5M/WW</v>
      </c>
      <c r="AB17" s="2"/>
    </row>
    <row r="18" spans="2:32" ht="14.25" customHeight="1" x14ac:dyDescent="0.5">
      <c r="B18" s="184">
        <v>15</v>
      </c>
      <c r="C18" s="184" t="s">
        <v>26</v>
      </c>
      <c r="D18" s="184" t="s">
        <v>47</v>
      </c>
      <c r="E18" s="184" t="s">
        <v>50</v>
      </c>
      <c r="F18" s="184" t="s">
        <v>204</v>
      </c>
      <c r="G18" s="184">
        <v>6</v>
      </c>
      <c r="H18" s="184">
        <v>4</v>
      </c>
      <c r="I18" s="184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5M/LG</v>
      </c>
      <c r="AB18" s="2"/>
    </row>
    <row r="19" spans="2:32" ht="14.25" customHeight="1" x14ac:dyDescent="0.5">
      <c r="B19" s="184">
        <v>16</v>
      </c>
      <c r="C19" s="184" t="s">
        <v>26</v>
      </c>
      <c r="D19" s="184" t="s">
        <v>31</v>
      </c>
      <c r="E19" s="184" t="s">
        <v>50</v>
      </c>
      <c r="F19" s="184" t="s">
        <v>204</v>
      </c>
      <c r="G19" s="184">
        <v>7</v>
      </c>
      <c r="H19" s="184">
        <v>4</v>
      </c>
      <c r="I19" s="184">
        <v>2</v>
      </c>
      <c r="Q19" s="2" t="s">
        <v>67</v>
      </c>
      <c r="R19" s="8">
        <f t="shared" si="0"/>
        <v>2</v>
      </c>
      <c r="S19" s="9">
        <f t="shared" si="1"/>
        <v>0</v>
      </c>
      <c r="T19" s="9">
        <f t="shared" si="2"/>
        <v>0</v>
      </c>
      <c r="U19" s="9">
        <f t="shared" si="3"/>
        <v>1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>5M/WW</v>
      </c>
    </row>
    <row r="20" spans="2:32" ht="14.25" customHeight="1" x14ac:dyDescent="0.5">
      <c r="B20" s="184">
        <v>17</v>
      </c>
      <c r="C20" s="184" t="s">
        <v>26</v>
      </c>
      <c r="D20" s="184" t="s">
        <v>47</v>
      </c>
      <c r="E20" s="184" t="s">
        <v>50</v>
      </c>
      <c r="F20" s="184" t="s">
        <v>99</v>
      </c>
      <c r="G20" s="184">
        <v>8</v>
      </c>
      <c r="H20" s="184">
        <v>5</v>
      </c>
      <c r="I20" s="184">
        <v>3</v>
      </c>
      <c r="X20" s="52" t="str">
        <f t="shared" si="5"/>
        <v/>
      </c>
      <c r="Y20" s="52" t="str">
        <f t="shared" si="6"/>
        <v/>
      </c>
      <c r="Z20" s="52" t="str">
        <f t="shared" si="7"/>
        <v>5M/LG</v>
      </c>
    </row>
    <row r="21" spans="2:32" ht="14.25" customHeight="1" x14ac:dyDescent="0.5">
      <c r="B21" s="184">
        <v>18</v>
      </c>
      <c r="C21" s="184" t="s">
        <v>26</v>
      </c>
      <c r="D21" s="184" t="s">
        <v>31</v>
      </c>
      <c r="E21" s="184" t="s">
        <v>42</v>
      </c>
      <c r="F21" s="184" t="s">
        <v>99</v>
      </c>
      <c r="G21" s="184">
        <v>9</v>
      </c>
      <c r="H21" s="184">
        <v>5</v>
      </c>
      <c r="I21" s="184">
        <v>1</v>
      </c>
      <c r="X21" s="52" t="str">
        <f t="shared" si="5"/>
        <v/>
      </c>
      <c r="Y21" s="52" t="str">
        <f t="shared" si="6"/>
        <v/>
      </c>
      <c r="Z21" s="52" t="str">
        <f t="shared" si="7"/>
        <v>5M/WW</v>
      </c>
    </row>
    <row r="22" spans="2:32" ht="14.25" customHeight="1" x14ac:dyDescent="0.5">
      <c r="B22" s="184">
        <v>19</v>
      </c>
      <c r="C22" s="184" t="s">
        <v>47</v>
      </c>
      <c r="D22" s="184" t="s">
        <v>26</v>
      </c>
      <c r="E22" s="184" t="s">
        <v>58</v>
      </c>
      <c r="F22" s="184" t="s">
        <v>204</v>
      </c>
      <c r="G22" s="184">
        <v>1</v>
      </c>
      <c r="H22" s="184">
        <v>1</v>
      </c>
      <c r="I22" s="184">
        <v>1</v>
      </c>
      <c r="X22" s="52" t="str">
        <f t="shared" si="5"/>
        <v>LG/5M</v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5">
      <c r="B23" s="184">
        <v>20</v>
      </c>
      <c r="C23" s="184" t="s">
        <v>31</v>
      </c>
      <c r="D23" s="184" t="s">
        <v>47</v>
      </c>
      <c r="E23" s="184" t="s">
        <v>67</v>
      </c>
      <c r="F23" s="184" t="s">
        <v>205</v>
      </c>
      <c r="G23" s="184">
        <v>1</v>
      </c>
      <c r="H23" s="184">
        <v>1</v>
      </c>
      <c r="I23" s="184">
        <v>1</v>
      </c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>WW/LG</v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5">
      <c r="B24" s="184">
        <v>21</v>
      </c>
      <c r="C24" s="184" t="s">
        <v>26</v>
      </c>
      <c r="D24" s="184" t="s">
        <v>31</v>
      </c>
      <c r="E24" s="184" t="s">
        <v>202</v>
      </c>
      <c r="F24" s="184" t="s">
        <v>99</v>
      </c>
      <c r="G24" s="184">
        <v>1</v>
      </c>
      <c r="H24" s="184">
        <v>1</v>
      </c>
      <c r="I24" s="184">
        <v>1</v>
      </c>
      <c r="R24" s="16" t="str">
        <f t="shared" ref="R24:U38" si="9">IF($V4, CHAR(34)&amp;"Did not Play"&amp;CHAR(34), R4)&amp;","</f>
        <v>"Did not Play",</v>
      </c>
      <c r="S24" s="16" t="str">
        <f t="shared" si="9"/>
        <v>"Did not Play",</v>
      </c>
      <c r="T24" s="16" t="str">
        <f t="shared" si="9"/>
        <v>"Did not Play",</v>
      </c>
      <c r="U24" s="16" t="str">
        <f t="shared" si="9"/>
        <v>"Did not Play",</v>
      </c>
      <c r="X24" s="52" t="str">
        <f t="shared" si="5"/>
        <v/>
      </c>
      <c r="Y24" s="52" t="str">
        <f t="shared" si="6"/>
        <v/>
      </c>
      <c r="Z24" s="52" t="str">
        <f t="shared" si="7"/>
        <v>5M/WW</v>
      </c>
      <c r="AB24" s="158" t="s">
        <v>30</v>
      </c>
      <c r="AC24" s="165">
        <f>Table63132[[#This Row],[Finishes]]+Table63132[[#This Row],[Midranges]]+Table63132[[#This Row],[Threes]]+Table63132[[#This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5">
      <c r="B25" s="184">
        <v>22</v>
      </c>
      <c r="C25" s="184" t="s">
        <v>26</v>
      </c>
      <c r="D25" s="184" t="s">
        <v>47</v>
      </c>
      <c r="E25" s="184" t="s">
        <v>115</v>
      </c>
      <c r="F25" s="184" t="s">
        <v>205</v>
      </c>
      <c r="G25" s="184">
        <v>2</v>
      </c>
      <c r="H25" s="184">
        <v>2</v>
      </c>
      <c r="I25" s="184">
        <v>1</v>
      </c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>5M/LG</v>
      </c>
      <c r="AB25" s="159" t="s">
        <v>35</v>
      </c>
      <c r="AC25" s="166">
        <f>Table63132[[#This Row],[Finishes]]+Table63132[[#This Row],[Midranges]]+Table63132[[#This Row],[Threes]]+Table63132[[#This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5">
      <c r="B26" s="184">
        <v>23</v>
      </c>
      <c r="C26" s="184" t="s">
        <v>26</v>
      </c>
      <c r="D26" s="184" t="s">
        <v>31</v>
      </c>
      <c r="E26" s="184" t="s">
        <v>50</v>
      </c>
      <c r="F26" s="184" t="s">
        <v>204</v>
      </c>
      <c r="G26" s="184">
        <v>3</v>
      </c>
      <c r="H26" s="184">
        <v>2</v>
      </c>
      <c r="I26" s="184">
        <v>1</v>
      </c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>5M/WW</v>
      </c>
      <c r="AB26" s="158" t="s">
        <v>37</v>
      </c>
      <c r="AC26" s="165">
        <f>Table63132[[#This Row],[Finishes]]+Table63132[[#This Row],[Midranges]]+Table63132[[#This Row],[Threes]]+Table63132[[#This Row],[Threes]]</f>
        <v>1</v>
      </c>
      <c r="AD26" s="156">
        <f>COUNTIFS(D4:D35, "Loose Gooses", E$4:E$35,AB26,F$4:F$35,"Finish")</f>
        <v>1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5">
      <c r="B27" s="184">
        <v>24</v>
      </c>
      <c r="C27" s="184" t="s">
        <v>26</v>
      </c>
      <c r="D27" s="184" t="s">
        <v>47</v>
      </c>
      <c r="E27" s="184" t="s">
        <v>50</v>
      </c>
      <c r="F27" s="184" t="s">
        <v>99</v>
      </c>
      <c r="G27" s="184">
        <v>4</v>
      </c>
      <c r="H27" s="184">
        <v>3</v>
      </c>
      <c r="I27" s="184">
        <v>2</v>
      </c>
      <c r="R27" s="16" t="str">
        <f t="shared" si="9"/>
        <v>1,</v>
      </c>
      <c r="S27" s="16" t="str">
        <f t="shared" si="9"/>
        <v>1,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>5M/LG</v>
      </c>
      <c r="AB27" s="159" t="s">
        <v>42</v>
      </c>
      <c r="AC27" s="166">
        <f>Table63132[[#This Row],[Finishes]]+Table63132[[#This Row],[Midranges]]+Table63132[[#This Row],[Threes]]+Table63132[[#This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5">
      <c r="B28" s="184">
        <v>25</v>
      </c>
      <c r="C28" s="184" t="s">
        <v>26</v>
      </c>
      <c r="D28" s="184" t="s">
        <v>31</v>
      </c>
      <c r="E28" s="184" t="s">
        <v>50</v>
      </c>
      <c r="F28" s="184" t="s">
        <v>99</v>
      </c>
      <c r="G28" s="184">
        <v>5</v>
      </c>
      <c r="H28" s="184">
        <v>3</v>
      </c>
      <c r="I28" s="184">
        <v>3</v>
      </c>
      <c r="R28" s="16" t="str">
        <f t="shared" si="9"/>
        <v>5,</v>
      </c>
      <c r="S28" s="16" t="str">
        <f t="shared" si="9"/>
        <v>3,</v>
      </c>
      <c r="T28" s="16" t="str">
        <f t="shared" si="9"/>
        <v>2,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>5M/WW</v>
      </c>
      <c r="AB28" s="158" t="s">
        <v>115</v>
      </c>
      <c r="AC28" s="165">
        <f>Table63132[[#This Row],[Finishes]]+Table63132[[#This Row],[Midranges]]+Table63132[[#This Row],[Threes]]+Table63132[[#This Row],[Threes]]</f>
        <v>4</v>
      </c>
      <c r="AD28" s="156">
        <f>COUNTIFS(D4:D35, "Loose Gooses", E$4:E$35,AB28,F$4:F$35,"Finish")</f>
        <v>1</v>
      </c>
      <c r="AE28" s="156">
        <f>COUNTIFS(D4:D35, "Loose Gooses", E$4:E$35,AB28,F$4:F$35,"Midrange")</f>
        <v>1</v>
      </c>
      <c r="AF28" s="156">
        <f>COUNTIFS(D4:D35, "Loose Gooses", E$4:E$35,AB28,F$4:F$35,"Three Pointer")</f>
        <v>1</v>
      </c>
    </row>
    <row r="29" spans="2:32" ht="14.25" customHeight="1" x14ac:dyDescent="0.5">
      <c r="B29" s="184">
        <v>26</v>
      </c>
      <c r="C29" s="184" t="s">
        <v>47</v>
      </c>
      <c r="D29" s="184" t="s">
        <v>26</v>
      </c>
      <c r="E29" s="184" t="s">
        <v>58</v>
      </c>
      <c r="F29" s="184" t="s">
        <v>99</v>
      </c>
      <c r="G29" s="184">
        <v>1</v>
      </c>
      <c r="H29" s="184">
        <v>1</v>
      </c>
      <c r="I29" s="184">
        <v>1</v>
      </c>
      <c r="R29" s="16" t="str">
        <f t="shared" si="9"/>
        <v>5,</v>
      </c>
      <c r="S29" s="16" t="str">
        <f t="shared" si="9"/>
        <v>2,</v>
      </c>
      <c r="T29" s="16" t="str">
        <f t="shared" si="9"/>
        <v>1,</v>
      </c>
      <c r="U29" s="16" t="str">
        <f t="shared" si="9"/>
        <v>1,</v>
      </c>
      <c r="X29" s="52" t="str">
        <f t="shared" si="5"/>
        <v>LG/5M</v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Table63132[[#This Row],[Finishes]]+Table63132[[#This Row],[Midranges]]+Table63132[[#This Row],[Threes]]+Table63132[[#This Row],[Threes]]</f>
        <v>1</v>
      </c>
      <c r="AD29" s="157">
        <f>COUNTIFS(D4:D35, "Loose Gooses", E$4:E$35,AB29,F$4:F$35,"Finish")</f>
        <v>0</v>
      </c>
      <c r="AE29" s="157">
        <f>COUNTIFS(D4:D35, "Loose Gooses", E$4:E$35,AB29,F$4:F$35,"Midrange")</f>
        <v>1</v>
      </c>
      <c r="AF29" s="157">
        <f>COUNTIFS(D4:D35, "Loose Gooses", E$4:E$35,AB29,F$4:F$35,"Three Pointer")</f>
        <v>0</v>
      </c>
    </row>
    <row r="30" spans="2:32" ht="14.25" customHeight="1" x14ac:dyDescent="0.5">
      <c r="B30" s="184">
        <v>27</v>
      </c>
      <c r="C30" s="184" t="s">
        <v>31</v>
      </c>
      <c r="D30" s="184" t="s">
        <v>47</v>
      </c>
      <c r="E30" s="184" t="s">
        <v>52</v>
      </c>
      <c r="F30" s="184" t="s">
        <v>99</v>
      </c>
      <c r="G30" s="184">
        <v>1</v>
      </c>
      <c r="H30" s="184">
        <v>1</v>
      </c>
      <c r="I30" s="184">
        <v>1</v>
      </c>
      <c r="R30" s="16" t="str">
        <f t="shared" si="9"/>
        <v>1,</v>
      </c>
      <c r="S30" s="16" t="str">
        <f t="shared" si="9"/>
        <v>0,</v>
      </c>
      <c r="T30" s="16" t="str">
        <f t="shared" si="9"/>
        <v>1,</v>
      </c>
      <c r="U30" s="16" t="str">
        <f t="shared" si="9"/>
        <v>0,</v>
      </c>
      <c r="X30" s="52" t="str">
        <f t="shared" si="5"/>
        <v/>
      </c>
      <c r="Y30" s="52" t="str">
        <f t="shared" si="6"/>
        <v>WW/LG</v>
      </c>
      <c r="Z30" s="52" t="str">
        <f t="shared" si="7"/>
        <v/>
      </c>
      <c r="AB30" s="158" t="s">
        <v>50</v>
      </c>
      <c r="AC30" s="165">
        <f>Table63132[[#This Row],[Finishes]]+Table63132[[#This Row],[Midranges]]+Table63132[[#This Row],[Threes]]+Table63132[[#This Row],[Threes]]</f>
        <v>5</v>
      </c>
      <c r="AD30" s="156">
        <f>COUNTIFS(D4:D35, "Loose Gooses", E$4:E$35,AB30,F$4:F$35,"Finish")</f>
        <v>3</v>
      </c>
      <c r="AE30" s="156">
        <f>COUNTIFS(D4:D35, "Loose Gooses", E$4:E$35,AB30,F$4:F$35,"Midrange")</f>
        <v>2</v>
      </c>
      <c r="AF30" s="156">
        <f>COUNTIFS(D4:D35, "Loose Gooses", E$4:E$35,AB30,F$4:F$35,"Three Pointer")</f>
        <v>0</v>
      </c>
    </row>
    <row r="31" spans="2:32" ht="14.25" customHeight="1" x14ac:dyDescent="0.5">
      <c r="B31" s="184">
        <v>28</v>
      </c>
      <c r="C31" s="184" t="s">
        <v>26</v>
      </c>
      <c r="D31" s="184" t="s">
        <v>31</v>
      </c>
      <c r="E31" s="184" t="s">
        <v>50</v>
      </c>
      <c r="F31" s="184" t="s">
        <v>99</v>
      </c>
      <c r="G31" s="184">
        <v>1</v>
      </c>
      <c r="H31" s="184">
        <v>1</v>
      </c>
      <c r="I31" s="184">
        <v>1</v>
      </c>
      <c r="R31" s="16" t="str">
        <f t="shared" si="9"/>
        <v>2,</v>
      </c>
      <c r="S31" s="16" t="str">
        <f t="shared" si="9"/>
        <v>1,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>5M/WW</v>
      </c>
      <c r="AB31" s="159" t="s">
        <v>52</v>
      </c>
      <c r="AC31" s="166">
        <f>Table63132[[#This Row],[Finishes]]+Table63132[[#This Row],[Midranges]]+Table63132[[#This Row],[Threes]]+Table63132[[#This Row],[Threes]]</f>
        <v>2</v>
      </c>
      <c r="AD31" s="157">
        <f>COUNTIFS(D4:D35, "Loose Gooses", E$4:E$35,AB31,F$4:F$35,"Finish")</f>
        <v>1</v>
      </c>
      <c r="AE31" s="157">
        <f>COUNTIFS(D4:D35, "Loose Gooses", E$4:E$35,AB31,F$4:F$35,"Midrange")</f>
        <v>1</v>
      </c>
      <c r="AF31" s="157">
        <f>COUNTIFS(D4:D35, "Loose Gooses", E$4:E$35,AB31,F$4:F$35,"Three Pointer")</f>
        <v>0</v>
      </c>
    </row>
    <row r="32" spans="2:32" ht="14.25" customHeight="1" x14ac:dyDescent="0.5">
      <c r="B32" s="184">
        <v>29</v>
      </c>
      <c r="C32" s="184" t="s">
        <v>47</v>
      </c>
      <c r="D32" s="184" t="s">
        <v>26</v>
      </c>
      <c r="E32" s="184" t="s">
        <v>58</v>
      </c>
      <c r="F32" s="184" t="s">
        <v>99</v>
      </c>
      <c r="G32" s="184">
        <v>1</v>
      </c>
      <c r="H32" s="184">
        <v>1</v>
      </c>
      <c r="I32" s="184">
        <v>1</v>
      </c>
      <c r="R32" s="16" t="str">
        <f t="shared" si="9"/>
        <v>10,</v>
      </c>
      <c r="S32" s="16" t="str">
        <f t="shared" si="9"/>
        <v>6,</v>
      </c>
      <c r="T32" s="16" t="str">
        <f t="shared" si="9"/>
        <v>4,</v>
      </c>
      <c r="U32" s="16" t="str">
        <f t="shared" si="9"/>
        <v>0,</v>
      </c>
      <c r="X32" s="52" t="str">
        <f t="shared" si="5"/>
        <v>LG/5M</v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Table63132[[#This Row],[Finishes]]+Table63132[[#This Row],[Midranges]]+Table63132[[#This Row],[Threes]]+Table63132[[#This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5">
      <c r="B33" s="184">
        <v>30</v>
      </c>
      <c r="C33" s="184" t="s">
        <v>31</v>
      </c>
      <c r="D33" s="184" t="s">
        <v>47</v>
      </c>
      <c r="E33" s="184" t="s">
        <v>37</v>
      </c>
      <c r="F33" s="184" t="s">
        <v>204</v>
      </c>
      <c r="G33" s="184">
        <v>1</v>
      </c>
      <c r="H33" s="184">
        <v>1</v>
      </c>
      <c r="I33" s="184">
        <v>1</v>
      </c>
      <c r="R33" s="16" t="str">
        <f t="shared" si="9"/>
        <v>2,</v>
      </c>
      <c r="S33" s="16" t="str">
        <f t="shared" si="9"/>
        <v>1,</v>
      </c>
      <c r="T33" s="16" t="str">
        <f t="shared" si="9"/>
        <v>1,</v>
      </c>
      <c r="U33" s="16" t="str">
        <f t="shared" si="9"/>
        <v>0,</v>
      </c>
      <c r="X33" s="52" t="str">
        <f t="shared" si="5"/>
        <v/>
      </c>
      <c r="Y33" s="52" t="str">
        <f t="shared" si="6"/>
        <v>WW/LG</v>
      </c>
      <c r="Z33" s="52" t="str">
        <f t="shared" si="7"/>
        <v/>
      </c>
      <c r="AB33" s="159" t="s">
        <v>55</v>
      </c>
      <c r="AC33" s="166">
        <f>Table63132[[#This Row],[Finishes]]+Table63132[[#This Row],[Midranges]]+Table63132[[#This Row],[Threes]]+Table63132[[#This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Table63132[[#This Row],[Finishes]]+Table63132[[#This Row],[Midranges]]+Table63132[[#This Row],[Threes]]+Table63132[[#This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"Did not Play",</v>
      </c>
      <c r="S35" s="16" t="str">
        <f t="shared" si="9"/>
        <v>"Did not Play",</v>
      </c>
      <c r="T35" s="16" t="str">
        <f t="shared" si="9"/>
        <v>"Did not Play",</v>
      </c>
      <c r="U35" s="16" t="str">
        <f t="shared" si="9"/>
        <v>"Did not Play",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Table63132[[#This Row],[Finishes]]+Table63132[[#This Row],[Midranges]]+Table63132[[#This Row],[Threes]]+Table63132[[#This Row],[Threes]]</f>
        <v>2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1</v>
      </c>
    </row>
    <row r="36" spans="2:32" ht="14.25" customHeight="1" x14ac:dyDescent="0.45">
      <c r="R36" s="16" t="str">
        <f t="shared" si="9"/>
        <v>3,</v>
      </c>
      <c r="S36" s="16" t="str">
        <f t="shared" si="9"/>
        <v>1,</v>
      </c>
      <c r="T36" s="16" t="str">
        <f t="shared" si="9"/>
        <v>2,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"Did not Play",</v>
      </c>
      <c r="S37" s="16" t="str">
        <f t="shared" si="9"/>
        <v>"Did not Play",</v>
      </c>
      <c r="T37" s="16" t="str">
        <f t="shared" si="9"/>
        <v>"Did not Play",</v>
      </c>
      <c r="U37" s="16" t="str">
        <f t="shared" si="9"/>
        <v>"Did not Play",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2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1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"Date":["15-August"],</v>
      </c>
    </row>
    <row r="45" spans="2:32" ht="14.25" customHeight="1" x14ac:dyDescent="0.45">
      <c r="B45" s="74" t="str">
        <f>C2</f>
        <v>15-August</v>
      </c>
      <c r="C45" s="16">
        <f>MAX(L3:L5)</f>
        <v>20</v>
      </c>
      <c r="D45" s="16">
        <f>COUNT(B4:B42)-C45-E45</f>
        <v>5</v>
      </c>
      <c r="E45" s="16">
        <f>MIN(L3:L5)</f>
        <v>5</v>
      </c>
      <c r="F45" s="16">
        <f>L3</f>
        <v>5</v>
      </c>
      <c r="G45" s="16">
        <f>COUNTIF(Y4:Y39, "WW/LG")</f>
        <v>5</v>
      </c>
      <c r="H45" s="16">
        <f>COUNTIF(Z4:Z39, "5M/LG")</f>
        <v>8</v>
      </c>
      <c r="I45" s="16">
        <f>L5</f>
        <v>5</v>
      </c>
      <c r="J45" s="16">
        <f>COUNTIF(X4:X39, "LG/WW")</f>
        <v>0</v>
      </c>
      <c r="K45" s="16">
        <f>COUNTIF(Z4:Z39, "5M/WW")</f>
        <v>12</v>
      </c>
      <c r="L45" s="16">
        <f>L4</f>
        <v>20</v>
      </c>
      <c r="M45" s="16">
        <f>COUNTIF(X4:X39, "LG/5M")</f>
        <v>5</v>
      </c>
      <c r="N45" s="16">
        <f>COUNTIF(Y4:Y39, "WW/5M")</f>
        <v>0</v>
      </c>
      <c r="O45" s="16">
        <f>O3</f>
        <v>1</v>
      </c>
      <c r="P45" s="16">
        <f>O5</f>
        <v>2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"Points":[0,"Did not Play","Did not Play","Did not Play",1,5,5,1,2,10,2,"Did not Play","Did not Play",3,"Did not Play",0,2],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"Finishes":[0,"Did not Play","Did not Play","Did not Play",1,3,2,0,1,6,1,"Did not Play","Did not Play",1,"Did not Play",0,0],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"Midrange":[0,"Did not Play","Did not Play","Did not Play",0,2,1,1,1,4,1,"Did not Play","Did not Play",2,"Did not Play",0,0],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"ThreePointers":[0,"Did not Play","Did not Play","Did not Play",0,0,1,0,0,0,0,"Did not Play","Did not Play",0,"Did not Play",0,1]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223-B3A8-49CE-B54B-366B6423D700}">
  <dimension ref="B1:AF1000"/>
  <sheetViews>
    <sheetView zoomScale="79" workbookViewId="0">
      <selection activeCell="C14" activeCellId="2" sqref="C4:E4 C9:E11 C14:E16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283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2</v>
      </c>
      <c r="M3" s="11">
        <f>COUNTIF(D3:D40, "Loose Gooses")</f>
        <v>5</v>
      </c>
      <c r="N3" s="10">
        <f>L3/(L3+M3)</f>
        <v>0.2857142857142857</v>
      </c>
      <c r="O3" s="11">
        <f>IF(M3&lt;&gt;0,IF(AND(N3&gt;N4,N3&gt;N5),3,IF(OR(N3&gt;N4,N3&gt;N5),2,1)),0)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26</v>
      </c>
      <c r="D4" s="25" t="s">
        <v>31</v>
      </c>
      <c r="E4" s="25" t="s">
        <v>50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7</v>
      </c>
      <c r="M4" s="11">
        <f>COUNTIF(D3:D40, "5 Musketeers")</f>
        <v>3</v>
      </c>
      <c r="N4" s="10">
        <f t="shared" ref="N4:N5" si="4">L4/(L4+M4)</f>
        <v>0.7</v>
      </c>
      <c r="O4" s="11">
        <f>IF(M4&lt;&gt;0,IF(AND(N4&gt;N3,N4&gt;N5),3,IF(OR(N4&gt;N3,N4&gt;N5),2,1)),0)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5M/WW</v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26</v>
      </c>
      <c r="E5" s="25" t="s">
        <v>46</v>
      </c>
      <c r="F5" s="25" t="s">
        <v>99</v>
      </c>
      <c r="G5" s="25">
        <v>1</v>
      </c>
      <c r="H5" s="25">
        <v>1</v>
      </c>
      <c r="I5" s="25">
        <v>1</v>
      </c>
      <c r="K5" s="11" t="s">
        <v>109</v>
      </c>
      <c r="L5" s="11">
        <f>COUNTIF(C3:C40, "Wet Willies")</f>
        <v>4</v>
      </c>
      <c r="M5" s="11">
        <f>COUNTIF(D3:D40, "Wet Willies")</f>
        <v>5</v>
      </c>
      <c r="N5" s="10">
        <f t="shared" si="4"/>
        <v>0.44444444444444442</v>
      </c>
      <c r="O5" s="11">
        <f>IF(M5&lt;&gt;0,IF(AND(N5&gt;N4, N5&gt;N3), 3, IF(OR(N5&gt;N4, N5&gt;N3), 2, 1)),0)</f>
        <v>2</v>
      </c>
      <c r="Q5" s="2" t="s">
        <v>30</v>
      </c>
      <c r="R5" s="8">
        <f t="shared" si="0"/>
        <v>4</v>
      </c>
      <c r="S5" s="9">
        <f t="shared" si="1"/>
        <v>4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>LG/5M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31</v>
      </c>
      <c r="D6" s="25" t="s">
        <v>47</v>
      </c>
      <c r="E6" s="25" t="s">
        <v>37</v>
      </c>
      <c r="F6" s="25" t="s">
        <v>204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>WW/LG</v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31</v>
      </c>
      <c r="D7" s="25" t="s">
        <v>26</v>
      </c>
      <c r="E7" s="25" t="s">
        <v>55</v>
      </c>
      <c r="F7" s="25" t="s">
        <v>205</v>
      </c>
      <c r="G7" s="25">
        <v>2</v>
      </c>
      <c r="H7" s="25">
        <v>2</v>
      </c>
      <c r="I7" s="25">
        <v>1</v>
      </c>
      <c r="Q7" s="2" t="s">
        <v>37</v>
      </c>
      <c r="R7" s="8">
        <f t="shared" si="0"/>
        <v>1</v>
      </c>
      <c r="S7" s="9">
        <f t="shared" si="1"/>
        <v>1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>WW/5M</v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47</v>
      </c>
      <c r="D8" s="25" t="s">
        <v>31</v>
      </c>
      <c r="E8" s="25" t="s">
        <v>61</v>
      </c>
      <c r="F8" s="25" t="s">
        <v>204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>LG/WW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47</v>
      </c>
      <c r="E9" s="25" t="s">
        <v>30</v>
      </c>
      <c r="F9" s="25" t="s">
        <v>204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</row>
    <row r="10" spans="2:31" ht="14.25" customHeight="1" x14ac:dyDescent="0.45">
      <c r="B10" s="25">
        <v>7</v>
      </c>
      <c r="C10" s="25" t="s">
        <v>26</v>
      </c>
      <c r="D10" s="25" t="s">
        <v>31</v>
      </c>
      <c r="E10" s="25" t="s">
        <v>50</v>
      </c>
      <c r="F10" s="25" t="s">
        <v>204</v>
      </c>
      <c r="G10" s="25">
        <v>2</v>
      </c>
      <c r="H10" s="25">
        <v>2</v>
      </c>
      <c r="I10" s="25">
        <v>1</v>
      </c>
      <c r="Q10" s="2" t="s">
        <v>44</v>
      </c>
      <c r="R10" s="8">
        <f t="shared" si="0"/>
        <v>3</v>
      </c>
      <c r="S10" s="9">
        <f t="shared" si="1"/>
        <v>1</v>
      </c>
      <c r="T10" s="9">
        <f t="shared" si="2"/>
        <v>0</v>
      </c>
      <c r="U10" s="9">
        <f t="shared" si="3"/>
        <v>1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5M/WW</v>
      </c>
      <c r="AB10" s="2"/>
    </row>
    <row r="11" spans="2:31" ht="14.25" customHeight="1" x14ac:dyDescent="0.45">
      <c r="B11" s="25">
        <v>8</v>
      </c>
      <c r="C11" s="25" t="s">
        <v>26</v>
      </c>
      <c r="D11" s="25" t="s">
        <v>47</v>
      </c>
      <c r="E11" s="25" t="s">
        <v>50</v>
      </c>
      <c r="F11" s="25" t="s">
        <v>99</v>
      </c>
      <c r="G11" s="25">
        <v>3</v>
      </c>
      <c r="H11" s="25">
        <v>2</v>
      </c>
      <c r="I11" s="25">
        <v>2</v>
      </c>
      <c r="Q11" s="2" t="s">
        <v>46</v>
      </c>
      <c r="R11" s="8">
        <f t="shared" si="0"/>
        <v>1</v>
      </c>
      <c r="S11" s="9">
        <f t="shared" si="1"/>
        <v>0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5M/LG</v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26</v>
      </c>
      <c r="E12" s="25" t="s">
        <v>44</v>
      </c>
      <c r="F12" s="25" t="s">
        <v>204</v>
      </c>
      <c r="G12" s="25">
        <v>1</v>
      </c>
      <c r="H12" s="25">
        <v>1</v>
      </c>
      <c r="I12" s="25">
        <v>1</v>
      </c>
      <c r="Q12" s="2" t="s">
        <v>50</v>
      </c>
      <c r="R12" s="8">
        <f t="shared" si="0"/>
        <v>3</v>
      </c>
      <c r="S12" s="9">
        <f t="shared" si="1"/>
        <v>1</v>
      </c>
      <c r="T12" s="9">
        <f t="shared" si="2"/>
        <v>2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WW/5M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31</v>
      </c>
      <c r="D13" s="25" t="s">
        <v>47</v>
      </c>
      <c r="E13" s="25" t="s">
        <v>44</v>
      </c>
      <c r="F13" s="25" t="s">
        <v>205</v>
      </c>
      <c r="G13" s="25">
        <v>2</v>
      </c>
      <c r="H13" s="25">
        <v>3</v>
      </c>
      <c r="I13" s="25">
        <v>2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>WW/LG</v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26</v>
      </c>
      <c r="D14" s="25" t="s">
        <v>31</v>
      </c>
      <c r="E14" s="25" t="s">
        <v>30</v>
      </c>
      <c r="F14" s="25" t="s">
        <v>204</v>
      </c>
      <c r="G14" s="25">
        <v>1</v>
      </c>
      <c r="H14" s="25">
        <v>1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>5M/WW</v>
      </c>
      <c r="AB14" s="2"/>
    </row>
    <row r="15" spans="2:31" ht="14.25" customHeight="1" x14ac:dyDescent="0.45">
      <c r="B15" s="25">
        <v>12</v>
      </c>
      <c r="C15" s="25" t="s">
        <v>26</v>
      </c>
      <c r="D15" s="25" t="s">
        <v>47</v>
      </c>
      <c r="E15" s="25" t="s">
        <v>30</v>
      </c>
      <c r="F15" s="25" t="s">
        <v>204</v>
      </c>
      <c r="G15" s="25">
        <v>2</v>
      </c>
      <c r="H15" s="25">
        <v>4</v>
      </c>
      <c r="I15" s="25">
        <v>2</v>
      </c>
      <c r="Q15" s="2" t="s">
        <v>55</v>
      </c>
      <c r="R15" s="8">
        <f t="shared" si="0"/>
        <v>2</v>
      </c>
      <c r="S15" s="9">
        <f t="shared" si="1"/>
        <v>0</v>
      </c>
      <c r="T15" s="9">
        <f t="shared" si="2"/>
        <v>0</v>
      </c>
      <c r="U15" s="9">
        <f t="shared" si="3"/>
        <v>1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>5M/LG</v>
      </c>
      <c r="AB15" s="2"/>
    </row>
    <row r="16" spans="2:31" ht="14.25" customHeight="1" x14ac:dyDescent="0.45">
      <c r="B16" s="25">
        <v>13</v>
      </c>
      <c r="C16" s="25" t="s">
        <v>26</v>
      </c>
      <c r="D16" s="25" t="s">
        <v>31</v>
      </c>
      <c r="E16" s="25" t="s">
        <v>30</v>
      </c>
      <c r="F16" s="25" t="s">
        <v>204</v>
      </c>
      <c r="G16" s="25">
        <v>3</v>
      </c>
      <c r="H16" s="25">
        <v>2</v>
      </c>
      <c r="I16" s="25">
        <v>3</v>
      </c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>5M/WW</v>
      </c>
      <c r="AB16" s="2"/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1</v>
      </c>
      <c r="S17" s="9">
        <f t="shared" si="1"/>
        <v>1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Table6316[[#This Row],[Finishes]]+Table6316[[#This Row],[Midranges]]+Table6316[[#This Row],[Threes]]+Table6316[[#This Row],[Threes]]</f>
        <v>2</v>
      </c>
      <c r="AD24" s="156">
        <f>COUNTIFS(D4:D35, "Loose Gooses", E$4:E$35,AB24,F$4:F$35,"Finish")</f>
        <v>2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4,</v>
      </c>
      <c r="S25" s="16" t="str">
        <f t="shared" si="9"/>
        <v>4,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Table6316[[#This Row],[Finishes]]+Table6316[[#This Row],[Midranges]]+Table6316[[#This Row],[Threes]]+Table6316[[#This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0,</v>
      </c>
      <c r="S26" s="16" t="str">
        <f t="shared" si="9"/>
        <v>0,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Table6316[[#This Row],[Finishes]]+Table6316[[#This Row],[Midranges]]+Table6316[[#This Row],[Threes]]+Table6316[[#This Row],[Threes]]</f>
        <v>1</v>
      </c>
      <c r="AD26" s="156">
        <f>COUNTIFS(D4:D35, "Loose Gooses", E$4:E$35,AB26,F$4:F$35,"Finish")</f>
        <v>1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1,</v>
      </c>
      <c r="S27" s="16" t="str">
        <f t="shared" si="9"/>
        <v>1,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Table6316[[#This Row],[Finishes]]+Table6316[[#This Row],[Midranges]]+Table6316[[#This Row],[Threes]]+Table6316[[#This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Table6316[[#This Row],[Finishes]]+Table6316[[#This Row],[Midranges]]+Table6316[[#This Row],[Threes]]+Table6316[[#This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Table6316[[#This Row],[Finishes]]+Table6316[[#This Row],[Midranges]]+Table6316[[#This Row],[Threes]]+Table6316[[#This Row],[Threes]]</f>
        <v>2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1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3,</v>
      </c>
      <c r="S30" s="16" t="str">
        <f t="shared" si="9"/>
        <v>1,</v>
      </c>
      <c r="T30" s="16" t="str">
        <f t="shared" si="9"/>
        <v>0,</v>
      </c>
      <c r="U30" s="16" t="str">
        <f t="shared" si="9"/>
        <v>1,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Table6316[[#This Row],[Finishes]]+Table6316[[#This Row],[Midranges]]+Table6316[[#This Row],[Threes]]+Table6316[[#This Row],[Threes]]</f>
        <v>1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0,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Table6316[[#This Row],[Finishes]]+Table6316[[#This Row],[Midranges]]+Table6316[[#This Row],[Threes]]+Table6316[[#This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3,</v>
      </c>
      <c r="S32" s="16" t="str">
        <f t="shared" si="9"/>
        <v>1,</v>
      </c>
      <c r="T32" s="16" t="str">
        <f t="shared" si="9"/>
        <v>2,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Table6316[[#This Row],[Finishes]]+Table6316[[#This Row],[Midranges]]+Table6316[[#This Row],[Threes]]+Table6316[[#This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Table6316[[#This Row],[Finishes]]+Table6316[[#This Row],[Midranges]]+Table6316[[#This Row],[Threes]]+Table6316[[#This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Table6316[[#This Row],[Finishes]]+Table6316[[#This Row],[Midranges]]+Table6316[[#This Row],[Threes]]+Table6316[[#This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2,</v>
      </c>
      <c r="S35" s="16" t="str">
        <f t="shared" si="9"/>
        <v>0,</v>
      </c>
      <c r="T35" s="16" t="str">
        <f t="shared" si="9"/>
        <v>0,</v>
      </c>
      <c r="U35" s="16" t="str">
        <f t="shared" si="9"/>
        <v>1,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Table6316[[#This Row],[Finishes]]+Table6316[[#This Row],[Midranges]]+Table6316[[#This Row],[Threes]]+Table6316[[#This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0,</v>
      </c>
      <c r="S36" s="16" t="str">
        <f t="shared" si="9"/>
        <v>0,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1,</v>
      </c>
      <c r="S37" s="16" t="str">
        <f t="shared" si="9"/>
        <v>1,</v>
      </c>
      <c r="T37" s="16" t="str">
        <f t="shared" si="9"/>
        <v>0,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"Date":["14-August"],</v>
      </c>
    </row>
    <row r="45" spans="2:32" ht="14.25" customHeight="1" x14ac:dyDescent="0.45">
      <c r="B45" s="74" t="str">
        <f>C2</f>
        <v>14-August</v>
      </c>
      <c r="C45" s="16">
        <f>MAX(L3:L5)</f>
        <v>7</v>
      </c>
      <c r="D45" s="16">
        <f>COUNT(B4:B42)-C45-E45</f>
        <v>4</v>
      </c>
      <c r="E45" s="16">
        <f>MIN(L3:L5)</f>
        <v>2</v>
      </c>
      <c r="F45" s="16">
        <f>L3</f>
        <v>2</v>
      </c>
      <c r="G45" s="16">
        <f>COUNTIF(Y4:Y39, "WW/LG")</f>
        <v>2</v>
      </c>
      <c r="H45" s="16">
        <f>COUNTIF(Z4:Z39, "5M/LG")</f>
        <v>3</v>
      </c>
      <c r="I45" s="16">
        <f>L5</f>
        <v>4</v>
      </c>
      <c r="J45" s="16">
        <f>COUNTIF(X4:X39, "LG/WW")</f>
        <v>1</v>
      </c>
      <c r="K45" s="16">
        <f>COUNTIF(Z4:Z39, "5M/WW")</f>
        <v>4</v>
      </c>
      <c r="L45" s="16">
        <f>L4</f>
        <v>7</v>
      </c>
      <c r="M45" s="16">
        <f>COUNTIF(X4:X39, "LG/5M")</f>
        <v>1</v>
      </c>
      <c r="N45" s="16">
        <f>COUNTIF(Y4:Y39, "WW/5M")</f>
        <v>2</v>
      </c>
      <c r="O45" s="16">
        <f>O3</f>
        <v>1</v>
      </c>
      <c r="P45" s="16">
        <f>O5</f>
        <v>2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"Points":[0,0,4,0,1,0,0,3,1,3,0,"Did not Play",2,0,1,0,0],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"Finishes":[0,0,4,0,1,0,0,1,0,1,0,"Did not Play",0,0,1,0,0],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"Midrange":[0,0,0,0,0,0,0,0,1,2,0,"Did not Play",0,0,0,0,0],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"ThreePointers":[0,0,0,0,0,0,0,1,0,0,0,"Did not Play",1,0,0,0,0]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C0BB-B4E8-4049-9F6C-BFC0658E2C7F}">
  <dimension ref="B1:AF1000"/>
  <sheetViews>
    <sheetView zoomScale="79" workbookViewId="0">
      <selection activeCell="C21" activeCellId="3" sqref="C7:D10 C17:D18 D16 C21:D24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272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10</v>
      </c>
      <c r="M3" s="11">
        <f>COUNTIF(D3:D40, "Loose Gooses")</f>
        <v>6</v>
      </c>
      <c r="N3" s="10">
        <f>L3/(L3+M3)</f>
        <v>0.625</v>
      </c>
      <c r="O3" s="11">
        <f>IF(M3&lt;&gt;0,IF(AND(N3&gt;N4,N3&gt;N5),3,IF(OR(N3&gt;N4,N3&gt;N5),2,1)),0)</f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5">
      <c r="B4" s="171">
        <v>1</v>
      </c>
      <c r="C4" s="171" t="s">
        <v>31</v>
      </c>
      <c r="D4" s="171" t="s">
        <v>26</v>
      </c>
      <c r="E4" s="171" t="s">
        <v>35</v>
      </c>
      <c r="F4" s="171" t="s">
        <v>204</v>
      </c>
      <c r="G4" s="171">
        <v>1</v>
      </c>
      <c r="H4" s="171">
        <v>1</v>
      </c>
      <c r="I4" s="171">
        <v>1</v>
      </c>
      <c r="K4" s="11" t="s">
        <v>110</v>
      </c>
      <c r="L4" s="11">
        <f>COUNTIF(C3:C40, "5 Musketeers")</f>
        <v>0</v>
      </c>
      <c r="M4" s="11">
        <f>COUNTIF(D3:D40, "5 Musketeers")</f>
        <v>11</v>
      </c>
      <c r="N4" s="10">
        <f t="shared" ref="N4:N5" si="4">L4/(L4+M4)</f>
        <v>0</v>
      </c>
      <c r="O4" s="11">
        <f>IF(M4&lt;&gt;0,IF(AND(N4&gt;N3,N4&gt;N5),3,IF(OR(N4&gt;N3,N4&gt;N5),2,1)),0)</f>
        <v>1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>WW/5M</v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5">
      <c r="B5" s="171">
        <v>2</v>
      </c>
      <c r="C5" s="171" t="s">
        <v>31</v>
      </c>
      <c r="D5" s="171" t="s">
        <v>47</v>
      </c>
      <c r="E5" s="171" t="s">
        <v>44</v>
      </c>
      <c r="F5" s="171" t="s">
        <v>99</v>
      </c>
      <c r="G5" s="171">
        <v>2</v>
      </c>
      <c r="H5" s="171">
        <v>1</v>
      </c>
      <c r="I5" s="171">
        <v>1</v>
      </c>
      <c r="K5" s="11" t="s">
        <v>109</v>
      </c>
      <c r="L5" s="11">
        <f>COUNTIF(C3:C40, "Wet Willies")</f>
        <v>12</v>
      </c>
      <c r="M5" s="11">
        <f>COUNTIF(D3:D40, "Wet Willies")</f>
        <v>5</v>
      </c>
      <c r="N5" s="10">
        <f t="shared" si="4"/>
        <v>0.70588235294117652</v>
      </c>
      <c r="O5" s="11">
        <f>IF(M5&lt;&gt;0,IF(AND(N5&gt;N4, N5&gt;N3), 3, IF(OR(N5&gt;N4, N5&gt;N3), 2, 1)),0)</f>
        <v>3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/>
      </c>
      <c r="Y5" s="52" t="str">
        <f t="shared" si="6"/>
        <v>WW/LG</v>
      </c>
      <c r="Z5" s="52" t="str">
        <f t="shared" si="7"/>
        <v/>
      </c>
      <c r="AB5" s="2"/>
    </row>
    <row r="6" spans="2:31" ht="14.25" customHeight="1" x14ac:dyDescent="0.5">
      <c r="B6" s="171">
        <v>3</v>
      </c>
      <c r="C6" s="171" t="s">
        <v>31</v>
      </c>
      <c r="D6" s="171" t="s">
        <v>26</v>
      </c>
      <c r="E6" s="171" t="s">
        <v>35</v>
      </c>
      <c r="F6" s="171" t="s">
        <v>204</v>
      </c>
      <c r="G6" s="171">
        <v>3</v>
      </c>
      <c r="H6" s="171">
        <v>2</v>
      </c>
      <c r="I6" s="171">
        <v>1</v>
      </c>
      <c r="Q6" s="2" t="s">
        <v>35</v>
      </c>
      <c r="R6" s="8">
        <f t="shared" si="0"/>
        <v>6</v>
      </c>
      <c r="S6" s="9">
        <f t="shared" si="1"/>
        <v>6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>WW/5M</v>
      </c>
      <c r="Z6" s="52" t="str">
        <f t="shared" si="7"/>
        <v/>
      </c>
      <c r="AB6" s="2"/>
    </row>
    <row r="7" spans="2:31" ht="14.25" customHeight="1" x14ac:dyDescent="0.5">
      <c r="B7" s="171">
        <v>4</v>
      </c>
      <c r="C7" s="171" t="s">
        <v>47</v>
      </c>
      <c r="D7" s="171" t="s">
        <v>31</v>
      </c>
      <c r="E7" s="171" t="s">
        <v>61</v>
      </c>
      <c r="F7" s="171" t="s">
        <v>204</v>
      </c>
      <c r="G7" s="171">
        <v>1</v>
      </c>
      <c r="H7" s="171">
        <v>1</v>
      </c>
      <c r="I7" s="171">
        <v>1</v>
      </c>
      <c r="Q7" s="2" t="s">
        <v>37</v>
      </c>
      <c r="R7" s="8">
        <f t="shared" si="0"/>
        <v>3</v>
      </c>
      <c r="S7" s="9">
        <f t="shared" si="1"/>
        <v>0</v>
      </c>
      <c r="T7" s="9">
        <f t="shared" si="2"/>
        <v>1</v>
      </c>
      <c r="U7" s="9">
        <f t="shared" si="3"/>
        <v>1</v>
      </c>
      <c r="V7" s="26" t="b">
        <v>0</v>
      </c>
      <c r="X7" s="52" t="str">
        <f t="shared" si="5"/>
        <v>LG/WW</v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5">
      <c r="B8" s="171">
        <v>5</v>
      </c>
      <c r="C8" s="171" t="s">
        <v>47</v>
      </c>
      <c r="D8" s="171" t="s">
        <v>26</v>
      </c>
      <c r="E8" s="171" t="s">
        <v>61</v>
      </c>
      <c r="F8" s="171" t="s">
        <v>204</v>
      </c>
      <c r="G8" s="171">
        <v>2</v>
      </c>
      <c r="H8" s="171">
        <v>3</v>
      </c>
      <c r="I8" s="171">
        <v>2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1</v>
      </c>
      <c r="X8" s="52" t="str">
        <f t="shared" si="5"/>
        <v>LG/5M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5">
      <c r="B9" s="172">
        <v>6</v>
      </c>
      <c r="C9" s="172" t="s">
        <v>47</v>
      </c>
      <c r="D9" s="172" t="s">
        <v>31</v>
      </c>
      <c r="E9" s="172" t="s">
        <v>58</v>
      </c>
      <c r="F9" s="172" t="s">
        <v>204</v>
      </c>
      <c r="G9" s="172">
        <v>3</v>
      </c>
      <c r="H9" s="172">
        <v>2</v>
      </c>
      <c r="I9" s="172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ref="X9:X23" si="8">IF(AND(C11="Loose Gooses",D11="Wet Willies"),"LG/WW", IF(AND(C11="Loose Gooses",D11="5 Musketeers"),"LG/5M", ""))</f>
        <v/>
      </c>
      <c r="Y9" s="52" t="str">
        <f t="shared" ref="Y9:Y23" si="9">IF(AND(C11="Wet Willies",D11="Loose Gooses"),"WW/LG", IF(AND(C11="Wet Willies",D11="5 Musketeers"),"WW/5M", ""))</f>
        <v>WW/LG</v>
      </c>
      <c r="Z9" s="52" t="str">
        <f t="shared" ref="Z9:Z23" si="10">IF(AND(C11="5 Musketeers",D11="Loose Gooses"),"5M/LG", IF(AND($C11="5 Musketeers",$D11="Wet Willies"),"5M/WW", ""))</f>
        <v/>
      </c>
    </row>
    <row r="10" spans="2:31" ht="14.25" customHeight="1" x14ac:dyDescent="0.5">
      <c r="B10" s="172">
        <v>7</v>
      </c>
      <c r="C10" s="172" t="s">
        <v>47</v>
      </c>
      <c r="D10" s="172" t="s">
        <v>26</v>
      </c>
      <c r="E10" s="172" t="s">
        <v>61</v>
      </c>
      <c r="F10" s="172" t="s">
        <v>204</v>
      </c>
      <c r="G10" s="172">
        <v>4</v>
      </c>
      <c r="H10" s="172">
        <v>4</v>
      </c>
      <c r="I10" s="172">
        <v>1</v>
      </c>
      <c r="Q10" s="2" t="s">
        <v>44</v>
      </c>
      <c r="R10" s="8">
        <f t="shared" si="0"/>
        <v>3</v>
      </c>
      <c r="S10" s="9">
        <f t="shared" si="1"/>
        <v>0</v>
      </c>
      <c r="T10" s="9">
        <f t="shared" si="2"/>
        <v>1</v>
      </c>
      <c r="U10" s="9">
        <f t="shared" si="3"/>
        <v>1</v>
      </c>
      <c r="V10" s="26" t="b">
        <v>0</v>
      </c>
      <c r="X10" s="52" t="str">
        <f t="shared" si="8"/>
        <v/>
      </c>
      <c r="Y10" s="52" t="str">
        <f t="shared" si="9"/>
        <v>WW/5M</v>
      </c>
      <c r="Z10" s="52" t="str">
        <f t="shared" si="10"/>
        <v/>
      </c>
      <c r="AB10" s="2"/>
    </row>
    <row r="11" spans="2:31" ht="14.25" customHeight="1" x14ac:dyDescent="0.5">
      <c r="B11" s="172">
        <v>8</v>
      </c>
      <c r="C11" s="171" t="s">
        <v>31</v>
      </c>
      <c r="D11" s="171" t="s">
        <v>47</v>
      </c>
      <c r="E11" s="171" t="s">
        <v>35</v>
      </c>
      <c r="F11" s="171" t="s">
        <v>204</v>
      </c>
      <c r="G11" s="171">
        <v>1</v>
      </c>
      <c r="H11" s="171">
        <v>1</v>
      </c>
      <c r="I11" s="171">
        <v>1</v>
      </c>
      <c r="Q11" s="2" t="s">
        <v>46</v>
      </c>
      <c r="R11" s="8">
        <f t="shared" si="0"/>
        <v>5</v>
      </c>
      <c r="S11" s="9">
        <f t="shared" si="1"/>
        <v>2</v>
      </c>
      <c r="T11" s="9">
        <f t="shared" si="2"/>
        <v>1</v>
      </c>
      <c r="U11" s="9">
        <f t="shared" si="3"/>
        <v>1</v>
      </c>
      <c r="V11" s="26" t="b">
        <v>0</v>
      </c>
      <c r="X11" s="52" t="str">
        <f t="shared" si="8"/>
        <v/>
      </c>
      <c r="Y11" s="52" t="str">
        <f t="shared" si="9"/>
        <v>WW/LG</v>
      </c>
      <c r="Z11" s="52" t="str">
        <f t="shared" si="10"/>
        <v/>
      </c>
      <c r="AB11" s="2"/>
    </row>
    <row r="12" spans="2:31" ht="14.25" customHeight="1" x14ac:dyDescent="0.5">
      <c r="B12" s="172">
        <v>9</v>
      </c>
      <c r="C12" s="171" t="s">
        <v>31</v>
      </c>
      <c r="D12" s="171" t="s">
        <v>26</v>
      </c>
      <c r="E12" s="171" t="s">
        <v>52</v>
      </c>
      <c r="F12" s="171" t="s">
        <v>99</v>
      </c>
      <c r="G12" s="171">
        <v>2</v>
      </c>
      <c r="H12" s="171">
        <v>5</v>
      </c>
      <c r="I12" s="171">
        <v>1</v>
      </c>
      <c r="Q12" s="2" t="s">
        <v>50</v>
      </c>
      <c r="R12" s="8">
        <f t="shared" si="0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26" t="b">
        <v>1</v>
      </c>
      <c r="X12" s="52" t="str">
        <f t="shared" si="8"/>
        <v/>
      </c>
      <c r="Y12" s="52" t="str">
        <f t="shared" si="9"/>
        <v>WW/5M</v>
      </c>
      <c r="Z12" s="52" t="str">
        <f t="shared" si="10"/>
        <v/>
      </c>
      <c r="AB12" s="2"/>
    </row>
    <row r="13" spans="2:31" ht="14.25" customHeight="1" x14ac:dyDescent="0.5">
      <c r="B13" s="172">
        <v>10</v>
      </c>
      <c r="C13" s="171" t="s">
        <v>31</v>
      </c>
      <c r="D13" s="171" t="s">
        <v>47</v>
      </c>
      <c r="E13" s="171" t="s">
        <v>44</v>
      </c>
      <c r="F13" s="171" t="s">
        <v>205</v>
      </c>
      <c r="G13" s="171">
        <v>3</v>
      </c>
      <c r="H13" s="171">
        <v>2</v>
      </c>
      <c r="I13" s="171">
        <v>1</v>
      </c>
      <c r="Q13" s="2" t="s">
        <v>52</v>
      </c>
      <c r="R13" s="8">
        <f t="shared" si="0"/>
        <v>1</v>
      </c>
      <c r="S13" s="9">
        <f t="shared" si="1"/>
        <v>0</v>
      </c>
      <c r="T13" s="9">
        <f t="shared" si="2"/>
        <v>1</v>
      </c>
      <c r="U13" s="9">
        <f t="shared" si="3"/>
        <v>0</v>
      </c>
      <c r="V13" s="26" t="b">
        <v>0</v>
      </c>
      <c r="X13" s="52" t="str">
        <f t="shared" si="8"/>
        <v/>
      </c>
      <c r="Y13" s="52" t="str">
        <f t="shared" si="9"/>
        <v>WW/LG</v>
      </c>
      <c r="Z13" s="52" t="str">
        <f t="shared" si="10"/>
        <v/>
      </c>
      <c r="AB13" s="2"/>
    </row>
    <row r="14" spans="2:31" ht="14.25" customHeight="1" x14ac:dyDescent="0.5">
      <c r="B14" s="172">
        <v>11</v>
      </c>
      <c r="C14" s="171" t="s">
        <v>31</v>
      </c>
      <c r="D14" s="171" t="s">
        <v>26</v>
      </c>
      <c r="E14" s="171" t="s">
        <v>35</v>
      </c>
      <c r="F14" s="171" t="s">
        <v>204</v>
      </c>
      <c r="G14" s="171">
        <v>4</v>
      </c>
      <c r="H14" s="171">
        <v>6</v>
      </c>
      <c r="I14" s="171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8"/>
        <v/>
      </c>
      <c r="Y14" s="52" t="str">
        <f t="shared" si="9"/>
        <v>WW/5M</v>
      </c>
      <c r="Z14" s="52" t="str">
        <f t="shared" si="10"/>
        <v/>
      </c>
      <c r="AB14" s="2"/>
    </row>
    <row r="15" spans="2:31" ht="14.25" customHeight="1" x14ac:dyDescent="0.5">
      <c r="B15" s="172">
        <v>12</v>
      </c>
      <c r="C15" s="171" t="s">
        <v>31</v>
      </c>
      <c r="D15" s="171" t="s">
        <v>47</v>
      </c>
      <c r="E15" s="171" t="s">
        <v>35</v>
      </c>
      <c r="F15" s="171" t="s">
        <v>204</v>
      </c>
      <c r="G15" s="171">
        <v>5</v>
      </c>
      <c r="H15" s="171">
        <v>3</v>
      </c>
      <c r="I15" s="171">
        <v>2</v>
      </c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8"/>
        <v>LG/WW</v>
      </c>
      <c r="Y15" s="52" t="str">
        <f t="shared" si="9"/>
        <v/>
      </c>
      <c r="Z15" s="52" t="str">
        <f t="shared" si="10"/>
        <v/>
      </c>
      <c r="AB15" s="2"/>
    </row>
    <row r="16" spans="2:31" ht="14.25" customHeight="1" x14ac:dyDescent="0.5">
      <c r="B16" s="172">
        <v>13</v>
      </c>
      <c r="C16" s="171" t="s">
        <v>31</v>
      </c>
      <c r="D16" s="171" t="s">
        <v>26</v>
      </c>
      <c r="E16" s="171" t="s">
        <v>55</v>
      </c>
      <c r="F16" s="171" t="s">
        <v>204</v>
      </c>
      <c r="G16" s="171">
        <v>6</v>
      </c>
      <c r="H16" s="171">
        <v>7</v>
      </c>
      <c r="I16" s="171">
        <v>1</v>
      </c>
      <c r="Q16" s="2" t="s">
        <v>58</v>
      </c>
      <c r="R16" s="8">
        <f t="shared" si="0"/>
        <v>2</v>
      </c>
      <c r="S16" s="9">
        <f t="shared" si="1"/>
        <v>2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8"/>
        <v>LG/5M</v>
      </c>
      <c r="Y16" s="52" t="str">
        <f t="shared" si="9"/>
        <v/>
      </c>
      <c r="Z16" s="52" t="str">
        <f t="shared" si="10"/>
        <v/>
      </c>
      <c r="AB16" s="2"/>
    </row>
    <row r="17" spans="2:32" ht="14.25" customHeight="1" x14ac:dyDescent="0.5">
      <c r="B17" s="172">
        <v>14</v>
      </c>
      <c r="C17" s="171" t="s">
        <v>47</v>
      </c>
      <c r="D17" s="171" t="s">
        <v>31</v>
      </c>
      <c r="E17" s="171" t="s">
        <v>46</v>
      </c>
      <c r="F17" s="171" t="s">
        <v>204</v>
      </c>
      <c r="G17" s="171">
        <v>1</v>
      </c>
      <c r="H17" s="171">
        <v>1</v>
      </c>
      <c r="I17" s="171">
        <v>1</v>
      </c>
      <c r="Q17" s="2" t="s">
        <v>61</v>
      </c>
      <c r="R17" s="8">
        <f t="shared" si="0"/>
        <v>4</v>
      </c>
      <c r="S17" s="9">
        <f t="shared" si="1"/>
        <v>4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8"/>
        <v/>
      </c>
      <c r="Y17" s="52" t="str">
        <f t="shared" si="9"/>
        <v>WW/LG</v>
      </c>
      <c r="Z17" s="52" t="str">
        <f t="shared" si="10"/>
        <v/>
      </c>
      <c r="AB17" s="2"/>
    </row>
    <row r="18" spans="2:32" ht="14.25" customHeight="1" x14ac:dyDescent="0.5">
      <c r="B18" s="172">
        <v>15</v>
      </c>
      <c r="C18" s="171" t="s">
        <v>47</v>
      </c>
      <c r="D18" s="171" t="s">
        <v>26</v>
      </c>
      <c r="E18" s="171" t="s">
        <v>61</v>
      </c>
      <c r="F18" s="171" t="s">
        <v>204</v>
      </c>
      <c r="G18" s="171">
        <v>2</v>
      </c>
      <c r="H18" s="171">
        <v>8</v>
      </c>
      <c r="I18" s="171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8"/>
        <v/>
      </c>
      <c r="Y18" s="52" t="str">
        <f t="shared" si="9"/>
        <v>WW/5M</v>
      </c>
      <c r="Z18" s="52" t="str">
        <f t="shared" si="10"/>
        <v/>
      </c>
      <c r="AB18" s="2"/>
    </row>
    <row r="19" spans="2:32" ht="14.25" customHeight="1" x14ac:dyDescent="0.5">
      <c r="B19" s="172">
        <v>16</v>
      </c>
      <c r="C19" s="171" t="s">
        <v>31</v>
      </c>
      <c r="D19" s="171" t="s">
        <v>47</v>
      </c>
      <c r="E19" s="171" t="s">
        <v>35</v>
      </c>
      <c r="F19" s="171" t="s">
        <v>204</v>
      </c>
      <c r="G19" s="171">
        <v>1</v>
      </c>
      <c r="H19" s="171">
        <v>1</v>
      </c>
      <c r="I19" s="171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8"/>
        <v>LG/WW</v>
      </c>
      <c r="Y19" s="52" t="str">
        <f t="shared" si="9"/>
        <v/>
      </c>
      <c r="Z19" s="52" t="str">
        <f t="shared" si="10"/>
        <v/>
      </c>
    </row>
    <row r="20" spans="2:32" ht="14.25" customHeight="1" x14ac:dyDescent="0.5">
      <c r="B20" s="172">
        <v>17</v>
      </c>
      <c r="C20" s="171" t="s">
        <v>31</v>
      </c>
      <c r="D20" s="171" t="s">
        <v>26</v>
      </c>
      <c r="E20" s="171" t="s">
        <v>37</v>
      </c>
      <c r="F20" s="171" t="s">
        <v>205</v>
      </c>
      <c r="G20" s="171">
        <v>2</v>
      </c>
      <c r="H20" s="171">
        <v>9</v>
      </c>
      <c r="I20" s="171">
        <v>1</v>
      </c>
      <c r="X20" s="52" t="str">
        <f t="shared" si="8"/>
        <v>LG/5M</v>
      </c>
      <c r="Y20" s="52" t="str">
        <f t="shared" si="9"/>
        <v/>
      </c>
      <c r="Z20" s="52" t="str">
        <f t="shared" si="10"/>
        <v/>
      </c>
    </row>
    <row r="21" spans="2:32" ht="14.25" customHeight="1" x14ac:dyDescent="0.5">
      <c r="B21" s="172">
        <v>18</v>
      </c>
      <c r="C21" s="171" t="s">
        <v>47</v>
      </c>
      <c r="D21" s="171" t="s">
        <v>31</v>
      </c>
      <c r="E21" s="171" t="s">
        <v>46</v>
      </c>
      <c r="F21" s="171" t="s">
        <v>99</v>
      </c>
      <c r="G21" s="171">
        <v>1</v>
      </c>
      <c r="H21" s="171">
        <v>1</v>
      </c>
      <c r="I21" s="171">
        <v>1</v>
      </c>
      <c r="X21" s="52" t="str">
        <f t="shared" si="8"/>
        <v>LG/WW</v>
      </c>
      <c r="Y21" s="52" t="str">
        <f t="shared" si="9"/>
        <v/>
      </c>
      <c r="Z21" s="52" t="str">
        <f t="shared" si="10"/>
        <v/>
      </c>
    </row>
    <row r="22" spans="2:32" ht="14.25" customHeight="1" x14ac:dyDescent="0.5">
      <c r="B22" s="172">
        <v>19</v>
      </c>
      <c r="C22" s="171" t="s">
        <v>47</v>
      </c>
      <c r="D22" s="171" t="s">
        <v>26</v>
      </c>
      <c r="E22" s="171" t="s">
        <v>58</v>
      </c>
      <c r="F22" s="171" t="s">
        <v>204</v>
      </c>
      <c r="G22" s="171">
        <v>2</v>
      </c>
      <c r="H22" s="171">
        <v>10</v>
      </c>
      <c r="I22" s="171">
        <v>1</v>
      </c>
      <c r="X22" s="52" t="str">
        <f t="shared" si="8"/>
        <v>LG/5M</v>
      </c>
      <c r="Y22" s="52" t="str">
        <f t="shared" si="9"/>
        <v/>
      </c>
      <c r="Z22" s="52" t="str">
        <f t="shared" si="10"/>
        <v/>
      </c>
      <c r="AB22" s="16" t="s">
        <v>282</v>
      </c>
    </row>
    <row r="23" spans="2:32" ht="14.25" customHeight="1" x14ac:dyDescent="0.5">
      <c r="B23" s="172">
        <v>20</v>
      </c>
      <c r="C23" s="171" t="s">
        <v>47</v>
      </c>
      <c r="D23" s="171" t="s">
        <v>31</v>
      </c>
      <c r="E23" s="171" t="s">
        <v>46</v>
      </c>
      <c r="F23" s="171" t="s">
        <v>205</v>
      </c>
      <c r="G23" s="171">
        <v>3</v>
      </c>
      <c r="H23" s="171">
        <v>2</v>
      </c>
      <c r="I23" s="171">
        <v>1</v>
      </c>
      <c r="Q23" s="2"/>
      <c r="R23" s="16" t="str">
        <f>IF($V3, CHAR(34)&amp;"Did not Play"&amp;CHAR(34), R3)&amp;","</f>
        <v>0,</v>
      </c>
      <c r="S23" s="16" t="str">
        <f t="shared" ref="S23:U23" si="11">IF($V3, CHAR(34)&amp;"Did not Play"&amp;CHAR(34), S3)&amp;","</f>
        <v>0,</v>
      </c>
      <c r="T23" s="16" t="str">
        <f t="shared" si="11"/>
        <v>0,</v>
      </c>
      <c r="U23" s="16" t="str">
        <f t="shared" si="11"/>
        <v>0,</v>
      </c>
      <c r="X23" s="52" t="str">
        <f t="shared" si="8"/>
        <v/>
      </c>
      <c r="Y23" s="52" t="str">
        <f t="shared" si="9"/>
        <v>WW/LG</v>
      </c>
      <c r="Z23" s="52" t="str">
        <f t="shared" si="10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5">
      <c r="B24" s="172">
        <v>21</v>
      </c>
      <c r="C24" s="171" t="s">
        <v>47</v>
      </c>
      <c r="D24" s="171" t="s">
        <v>26</v>
      </c>
      <c r="E24" s="171" t="s">
        <v>46</v>
      </c>
      <c r="F24" s="171" t="s">
        <v>204</v>
      </c>
      <c r="G24" s="171">
        <v>4</v>
      </c>
      <c r="H24" s="171">
        <v>11</v>
      </c>
      <c r="I24" s="171">
        <v>2</v>
      </c>
      <c r="R24" s="16" t="str">
        <f t="shared" ref="R24:U38" si="12">IF($V4, CHAR(34)&amp;"Did not Play"&amp;CHAR(34), R4)&amp;","</f>
        <v>0,</v>
      </c>
      <c r="S24" s="16" t="str">
        <f t="shared" si="12"/>
        <v>0,</v>
      </c>
      <c r="T24" s="16" t="str">
        <f t="shared" si="12"/>
        <v>0,</v>
      </c>
      <c r="U24" s="16" t="str">
        <f t="shared" si="12"/>
        <v>0,</v>
      </c>
      <c r="X24" s="52" t="e">
        <f>IF(AND(#REF!="Loose Gooses",#REF!="Wet Willies"),"LG/WW", IF(AND(#REF!="Loose Gooses",#REF!="5 Musketeers"),"LG/5M", ""))</f>
        <v>#REF!</v>
      </c>
      <c r="Y24" s="52" t="e">
        <f>IF(AND(#REF!="Wet Willies",#REF!="Loose Gooses"),"WW/LG", IF(AND(#REF!="Wet Willies",#REF!="5 Musketeers"),"WW/5M", ""))</f>
        <v>#REF!</v>
      </c>
      <c r="Z24" s="52" t="e">
        <f>IF(AND(#REF!="5 Musketeers",#REF!="Loose Gooses"),"5M/LG", IF(AND(#REF!="5 Musketeers",#REF!="Wet Willies"),"5M/WW", ""))</f>
        <v>#REF!</v>
      </c>
      <c r="AB24" s="158" t="s">
        <v>30</v>
      </c>
      <c r="AC24" s="165">
        <f>Table630[[#This Row],[Finishes]]+Table630[[#This Row],[Midranges]]+Table630[[#This Row],[Threes]]+Table630[[#This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5">
      <c r="B25" s="172">
        <v>22</v>
      </c>
      <c r="C25" s="171" t="s">
        <v>31</v>
      </c>
      <c r="D25" s="171" t="s">
        <v>47</v>
      </c>
      <c r="E25" s="171" t="s">
        <v>37</v>
      </c>
      <c r="F25" s="171" t="s">
        <v>99</v>
      </c>
      <c r="G25" s="171">
        <v>1</v>
      </c>
      <c r="H25" s="171">
        <v>1</v>
      </c>
      <c r="I25" s="171">
        <v>1</v>
      </c>
      <c r="Q25" s="6"/>
      <c r="R25" s="16" t="str">
        <f t="shared" si="12"/>
        <v>"Did not Play",</v>
      </c>
      <c r="S25" s="16" t="str">
        <f t="shared" si="12"/>
        <v>"Did not Play",</v>
      </c>
      <c r="T25" s="16" t="str">
        <f t="shared" si="12"/>
        <v>"Did not Play",</v>
      </c>
      <c r="U25" s="16" t="str">
        <f t="shared" si="12"/>
        <v>"Did not Play",</v>
      </c>
      <c r="X25" s="52" t="e">
        <f>IF(AND(#REF!="Loose Gooses",#REF!="Wet Willies"),"LG/WW", IF(AND(#REF!="Loose Gooses",#REF!="5 Musketeers"),"LG/5M", ""))</f>
        <v>#REF!</v>
      </c>
      <c r="Y25" s="52" t="e">
        <f>IF(AND(#REF!="Wet Willies",#REF!="Loose Gooses"),"WW/LG", IF(AND(#REF!="Wet Willies",#REF!="5 Musketeers"),"WW/5M", ""))</f>
        <v>#REF!</v>
      </c>
      <c r="Z25" s="52" t="e">
        <f>IF(AND(#REF!="5 Musketeers",#REF!="Loose Gooses"),"5M/LG", IF(AND(#REF!="5 Musketeers",#REF!="Wet Willies"),"5M/WW", ""))</f>
        <v>#REF!</v>
      </c>
      <c r="AB25" s="159" t="s">
        <v>35</v>
      </c>
      <c r="AC25" s="166">
        <f>Table630[[#This Row],[Finishes]]+Table630[[#This Row],[Midranges]]+Table630[[#This Row],[Threes]]+Table630[[#This Row],[Threes]]</f>
        <v>3</v>
      </c>
      <c r="AD25" s="157">
        <f>COUNTIFS(D4:D35, "Loose Gooses", E$4:E$35,AB25,F$4:F$35,"Finish")</f>
        <v>3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12"/>
        <v>6,</v>
      </c>
      <c r="S26" s="16" t="str">
        <f t="shared" si="12"/>
        <v>6,</v>
      </c>
      <c r="T26" s="16" t="str">
        <f t="shared" si="12"/>
        <v>0,</v>
      </c>
      <c r="U26" s="16" t="str">
        <f t="shared" si="12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Table630[[#This Row],[Finishes]]+Table630[[#This Row],[Midranges]]+Table630[[#This Row],[Threes]]+Table630[[#This Row],[Threes]]</f>
        <v>1</v>
      </c>
      <c r="AD26" s="156">
        <f>COUNTIFS(D4:D35, "Loose Gooses", E$4:E$35,AB26,F$4:F$35,"Finish")</f>
        <v>0</v>
      </c>
      <c r="AE26" s="156">
        <f>COUNTIFS(D4:D35, "Loose Gooses", E$4:E$35,AB26,F$4:F$35,"Midrange")</f>
        <v>1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12"/>
        <v>3,</v>
      </c>
      <c r="S27" s="16" t="str">
        <f t="shared" si="12"/>
        <v>0,</v>
      </c>
      <c r="T27" s="16" t="str">
        <f t="shared" si="12"/>
        <v>1,</v>
      </c>
      <c r="U27" s="16" t="str">
        <f t="shared" si="12"/>
        <v>1,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Table630[[#This Row],[Finishes]]+Table630[[#This Row],[Midranges]]+Table630[[#This Row],[Threes]]+Table630[[#This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12"/>
        <v>"Did not Play",</v>
      </c>
      <c r="S28" s="16" t="str">
        <f t="shared" si="12"/>
        <v>"Did not Play",</v>
      </c>
      <c r="T28" s="16" t="str">
        <f t="shared" si="12"/>
        <v>"Did not Play",</v>
      </c>
      <c r="U28" s="16" t="str">
        <f t="shared" si="12"/>
        <v>"Did not Play",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Table630[[#This Row],[Finishes]]+Table630[[#This Row],[Midranges]]+Table630[[#This Row],[Threes]]+Table630[[#This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12"/>
        <v>0,</v>
      </c>
      <c r="S29" s="16" t="str">
        <f t="shared" si="12"/>
        <v>0,</v>
      </c>
      <c r="T29" s="16" t="str">
        <f t="shared" si="12"/>
        <v>0,</v>
      </c>
      <c r="U29" s="16" t="str">
        <f t="shared" si="12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Table630[[#This Row],[Finishes]]+Table630[[#This Row],[Midranges]]+Table630[[#This Row],[Threes]]+Table630[[#This Row],[Threes]]</f>
        <v>3</v>
      </c>
      <c r="AD29" s="157">
        <f>COUNTIFS(D4:D35, "Loose Gooses", E$4:E$35,AB29,F$4:F$35,"Finish")</f>
        <v>0</v>
      </c>
      <c r="AE29" s="157">
        <f>COUNTIFS(D4:D35, "Loose Gooses", E$4:E$35,AB29,F$4:F$35,"Midrange")</f>
        <v>1</v>
      </c>
      <c r="AF29" s="157">
        <f>COUNTIFS(D4:D35, "Loose Gooses", E$4:E$35,AB29,F$4:F$35,"Three Pointer")</f>
        <v>1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12"/>
        <v>3,</v>
      </c>
      <c r="S30" s="16" t="str">
        <f t="shared" si="12"/>
        <v>0,</v>
      </c>
      <c r="T30" s="16" t="str">
        <f t="shared" si="12"/>
        <v>1,</v>
      </c>
      <c r="U30" s="16" t="str">
        <f t="shared" si="12"/>
        <v>1,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Table630[[#This Row],[Finishes]]+Table630[[#This Row],[Midranges]]+Table630[[#This Row],[Threes]]+Table630[[#This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12"/>
        <v>5,</v>
      </c>
      <c r="S31" s="16" t="str">
        <f t="shared" si="12"/>
        <v>2,</v>
      </c>
      <c r="T31" s="16" t="str">
        <f t="shared" si="12"/>
        <v>1,</v>
      </c>
      <c r="U31" s="16" t="str">
        <f t="shared" si="12"/>
        <v>1,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Table630[[#This Row],[Finishes]]+Table630[[#This Row],[Midranges]]+Table630[[#This Row],[Threes]]+Table630[[#This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12"/>
        <v>"Did not Play",</v>
      </c>
      <c r="S32" s="16" t="str">
        <f t="shared" si="12"/>
        <v>"Did not Play",</v>
      </c>
      <c r="T32" s="16" t="str">
        <f t="shared" si="12"/>
        <v>"Did not Play",</v>
      </c>
      <c r="U32" s="16" t="str">
        <f t="shared" si="12"/>
        <v>"Did not Play",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Table630[[#This Row],[Finishes]]+Table630[[#This Row],[Midranges]]+Table630[[#This Row],[Threes]]+Table630[[#This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12"/>
        <v>1,</v>
      </c>
      <c r="S33" s="16" t="str">
        <f t="shared" si="12"/>
        <v>0,</v>
      </c>
      <c r="T33" s="16" t="str">
        <f t="shared" si="12"/>
        <v>1,</v>
      </c>
      <c r="U33" s="16" t="str">
        <f t="shared" si="12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Table630[[#This Row],[Finishes]]+Table630[[#This Row],[Midranges]]+Table630[[#This Row],[Threes]]+Table630[[#This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12"/>
        <v>"Did not Play",</v>
      </c>
      <c r="S34" s="16" t="str">
        <f t="shared" si="12"/>
        <v>"Did not Play",</v>
      </c>
      <c r="T34" s="16" t="str">
        <f t="shared" si="12"/>
        <v>"Did not Play",</v>
      </c>
      <c r="U34" s="16" t="str">
        <f t="shared" si="12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Table630[[#This Row],[Finishes]]+Table630[[#This Row],[Midranges]]+Table630[[#This Row],[Threes]]+Table630[[#This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12"/>
        <v>1,</v>
      </c>
      <c r="S35" s="16" t="str">
        <f t="shared" si="12"/>
        <v>1,</v>
      </c>
      <c r="T35" s="16" t="str">
        <f t="shared" si="12"/>
        <v>0,</v>
      </c>
      <c r="U35" s="16" t="str">
        <f t="shared" si="12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Table630[[#This Row],[Finishes]]+Table630[[#This Row],[Midranges]]+Table630[[#This Row],[Threes]]+Table630[[#This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12"/>
        <v>2,</v>
      </c>
      <c r="S36" s="16" t="str">
        <f t="shared" si="12"/>
        <v>2,</v>
      </c>
      <c r="T36" s="16" t="str">
        <f t="shared" si="12"/>
        <v>0,</v>
      </c>
      <c r="U36" s="16" t="str">
        <f t="shared" si="12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12"/>
        <v>4,</v>
      </c>
      <c r="S37" s="16" t="str">
        <f t="shared" si="12"/>
        <v>4,</v>
      </c>
      <c r="T37" s="16" t="str">
        <f t="shared" si="12"/>
        <v>0,</v>
      </c>
      <c r="U37" s="16" t="str">
        <f t="shared" si="12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12"/>
        <v>0,</v>
      </c>
      <c r="S38" s="16" t="str">
        <f t="shared" si="12"/>
        <v>0,</v>
      </c>
      <c r="T38" s="16" t="str">
        <f t="shared" si="12"/>
        <v>0,</v>
      </c>
      <c r="U38" s="16" t="str">
        <f t="shared" si="12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"Date":["10-August"],</v>
      </c>
    </row>
    <row r="45" spans="2:32" ht="14.25" customHeight="1" x14ac:dyDescent="0.45">
      <c r="B45" s="74" t="str">
        <f>C2</f>
        <v>10-August</v>
      </c>
      <c r="C45" s="16">
        <f>MAX(L3:L5)</f>
        <v>12</v>
      </c>
      <c r="D45" s="16">
        <f>COUNT(B4:B42)-C45-E45</f>
        <v>10</v>
      </c>
      <c r="E45" s="16">
        <f>MIN(L3:L5)</f>
        <v>0</v>
      </c>
      <c r="F45" s="16">
        <f>L3</f>
        <v>10</v>
      </c>
      <c r="G45" s="16">
        <f>COUNTIF(Y4:Y39, "WW/LG")</f>
        <v>6</v>
      </c>
      <c r="H45" s="16">
        <f>COUNTIF(Z4:Z39, "5M/LG")</f>
        <v>0</v>
      </c>
      <c r="I45" s="16">
        <f>L5</f>
        <v>12</v>
      </c>
      <c r="J45" s="16">
        <f>COUNTIF(X4:X39, "LG/WW")</f>
        <v>4</v>
      </c>
      <c r="K45" s="16">
        <f>COUNTIF(Z4:Z39, "5M/WW")</f>
        <v>0</v>
      </c>
      <c r="L45" s="16">
        <f>L4</f>
        <v>0</v>
      </c>
      <c r="M45" s="16">
        <f>COUNTIF(X4:X39, "LG/5M")</f>
        <v>4</v>
      </c>
      <c r="N45" s="16">
        <f>COUNTIF(Y4:Y39, "WW/5M")</f>
        <v>6</v>
      </c>
      <c r="O45" s="16">
        <f>O3</f>
        <v>2</v>
      </c>
      <c r="P45" s="16">
        <f>O5</f>
        <v>3</v>
      </c>
      <c r="Q45" s="16">
        <f>O4</f>
        <v>1</v>
      </c>
      <c r="T45" s="16" t="str">
        <f>CHAR(34)&amp;"Points"&amp;CHAR(34)&amp;":["&amp;R23&amp;R24&amp;R25&amp;R26&amp;R27&amp;R28&amp;R29&amp;R30&amp;R31&amp;R32&amp;R33&amp;R34&amp;R35&amp;R36&amp;R37&amp;R38&amp;R39&amp;"],"</f>
        <v>"Points":[0,0,"Did not Play",6,3,"Did not Play",0,3,5,"Did not Play",1,"Did not Play",1,2,4,0,"Did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"Finishes":[0,0,"Did not Play",6,0,"Did not Play",0,0,2,"Did not Play",0,"Did not Play",1,2,4,0,"Did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"Midrange":[0,0,"Did not Play",0,1,"Did not Play",0,1,1,"Did not Play",1,"Did not Play",0,0,0,0,"Did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Play",0,1,"Did not Play",0,1,1,"Did not Play",0,"Did not Play",0,0,0,0,"Did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80F9-6554-4900-82F2-5D8BCDE68FCB}">
  <dimension ref="B1:AF1000"/>
  <sheetViews>
    <sheetView topLeftCell="M1" zoomScale="79" workbookViewId="0">
      <selection activeCell="AD31" sqref="AD31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270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3</v>
      </c>
      <c r="M3" s="11">
        <f>COUNTIF(D3:D40, "Loose Gooses")</f>
        <v>5</v>
      </c>
      <c r="N3" s="10">
        <f>L3/(L3+M3)</f>
        <v>0.375</v>
      </c>
      <c r="O3" s="11">
        <f>IF(M3&lt;&gt;0,IF(AND(N3&gt;N4,N3&gt;N5),3,IF(OR(N3&gt;N4,N3&gt;N5),2,1)),0)</f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5">
      <c r="B4" s="150">
        <v>1</v>
      </c>
      <c r="C4" s="150" t="s">
        <v>26</v>
      </c>
      <c r="D4" s="150" t="s">
        <v>47</v>
      </c>
      <c r="E4" s="150" t="s">
        <v>30</v>
      </c>
      <c r="F4" s="150" t="s">
        <v>204</v>
      </c>
      <c r="G4" s="150">
        <v>1</v>
      </c>
      <c r="H4" s="150">
        <v>1</v>
      </c>
      <c r="I4" s="150">
        <v>1</v>
      </c>
      <c r="K4" s="11" t="s">
        <v>110</v>
      </c>
      <c r="L4" s="11">
        <f>COUNTIF(C3:C40, "5 Musketeers")</f>
        <v>8</v>
      </c>
      <c r="M4" s="11">
        <f>COUNTIF(D3:D40, "5 Musketeers")</f>
        <v>3</v>
      </c>
      <c r="N4" s="10">
        <f t="shared" ref="N4:N5" si="4">L4/(L4+M4)</f>
        <v>0.72727272727272729</v>
      </c>
      <c r="O4" s="11">
        <f>IF(M4&lt;&gt;0,IF(AND(N4&gt;N3,N4&gt;N5),3,IF(OR(N4&gt;N3,N4&gt;N5),2,1)),0)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5M/LG</v>
      </c>
      <c r="AB4" s="2"/>
    </row>
    <row r="5" spans="2:31" ht="14.25" customHeight="1" x14ac:dyDescent="0.5">
      <c r="B5" s="150">
        <v>2</v>
      </c>
      <c r="C5" s="150" t="s">
        <v>26</v>
      </c>
      <c r="D5" s="150" t="s">
        <v>31</v>
      </c>
      <c r="E5" s="150" t="s">
        <v>30</v>
      </c>
      <c r="F5" s="150" t="s">
        <v>204</v>
      </c>
      <c r="G5" s="150">
        <v>2</v>
      </c>
      <c r="H5" s="150">
        <v>1</v>
      </c>
      <c r="I5" s="150">
        <v>2</v>
      </c>
      <c r="K5" s="11" t="s">
        <v>109</v>
      </c>
      <c r="L5" s="11">
        <f>COUNTIF(C3:C40, "Wet Willies")</f>
        <v>2</v>
      </c>
      <c r="M5" s="11">
        <f>COUNTIF(D3:D40, "Wet Willies")</f>
        <v>5</v>
      </c>
      <c r="N5" s="10">
        <f t="shared" si="4"/>
        <v>0.2857142857142857</v>
      </c>
      <c r="O5" s="11">
        <f>IF(M5&lt;&gt;0,IF(AND(N5&gt;N4, N5&gt;N3), 3, IF(OR(N5&gt;N4, N5&gt;N3), 2, 1)),0)</f>
        <v>1</v>
      </c>
      <c r="Q5" s="2" t="s">
        <v>30</v>
      </c>
      <c r="R5" s="8">
        <f t="shared" si="0"/>
        <v>5</v>
      </c>
      <c r="S5" s="9">
        <f t="shared" si="1"/>
        <v>5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>5M/WW</v>
      </c>
      <c r="AB5" s="2"/>
    </row>
    <row r="6" spans="2:31" ht="14.25" customHeight="1" x14ac:dyDescent="0.5">
      <c r="B6" s="150">
        <v>3</v>
      </c>
      <c r="C6" s="150" t="s">
        <v>26</v>
      </c>
      <c r="D6" s="150" t="s">
        <v>47</v>
      </c>
      <c r="E6" s="150" t="s">
        <v>50</v>
      </c>
      <c r="F6" s="150" t="s">
        <v>99</v>
      </c>
      <c r="G6" s="150">
        <v>3</v>
      </c>
      <c r="H6" s="150">
        <v>2</v>
      </c>
      <c r="I6" s="150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/>
      </c>
      <c r="Z6" s="52" t="str">
        <f t="shared" si="7"/>
        <v>5M/LG</v>
      </c>
      <c r="AB6" s="2"/>
    </row>
    <row r="7" spans="2:31" ht="14.25" customHeight="1" x14ac:dyDescent="0.5">
      <c r="B7" s="150">
        <v>4</v>
      </c>
      <c r="C7" s="150" t="s">
        <v>26</v>
      </c>
      <c r="D7" s="150" t="s">
        <v>31</v>
      </c>
      <c r="E7" s="150" t="s">
        <v>30</v>
      </c>
      <c r="F7" s="150" t="s">
        <v>204</v>
      </c>
      <c r="G7" s="150">
        <v>4</v>
      </c>
      <c r="H7" s="150">
        <v>2</v>
      </c>
      <c r="I7" s="150">
        <v>1</v>
      </c>
      <c r="Q7" s="2" t="s">
        <v>37</v>
      </c>
      <c r="R7" s="8">
        <f t="shared" si="0"/>
        <v>2</v>
      </c>
      <c r="S7" s="9">
        <f t="shared" si="1"/>
        <v>2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5M/WW</v>
      </c>
      <c r="AB7" s="2"/>
    </row>
    <row r="8" spans="2:31" ht="14.25" customHeight="1" x14ac:dyDescent="0.5">
      <c r="B8" s="150">
        <v>5</v>
      </c>
      <c r="C8" s="150" t="s">
        <v>26</v>
      </c>
      <c r="D8" s="150" t="s">
        <v>47</v>
      </c>
      <c r="E8" s="150" t="s">
        <v>42</v>
      </c>
      <c r="F8" s="150" t="s">
        <v>204</v>
      </c>
      <c r="G8" s="150">
        <v>5</v>
      </c>
      <c r="H8" s="150">
        <v>3</v>
      </c>
      <c r="I8" s="150">
        <v>1</v>
      </c>
      <c r="Q8" s="2" t="s">
        <v>42</v>
      </c>
      <c r="R8" s="8">
        <f t="shared" si="0"/>
        <v>1</v>
      </c>
      <c r="S8" s="9">
        <f t="shared" si="1"/>
        <v>1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5M/LG</v>
      </c>
      <c r="AB8" s="2"/>
    </row>
    <row r="9" spans="2:31" ht="14.25" customHeight="1" x14ac:dyDescent="0.5">
      <c r="B9" s="150">
        <v>6</v>
      </c>
      <c r="C9" s="150" t="s">
        <v>26</v>
      </c>
      <c r="D9" s="150" t="s">
        <v>31</v>
      </c>
      <c r="E9" s="150" t="s">
        <v>30</v>
      </c>
      <c r="F9" s="150" t="s">
        <v>204</v>
      </c>
      <c r="G9" s="150">
        <v>6</v>
      </c>
      <c r="H9" s="150">
        <v>3</v>
      </c>
      <c r="I9" s="150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</row>
    <row r="10" spans="2:31" ht="14.25" customHeight="1" x14ac:dyDescent="0.5">
      <c r="B10" s="150">
        <v>7</v>
      </c>
      <c r="C10" s="150" t="s">
        <v>26</v>
      </c>
      <c r="D10" s="150" t="s">
        <v>47</v>
      </c>
      <c r="E10" s="150" t="s">
        <v>50</v>
      </c>
      <c r="F10" s="150" t="s">
        <v>99</v>
      </c>
      <c r="G10" s="150">
        <v>7</v>
      </c>
      <c r="H10" s="150">
        <v>4</v>
      </c>
      <c r="I10" s="150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2"/>
    </row>
    <row r="11" spans="2:31" ht="14.25" customHeight="1" x14ac:dyDescent="0.5">
      <c r="B11" s="150">
        <v>8</v>
      </c>
      <c r="C11" s="150" t="s">
        <v>31</v>
      </c>
      <c r="D11" s="150" t="s">
        <v>26</v>
      </c>
      <c r="E11" s="150" t="s">
        <v>37</v>
      </c>
      <c r="F11" s="150" t="s">
        <v>204</v>
      </c>
      <c r="G11" s="150">
        <v>1</v>
      </c>
      <c r="H11" s="150">
        <v>1</v>
      </c>
      <c r="I11" s="150">
        <v>1</v>
      </c>
      <c r="Q11" s="2" t="s">
        <v>46</v>
      </c>
      <c r="R11" s="8">
        <f t="shared" si="0"/>
        <v>1</v>
      </c>
      <c r="S11" s="9">
        <f t="shared" si="1"/>
        <v>0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>WW/5M</v>
      </c>
      <c r="Z11" s="52" t="str">
        <f t="shared" si="7"/>
        <v/>
      </c>
      <c r="AB11" s="2"/>
    </row>
    <row r="12" spans="2:31" ht="14.25" customHeight="1" x14ac:dyDescent="0.5">
      <c r="B12" s="150">
        <v>9</v>
      </c>
      <c r="C12" s="150" t="s">
        <v>31</v>
      </c>
      <c r="D12" s="150" t="s">
        <v>47</v>
      </c>
      <c r="E12" s="150" t="s">
        <v>37</v>
      </c>
      <c r="F12" s="150" t="s">
        <v>204</v>
      </c>
      <c r="G12" s="150">
        <v>2</v>
      </c>
      <c r="H12" s="150">
        <v>5</v>
      </c>
      <c r="I12" s="150">
        <v>2</v>
      </c>
      <c r="Q12" s="2" t="s">
        <v>50</v>
      </c>
      <c r="R12" s="8">
        <f t="shared" si="0"/>
        <v>2</v>
      </c>
      <c r="S12" s="9">
        <f t="shared" si="1"/>
        <v>0</v>
      </c>
      <c r="T12" s="9">
        <f t="shared" si="2"/>
        <v>2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WW/LG</v>
      </c>
      <c r="Z12" s="52" t="str">
        <f t="shared" si="7"/>
        <v/>
      </c>
      <c r="AB12" s="2"/>
    </row>
    <row r="13" spans="2:31" ht="14.25" customHeight="1" x14ac:dyDescent="0.5">
      <c r="B13" s="150">
        <v>10</v>
      </c>
      <c r="C13" s="150" t="s">
        <v>26</v>
      </c>
      <c r="D13" s="150" t="s">
        <v>31</v>
      </c>
      <c r="E13" s="150" t="s">
        <v>30</v>
      </c>
      <c r="F13" s="150" t="s">
        <v>204</v>
      </c>
      <c r="G13" s="150">
        <v>1</v>
      </c>
      <c r="H13" s="150">
        <v>1</v>
      </c>
      <c r="I13" s="150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5">
      <c r="B14" s="150">
        <v>11</v>
      </c>
      <c r="C14" s="150" t="s">
        <v>47</v>
      </c>
      <c r="D14" s="150" t="s">
        <v>26</v>
      </c>
      <c r="E14" s="150" t="s">
        <v>46</v>
      </c>
      <c r="F14" s="150" t="s">
        <v>99</v>
      </c>
      <c r="G14" s="150">
        <v>1</v>
      </c>
      <c r="H14" s="150">
        <v>1</v>
      </c>
      <c r="I14" s="150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>LG/5M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5">
      <c r="B15" s="150">
        <v>12</v>
      </c>
      <c r="C15" s="150" t="s">
        <v>47</v>
      </c>
      <c r="D15" s="150" t="s">
        <v>31</v>
      </c>
      <c r="E15" s="150" t="s">
        <v>61</v>
      </c>
      <c r="F15" s="150" t="s">
        <v>99</v>
      </c>
      <c r="G15" s="150">
        <v>2</v>
      </c>
      <c r="H15" s="150">
        <v>2</v>
      </c>
      <c r="I15" s="150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LG/WW</v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5">
      <c r="B16" s="150">
        <v>13</v>
      </c>
      <c r="C16" s="150" t="s">
        <v>47</v>
      </c>
      <c r="D16" s="150" t="s">
        <v>26</v>
      </c>
      <c r="E16" s="150" t="s">
        <v>61</v>
      </c>
      <c r="F16" s="150" t="s">
        <v>205</v>
      </c>
      <c r="G16" s="150">
        <v>3</v>
      </c>
      <c r="H16" s="150">
        <v>2</v>
      </c>
      <c r="I16" s="150">
        <v>2</v>
      </c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3</v>
      </c>
      <c r="S17" s="9">
        <f t="shared" si="1"/>
        <v>0</v>
      </c>
      <c r="T17" s="9">
        <f t="shared" si="2"/>
        <v>1</v>
      </c>
      <c r="U17" s="9">
        <f t="shared" si="3"/>
        <v>1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Table629[[#This Row],[Finishes]]+Table629[[#This Row],[Midranges]]+Table629[[#This Row],[Threes]]+Table629[[#This Row],[Threes]]</f>
        <v>1</v>
      </c>
      <c r="AD24" s="156">
        <f>COUNTIFS(D4:D35, "Loose Gooses", E$4:E$35,AB24,F$4:F$35,"Finish")</f>
        <v>1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5,</v>
      </c>
      <c r="S25" s="16" t="str">
        <f t="shared" si="9"/>
        <v>5,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Table629[[#This Row],[Finishes]]+Table629[[#This Row],[Midranges]]+Table629[[#This Row],[Threes]]+Table629[[#This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0,</v>
      </c>
      <c r="S26" s="16" t="str">
        <f t="shared" si="9"/>
        <v>0,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Table629[[#This Row],[Finishes]]+Table629[[#This Row],[Midranges]]+Table629[[#This Row],[Threes]]+Table629[[#This Row],[Threes]]</f>
        <v>1</v>
      </c>
      <c r="AD26" s="156">
        <f>COUNTIFS(D4:D35, "Loose Gooses", E$4:E$35,AB26,F$4:F$35,"Finish")</f>
        <v>1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2,</v>
      </c>
      <c r="S27" s="16" t="str">
        <f t="shared" si="9"/>
        <v>2,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Table629[[#This Row],[Finishes]]+Table629[[#This Row],[Midranges]]+Table629[[#This Row],[Threes]]+Table629[[#This Row],[Threes]]</f>
        <v>1</v>
      </c>
      <c r="AD27" s="157">
        <f>COUNTIFS(D4:D35, "Loose Gooses", E$4:E$35,AB27,F$4:F$35,"Finish")</f>
        <v>1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1,</v>
      </c>
      <c r="S28" s="16" t="str">
        <f t="shared" si="9"/>
        <v>1,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Table629[[#This Row],[Finishes]]+Table629[[#This Row],[Midranges]]+Table629[[#This Row],[Threes]]+Table629[[#This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Table629[[#This Row],[Finishes]]+Table629[[#This Row],[Midranges]]+Table629[[#This Row],[Threes]]+Table629[[#This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0,</v>
      </c>
      <c r="S30" s="16" t="str">
        <f t="shared" si="9"/>
        <v>0,</v>
      </c>
      <c r="T30" s="16" t="str">
        <f t="shared" si="9"/>
        <v>0,</v>
      </c>
      <c r="U30" s="16" t="str">
        <f t="shared" si="9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Table629[[#This Row],[Finishes]]+Table629[[#This Row],[Midranges]]+Table629[[#This Row],[Threes]]+Table629[[#This Row],[Threes]]</f>
        <v>2</v>
      </c>
      <c r="AD30" s="156">
        <f>COUNTIFS(D4:D35, "Loose Gooses", E$4:E$35,AB30,F$4:F$35,"Finish")</f>
        <v>0</v>
      </c>
      <c r="AE30" s="156">
        <f>COUNTIFS(D4:D35, "Loose Gooses", E$4:E$35,AB30,F$4:F$35,"Midrange")</f>
        <v>2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0,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Table629[[#This Row],[Finishes]]+Table629[[#This Row],[Midranges]]+Table629[[#This Row],[Threes]]+Table629[[#This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2,</v>
      </c>
      <c r="S32" s="16" t="str">
        <f t="shared" si="9"/>
        <v>0,</v>
      </c>
      <c r="T32" s="16" t="str">
        <f t="shared" si="9"/>
        <v>2,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Table629[[#This Row],[Finishes]]+Table629[[#This Row],[Midranges]]+Table629[[#This Row],[Threes]]+Table629[[#This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Table629[[#This Row],[Finishes]]+Table629[[#This Row],[Midranges]]+Table629[[#This Row],[Threes]]+Table629[[#This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Table629[[#This Row],[Finishes]]+Table629[[#This Row],[Midranges]]+Table629[[#This Row],[Threes]]+Table629[[#This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Table629[[#This Row],[Finishes]]+Table629[[#This Row],[Midranges]]+Table629[[#This Row],[Threes]]+Table629[[#This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0,</v>
      </c>
      <c r="S36" s="16" t="str">
        <f t="shared" si="9"/>
        <v>0,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3,</v>
      </c>
      <c r="S37" s="16" t="str">
        <f t="shared" si="9"/>
        <v>0,</v>
      </c>
      <c r="T37" s="16" t="str">
        <f t="shared" si="9"/>
        <v>1,</v>
      </c>
      <c r="U37" s="16" t="str">
        <f t="shared" si="9"/>
        <v>1,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"Date":["9-August"],</v>
      </c>
    </row>
    <row r="45" spans="2:32" ht="14.25" customHeight="1" x14ac:dyDescent="0.45">
      <c r="B45" s="74" t="str">
        <f>C2</f>
        <v>9-August</v>
      </c>
      <c r="C45" s="16">
        <f>MAX(L3:L5)</f>
        <v>8</v>
      </c>
      <c r="D45" s="16">
        <f>COUNT(B4:B42)-C45-E45</f>
        <v>3</v>
      </c>
      <c r="E45" s="16">
        <f>MIN(L3:L5)</f>
        <v>2</v>
      </c>
      <c r="F45" s="16">
        <f>L3</f>
        <v>3</v>
      </c>
      <c r="G45" s="16">
        <f>COUNTIF(Y4:Y39, "WW/LG")</f>
        <v>1</v>
      </c>
      <c r="H45" s="16">
        <f>COUNTIF(Z4:Z39, "5M/LG")</f>
        <v>4</v>
      </c>
      <c r="I45" s="16">
        <f>L5</f>
        <v>2</v>
      </c>
      <c r="J45" s="16">
        <f>COUNTIF(X4:X39, "LG/WW")</f>
        <v>1</v>
      </c>
      <c r="K45" s="16">
        <f>COUNTIF(Z4:Z39, "5M/WW")</f>
        <v>4</v>
      </c>
      <c r="L45" s="16">
        <f>L4</f>
        <v>8</v>
      </c>
      <c r="M45" s="16">
        <f>COUNTIF(X4:X39, "LG/5M")</f>
        <v>2</v>
      </c>
      <c r="N45" s="16">
        <f>COUNTIF(Y4:Y39, "WW/5M")</f>
        <v>1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"Points":[0,0,5,0,2,1,0,0,1,2,0,"Did not Play",0,0,3,0,0],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"Finishes":[0,0,5,0,2,1,0,0,0,0,0,"Did not Play",0,0,0,0,0],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"Midrange":[0,0,0,0,0,0,0,0,1,2,0,"Did not Play",0,0,1,0,0],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"ThreePointers":[0,0,0,0,0,0,0,0,0,0,0,"Did not Play",0,0,1,0,0]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C83F-FB14-4B8C-9C66-67F1E18A22A6}">
  <dimension ref="B1:AF1000"/>
  <sheetViews>
    <sheetView zoomScale="70" zoomScaleNormal="70" workbookViewId="0">
      <selection activeCell="Q11" sqref="Q11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267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1</v>
      </c>
      <c r="M3" s="11">
        <f>COUNTIF(D3:D40, "Loose Gooses")</f>
        <v>9</v>
      </c>
      <c r="N3" s="10">
        <f>L3/(L3+M3)</f>
        <v>0.1</v>
      </c>
      <c r="O3" s="11">
        <f>IF(M3&lt;&gt;0,IF(AND(N3&gt;N4,N3&gt;N5),3,IF(OR(N3&gt;N4,N3&gt;N5),2,1)),0)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26</v>
      </c>
      <c r="D4" s="25" t="s">
        <v>47</v>
      </c>
      <c r="E4" s="25" t="s">
        <v>50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17</v>
      </c>
      <c r="M4" s="11">
        <f>COUNTIF(D3:D40, "5 Musketeers")</f>
        <v>1</v>
      </c>
      <c r="N4" s="10">
        <f t="shared" ref="N4:N5" si="4">L4/(L4+M4)</f>
        <v>0.94444444444444442</v>
      </c>
      <c r="O4" s="11">
        <f>IF(M4&lt;&gt;0,IF(AND(N4&gt;N3,N4&gt;N5),3,IF(OR(N4&gt;N3,N4&gt;N5),2,1)),0)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5M/LG</v>
      </c>
      <c r="AB4" s="2"/>
    </row>
    <row r="5" spans="2:31" ht="14.25" customHeight="1" x14ac:dyDescent="0.45">
      <c r="B5" s="25">
        <v>2</v>
      </c>
      <c r="C5" s="25" t="s">
        <v>26</v>
      </c>
      <c r="D5" s="25" t="s">
        <v>31</v>
      </c>
      <c r="E5" s="25" t="s">
        <v>30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1</v>
      </c>
      <c r="M5" s="11">
        <f>COUNTIF(D3:D40, "Wet Willies")</f>
        <v>9</v>
      </c>
      <c r="N5" s="10">
        <f t="shared" si="4"/>
        <v>0.1</v>
      </c>
      <c r="O5" s="11">
        <v>2</v>
      </c>
      <c r="Q5" s="2" t="s">
        <v>30</v>
      </c>
      <c r="R5" s="8">
        <f t="shared" si="0"/>
        <v>4</v>
      </c>
      <c r="S5" s="9">
        <f t="shared" si="1"/>
        <v>4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>5M/WW</v>
      </c>
      <c r="AB5" s="2"/>
    </row>
    <row r="6" spans="2:31" ht="14.25" customHeight="1" x14ac:dyDescent="0.45">
      <c r="B6" s="25">
        <v>3</v>
      </c>
      <c r="C6" s="25" t="s">
        <v>26</v>
      </c>
      <c r="D6" s="25" t="s">
        <v>47</v>
      </c>
      <c r="E6" s="25" t="s">
        <v>50</v>
      </c>
      <c r="F6" s="25" t="s">
        <v>99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1</v>
      </c>
      <c r="S6" s="9">
        <f t="shared" si="1"/>
        <v>1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/>
      </c>
      <c r="Z6" s="52" t="str">
        <f t="shared" si="7"/>
        <v>5M/LG</v>
      </c>
      <c r="AB6" s="2"/>
    </row>
    <row r="7" spans="2:31" ht="14.25" customHeight="1" x14ac:dyDescent="0.45">
      <c r="B7" s="25">
        <v>4</v>
      </c>
      <c r="C7" s="25" t="s">
        <v>26</v>
      </c>
      <c r="D7" s="25" t="s">
        <v>31</v>
      </c>
      <c r="E7" s="25" t="s">
        <v>50</v>
      </c>
      <c r="F7" s="25" t="s">
        <v>99</v>
      </c>
      <c r="G7" s="25">
        <v>4</v>
      </c>
      <c r="H7" s="25">
        <v>2</v>
      </c>
      <c r="I7" s="25">
        <v>2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5M/WW</v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47</v>
      </c>
      <c r="E8" s="25" t="s">
        <v>50</v>
      </c>
      <c r="F8" s="25" t="s">
        <v>99</v>
      </c>
      <c r="G8" s="25">
        <v>5</v>
      </c>
      <c r="H8" s="25">
        <v>3</v>
      </c>
      <c r="I8" s="25">
        <v>3</v>
      </c>
      <c r="Q8" s="2" t="s">
        <v>42</v>
      </c>
      <c r="R8" s="8">
        <f t="shared" si="0"/>
        <v>2</v>
      </c>
      <c r="S8" s="9">
        <f t="shared" si="1"/>
        <v>2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5M/LG</v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6</v>
      </c>
      <c r="H9" s="25">
        <v>3</v>
      </c>
      <c r="I9" s="25">
        <v>4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50</v>
      </c>
      <c r="F10" s="25" t="s">
        <v>204</v>
      </c>
      <c r="G10" s="25">
        <v>7</v>
      </c>
      <c r="H10" s="25">
        <v>4</v>
      </c>
      <c r="I10" s="25">
        <v>5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2"/>
    </row>
    <row r="11" spans="2:31" ht="14.25" customHeight="1" x14ac:dyDescent="0.45">
      <c r="B11" s="25">
        <v>8</v>
      </c>
      <c r="C11" s="25" t="s">
        <v>26</v>
      </c>
      <c r="D11" s="25" t="s">
        <v>31</v>
      </c>
      <c r="E11" s="25" t="s">
        <v>42</v>
      </c>
      <c r="F11" s="25" t="s">
        <v>204</v>
      </c>
      <c r="G11" s="25">
        <v>8</v>
      </c>
      <c r="H11" s="25">
        <v>4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1</v>
      </c>
      <c r="X11" s="52" t="str">
        <f t="shared" si="5"/>
        <v/>
      </c>
      <c r="Y11" s="52" t="str">
        <f t="shared" si="6"/>
        <v/>
      </c>
      <c r="Z11" s="52" t="str">
        <f t="shared" si="7"/>
        <v>5M/WW</v>
      </c>
      <c r="AB11" s="2"/>
    </row>
    <row r="12" spans="2:31" ht="14.25" customHeight="1" x14ac:dyDescent="0.45">
      <c r="B12" s="25">
        <v>9</v>
      </c>
      <c r="C12" s="25" t="s">
        <v>26</v>
      </c>
      <c r="D12" s="25" t="s">
        <v>47</v>
      </c>
      <c r="E12" s="25" t="s">
        <v>30</v>
      </c>
      <c r="F12" s="25" t="s">
        <v>204</v>
      </c>
      <c r="G12" s="25">
        <v>9</v>
      </c>
      <c r="H12" s="25">
        <v>5</v>
      </c>
      <c r="I12" s="25">
        <v>1</v>
      </c>
      <c r="Q12" s="2" t="s">
        <v>50</v>
      </c>
      <c r="R12" s="8">
        <f t="shared" si="0"/>
        <v>12</v>
      </c>
      <c r="S12" s="9">
        <f t="shared" si="1"/>
        <v>2</v>
      </c>
      <c r="T12" s="9">
        <f t="shared" si="2"/>
        <v>8</v>
      </c>
      <c r="U12" s="9">
        <f t="shared" si="3"/>
        <v>1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5M/LG</v>
      </c>
      <c r="AB12" s="2"/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50</v>
      </c>
      <c r="F13" s="25" t="s">
        <v>99</v>
      </c>
      <c r="G13" s="25">
        <v>10</v>
      </c>
      <c r="H13" s="25">
        <v>5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45">
      <c r="B14" s="25">
        <v>11</v>
      </c>
      <c r="C14" s="25" t="s">
        <v>26</v>
      </c>
      <c r="D14" s="25" t="s">
        <v>47</v>
      </c>
      <c r="E14" s="25" t="s">
        <v>50</v>
      </c>
      <c r="F14" s="25" t="s">
        <v>204</v>
      </c>
      <c r="G14" s="25">
        <v>11</v>
      </c>
      <c r="H14" s="25">
        <v>6</v>
      </c>
      <c r="I14" s="25">
        <v>2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/>
    </row>
    <row r="15" spans="2:31" ht="14.25" customHeight="1" x14ac:dyDescent="0.45">
      <c r="B15" s="25">
        <v>12</v>
      </c>
      <c r="C15" s="25" t="s">
        <v>26</v>
      </c>
      <c r="D15" s="25" t="s">
        <v>31</v>
      </c>
      <c r="E15" s="25" t="s">
        <v>50</v>
      </c>
      <c r="F15" s="25" t="s">
        <v>205</v>
      </c>
      <c r="G15" s="25">
        <v>12</v>
      </c>
      <c r="H15" s="25">
        <v>6</v>
      </c>
      <c r="I15" s="25">
        <v>3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1</v>
      </c>
      <c r="X15" s="52" t="str">
        <f t="shared" si="5"/>
        <v/>
      </c>
      <c r="Y15" s="52" t="str">
        <f t="shared" si="6"/>
        <v/>
      </c>
      <c r="Z15" s="52" t="str">
        <f t="shared" si="7"/>
        <v>5M/WW</v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26</v>
      </c>
      <c r="E16" s="25" t="s">
        <v>58</v>
      </c>
      <c r="F16" s="25" t="s">
        <v>204</v>
      </c>
      <c r="G16" s="25">
        <v>1</v>
      </c>
      <c r="H16" s="25">
        <v>1</v>
      </c>
      <c r="I16" s="25">
        <v>1</v>
      </c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31</v>
      </c>
      <c r="D17" s="25" t="s">
        <v>47</v>
      </c>
      <c r="E17" s="25" t="s">
        <v>35</v>
      </c>
      <c r="F17" s="25" t="s">
        <v>204</v>
      </c>
      <c r="G17" s="25">
        <v>1</v>
      </c>
      <c r="H17" s="25">
        <v>1</v>
      </c>
      <c r="I17" s="25">
        <v>1</v>
      </c>
      <c r="Q17" s="2" t="s">
        <v>61</v>
      </c>
      <c r="R17" s="8">
        <f t="shared" si="0"/>
        <v>0</v>
      </c>
      <c r="S17" s="9">
        <f t="shared" si="1"/>
        <v>0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>WW/LG</v>
      </c>
      <c r="Z17" s="52" t="str">
        <f t="shared" si="7"/>
        <v/>
      </c>
      <c r="AB17" s="2"/>
    </row>
    <row r="18" spans="2:32" ht="14.25" customHeight="1" x14ac:dyDescent="0.45">
      <c r="B18" s="25">
        <v>15</v>
      </c>
      <c r="C18" s="25" t="s">
        <v>26</v>
      </c>
      <c r="D18" s="25" t="s">
        <v>31</v>
      </c>
      <c r="E18" s="25" t="s">
        <v>30</v>
      </c>
      <c r="F18" s="25" t="s">
        <v>204</v>
      </c>
      <c r="G18" s="25">
        <v>1</v>
      </c>
      <c r="H18" s="25">
        <v>1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5M/WW</v>
      </c>
      <c r="AB18" s="2"/>
    </row>
    <row r="19" spans="2:32" ht="14.25" customHeight="1" x14ac:dyDescent="0.45">
      <c r="B19" s="25">
        <v>16</v>
      </c>
      <c r="C19" s="25" t="s">
        <v>26</v>
      </c>
      <c r="D19" s="25" t="s">
        <v>47</v>
      </c>
      <c r="E19" s="25" t="s">
        <v>50</v>
      </c>
      <c r="F19" s="25" t="s">
        <v>99</v>
      </c>
      <c r="G19" s="25">
        <v>2</v>
      </c>
      <c r="H19" s="25">
        <v>2</v>
      </c>
      <c r="I19" s="25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>5M/LG</v>
      </c>
    </row>
    <row r="20" spans="2:32" ht="14.25" customHeight="1" x14ac:dyDescent="0.45">
      <c r="B20" s="25">
        <v>17</v>
      </c>
      <c r="C20" s="25" t="s">
        <v>26</v>
      </c>
      <c r="D20" s="25" t="s">
        <v>31</v>
      </c>
      <c r="E20" s="25" t="s">
        <v>50</v>
      </c>
      <c r="F20" s="25" t="s">
        <v>99</v>
      </c>
      <c r="G20" s="25">
        <v>3</v>
      </c>
      <c r="H20" s="25">
        <v>2</v>
      </c>
      <c r="I20" s="25">
        <v>2</v>
      </c>
      <c r="X20" s="52" t="str">
        <f t="shared" si="5"/>
        <v/>
      </c>
      <c r="Y20" s="52" t="str">
        <f t="shared" si="6"/>
        <v/>
      </c>
      <c r="Z20" s="52" t="str">
        <f t="shared" si="7"/>
        <v>5M/WW</v>
      </c>
    </row>
    <row r="21" spans="2:32" ht="14.25" customHeight="1" x14ac:dyDescent="0.45">
      <c r="B21" s="25">
        <v>18</v>
      </c>
      <c r="C21" s="25" t="s">
        <v>26</v>
      </c>
      <c r="D21" s="25" t="s">
        <v>47</v>
      </c>
      <c r="E21" s="25" t="s">
        <v>42</v>
      </c>
      <c r="F21" s="25" t="s">
        <v>204</v>
      </c>
      <c r="G21" s="25">
        <v>4</v>
      </c>
      <c r="H21" s="25">
        <v>3</v>
      </c>
      <c r="I21" s="25">
        <v>3</v>
      </c>
      <c r="X21" s="52" t="str">
        <f t="shared" si="5"/>
        <v/>
      </c>
      <c r="Y21" s="52" t="str">
        <f t="shared" si="6"/>
        <v/>
      </c>
      <c r="Z21" s="52" t="str">
        <f t="shared" si="7"/>
        <v>5M/LG</v>
      </c>
    </row>
    <row r="22" spans="2:32" ht="14.25" customHeight="1" x14ac:dyDescent="0.45">
      <c r="B22" s="25">
        <v>19</v>
      </c>
      <c r="C22" s="25" t="s">
        <v>26</v>
      </c>
      <c r="D22" s="25" t="s">
        <v>31</v>
      </c>
      <c r="E22" s="25" t="s">
        <v>30</v>
      </c>
      <c r="F22" s="25" t="s">
        <v>204</v>
      </c>
      <c r="G22" s="25">
        <v>5</v>
      </c>
      <c r="H22" s="25">
        <v>3</v>
      </c>
      <c r="I22" s="25">
        <v>1</v>
      </c>
      <c r="X22" s="52" t="str">
        <f t="shared" si="5"/>
        <v/>
      </c>
      <c r="Y22" s="52" t="str">
        <f t="shared" si="6"/>
        <v/>
      </c>
      <c r="Z22" s="52" t="str">
        <f t="shared" si="7"/>
        <v>5M/WW</v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Table622[[#This Row],[Finishes]]+Table622[[#This Row],[Midranges]]+Table622[[#This Row],[Threes]]+Table622[[#This Row],[Threes]]</f>
        <v>1</v>
      </c>
      <c r="AD24" s="156">
        <f>COUNTIFS(D4:D35, "Loose Gooses", E$4:E$35,AB24,F$4:F$35,"Finish")</f>
        <v>1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4,</v>
      </c>
      <c r="S25" s="16" t="str">
        <f t="shared" si="9"/>
        <v>4,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Table622[[#This Row],[Finishes]]+Table622[[#This Row],[Midranges]]+Table622[[#This Row],[Threes]]+Table622[[#This Row],[Threes]]</f>
        <v>1</v>
      </c>
      <c r="AD25" s="157">
        <f>COUNTIFS(D4:D35, "Loose Gooses", E$4:E$35,AB25,F$4:F$35,"Finish")</f>
        <v>1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1,</v>
      </c>
      <c r="S26" s="16" t="str">
        <f t="shared" si="9"/>
        <v>1,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Table622[[#This Row],[Finishes]]+Table622[[#This Row],[Midranges]]+Table622[[#This Row],[Threes]]+Table622[[#This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0,</v>
      </c>
      <c r="S27" s="16" t="str">
        <f t="shared" si="9"/>
        <v>0,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Table622[[#This Row],[Finishes]]+Table622[[#This Row],[Midranges]]+Table622[[#This Row],[Threes]]+Table622[[#This Row],[Threes]]</f>
        <v>1</v>
      </c>
      <c r="AD27" s="157">
        <f>COUNTIFS(D4:D35, "Loose Gooses", E$4:E$35,AB27,F$4:F$35,"Finish")</f>
        <v>1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2,</v>
      </c>
      <c r="S28" s="16" t="str">
        <f t="shared" si="9"/>
        <v>2,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Table622[[#This Row],[Finishes]]+Table622[[#This Row],[Midranges]]+Table622[[#This Row],[Threes]]+Table622[[#This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Table622[[#This Row],[Finishes]]+Table622[[#This Row],[Midranges]]+Table622[[#This Row],[Threes]]+Table622[[#This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0,</v>
      </c>
      <c r="S30" s="16" t="str">
        <f t="shared" si="9"/>
        <v>0,</v>
      </c>
      <c r="T30" s="16" t="str">
        <f t="shared" si="9"/>
        <v>0,</v>
      </c>
      <c r="U30" s="16" t="str">
        <f t="shared" si="9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Table622[[#This Row],[Finishes]]+Table622[[#This Row],[Midranges]]+Table622[[#This Row],[Threes]]+Table622[[#This Row],[Threes]]</f>
        <v>6</v>
      </c>
      <c r="AD30" s="156">
        <f>COUNTIFS(D4:D35, "Loose Gooses", E$4:E$35,AB30,F$4:F$35,"Finish")</f>
        <v>2</v>
      </c>
      <c r="AE30" s="156">
        <f>COUNTIFS(D4:D35, "Loose Gooses", E$4:E$35,AB30,F$4:F$35,"Midrange")</f>
        <v>4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"Did not Play",</v>
      </c>
      <c r="S31" s="16" t="str">
        <f t="shared" si="9"/>
        <v>"Did not Play",</v>
      </c>
      <c r="T31" s="16" t="str">
        <f t="shared" si="9"/>
        <v>"Did not Play",</v>
      </c>
      <c r="U31" s="16" t="str">
        <f t="shared" si="9"/>
        <v>"Did not Play",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Table622[[#This Row],[Finishes]]+Table622[[#This Row],[Midranges]]+Table622[[#This Row],[Threes]]+Table622[[#This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12,</v>
      </c>
      <c r="S32" s="16" t="str">
        <f t="shared" si="9"/>
        <v>2,</v>
      </c>
      <c r="T32" s="16" t="str">
        <f t="shared" si="9"/>
        <v>8,</v>
      </c>
      <c r="U32" s="16" t="str">
        <f t="shared" si="9"/>
        <v>1,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Table622[[#This Row],[Finishes]]+Table622[[#This Row],[Midranges]]+Table622[[#This Row],[Threes]]+Table622[[#This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Table622[[#This Row],[Finishes]]+Table622[[#This Row],[Midranges]]+Table622[[#This Row],[Threes]]+Table622[[#This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Table622[[#This Row],[Finishes]]+Table622[[#This Row],[Midranges]]+Table622[[#This Row],[Threes]]+Table622[[#This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"Did not Play",</v>
      </c>
      <c r="S35" s="16" t="str">
        <f t="shared" si="9"/>
        <v>"Did not Play",</v>
      </c>
      <c r="T35" s="16" t="str">
        <f t="shared" si="9"/>
        <v>"Did not Play",</v>
      </c>
      <c r="U35" s="16" t="str">
        <f t="shared" si="9"/>
        <v>"Did not Play",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Table622[[#This Row],[Finishes]]+Table622[[#This Row],[Midranges]]+Table622[[#This Row],[Threes]]+Table622[[#This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0,</v>
      </c>
      <c r="S37" s="16" t="str">
        <f t="shared" si="9"/>
        <v>0,</v>
      </c>
      <c r="T37" s="16" t="str">
        <f t="shared" si="9"/>
        <v>0,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"Date":["8-August"],</v>
      </c>
    </row>
    <row r="45" spans="2:32" ht="14.25" customHeight="1" x14ac:dyDescent="0.45">
      <c r="B45" s="74" t="str">
        <f>C2</f>
        <v>8-August</v>
      </c>
      <c r="C45" s="16">
        <f>MAX(L3:L5)</f>
        <v>17</v>
      </c>
      <c r="D45" s="16">
        <f>COUNT(B4:B42)-C45-E45</f>
        <v>1</v>
      </c>
      <c r="E45" s="16">
        <f>MIN(L3:L5)</f>
        <v>1</v>
      </c>
      <c r="F45" s="16">
        <f>L3</f>
        <v>1</v>
      </c>
      <c r="G45" s="16">
        <f>COUNTIF(Y4:Y39, "WW/LG")</f>
        <v>1</v>
      </c>
      <c r="H45" s="16">
        <f>COUNTIF(Z4:Z39, "5M/LG")</f>
        <v>8</v>
      </c>
      <c r="I45" s="16">
        <f>L5</f>
        <v>1</v>
      </c>
      <c r="J45" s="16">
        <f>COUNTIF(X4:X39, "LG/WW")</f>
        <v>0</v>
      </c>
      <c r="K45" s="16">
        <f>COUNTIF(Z4:Z39, "5M/WW")</f>
        <v>9</v>
      </c>
      <c r="L45" s="16">
        <f>L4</f>
        <v>17</v>
      </c>
      <c r="M45" s="16">
        <f>COUNTIF(X4:X39, "LG/5M")</f>
        <v>1</v>
      </c>
      <c r="N45" s="16">
        <f>COUNTIF(Y4:Y39, "WW/5M")</f>
        <v>0</v>
      </c>
      <c r="O45" s="16">
        <f>O3</f>
        <v>1</v>
      </c>
      <c r="P45" s="16">
        <f>O5</f>
        <v>2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"Points":[0,0,4,1,0,2,0,0,"Did not Play",12,0,"Did not Play","Did not Play",1,0,0,0],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"Finishes":[0,0,4,1,0,2,0,0,"Did not Play",2,0,"Did not Play","Did not Play",1,0,0,0],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"Midrange":[0,0,0,0,0,0,0,0,"Did not Play",8,0,"Did not Play","Did not Play",0,0,0,0],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"ThreePointers":[0,0,0,0,0,0,0,0,"Did not Play",1,0,"Did not Play","Did not Play",0,0,0,0]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2976-BE5C-45FA-A6E6-5EC30A423A37}">
  <dimension ref="B1:AF1000"/>
  <sheetViews>
    <sheetView topLeftCell="G7" zoomScale="79" workbookViewId="0">
      <selection activeCell="AD29" sqref="AD29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265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7</v>
      </c>
      <c r="M3" s="11">
        <f>COUNTIF(D3:D40, "Loose Gooses")</f>
        <v>2</v>
      </c>
      <c r="N3" s="10">
        <f>L3/(L3+M3)</f>
        <v>0.77777777777777779</v>
      </c>
      <c r="O3" s="11">
        <f>IF(M3&lt;&gt;0,IF(AND(N3&gt;N4,N3&gt;N5),3,IF(OR(N3&gt;N4,N3&gt;N5),2,1)),0)</f>
        <v>3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47</v>
      </c>
      <c r="D4" s="25" t="s">
        <v>26</v>
      </c>
      <c r="E4" s="25" t="s">
        <v>28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0</v>
      </c>
      <c r="M4" s="11">
        <f>COUNTIF(D3:D40, "5 Musketeers")</f>
        <v>5</v>
      </c>
      <c r="N4" s="10">
        <f t="shared" ref="N4:N5" si="4">L4/(L4+M4)</f>
        <v>0</v>
      </c>
      <c r="O4" s="11">
        <f>IF(M4&lt;&gt;0,IF(AND(N4&gt;N3,N4&gt;N5),3,IF(OR(N4&gt;N3,N4&gt;N5),2,1)),0)</f>
        <v>1</v>
      </c>
      <c r="Q4" s="2" t="s">
        <v>28</v>
      </c>
      <c r="R4" s="8">
        <f t="shared" si="0"/>
        <v>2</v>
      </c>
      <c r="S4" s="9">
        <f t="shared" si="1"/>
        <v>2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LG/5M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61</v>
      </c>
      <c r="F5" s="25" t="s">
        <v>205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3</v>
      </c>
      <c r="M5" s="11">
        <f>COUNTIF(D3:D40, "Wet Willies")</f>
        <v>3</v>
      </c>
      <c r="N5" s="10">
        <f t="shared" si="4"/>
        <v>0.5</v>
      </c>
      <c r="O5" s="11">
        <f>IF(M5&lt;&gt;0,IF(AND(N5&gt;N4, N5&gt;N3), 3, IF(OR(N5&gt;N4, N5&gt;N3), 2, 1)),0)</f>
        <v>2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47</v>
      </c>
      <c r="D6" s="25" t="s">
        <v>26</v>
      </c>
      <c r="E6" s="25" t="s">
        <v>28</v>
      </c>
      <c r="F6" s="25" t="s">
        <v>204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>LG/5M</v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47</v>
      </c>
      <c r="D7" s="25" t="s">
        <v>31</v>
      </c>
      <c r="E7" s="25" t="s">
        <v>61</v>
      </c>
      <c r="F7" s="25" t="s">
        <v>204</v>
      </c>
      <c r="G7" s="25">
        <v>4</v>
      </c>
      <c r="H7" s="25">
        <v>2</v>
      </c>
      <c r="I7" s="25">
        <v>1</v>
      </c>
      <c r="Q7" s="2" t="s">
        <v>37</v>
      </c>
      <c r="R7" s="8">
        <f t="shared" si="0"/>
        <v>1</v>
      </c>
      <c r="S7" s="9">
        <f t="shared" si="1"/>
        <v>1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>LG/WW</v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47</v>
      </c>
      <c r="D8" s="25" t="s">
        <v>26</v>
      </c>
      <c r="E8" s="25" t="s">
        <v>61</v>
      </c>
      <c r="F8" s="25" t="s">
        <v>204</v>
      </c>
      <c r="G8" s="25">
        <v>5</v>
      </c>
      <c r="H8" s="25">
        <v>3</v>
      </c>
      <c r="I8" s="25">
        <v>2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1</v>
      </c>
      <c r="X8" s="52" t="str">
        <f t="shared" si="5"/>
        <v>LG/5M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47</v>
      </c>
      <c r="D9" s="25" t="s">
        <v>31</v>
      </c>
      <c r="E9" s="25" t="s">
        <v>58</v>
      </c>
      <c r="F9" s="25" t="s">
        <v>204</v>
      </c>
      <c r="G9" s="25">
        <v>6</v>
      </c>
      <c r="H9" s="25">
        <v>3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>LG/WW</v>
      </c>
      <c r="Y9" s="52" t="str">
        <f t="shared" si="6"/>
        <v/>
      </c>
      <c r="Z9" s="52" t="str">
        <f t="shared" si="7"/>
        <v/>
      </c>
    </row>
    <row r="10" spans="2:31" ht="14.25" customHeight="1" x14ac:dyDescent="0.45">
      <c r="B10" s="25">
        <v>7</v>
      </c>
      <c r="C10" s="25" t="s">
        <v>47</v>
      </c>
      <c r="D10" s="25" t="s">
        <v>26</v>
      </c>
      <c r="E10" s="25" t="s">
        <v>61</v>
      </c>
      <c r="F10" s="25" t="s">
        <v>205</v>
      </c>
      <c r="G10" s="25">
        <v>7</v>
      </c>
      <c r="H10" s="25">
        <v>4</v>
      </c>
      <c r="I10" s="25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>LG/5M</v>
      </c>
      <c r="Y10" s="52" t="str">
        <f t="shared" si="6"/>
        <v/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31</v>
      </c>
      <c r="D11" s="25" t="s">
        <v>47</v>
      </c>
      <c r="E11" s="25" t="s">
        <v>67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1</v>
      </c>
      <c r="X11" s="52" t="str">
        <f t="shared" si="5"/>
        <v/>
      </c>
      <c r="Y11" s="52" t="str">
        <f t="shared" si="6"/>
        <v>WW/LG</v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26</v>
      </c>
      <c r="E12" s="25" t="s">
        <v>55</v>
      </c>
      <c r="F12" s="25" t="s">
        <v>204</v>
      </c>
      <c r="G12" s="25">
        <v>2</v>
      </c>
      <c r="H12" s="25">
        <v>5</v>
      </c>
      <c r="I12" s="25">
        <v>1</v>
      </c>
      <c r="Q12" s="2" t="s">
        <v>50</v>
      </c>
      <c r="R12" s="8">
        <f t="shared" si="0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WW/5M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31</v>
      </c>
      <c r="D13" s="25" t="s">
        <v>47</v>
      </c>
      <c r="E13" s="25" t="s">
        <v>37</v>
      </c>
      <c r="F13" s="25" t="s">
        <v>204</v>
      </c>
      <c r="G13" s="25">
        <v>3</v>
      </c>
      <c r="H13" s="25">
        <v>2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>WW/LG</v>
      </c>
      <c r="Z13" s="52" t="str">
        <f t="shared" si="7"/>
        <v/>
      </c>
      <c r="AB13" s="2"/>
    </row>
    <row r="14" spans="2:31" ht="14.25" customHeight="1" x14ac:dyDescent="0.45">
      <c r="B14" s="25"/>
      <c r="C14" s="25"/>
      <c r="D14" s="25"/>
      <c r="E14" s="25"/>
      <c r="F14" s="25"/>
      <c r="G14" s="25"/>
      <c r="H14" s="25"/>
      <c r="I14" s="25"/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/>
      <c r="C15" s="25"/>
      <c r="D15" s="25"/>
      <c r="E15" s="25"/>
      <c r="F15" s="25"/>
      <c r="G15" s="25"/>
      <c r="H15" s="25"/>
      <c r="I15" s="25"/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/>
      <c r="C16" s="25"/>
      <c r="D16" s="25"/>
      <c r="E16" s="25"/>
      <c r="F16" s="25"/>
      <c r="G16" s="25"/>
      <c r="H16" s="25"/>
      <c r="I16" s="25"/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6</v>
      </c>
      <c r="S17" s="9">
        <f t="shared" si="1"/>
        <v>2</v>
      </c>
      <c r="T17" s="9">
        <f t="shared" si="2"/>
        <v>0</v>
      </c>
      <c r="U17" s="9">
        <f t="shared" si="3"/>
        <v>2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1</v>
      </c>
      <c r="S19" s="9">
        <f t="shared" si="1"/>
        <v>1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2,</v>
      </c>
      <c r="S24" s="16" t="str">
        <f t="shared" si="9"/>
        <v>2,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Table621[[#This Row],[Finishes]]+Table621[[#This Row],[Midranges]]+Table621[[#This Row],[Threes]]+Table621[[#This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Table621[[#This Row],[Finishes]]+Table621[[#This Row],[Midranges]]+Table621[[#This Row],[Threes]]+Table621[[#This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Table621[[#This Row],[Finishes]]+Table621[[#This Row],[Midranges]]+Table621[[#This Row],[Threes]]+Table621[[#This Row],[Threes]]</f>
        <v>1</v>
      </c>
      <c r="AD26" s="156">
        <f>COUNTIFS(D4:D35, "Loose Gooses", E$4:E$35,AB26,F$4:F$35,"Finish")</f>
        <v>1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1,</v>
      </c>
      <c r="S27" s="16" t="str">
        <f t="shared" si="9"/>
        <v>1,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Table621[[#This Row],[Finishes]]+Table621[[#This Row],[Midranges]]+Table621[[#This Row],[Threes]]+Table621[[#This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"Did not Play",</v>
      </c>
      <c r="S28" s="16" t="str">
        <f t="shared" si="9"/>
        <v>"Did not Play",</v>
      </c>
      <c r="T28" s="16" t="str">
        <f t="shared" si="9"/>
        <v>"Did not Play",</v>
      </c>
      <c r="U28" s="16" t="str">
        <f t="shared" si="9"/>
        <v>"Did not Play",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Table621[[#This Row],[Finishes]]+Table621[[#This Row],[Midranges]]+Table621[[#This Row],[Threes]]+Table621[[#This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Table621[[#This Row],[Finishes]]+Table621[[#This Row],[Midranges]]+Table621[[#This Row],[Threes]]+Table621[[#This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0,</v>
      </c>
      <c r="S30" s="16" t="str">
        <f t="shared" si="9"/>
        <v>0,</v>
      </c>
      <c r="T30" s="16" t="str">
        <f t="shared" si="9"/>
        <v>0,</v>
      </c>
      <c r="U30" s="16" t="str">
        <f t="shared" si="9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Table621[[#This Row],[Finishes]]+Table621[[#This Row],[Midranges]]+Table621[[#This Row],[Threes]]+Table621[[#This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"Did not Play",</v>
      </c>
      <c r="S31" s="16" t="str">
        <f t="shared" si="9"/>
        <v>"Did not Play",</v>
      </c>
      <c r="T31" s="16" t="str">
        <f t="shared" si="9"/>
        <v>"Did not Play",</v>
      </c>
      <c r="U31" s="16" t="str">
        <f t="shared" si="9"/>
        <v>"Did not Play",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Table621[[#This Row],[Finishes]]+Table621[[#This Row],[Midranges]]+Table621[[#This Row],[Threes]]+Table621[[#This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0,</v>
      </c>
      <c r="S32" s="16" t="str">
        <f t="shared" si="9"/>
        <v>0,</v>
      </c>
      <c r="T32" s="16" t="str">
        <f t="shared" si="9"/>
        <v>0,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Table621[[#This Row],[Finishes]]+Table621[[#This Row],[Midranges]]+Table621[[#This Row],[Threes]]+Table621[[#This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Table621[[#This Row],[Finishes]]+Table621[[#This Row],[Midranges]]+Table621[[#This Row],[Threes]]+Table621[[#This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Table621[[#This Row],[Finishes]]+Table621[[#This Row],[Midranges]]+Table621[[#This Row],[Threes]]+Table621[[#This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1,</v>
      </c>
      <c r="S35" s="16" t="str">
        <f t="shared" si="9"/>
        <v>1,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Table621[[#This Row],[Finishes]]+Table621[[#This Row],[Midranges]]+Table621[[#This Row],[Threes]]+Table621[[#This Row],[Threes]]</f>
        <v>1</v>
      </c>
      <c r="AD35" s="161">
        <f>COUNTIFS(D4:D35, "Loose Gooses", E$4:E$35,AB35,F$4:F$35,"Finish")</f>
        <v>1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6,</v>
      </c>
      <c r="S37" s="16" t="str">
        <f t="shared" si="9"/>
        <v>2,</v>
      </c>
      <c r="T37" s="16" t="str">
        <f t="shared" si="9"/>
        <v>0,</v>
      </c>
      <c r="U37" s="16" t="str">
        <f t="shared" si="9"/>
        <v>2,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1</v>
      </c>
      <c r="S39" s="16">
        <f>IF($V19, CHAR(34)&amp;"Did not Play"&amp;CHAR(34), S19)</f>
        <v>1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"Date":["3-August"],</v>
      </c>
    </row>
    <row r="45" spans="2:32" ht="14.25" customHeight="1" x14ac:dyDescent="0.45">
      <c r="B45" s="74" t="str">
        <f>C2</f>
        <v>3-August</v>
      </c>
      <c r="C45" s="16">
        <f>MAX(L3:L5)</f>
        <v>7</v>
      </c>
      <c r="D45" s="16">
        <f>COUNT(B4:B42)-C45-E45</f>
        <v>3</v>
      </c>
      <c r="E45" s="16">
        <f>MIN(L3:L5)</f>
        <v>0</v>
      </c>
      <c r="F45" s="16">
        <f>L3</f>
        <v>7</v>
      </c>
      <c r="G45" s="16">
        <f>COUNTIF(Y4:Y39, "WW/LG")</f>
        <v>2</v>
      </c>
      <c r="H45" s="16">
        <f>COUNTIF(Z4:Z39, "5M/LG")</f>
        <v>0</v>
      </c>
      <c r="I45" s="16">
        <f>L5</f>
        <v>3</v>
      </c>
      <c r="J45" s="16">
        <f>COUNTIF(X4:X39, "LG/WW")</f>
        <v>3</v>
      </c>
      <c r="K45" s="16">
        <f>COUNTIF(Z4:Z39, "5M/WW")</f>
        <v>0</v>
      </c>
      <c r="L45" s="16">
        <f>L4</f>
        <v>0</v>
      </c>
      <c r="M45" s="16">
        <f>COUNTIF(X4:X39, "LG/5M")</f>
        <v>4</v>
      </c>
      <c r="N45" s="16">
        <f>COUNTIF(Y4:Y39, "WW/5M")</f>
        <v>1</v>
      </c>
      <c r="O45" s="16">
        <f>O3</f>
        <v>3</v>
      </c>
      <c r="P45" s="16">
        <f>O5</f>
        <v>2</v>
      </c>
      <c r="Q45" s="16">
        <f>O4</f>
        <v>1</v>
      </c>
      <c r="T45" s="16" t="str">
        <f>CHAR(34)&amp;"Points"&amp;CHAR(34)&amp;":["&amp;R23&amp;R24&amp;R25&amp;R26&amp;R27&amp;R28&amp;R29&amp;R30&amp;R31&amp;R32&amp;R33&amp;R34&amp;R35&amp;R36&amp;R37&amp;R38&amp;R39&amp;"],"</f>
        <v>"Points":[0,2,"Did not Play","Did not Play",1,"Did not Play",0,0,"Did not Play",0,0,"Did not Play",1,1,6,0,1],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"Finishes":[0,2,"Did not Play","Did not Play",1,"Did not Play",0,0,"Did not Play",0,0,"Did not Play",1,1,2,0,1],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"Midrange":[0,0,"Did not Play","Did not Play",0,"Did not Play",0,0,"Did not Play",0,0,"Did not Play",0,0,0,0,0],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Play","Did not Play",0,"Did not Play",0,0,"Did not Play",0,0,"Did not Play",0,0,2,0,0]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F799-1BF3-49C0-977C-7BEA265EA510}">
  <dimension ref="B1:AF1000"/>
  <sheetViews>
    <sheetView topLeftCell="E1" zoomScale="70" zoomScaleNormal="70" workbookViewId="0">
      <selection activeCell="AD31" sqref="AD31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264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4</v>
      </c>
      <c r="M3" s="11">
        <f>COUNTIF(D3:D40, "Loose Gooses")</f>
        <v>11</v>
      </c>
      <c r="N3" s="10">
        <f>L3/(L3+M3)</f>
        <v>0.26666666666666666</v>
      </c>
      <c r="O3" s="11">
        <f>IF(M3&lt;&gt;0,IF(AND(N3&gt;N4,N3&gt;N5),3,IF(OR(N3&gt;N4,N3&gt;N5),2,1)),0)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31</v>
      </c>
      <c r="D4" s="25" t="s">
        <v>47</v>
      </c>
      <c r="E4" s="25" t="s">
        <v>67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12</v>
      </c>
      <c r="M4" s="11">
        <f>COUNTIF(D3:D40, "5 Musketeers")</f>
        <v>7</v>
      </c>
      <c r="N4" s="10">
        <f t="shared" ref="N4:N5" si="4">L4/(L4+M4)</f>
        <v>0.63157894736842102</v>
      </c>
      <c r="O4" s="11">
        <f>IF(M4&lt;&gt;0,IF(AND(N4&gt;N3,N4&gt;N5),3,IF(OR(N4&gt;N3,N4&gt;N5),2,1)),0)</f>
        <v>3</v>
      </c>
      <c r="Q4" s="2" t="s">
        <v>28</v>
      </c>
      <c r="R4" s="8">
        <f t="shared" si="0"/>
        <v>1</v>
      </c>
      <c r="S4" s="9">
        <f t="shared" si="1"/>
        <v>1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>WW/LG</v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31</v>
      </c>
      <c r="D5" s="25" t="s">
        <v>26</v>
      </c>
      <c r="E5" s="25" t="s">
        <v>37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10</v>
      </c>
      <c r="M5" s="11">
        <f>COUNTIF(D3:D40, "Wet Willies")</f>
        <v>8</v>
      </c>
      <c r="N5" s="10">
        <f t="shared" si="4"/>
        <v>0.55555555555555558</v>
      </c>
      <c r="O5" s="11">
        <f>IF(M5&lt;&gt;0,IF(AND(N5&gt;N4, N5&gt;N3), 3, IF(OR(N5&gt;N4, N5&gt;N3), 2, 1)),0)</f>
        <v>2</v>
      </c>
      <c r="Q5" s="2" t="s">
        <v>30</v>
      </c>
      <c r="R5" s="8">
        <f t="shared" si="0"/>
        <v>3</v>
      </c>
      <c r="S5" s="9">
        <f t="shared" si="1"/>
        <v>3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>WW/5M</v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31</v>
      </c>
      <c r="D6" s="25" t="s">
        <v>47</v>
      </c>
      <c r="E6" s="25" t="s">
        <v>37</v>
      </c>
      <c r="F6" s="25" t="s">
        <v>204</v>
      </c>
      <c r="G6" s="25">
        <v>3</v>
      </c>
      <c r="H6" s="25">
        <v>2</v>
      </c>
      <c r="I6" s="25">
        <v>2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>WW/LG</v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31</v>
      </c>
      <c r="D7" s="25" t="s">
        <v>26</v>
      </c>
      <c r="E7" s="25" t="s">
        <v>55</v>
      </c>
      <c r="F7" s="25" t="s">
        <v>204</v>
      </c>
      <c r="G7" s="25">
        <v>4</v>
      </c>
      <c r="H7" s="25">
        <v>2</v>
      </c>
      <c r="I7" s="25">
        <v>1</v>
      </c>
      <c r="Q7" s="2" t="s">
        <v>37</v>
      </c>
      <c r="R7" s="8">
        <f t="shared" si="0"/>
        <v>3</v>
      </c>
      <c r="S7" s="9">
        <f t="shared" si="1"/>
        <v>2</v>
      </c>
      <c r="T7" s="9">
        <f t="shared" si="2"/>
        <v>1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>WW/5M</v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47</v>
      </c>
      <c r="D8" s="25" t="s">
        <v>31</v>
      </c>
      <c r="E8" s="25" t="s">
        <v>28</v>
      </c>
      <c r="F8" s="25" t="s">
        <v>204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1</v>
      </c>
      <c r="X8" s="52" t="str">
        <f t="shared" si="5"/>
        <v>LG/WW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47</v>
      </c>
      <c r="E9" s="25" t="s">
        <v>200</v>
      </c>
      <c r="F9" s="25" t="s">
        <v>99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2</v>
      </c>
      <c r="S9" s="9">
        <f t="shared" si="1"/>
        <v>1</v>
      </c>
      <c r="T9" s="9">
        <f t="shared" si="2"/>
        <v>1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</row>
    <row r="10" spans="2:31" ht="14.25" customHeight="1" x14ac:dyDescent="0.45">
      <c r="B10" s="25">
        <v>7</v>
      </c>
      <c r="C10" s="25" t="s">
        <v>31</v>
      </c>
      <c r="D10" s="25" t="s">
        <v>26</v>
      </c>
      <c r="E10" s="25" t="s">
        <v>52</v>
      </c>
      <c r="F10" s="25" t="s">
        <v>99</v>
      </c>
      <c r="G10" s="25">
        <v>1</v>
      </c>
      <c r="H10" s="25">
        <v>3</v>
      </c>
      <c r="I10" s="25">
        <v>1</v>
      </c>
      <c r="Q10" s="2" t="s">
        <v>44</v>
      </c>
      <c r="R10" s="8">
        <f t="shared" si="0"/>
        <v>6</v>
      </c>
      <c r="S10" s="9">
        <f t="shared" si="1"/>
        <v>0</v>
      </c>
      <c r="T10" s="9">
        <f t="shared" si="2"/>
        <v>0</v>
      </c>
      <c r="U10" s="9">
        <f t="shared" si="3"/>
        <v>3</v>
      </c>
      <c r="V10" s="26" t="b">
        <v>0</v>
      </c>
      <c r="X10" s="52" t="str">
        <f t="shared" si="5"/>
        <v/>
      </c>
      <c r="Y10" s="52" t="str">
        <f t="shared" si="6"/>
        <v>WW/5M</v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47</v>
      </c>
      <c r="D11" s="25" t="s">
        <v>31</v>
      </c>
      <c r="E11" s="25" t="s">
        <v>61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1</v>
      </c>
      <c r="X11" s="52" t="str">
        <f t="shared" si="5"/>
        <v>LG/WW</v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26</v>
      </c>
      <c r="D12" s="25" t="s">
        <v>47</v>
      </c>
      <c r="E12" s="25" t="s">
        <v>50</v>
      </c>
      <c r="F12" s="25" t="s">
        <v>204</v>
      </c>
      <c r="G12" s="25">
        <v>1</v>
      </c>
      <c r="H12" s="25">
        <v>1</v>
      </c>
      <c r="I12" s="25">
        <v>1</v>
      </c>
      <c r="Q12" s="2" t="s">
        <v>50</v>
      </c>
      <c r="R12" s="8">
        <f t="shared" si="0"/>
        <v>6</v>
      </c>
      <c r="S12" s="9">
        <f t="shared" si="1"/>
        <v>3</v>
      </c>
      <c r="T12" s="9">
        <f t="shared" si="2"/>
        <v>3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5M/LG</v>
      </c>
      <c r="AB12" s="2"/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50</v>
      </c>
      <c r="F13" s="25" t="s">
        <v>99</v>
      </c>
      <c r="G13" s="25">
        <v>2</v>
      </c>
      <c r="H13" s="25">
        <v>2</v>
      </c>
      <c r="I13" s="25">
        <v>2</v>
      </c>
      <c r="Q13" s="2" t="s">
        <v>52</v>
      </c>
      <c r="R13" s="8">
        <f t="shared" si="0"/>
        <v>1</v>
      </c>
      <c r="S13" s="9">
        <f t="shared" si="1"/>
        <v>0</v>
      </c>
      <c r="T13" s="9">
        <f t="shared" si="2"/>
        <v>1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45">
      <c r="B14" s="25">
        <v>11</v>
      </c>
      <c r="C14" s="25" t="s">
        <v>26</v>
      </c>
      <c r="D14" s="25" t="s">
        <v>47</v>
      </c>
      <c r="E14" s="25" t="s">
        <v>30</v>
      </c>
      <c r="F14" s="25" t="s">
        <v>204</v>
      </c>
      <c r="G14" s="25">
        <v>3</v>
      </c>
      <c r="H14" s="25">
        <v>2</v>
      </c>
      <c r="I14" s="25">
        <v>1</v>
      </c>
      <c r="Q14" s="2" t="s">
        <v>200</v>
      </c>
      <c r="R14" s="8">
        <f t="shared" si="0"/>
        <v>1</v>
      </c>
      <c r="S14" s="9">
        <f t="shared" si="1"/>
        <v>0</v>
      </c>
      <c r="T14" s="9">
        <f t="shared" si="2"/>
        <v>1</v>
      </c>
      <c r="U14" s="9">
        <f t="shared" si="3"/>
        <v>0</v>
      </c>
      <c r="V14" s="26" t="b">
        <v>0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/>
    </row>
    <row r="15" spans="2:31" ht="14.25" customHeight="1" x14ac:dyDescent="0.45">
      <c r="B15" s="25">
        <v>12</v>
      </c>
      <c r="C15" s="25" t="s">
        <v>31</v>
      </c>
      <c r="D15" s="25" t="s">
        <v>26</v>
      </c>
      <c r="E15" s="25" t="s">
        <v>44</v>
      </c>
      <c r="F15" s="25" t="s">
        <v>205</v>
      </c>
      <c r="G15" s="25">
        <v>1</v>
      </c>
      <c r="H15" s="25">
        <v>1</v>
      </c>
      <c r="I15" s="25">
        <v>1</v>
      </c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>WW/5M</v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31</v>
      </c>
      <c r="E16" s="25" t="s">
        <v>58</v>
      </c>
      <c r="F16" s="25" t="s">
        <v>99</v>
      </c>
      <c r="G16" s="25">
        <v>1</v>
      </c>
      <c r="H16" s="25">
        <v>1</v>
      </c>
      <c r="I16" s="25">
        <v>1</v>
      </c>
      <c r="Q16" s="2" t="s">
        <v>58</v>
      </c>
      <c r="R16" s="8">
        <f t="shared" si="0"/>
        <v>2</v>
      </c>
      <c r="S16" s="9">
        <f t="shared" si="1"/>
        <v>1</v>
      </c>
      <c r="T16" s="9">
        <f t="shared" si="2"/>
        <v>1</v>
      </c>
      <c r="U16" s="9">
        <f t="shared" si="3"/>
        <v>0</v>
      </c>
      <c r="V16" s="26" t="b">
        <v>0</v>
      </c>
      <c r="X16" s="52" t="str">
        <f t="shared" si="5"/>
        <v>LG/WW</v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26</v>
      </c>
      <c r="D17" s="25" t="s">
        <v>47</v>
      </c>
      <c r="E17" s="25" t="s">
        <v>50</v>
      </c>
      <c r="F17" s="25" t="s">
        <v>99</v>
      </c>
      <c r="G17" s="25">
        <v>1</v>
      </c>
      <c r="H17" s="25">
        <v>1</v>
      </c>
      <c r="I17" s="25">
        <v>1</v>
      </c>
      <c r="Q17" s="2" t="s">
        <v>61</v>
      </c>
      <c r="R17" s="8">
        <f t="shared" si="0"/>
        <v>1</v>
      </c>
      <c r="S17" s="9">
        <f t="shared" si="1"/>
        <v>1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>5M/LG</v>
      </c>
      <c r="AB17" s="2"/>
    </row>
    <row r="18" spans="2:32" ht="14.25" customHeight="1" x14ac:dyDescent="0.45">
      <c r="B18" s="25">
        <v>15</v>
      </c>
      <c r="C18" s="25" t="s">
        <v>31</v>
      </c>
      <c r="D18" s="25" t="s">
        <v>26</v>
      </c>
      <c r="E18" s="25" t="s">
        <v>37</v>
      </c>
      <c r="F18" s="25" t="s">
        <v>99</v>
      </c>
      <c r="G18" s="25">
        <v>1</v>
      </c>
      <c r="H18" s="25">
        <v>1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>WW/5M</v>
      </c>
      <c r="Z18" s="52" t="str">
        <f t="shared" si="7"/>
        <v/>
      </c>
      <c r="AB18" s="2"/>
    </row>
    <row r="19" spans="2:32" ht="14.25" customHeight="1" x14ac:dyDescent="0.45">
      <c r="B19" s="25">
        <v>16</v>
      </c>
      <c r="C19" s="25" t="s">
        <v>31</v>
      </c>
      <c r="D19" s="25" t="s">
        <v>47</v>
      </c>
      <c r="E19" s="25" t="s">
        <v>67</v>
      </c>
      <c r="F19" s="25" t="s">
        <v>204</v>
      </c>
      <c r="G19" s="25">
        <v>2</v>
      </c>
      <c r="H19" s="25">
        <v>2</v>
      </c>
      <c r="I19" s="25">
        <v>1</v>
      </c>
      <c r="Q19" s="2" t="s">
        <v>67</v>
      </c>
      <c r="R19" s="8">
        <f t="shared" si="0"/>
        <v>2</v>
      </c>
      <c r="S19" s="9">
        <f t="shared" si="1"/>
        <v>2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>WW/LG</v>
      </c>
      <c r="Z19" s="52" t="str">
        <f t="shared" si="7"/>
        <v/>
      </c>
    </row>
    <row r="20" spans="2:32" ht="14.25" customHeight="1" x14ac:dyDescent="0.45">
      <c r="B20" s="25">
        <v>17</v>
      </c>
      <c r="C20" s="25" t="s">
        <v>26</v>
      </c>
      <c r="D20" s="25" t="s">
        <v>31</v>
      </c>
      <c r="E20" s="25" t="s">
        <v>115</v>
      </c>
      <c r="F20" s="25" t="s">
        <v>204</v>
      </c>
      <c r="G20" s="25">
        <v>1</v>
      </c>
      <c r="H20" s="25">
        <v>1</v>
      </c>
      <c r="I20" s="25">
        <v>1</v>
      </c>
      <c r="X20" s="52" t="str">
        <f t="shared" si="5"/>
        <v/>
      </c>
      <c r="Y20" s="52" t="str">
        <f t="shared" si="6"/>
        <v/>
      </c>
      <c r="Z20" s="52" t="str">
        <f t="shared" si="7"/>
        <v>5M/WW</v>
      </c>
    </row>
    <row r="21" spans="2:32" ht="14.25" customHeight="1" x14ac:dyDescent="0.45">
      <c r="B21" s="25">
        <v>18</v>
      </c>
      <c r="C21" s="25" t="s">
        <v>26</v>
      </c>
      <c r="D21" s="25" t="s">
        <v>47</v>
      </c>
      <c r="E21" s="25" t="s">
        <v>30</v>
      </c>
      <c r="F21" s="25" t="s">
        <v>204</v>
      </c>
      <c r="G21" s="25">
        <v>2</v>
      </c>
      <c r="H21" s="25">
        <v>3</v>
      </c>
      <c r="I21" s="25">
        <v>1</v>
      </c>
      <c r="X21" s="52" t="str">
        <f t="shared" si="5"/>
        <v/>
      </c>
      <c r="Y21" s="52" t="str">
        <f t="shared" si="6"/>
        <v/>
      </c>
      <c r="Z21" s="52" t="str">
        <f t="shared" si="7"/>
        <v>5M/LG</v>
      </c>
    </row>
    <row r="22" spans="2:32" ht="14.25" customHeight="1" x14ac:dyDescent="0.45">
      <c r="B22" s="25">
        <v>19</v>
      </c>
      <c r="C22" s="25" t="s">
        <v>26</v>
      </c>
      <c r="D22" s="25" t="s">
        <v>31</v>
      </c>
      <c r="E22" s="25" t="s">
        <v>50</v>
      </c>
      <c r="F22" s="25" t="s">
        <v>204</v>
      </c>
      <c r="G22" s="25">
        <v>3</v>
      </c>
      <c r="H22" s="25">
        <v>2</v>
      </c>
      <c r="I22" s="25">
        <v>2</v>
      </c>
      <c r="X22" s="52" t="e">
        <f>IF(AND(#REF!="Loose Gooses",#REF!="Wet Willies"),"LG/WW", IF(AND(#REF!="Loose Gooses",#REF!="5 Musketeers"),"LG/5M", ""))</f>
        <v>#REF!</v>
      </c>
      <c r="Y22" s="52" t="e">
        <f>IF(AND(#REF!="Wet Willies",#REF!="Loose Gooses"),"WW/LG", IF(AND(#REF!="Wet Willies",#REF!="5 Musketeers"),"WW/5M", ""))</f>
        <v>#REF!</v>
      </c>
      <c r="Z22" s="52" t="e">
        <f>IF(AND(#REF!="5 Musketeers",#REF!="Loose Gooses"),"5M/LG", IF(AND(#REF!="5 Musketeers",#REF!="Wet Willies"),"5M/WW", ""))</f>
        <v>#REF!</v>
      </c>
      <c r="AB22" s="16" t="s">
        <v>282</v>
      </c>
    </row>
    <row r="23" spans="2:32" ht="14.25" customHeight="1" x14ac:dyDescent="0.45">
      <c r="B23" s="25">
        <v>20</v>
      </c>
      <c r="C23" s="25" t="s">
        <v>26</v>
      </c>
      <c r="D23" s="25" t="s">
        <v>47</v>
      </c>
      <c r="E23" s="25" t="s">
        <v>50</v>
      </c>
      <c r="F23" s="25" t="s">
        <v>99</v>
      </c>
      <c r="G23" s="25">
        <v>4</v>
      </c>
      <c r="H23" s="25">
        <v>4</v>
      </c>
      <c r="I23" s="25">
        <v>5</v>
      </c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e">
        <f>IF(AND(#REF!="Loose Gooses",#REF!="Wet Willies"),"LG/WW", IF(AND(#REF!="Loose Gooses",#REF!="5 Musketeers"),"LG/5M", ""))</f>
        <v>#REF!</v>
      </c>
      <c r="Y23" s="52" t="e">
        <f>IF(AND(#REF!="Wet Willies",#REF!="Loose Gooses"),"WW/LG", IF(AND(#REF!="Wet Willies",#REF!="5 Musketeers"),"WW/5M", ""))</f>
        <v>#REF!</v>
      </c>
      <c r="Z23" s="52" t="e">
        <f>IF(AND(#REF!="5 Musketeers",#REF!="Loose Gooses"),"5M/LG", IF(AND(#REF!="5 Musketeers",#REF!="Wet Willies"),"5M/WW", ""))</f>
        <v>#REF!</v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>
        <v>21</v>
      </c>
      <c r="C24" s="25" t="s">
        <v>26</v>
      </c>
      <c r="D24" s="25" t="s">
        <v>31</v>
      </c>
      <c r="E24" s="25" t="s">
        <v>50</v>
      </c>
      <c r="F24" s="25" t="s">
        <v>204</v>
      </c>
      <c r="G24" s="25">
        <v>5</v>
      </c>
      <c r="H24" s="25">
        <v>3</v>
      </c>
      <c r="I24" s="25">
        <v>6</v>
      </c>
      <c r="R24" s="16" t="str">
        <f t="shared" ref="R24:U38" si="9">IF($V4, CHAR(34)&amp;"Did not Play"&amp;CHAR(34), R4)&amp;","</f>
        <v>1,</v>
      </c>
      <c r="S24" s="16" t="str">
        <f t="shared" si="9"/>
        <v>1,</v>
      </c>
      <c r="T24" s="16" t="str">
        <f t="shared" si="9"/>
        <v>0,</v>
      </c>
      <c r="U24" s="16" t="str">
        <f t="shared" si="9"/>
        <v>0,</v>
      </c>
      <c r="X24" s="52" t="str">
        <f>IF(AND(C22="Loose Gooses",D22="Wet Willies"),"LG/WW", IF(AND(C22="Loose Gooses",D22="5 Musketeers"),"LG/5M", ""))</f>
        <v/>
      </c>
      <c r="Y24" s="52" t="str">
        <f>IF(AND(C22="Wet Willies",D22="Loose Gooses"),"WW/LG", IF(AND(C22="Wet Willies",D22="5 Musketeers"),"WW/5M", ""))</f>
        <v/>
      </c>
      <c r="Z24" s="52" t="str">
        <f>IF(AND(C22="5 Musketeers",D22="Loose Gooses"),"5M/LG", IF(AND($C22="5 Musketeers",$D22="Wet Willies"),"5M/WW", ""))</f>
        <v>5M/WW</v>
      </c>
      <c r="AB24" s="158" t="s">
        <v>30</v>
      </c>
      <c r="AC24" s="165">
        <f>Table620[[#This Row],[Finishes]]+Table620[[#This Row],[Midranges]]+Table620[[#This Row],[Threes]]+Table620[[#This Row],[Threes]]</f>
        <v>3</v>
      </c>
      <c r="AD24" s="156">
        <f>COUNTIFS(D4:D35, "Loose Gooses", E$4:E$35,AB24,F$4:F$35,"Finish")</f>
        <v>3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>
        <v>22</v>
      </c>
      <c r="C25" s="25" t="s">
        <v>26</v>
      </c>
      <c r="D25" s="25" t="s">
        <v>47</v>
      </c>
      <c r="E25" s="25" t="s">
        <v>115</v>
      </c>
      <c r="F25" s="25" t="s">
        <v>99</v>
      </c>
      <c r="G25" s="25">
        <v>6</v>
      </c>
      <c r="H25" s="25">
        <v>5</v>
      </c>
      <c r="I25" s="25">
        <v>1</v>
      </c>
      <c r="Q25" s="6"/>
      <c r="R25" s="16" t="str">
        <f t="shared" si="9"/>
        <v>3,</v>
      </c>
      <c r="S25" s="16" t="str">
        <f t="shared" si="9"/>
        <v>3,</v>
      </c>
      <c r="T25" s="16" t="str">
        <f t="shared" si="9"/>
        <v>0,</v>
      </c>
      <c r="U25" s="16" t="str">
        <f t="shared" si="9"/>
        <v>0,</v>
      </c>
      <c r="X25" s="52" t="e">
        <f>IF(AND(#REF!="Loose Gooses",#REF!="Wet Willies"),"LG/WW", IF(AND(#REF!="Loose Gooses",#REF!="5 Musketeers"),"LG/5M", ""))</f>
        <v>#REF!</v>
      </c>
      <c r="Y25" s="52" t="e">
        <f>IF(AND(#REF!="Wet Willies",#REF!="Loose Gooses"),"WW/LG", IF(AND(#REF!="Wet Willies",#REF!="5 Musketeers"),"WW/5M", ""))</f>
        <v>#REF!</v>
      </c>
      <c r="Z25" s="52" t="e">
        <f>IF(AND(#REF!="5 Musketeers",#REF!="Loose Gooses"),"5M/LG", IF(AND(#REF!="5 Musketeers",#REF!="Wet Willies"),"5M/WW", ""))</f>
        <v>#REF!</v>
      </c>
      <c r="AB25" s="159" t="s">
        <v>35</v>
      </c>
      <c r="AC25" s="166">
        <f>Table620[[#This Row],[Finishes]]+Table620[[#This Row],[Midranges]]+Table620[[#This Row],[Threes]]+Table620[[#This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>
        <v>23</v>
      </c>
      <c r="C26" s="25" t="s">
        <v>31</v>
      </c>
      <c r="D26" s="25" t="s">
        <v>26</v>
      </c>
      <c r="E26" s="25" t="s">
        <v>44</v>
      </c>
      <c r="F26" s="25" t="s">
        <v>205</v>
      </c>
      <c r="G26" s="25">
        <v>1</v>
      </c>
      <c r="H26" s="25">
        <v>1</v>
      </c>
      <c r="I26" s="25">
        <v>1</v>
      </c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e">
        <f>IF(AND(#REF!="Loose Gooses",#REF!="Wet Willies"),"LG/WW", IF(AND(#REF!="Loose Gooses",#REF!="5 Musketeers"),"LG/5M", ""))</f>
        <v>#REF!</v>
      </c>
      <c r="Y26" s="52" t="e">
        <f>IF(AND(#REF!="Wet Willies",#REF!="Loose Gooses"),"WW/LG", IF(AND(#REF!="Wet Willies",#REF!="5 Musketeers"),"WW/5M", ""))</f>
        <v>#REF!</v>
      </c>
      <c r="Z26" s="52" t="e">
        <f>IF(AND(#REF!="5 Musketeers",#REF!="Loose Gooses"),"5M/LG", IF(AND(#REF!="5 Musketeers",#REF!="Wet Willies"),"5M/WW", ""))</f>
        <v>#REF!</v>
      </c>
      <c r="AB26" s="158" t="s">
        <v>37</v>
      </c>
      <c r="AC26" s="165">
        <f>Table620[[#This Row],[Finishes]]+Table620[[#This Row],[Midranges]]+Table620[[#This Row],[Threes]]+Table620[[#This Row],[Threes]]</f>
        <v>1</v>
      </c>
      <c r="AD26" s="156">
        <f>COUNTIFS(D4:D35, "Loose Gooses", E$4:E$35,AB26,F$4:F$35,"Finish")</f>
        <v>1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>
        <v>24</v>
      </c>
      <c r="C27" s="25" t="s">
        <v>47</v>
      </c>
      <c r="D27" s="25" t="s">
        <v>31</v>
      </c>
      <c r="E27" s="25" t="s">
        <v>58</v>
      </c>
      <c r="F27" s="25" t="s">
        <v>204</v>
      </c>
      <c r="G27" s="25">
        <v>1</v>
      </c>
      <c r="H27" s="25">
        <v>1</v>
      </c>
      <c r="I27" s="25">
        <v>1</v>
      </c>
      <c r="R27" s="16" t="str">
        <f t="shared" si="9"/>
        <v>3,</v>
      </c>
      <c r="S27" s="16" t="str">
        <f t="shared" si="9"/>
        <v>2,</v>
      </c>
      <c r="T27" s="16" t="str">
        <f t="shared" si="9"/>
        <v>1,</v>
      </c>
      <c r="U27" s="16" t="str">
        <f t="shared" si="9"/>
        <v>0,</v>
      </c>
      <c r="X27" s="52" t="str">
        <f t="shared" ref="X27:X33" si="10">IF(AND(C23="Loose Gooses",D23="Wet Willies"),"LG/WW", IF(AND(C23="Loose Gooses",D23="5 Musketeers"),"LG/5M", ""))</f>
        <v/>
      </c>
      <c r="Y27" s="52" t="str">
        <f t="shared" ref="Y27:Y33" si="11">IF(AND(C23="Wet Willies",D23="Loose Gooses"),"WW/LG", IF(AND(C23="Wet Willies",D23="5 Musketeers"),"WW/5M", ""))</f>
        <v/>
      </c>
      <c r="Z27" s="52" t="str">
        <f t="shared" ref="Z27:Z33" si="12">IF(AND(C23="5 Musketeers",D23="Loose Gooses"),"5M/LG", IF(AND($C23="5 Musketeers",$D23="Wet Willies"),"5M/WW", ""))</f>
        <v>5M/LG</v>
      </c>
      <c r="AB27" s="159" t="s">
        <v>42</v>
      </c>
      <c r="AC27" s="166">
        <f>Table620[[#This Row],[Finishes]]+Table620[[#This Row],[Midranges]]+Table620[[#This Row],[Threes]]+Table620[[#This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>
        <v>25</v>
      </c>
      <c r="C28" s="25" t="s">
        <v>26</v>
      </c>
      <c r="D28" s="25" t="s">
        <v>47</v>
      </c>
      <c r="E28" s="25" t="s">
        <v>30</v>
      </c>
      <c r="F28" s="25" t="s">
        <v>204</v>
      </c>
      <c r="G28" s="25">
        <v>1</v>
      </c>
      <c r="H28" s="25">
        <v>1</v>
      </c>
      <c r="I28" s="25">
        <v>1</v>
      </c>
      <c r="R28" s="16" t="str">
        <f t="shared" si="9"/>
        <v>"Did not Play",</v>
      </c>
      <c r="S28" s="16" t="str">
        <f t="shared" si="9"/>
        <v>"Did not Play",</v>
      </c>
      <c r="T28" s="16" t="str">
        <f t="shared" si="9"/>
        <v>"Did not Play",</v>
      </c>
      <c r="U28" s="16" t="str">
        <f t="shared" si="9"/>
        <v>"Did not Play",</v>
      </c>
      <c r="X28" s="52" t="str">
        <f t="shared" si="10"/>
        <v/>
      </c>
      <c r="Y28" s="52" t="str">
        <f t="shared" si="11"/>
        <v/>
      </c>
      <c r="Z28" s="52" t="str">
        <f t="shared" si="12"/>
        <v>5M/WW</v>
      </c>
      <c r="AB28" s="158" t="s">
        <v>115</v>
      </c>
      <c r="AC28" s="165">
        <f>Table620[[#This Row],[Finishes]]+Table620[[#This Row],[Midranges]]+Table620[[#This Row],[Threes]]+Table620[[#This Row],[Threes]]</f>
        <v>1</v>
      </c>
      <c r="AD28" s="156">
        <f>COUNTIFS(D4:D35, "Loose Gooses", E$4:E$35,AB28,F$4:F$35,"Finish")</f>
        <v>0</v>
      </c>
      <c r="AE28" s="156">
        <f>COUNTIFS(D4:D35, "Loose Gooses", E$4:E$35,AB28,F$4:F$35,"Midrange")</f>
        <v>1</v>
      </c>
      <c r="AF28" s="156">
        <f>COUNTIFS(D4:D35, "Loose Gooses", E$4:E$35,AB28,F$4:F$35,"Three Pointer")</f>
        <v>0</v>
      </c>
    </row>
    <row r="29" spans="2:32" ht="14.25" customHeight="1" x14ac:dyDescent="0.45">
      <c r="B29" s="25">
        <v>26</v>
      </c>
      <c r="C29" s="25" t="s">
        <v>31</v>
      </c>
      <c r="D29" s="25" t="s">
        <v>26</v>
      </c>
      <c r="E29" s="25" t="s">
        <v>44</v>
      </c>
      <c r="F29" s="25" t="s">
        <v>205</v>
      </c>
      <c r="G29" s="25">
        <v>1</v>
      </c>
      <c r="H29" s="25">
        <v>1</v>
      </c>
      <c r="I29" s="25">
        <v>1</v>
      </c>
      <c r="R29" s="16" t="str">
        <f t="shared" si="9"/>
        <v>2,</v>
      </c>
      <c r="S29" s="16" t="str">
        <f t="shared" si="9"/>
        <v>1,</v>
      </c>
      <c r="T29" s="16" t="str">
        <f t="shared" si="9"/>
        <v>1,</v>
      </c>
      <c r="U29" s="16" t="str">
        <f t="shared" si="9"/>
        <v>0,</v>
      </c>
      <c r="X29" s="52" t="str">
        <f t="shared" si="10"/>
        <v/>
      </c>
      <c r="Y29" s="52" t="str">
        <f t="shared" si="11"/>
        <v/>
      </c>
      <c r="Z29" s="52" t="str">
        <f t="shared" si="12"/>
        <v>5M/LG</v>
      </c>
      <c r="AB29" s="159" t="s">
        <v>44</v>
      </c>
      <c r="AC29" s="166">
        <f>Table620[[#This Row],[Finishes]]+Table620[[#This Row],[Midranges]]+Table620[[#This Row],[Threes]]+Table620[[#This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R30" s="16" t="str">
        <f t="shared" si="9"/>
        <v>6,</v>
      </c>
      <c r="S30" s="16" t="str">
        <f t="shared" si="9"/>
        <v>0,</v>
      </c>
      <c r="T30" s="16" t="str">
        <f t="shared" si="9"/>
        <v>0,</v>
      </c>
      <c r="U30" s="16" t="str">
        <f t="shared" si="9"/>
        <v>3,</v>
      </c>
      <c r="X30" s="52" t="str">
        <f t="shared" si="10"/>
        <v/>
      </c>
      <c r="Y30" s="52" t="str">
        <f t="shared" si="11"/>
        <v>WW/5M</v>
      </c>
      <c r="Z30" s="52" t="str">
        <f t="shared" si="12"/>
        <v/>
      </c>
      <c r="AB30" s="158" t="s">
        <v>50</v>
      </c>
      <c r="AC30" s="165">
        <f>Table620[[#This Row],[Finishes]]+Table620[[#This Row],[Midranges]]+Table620[[#This Row],[Threes]]+Table620[[#This Row],[Threes]]</f>
        <v>3</v>
      </c>
      <c r="AD30" s="156">
        <f>COUNTIFS(D4:D35, "Loose Gooses", E$4:E$35,AB30,F$4:F$35,"Finish")</f>
        <v>1</v>
      </c>
      <c r="AE30" s="156">
        <f>COUNTIFS(D4:D35, "Loose Gooses", E$4:E$35,AB30,F$4:F$35,"Midrange")</f>
        <v>2</v>
      </c>
      <c r="AF30" s="156">
        <f>COUNTIFS(D4:D35, "Loose Gooses", E$4:E$35,AB30,F$4:F$35,"Three Pointer")</f>
        <v>0</v>
      </c>
    </row>
    <row r="31" spans="2:32" ht="14.25" customHeight="1" x14ac:dyDescent="0.45">
      <c r="R31" s="16" t="str">
        <f t="shared" si="9"/>
        <v>"Did not Play",</v>
      </c>
      <c r="S31" s="16" t="str">
        <f t="shared" si="9"/>
        <v>"Did not Play",</v>
      </c>
      <c r="T31" s="16" t="str">
        <f t="shared" si="9"/>
        <v>"Did not Play",</v>
      </c>
      <c r="U31" s="16" t="str">
        <f t="shared" si="9"/>
        <v>"Did not Play",</v>
      </c>
      <c r="X31" s="52" t="str">
        <f t="shared" si="10"/>
        <v>LG/WW</v>
      </c>
      <c r="Y31" s="52" t="str">
        <f t="shared" si="11"/>
        <v/>
      </c>
      <c r="Z31" s="52" t="str">
        <f t="shared" si="12"/>
        <v/>
      </c>
      <c r="AB31" s="159" t="s">
        <v>52</v>
      </c>
      <c r="AC31" s="166">
        <f>Table620[[#This Row],[Finishes]]+Table620[[#This Row],[Midranges]]+Table620[[#This Row],[Threes]]+Table620[[#This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R32" s="16" t="str">
        <f t="shared" si="9"/>
        <v>6,</v>
      </c>
      <c r="S32" s="16" t="str">
        <f t="shared" si="9"/>
        <v>3,</v>
      </c>
      <c r="T32" s="16" t="str">
        <f t="shared" si="9"/>
        <v>3,</v>
      </c>
      <c r="U32" s="16" t="str">
        <f t="shared" si="9"/>
        <v>0,</v>
      </c>
      <c r="X32" s="52" t="str">
        <f t="shared" si="10"/>
        <v/>
      </c>
      <c r="Y32" s="52" t="str">
        <f t="shared" si="11"/>
        <v/>
      </c>
      <c r="Z32" s="52" t="str">
        <f t="shared" si="12"/>
        <v>5M/LG</v>
      </c>
      <c r="AB32" s="158" t="s">
        <v>200</v>
      </c>
      <c r="AC32" s="165">
        <f>Table620[[#This Row],[Finishes]]+Table620[[#This Row],[Midranges]]+Table620[[#This Row],[Threes]]+Table620[[#This Row],[Threes]]</f>
        <v>1</v>
      </c>
      <c r="AD32" s="156">
        <f>COUNTIFS(D4:D35, "Loose Gooses", E$4:E$35,AB32,F$4:F$35,"Finish")</f>
        <v>0</v>
      </c>
      <c r="AE32" s="156">
        <f>COUNTIFS(D4:D35, "Loose Gooses", E$4:E$35,AB32,F$4:F$35,"Midrange")</f>
        <v>1</v>
      </c>
      <c r="AF32" s="156">
        <f>COUNTIFS(D4:D35, "Loose Gooses", E$4:E$35,AB32,F$4:F$35,"Three Pointer")</f>
        <v>0</v>
      </c>
    </row>
    <row r="33" spans="2:32" ht="14.25" customHeight="1" x14ac:dyDescent="0.45">
      <c r="R33" s="16" t="str">
        <f t="shared" si="9"/>
        <v>1,</v>
      </c>
      <c r="S33" s="16" t="str">
        <f t="shared" si="9"/>
        <v>0,</v>
      </c>
      <c r="T33" s="16" t="str">
        <f t="shared" si="9"/>
        <v>1,</v>
      </c>
      <c r="U33" s="16" t="str">
        <f t="shared" si="9"/>
        <v>0,</v>
      </c>
      <c r="X33" s="52" t="str">
        <f t="shared" si="10"/>
        <v/>
      </c>
      <c r="Y33" s="52" t="str">
        <f t="shared" si="11"/>
        <v>WW/5M</v>
      </c>
      <c r="Z33" s="52" t="str">
        <f t="shared" si="12"/>
        <v/>
      </c>
      <c r="AB33" s="159" t="s">
        <v>55</v>
      </c>
      <c r="AC33" s="166">
        <f>Table620[[#This Row],[Finishes]]+Table620[[#This Row],[Midranges]]+Table620[[#This Row],[Threes]]+Table620[[#This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1,</v>
      </c>
      <c r="S34" s="16" t="str">
        <f t="shared" si="9"/>
        <v>0,</v>
      </c>
      <c r="T34" s="16" t="str">
        <f t="shared" si="9"/>
        <v>1,</v>
      </c>
      <c r="U34" s="16" t="str">
        <f t="shared" si="9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Table620[[#This Row],[Finishes]]+Table620[[#This Row],[Midranges]]+Table620[[#This Row],[Threes]]+Table620[[#This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1,</v>
      </c>
      <c r="S35" s="16" t="str">
        <f t="shared" si="9"/>
        <v>1,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Table620[[#This Row],[Finishes]]+Table620[[#This Row],[Midranges]]+Table620[[#This Row],[Threes]]+Table620[[#This Row],[Threes]]</f>
        <v>2</v>
      </c>
      <c r="AD35" s="161">
        <f>COUNTIFS(D4:D35, "Loose Gooses", E$4:E$35,AB35,F$4:F$35,"Finish")</f>
        <v>2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2,</v>
      </c>
      <c r="S36" s="16" t="str">
        <f t="shared" si="9"/>
        <v>1,</v>
      </c>
      <c r="T36" s="16" t="str">
        <f t="shared" si="9"/>
        <v>1,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1,</v>
      </c>
      <c r="S37" s="16" t="str">
        <f t="shared" si="9"/>
        <v>1,</v>
      </c>
      <c r="T37" s="16" t="str">
        <f t="shared" si="9"/>
        <v>0,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2</v>
      </c>
      <c r="S39" s="16">
        <f>IF($V19, CHAR(34)&amp;"Did not Play"&amp;CHAR(34), S19)</f>
        <v>2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"Date":["2-August"],</v>
      </c>
    </row>
    <row r="45" spans="2:32" ht="14.25" customHeight="1" x14ac:dyDescent="0.45">
      <c r="B45" s="74" t="str">
        <f>C2</f>
        <v>2-August</v>
      </c>
      <c r="C45" s="16">
        <f>MAX(L3:L5)</f>
        <v>12</v>
      </c>
      <c r="D45" s="16">
        <f>COUNT(B4:B42)-C45-E45</f>
        <v>10</v>
      </c>
      <c r="E45" s="16">
        <f>MIN(L3:L5)</f>
        <v>4</v>
      </c>
      <c r="F45" s="16">
        <f>L3</f>
        <v>4</v>
      </c>
      <c r="G45" s="16">
        <f>COUNTIF(Y4:Y39, "WW/LG")</f>
        <v>3</v>
      </c>
      <c r="H45" s="16">
        <f>COUNTIF(Z4:Z39, "5M/LG")</f>
        <v>8</v>
      </c>
      <c r="I45" s="16">
        <f>L5</f>
        <v>10</v>
      </c>
      <c r="J45" s="16">
        <f>COUNTIF(X4:X39, "LG/WW")</f>
        <v>4</v>
      </c>
      <c r="K45" s="16">
        <f>COUNTIF(Z4:Z39, "5M/WW")</f>
        <v>4</v>
      </c>
      <c r="L45" s="16">
        <f>L4</f>
        <v>12</v>
      </c>
      <c r="M45" s="16">
        <f>COUNTIF(X4:X39, "LG/5M")</f>
        <v>0</v>
      </c>
      <c r="N45" s="16">
        <f>COUNTIF(Y4:Y39, "WW/5M")</f>
        <v>7</v>
      </c>
      <c r="O45" s="16">
        <f>O3</f>
        <v>1</v>
      </c>
      <c r="P45" s="16">
        <f>O5</f>
        <v>2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"Points":[0,1,3,"Did not Play",3,"Did not Play",2,6,"Did not Play",6,1,1,1,2,1,0,2],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"Finishes":[0,1,3,"Did not Play",2,"Did not Play",1,0,"Did not Play",3,0,0,1,1,1,0,2],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"Midrange":[0,0,0,"Did not Play",1,"Did not Play",1,0,"Did not Play",3,1,1,0,1,0,0,0],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"ThreePointers":[0,0,0,"Did not Play",0,"Did not Play",0,3,"Did not Play",0,0,0,0,0,0,0,0]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0164-D259-41DB-8C34-27B5C24AEC32}">
  <dimension ref="B1:AF1000"/>
  <sheetViews>
    <sheetView topLeftCell="M1" zoomScale="79" workbookViewId="0">
      <selection activeCell="AD28" sqref="AD28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259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3</v>
      </c>
      <c r="M3" s="11">
        <f>COUNTIF(D3:D40, "Loose Gooses")</f>
        <v>6</v>
      </c>
      <c r="N3" s="10">
        <f>L3/(L3+M3)</f>
        <v>0.33333333333333331</v>
      </c>
      <c r="O3" s="11">
        <f>IF(AND(N3&gt;N4, N3&gt;N5), 3, IF(OR(N3&gt;N4, N3&gt;N5), 2, 1))</f>
        <v>1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47</v>
      </c>
      <c r="D4" s="25" t="s">
        <v>26</v>
      </c>
      <c r="E4" s="25" t="s">
        <v>61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6</v>
      </c>
      <c r="M4" s="11">
        <f>COUNTIF(D3:D40, "5 Musketeers")</f>
        <v>5</v>
      </c>
      <c r="N4" s="10">
        <f t="shared" ref="N4:N5" si="4">L4/(L4+M4)</f>
        <v>0.54545454545454541</v>
      </c>
      <c r="O4" s="11">
        <f>IF(AND(N4&gt;N3, N4&gt;N5), 3, IF(OR(N4&gt;N3, N4&gt;N5), 2, 1))</f>
        <v>2</v>
      </c>
      <c r="Q4" s="2" t="s">
        <v>28</v>
      </c>
      <c r="R4" s="8">
        <f t="shared" si="0"/>
        <v>1</v>
      </c>
      <c r="S4" s="9">
        <f t="shared" si="1"/>
        <v>1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LG/5M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61</v>
      </c>
      <c r="F5" s="25" t="s">
        <v>204</v>
      </c>
      <c r="G5" s="25">
        <v>2</v>
      </c>
      <c r="H5" s="25">
        <v>1</v>
      </c>
      <c r="I5" s="25">
        <v>2</v>
      </c>
      <c r="K5" s="11" t="s">
        <v>109</v>
      </c>
      <c r="L5" s="11">
        <f>COUNTIF(C3:C40, "Wet Willies")</f>
        <v>6</v>
      </c>
      <c r="M5" s="11">
        <f>COUNTIF(D3:D40, "Wet Willies")</f>
        <v>4</v>
      </c>
      <c r="N5" s="10">
        <f t="shared" si="4"/>
        <v>0.6</v>
      </c>
      <c r="O5" s="11">
        <f>IF(AND(N5&gt;N4, N5&gt;N3), 3, IF(OR(N5&gt;N4, N5&gt;N3), 2, 1))</f>
        <v>3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26</v>
      </c>
      <c r="D6" s="25" t="s">
        <v>47</v>
      </c>
      <c r="E6" s="25" t="s">
        <v>50</v>
      </c>
      <c r="F6" s="25" t="s">
        <v>99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/>
      </c>
      <c r="Z6" s="52" t="str">
        <f t="shared" si="7"/>
        <v>5M/LG</v>
      </c>
      <c r="AB6" s="2"/>
    </row>
    <row r="7" spans="2:31" ht="14.25" customHeight="1" x14ac:dyDescent="0.45">
      <c r="B7" s="25">
        <v>4</v>
      </c>
      <c r="C7" s="25" t="s">
        <v>26</v>
      </c>
      <c r="D7" s="25" t="s">
        <v>31</v>
      </c>
      <c r="E7" s="25" t="s">
        <v>50</v>
      </c>
      <c r="F7" s="25" t="s">
        <v>205</v>
      </c>
      <c r="G7" s="25">
        <v>2</v>
      </c>
      <c r="H7" s="25">
        <v>2</v>
      </c>
      <c r="I7" s="25">
        <v>2</v>
      </c>
      <c r="Q7" s="2" t="s">
        <v>37</v>
      </c>
      <c r="R7" s="8">
        <f t="shared" si="0"/>
        <v>2</v>
      </c>
      <c r="S7" s="9">
        <f t="shared" si="1"/>
        <v>0</v>
      </c>
      <c r="T7" s="9">
        <f t="shared" si="2"/>
        <v>2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5M/WW</v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47</v>
      </c>
      <c r="E8" s="25" t="s">
        <v>50</v>
      </c>
      <c r="F8" s="25" t="s">
        <v>205</v>
      </c>
      <c r="G8" s="25">
        <v>3</v>
      </c>
      <c r="H8" s="25">
        <v>2</v>
      </c>
      <c r="I8" s="25">
        <v>3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1</v>
      </c>
      <c r="X8" s="52" t="str">
        <f t="shared" si="5"/>
        <v/>
      </c>
      <c r="Y8" s="52" t="str">
        <f t="shared" si="6"/>
        <v/>
      </c>
      <c r="Z8" s="52" t="str">
        <f t="shared" si="7"/>
        <v>5M/LG</v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4</v>
      </c>
      <c r="H9" s="25">
        <v>3</v>
      </c>
      <c r="I9" s="25">
        <v>4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50</v>
      </c>
      <c r="F10" s="25" t="s">
        <v>205</v>
      </c>
      <c r="G10" s="25">
        <v>5</v>
      </c>
      <c r="H10" s="25">
        <v>3</v>
      </c>
      <c r="I10" s="25">
        <v>5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2"/>
    </row>
    <row r="11" spans="2:31" ht="14.25" customHeight="1" x14ac:dyDescent="0.45">
      <c r="B11" s="25">
        <v>8</v>
      </c>
      <c r="C11" s="25" t="s">
        <v>31</v>
      </c>
      <c r="D11" s="25" t="s">
        <v>26</v>
      </c>
      <c r="E11" s="25" t="s">
        <v>55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1</v>
      </c>
      <c r="X11" s="52" t="str">
        <f t="shared" si="5"/>
        <v/>
      </c>
      <c r="Y11" s="52" t="str">
        <f t="shared" si="6"/>
        <v>WW/5M</v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47</v>
      </c>
      <c r="E12" s="25" t="s">
        <v>55</v>
      </c>
      <c r="F12" s="25" t="s">
        <v>204</v>
      </c>
      <c r="G12" s="25">
        <v>2</v>
      </c>
      <c r="H12" s="25">
        <v>4</v>
      </c>
      <c r="I12" s="25">
        <v>2</v>
      </c>
      <c r="Q12" s="2" t="s">
        <v>50</v>
      </c>
      <c r="R12" s="8">
        <f t="shared" si="0"/>
        <v>9</v>
      </c>
      <c r="S12" s="9">
        <f t="shared" si="1"/>
        <v>0</v>
      </c>
      <c r="T12" s="9">
        <f t="shared" si="2"/>
        <v>3</v>
      </c>
      <c r="U12" s="9">
        <f t="shared" si="3"/>
        <v>3</v>
      </c>
      <c r="V12" s="26" t="b">
        <v>0</v>
      </c>
      <c r="X12" s="52" t="str">
        <f t="shared" si="5"/>
        <v/>
      </c>
      <c r="Y12" s="52" t="str">
        <f t="shared" si="6"/>
        <v>WW/LG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50</v>
      </c>
      <c r="F13" s="25" t="s">
        <v>99</v>
      </c>
      <c r="G13" s="25">
        <v>1</v>
      </c>
      <c r="H13" s="25">
        <v>1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26</v>
      </c>
      <c r="E14" s="25" t="s">
        <v>28</v>
      </c>
      <c r="F14" s="25" t="s">
        <v>204</v>
      </c>
      <c r="G14" s="25">
        <v>1</v>
      </c>
      <c r="H14" s="25">
        <v>1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>LG/5M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31</v>
      </c>
      <c r="D15" s="25" t="s">
        <v>47</v>
      </c>
      <c r="E15" s="25" t="s">
        <v>37</v>
      </c>
      <c r="F15" s="25" t="s">
        <v>99</v>
      </c>
      <c r="G15" s="25">
        <v>1</v>
      </c>
      <c r="H15" s="25">
        <v>1</v>
      </c>
      <c r="I15" s="25">
        <v>1</v>
      </c>
      <c r="Q15" s="2" t="s">
        <v>55</v>
      </c>
      <c r="R15" s="8">
        <f t="shared" si="0"/>
        <v>3</v>
      </c>
      <c r="S15" s="9">
        <f t="shared" si="1"/>
        <v>3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>WW/LG</v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31</v>
      </c>
      <c r="D16" s="25" t="s">
        <v>26</v>
      </c>
      <c r="E16" s="25" t="s">
        <v>67</v>
      </c>
      <c r="F16" s="25" t="s">
        <v>204</v>
      </c>
      <c r="G16" s="25">
        <v>2</v>
      </c>
      <c r="H16" s="25">
        <v>2</v>
      </c>
      <c r="I16" s="25">
        <v>1</v>
      </c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>WW/5M</v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31</v>
      </c>
      <c r="D17" s="25" t="s">
        <v>47</v>
      </c>
      <c r="E17" s="25" t="s">
        <v>37</v>
      </c>
      <c r="F17" s="25" t="s">
        <v>99</v>
      </c>
      <c r="G17" s="25">
        <v>3</v>
      </c>
      <c r="H17" s="25">
        <v>2</v>
      </c>
      <c r="I17" s="25">
        <v>1</v>
      </c>
      <c r="Q17" s="2" t="s">
        <v>61</v>
      </c>
      <c r="R17" s="8">
        <f t="shared" si="0"/>
        <v>2</v>
      </c>
      <c r="S17" s="9">
        <f t="shared" si="1"/>
        <v>2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>WW/LG</v>
      </c>
      <c r="Z17" s="52" t="str">
        <f t="shared" si="7"/>
        <v/>
      </c>
      <c r="AB17" s="2"/>
    </row>
    <row r="18" spans="2:32" ht="14.25" customHeight="1" x14ac:dyDescent="0.45">
      <c r="B18" s="25">
        <v>15</v>
      </c>
      <c r="C18" s="25" t="s">
        <v>31</v>
      </c>
      <c r="D18" s="25" t="s">
        <v>26</v>
      </c>
      <c r="E18" s="25" t="s">
        <v>55</v>
      </c>
      <c r="F18" s="25" t="s">
        <v>204</v>
      </c>
      <c r="G18" s="25">
        <v>4</v>
      </c>
      <c r="H18" s="25">
        <v>3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>WW/5M</v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1</v>
      </c>
      <c r="S19" s="9">
        <f t="shared" si="1"/>
        <v>1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1,</v>
      </c>
      <c r="S24" s="16" t="str">
        <f t="shared" si="9"/>
        <v>1,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Table619[[#This Row],[Finishes]]+Table619[[#This Row],[Midranges]]+Table619[[#This Row],[Threes]]+Table619[[#This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Table619[[#This Row],[Finishes]]+Table619[[#This Row],[Midranges]]+Table619[[#This Row],[Threes]]+Table619[[#This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Table619[[#This Row],[Finishes]]+Table619[[#This Row],[Midranges]]+Table619[[#This Row],[Threes]]+Table619[[#This Row],[Threes]]</f>
        <v>2</v>
      </c>
      <c r="AD26" s="156">
        <f>COUNTIFS(D4:D35, "Loose Gooses", E$4:E$35,AB26,F$4:F$35,"Finish")</f>
        <v>0</v>
      </c>
      <c r="AE26" s="156">
        <f>COUNTIFS(D4:D35, "Loose Gooses", E$4:E$35,AB26,F$4:F$35,"Midrange")</f>
        <v>2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2,</v>
      </c>
      <c r="S27" s="16" t="str">
        <f t="shared" si="9"/>
        <v>0,</v>
      </c>
      <c r="T27" s="16" t="str">
        <f t="shared" si="9"/>
        <v>2,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Table619[[#This Row],[Finishes]]+Table619[[#This Row],[Midranges]]+Table619[[#This Row],[Threes]]+Table619[[#This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"Did not Play",</v>
      </c>
      <c r="S28" s="16" t="str">
        <f t="shared" si="9"/>
        <v>"Did not Play",</v>
      </c>
      <c r="T28" s="16" t="str">
        <f t="shared" si="9"/>
        <v>"Did not Play",</v>
      </c>
      <c r="U28" s="16" t="str">
        <f t="shared" si="9"/>
        <v>"Did not Play",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Table619[[#This Row],[Finishes]]+Table619[[#This Row],[Midranges]]+Table619[[#This Row],[Threes]]+Table619[[#This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Table619[[#This Row],[Finishes]]+Table619[[#This Row],[Midranges]]+Table619[[#This Row],[Threes]]+Table619[[#This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0,</v>
      </c>
      <c r="S30" s="16" t="str">
        <f t="shared" si="9"/>
        <v>0,</v>
      </c>
      <c r="T30" s="16" t="str">
        <f t="shared" si="9"/>
        <v>0,</v>
      </c>
      <c r="U30" s="16" t="str">
        <f t="shared" si="9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Table619[[#This Row],[Finishes]]+Table619[[#This Row],[Midranges]]+Table619[[#This Row],[Threes]]+Table619[[#This Row],[Threes]]</f>
        <v>5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2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"Did not Play",</v>
      </c>
      <c r="S31" s="16" t="str">
        <f t="shared" si="9"/>
        <v>"Did not Play",</v>
      </c>
      <c r="T31" s="16" t="str">
        <f t="shared" si="9"/>
        <v>"Did not Play",</v>
      </c>
      <c r="U31" s="16" t="str">
        <f t="shared" si="9"/>
        <v>"Did not Play",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Table619[[#This Row],[Finishes]]+Table619[[#This Row],[Midranges]]+Table619[[#This Row],[Threes]]+Table619[[#This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9,</v>
      </c>
      <c r="S32" s="16" t="str">
        <f t="shared" si="9"/>
        <v>0,</v>
      </c>
      <c r="T32" s="16" t="str">
        <f t="shared" si="9"/>
        <v>3,</v>
      </c>
      <c r="U32" s="16" t="str">
        <f t="shared" si="9"/>
        <v>3,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Table619[[#This Row],[Finishes]]+Table619[[#This Row],[Midranges]]+Table619[[#This Row],[Threes]]+Table619[[#This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Table619[[#This Row],[Finishes]]+Table619[[#This Row],[Midranges]]+Table619[[#This Row],[Threes]]+Table619[[#This Row],[Threes]]</f>
        <v>1</v>
      </c>
      <c r="AD33" s="157">
        <f>COUNTIFS(D4:D35, "Loose Gooses", E$4:E$35,AB33,F$4:F$35,"Finish")</f>
        <v>1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Table619[[#This Row],[Finishes]]+Table619[[#This Row],[Midranges]]+Table619[[#This Row],[Threes]]+Table619[[#This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3,</v>
      </c>
      <c r="S35" s="16" t="str">
        <f t="shared" si="9"/>
        <v>3,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Table619[[#This Row],[Finishes]]+Table619[[#This Row],[Midranges]]+Table619[[#This Row],[Threes]]+Table619[[#This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0,</v>
      </c>
      <c r="S36" s="16" t="str">
        <f t="shared" si="9"/>
        <v>0,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2,</v>
      </c>
      <c r="S37" s="16" t="str">
        <f t="shared" si="9"/>
        <v>2,</v>
      </c>
      <c r="T37" s="16" t="str">
        <f t="shared" si="9"/>
        <v>0,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1</v>
      </c>
      <c r="S39" s="16">
        <f>IF($V19, CHAR(34)&amp;"Did not Play"&amp;CHAR(34), S19)</f>
        <v>1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"Date":["1-August"],</v>
      </c>
    </row>
    <row r="45" spans="2:32" ht="14.25" customHeight="1" x14ac:dyDescent="0.45">
      <c r="B45" s="74" t="str">
        <f>C2</f>
        <v>1-August</v>
      </c>
      <c r="C45" s="16">
        <f>MAX(L3:L5)</f>
        <v>6</v>
      </c>
      <c r="D45" s="16">
        <f>COUNT(B4:B42)-C45-E45</f>
        <v>6</v>
      </c>
      <c r="E45" s="16">
        <f>MIN(L3:L5)</f>
        <v>3</v>
      </c>
      <c r="F45" s="16">
        <f>L3</f>
        <v>3</v>
      </c>
      <c r="G45" s="16">
        <f>COUNTIF(Y4:Y39, "WW/LG")</f>
        <v>3</v>
      </c>
      <c r="H45" s="16">
        <f>COUNTIF(Z4:Z39, "5M/LG")</f>
        <v>3</v>
      </c>
      <c r="I45" s="16">
        <f>L5</f>
        <v>6</v>
      </c>
      <c r="J45" s="16">
        <f>COUNTIF(X4:X39, "LG/WW")</f>
        <v>1</v>
      </c>
      <c r="K45" s="16">
        <f>COUNTIF(Z4:Z39, "5M/WW")</f>
        <v>3</v>
      </c>
      <c r="L45" s="16">
        <f>L4</f>
        <v>6</v>
      </c>
      <c r="M45" s="16">
        <f>COUNTIF(X4:X39, "LG/5M")</f>
        <v>2</v>
      </c>
      <c r="N45" s="16">
        <f>COUNTIF(Y4:Y39, "WW/5M")</f>
        <v>3</v>
      </c>
      <c r="O45" s="16">
        <f>O3</f>
        <v>1</v>
      </c>
      <c r="P45" s="16">
        <f>O5</f>
        <v>3</v>
      </c>
      <c r="Q45" s="16">
        <f>O4</f>
        <v>2</v>
      </c>
      <c r="T45" s="16" t="str">
        <f>CHAR(34)&amp;"Points"&amp;CHAR(34)&amp;":["&amp;R23&amp;R24&amp;R25&amp;R26&amp;R27&amp;R28&amp;R29&amp;R30&amp;R31&amp;R32&amp;R33&amp;R34&amp;R35&amp;R36&amp;R37&amp;R38&amp;R39&amp;"],"</f>
        <v>"Points":[0,1,"Did not Play","Did not Play",2,"Did not Play",0,0,"Did not Play",9,0,"Did not Play",3,0,2,0,1],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"Finishes":[0,1,"Did not Play","Did not Play",0,"Did not Play",0,0,"Did not Play",0,0,"Did not Play",3,0,2,0,1],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"Midrange":[0,0,"Did not Play","Did not Play",2,"Did not Play",0,0,"Did not Play",3,0,"Did not Play",0,0,0,0,0],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Play","Did not Play",0,"Did not Play",0,0,"Did not Play",3,0,"Did not Play",0,0,0,0,0]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9723-0A51-4D4E-9D0D-0F44BD9C62AB}">
  <dimension ref="B1:AF1000"/>
  <sheetViews>
    <sheetView topLeftCell="M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254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9</v>
      </c>
      <c r="M3" s="11">
        <f>COUNTIF(D3:D40, "Loose Gooses")</f>
        <v>3</v>
      </c>
      <c r="N3" s="10">
        <f>L3/(L3+M3)</f>
        <v>0.75</v>
      </c>
      <c r="O3" s="11">
        <f>IF(AND(N3&gt;N4, N3&gt;N5), 3, IF(OR(N3&gt;N4, N3&gt;N5), 2, 1))</f>
        <v>3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31</v>
      </c>
      <c r="D4" s="25" t="s">
        <v>26</v>
      </c>
      <c r="E4" s="25" t="s">
        <v>37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3</v>
      </c>
      <c r="M4" s="11">
        <f>COUNTIF(D3:D40, "5 Musketeers")</f>
        <v>7</v>
      </c>
      <c r="N4" s="10">
        <f t="shared" ref="N4:N5" si="4">L4/(L4+M4)</f>
        <v>0.3</v>
      </c>
      <c r="O4" s="11">
        <f>IF(AND(N4&gt;N3, N4&gt;N5), 3, IF(OR(N4&gt;N3, N4&gt;N5), 2, 1))</f>
        <v>1</v>
      </c>
      <c r="Q4" s="2" t="s">
        <v>28</v>
      </c>
      <c r="R4" s="8">
        <f t="shared" si="0"/>
        <v>1</v>
      </c>
      <c r="S4" s="9">
        <f t="shared" si="1"/>
        <v>1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>WW/5M</v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46</v>
      </c>
      <c r="F5" s="25" t="s">
        <v>204</v>
      </c>
      <c r="G5" s="25">
        <v>1</v>
      </c>
      <c r="H5" s="25">
        <v>1</v>
      </c>
      <c r="I5" s="25">
        <v>1</v>
      </c>
      <c r="K5" s="11" t="s">
        <v>109</v>
      </c>
      <c r="L5" s="11">
        <f>COUNTIF(C3:C40, "Wet Willies")</f>
        <v>4</v>
      </c>
      <c r="M5" s="11">
        <f>COUNTIF(D3:D40, "Wet Willies")</f>
        <v>6</v>
      </c>
      <c r="N5" s="10">
        <f t="shared" si="4"/>
        <v>0.4</v>
      </c>
      <c r="O5" s="11">
        <f>IF(AND(N5&gt;N4, N5&gt;N3), 3, IF(OR(N5&gt;N4, N5&gt;N3), 2, 1))</f>
        <v>2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47</v>
      </c>
      <c r="D6" s="25" t="s">
        <v>26</v>
      </c>
      <c r="E6" s="25" t="s">
        <v>46</v>
      </c>
      <c r="F6" s="25" t="s">
        <v>204</v>
      </c>
      <c r="G6" s="25">
        <v>2</v>
      </c>
      <c r="H6" s="25">
        <v>2</v>
      </c>
      <c r="I6" s="25">
        <v>2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>LG/5M</v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31</v>
      </c>
      <c r="D7" s="25" t="s">
        <v>47</v>
      </c>
      <c r="E7" s="25" t="s">
        <v>44</v>
      </c>
      <c r="F7" s="25" t="s">
        <v>205</v>
      </c>
      <c r="G7" s="25">
        <v>1</v>
      </c>
      <c r="H7" s="25">
        <v>1</v>
      </c>
      <c r="I7" s="25">
        <v>1</v>
      </c>
      <c r="Q7" s="2" t="s">
        <v>37</v>
      </c>
      <c r="R7" s="8">
        <f t="shared" si="0"/>
        <v>3</v>
      </c>
      <c r="S7" s="9">
        <f t="shared" si="1"/>
        <v>1</v>
      </c>
      <c r="T7" s="9">
        <f t="shared" si="2"/>
        <v>0</v>
      </c>
      <c r="U7" s="9">
        <f t="shared" si="3"/>
        <v>1</v>
      </c>
      <c r="V7" s="26" t="b">
        <v>0</v>
      </c>
      <c r="X7" s="52" t="str">
        <f t="shared" si="5"/>
        <v/>
      </c>
      <c r="Y7" s="52" t="str">
        <f t="shared" si="6"/>
        <v>WW/LG</v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31</v>
      </c>
      <c r="E8" s="25" t="s">
        <v>55</v>
      </c>
      <c r="F8" s="25" t="s">
        <v>204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5M/WW</v>
      </c>
      <c r="AB8" s="2"/>
    </row>
    <row r="9" spans="2:31" ht="14.25" customHeight="1" x14ac:dyDescent="0.45">
      <c r="B9" s="25">
        <v>6</v>
      </c>
      <c r="C9" s="25" t="s">
        <v>47</v>
      </c>
      <c r="D9" s="25" t="s">
        <v>26</v>
      </c>
      <c r="E9" s="25" t="s">
        <v>28</v>
      </c>
      <c r="F9" s="25" t="s">
        <v>204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>LG/5M</v>
      </c>
      <c r="Y9" s="52" t="str">
        <f t="shared" si="6"/>
        <v/>
      </c>
      <c r="Z9" s="52" t="str">
        <f t="shared" si="7"/>
        <v/>
      </c>
    </row>
    <row r="10" spans="2:31" ht="14.25" customHeight="1" x14ac:dyDescent="0.45">
      <c r="B10" s="25">
        <v>7</v>
      </c>
      <c r="C10" s="25" t="s">
        <v>47</v>
      </c>
      <c r="D10" s="25" t="s">
        <v>31</v>
      </c>
      <c r="E10" s="25" t="s">
        <v>61</v>
      </c>
      <c r="F10" s="25" t="s">
        <v>205</v>
      </c>
      <c r="G10" s="25">
        <v>2</v>
      </c>
      <c r="H10" s="25">
        <v>2</v>
      </c>
      <c r="I10" s="25">
        <v>1</v>
      </c>
      <c r="Q10" s="2" t="s">
        <v>44</v>
      </c>
      <c r="R10" s="8">
        <f t="shared" si="0"/>
        <v>2</v>
      </c>
      <c r="S10" s="9">
        <f t="shared" si="1"/>
        <v>0</v>
      </c>
      <c r="T10" s="9">
        <f t="shared" si="2"/>
        <v>0</v>
      </c>
      <c r="U10" s="9">
        <f t="shared" si="3"/>
        <v>1</v>
      </c>
      <c r="V10" s="26" t="b">
        <v>0</v>
      </c>
      <c r="X10" s="52" t="str">
        <f t="shared" si="5"/>
        <v>LG/WW</v>
      </c>
      <c r="Y10" s="52" t="str">
        <f t="shared" si="6"/>
        <v/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47</v>
      </c>
      <c r="D11" s="25" t="s">
        <v>26</v>
      </c>
      <c r="E11" s="25" t="s">
        <v>61</v>
      </c>
      <c r="F11" s="25" t="s">
        <v>99</v>
      </c>
      <c r="G11" s="25">
        <v>3</v>
      </c>
      <c r="H11" s="25">
        <v>2</v>
      </c>
      <c r="I11" s="25">
        <v>2</v>
      </c>
      <c r="Q11" s="2" t="s">
        <v>46</v>
      </c>
      <c r="R11" s="8">
        <f t="shared" si="0"/>
        <v>4</v>
      </c>
      <c r="S11" s="9">
        <f t="shared" si="1"/>
        <v>3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>LG/5M</v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47</v>
      </c>
      <c r="D12" s="25" t="s">
        <v>31</v>
      </c>
      <c r="E12" s="25" t="s">
        <v>58</v>
      </c>
      <c r="F12" s="25" t="s">
        <v>204</v>
      </c>
      <c r="G12" s="25">
        <v>4</v>
      </c>
      <c r="H12" s="25">
        <v>3</v>
      </c>
      <c r="I12" s="25">
        <v>1</v>
      </c>
      <c r="Q12" s="2" t="s">
        <v>50</v>
      </c>
      <c r="R12" s="8">
        <f t="shared" si="0"/>
        <v>2</v>
      </c>
      <c r="S12" s="9">
        <f t="shared" si="1"/>
        <v>0</v>
      </c>
      <c r="T12" s="9">
        <f t="shared" si="2"/>
        <v>2</v>
      </c>
      <c r="U12" s="9">
        <f t="shared" si="3"/>
        <v>0</v>
      </c>
      <c r="V12" s="26" t="b">
        <v>0</v>
      </c>
      <c r="X12" s="52" t="str">
        <f t="shared" si="5"/>
        <v>LG/WW</v>
      </c>
      <c r="Y12" s="52" t="str">
        <f t="shared" si="6"/>
        <v/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47</v>
      </c>
      <c r="D13" s="25" t="s">
        <v>26</v>
      </c>
      <c r="E13" s="25" t="s">
        <v>46</v>
      </c>
      <c r="F13" s="25" t="s">
        <v>99</v>
      </c>
      <c r="G13" s="25">
        <v>5</v>
      </c>
      <c r="H13" s="25">
        <v>3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>LG/5M</v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31</v>
      </c>
      <c r="E14" s="25" t="s">
        <v>61</v>
      </c>
      <c r="F14" s="25" t="s">
        <v>204</v>
      </c>
      <c r="G14" s="25">
        <v>6</v>
      </c>
      <c r="H14" s="25">
        <v>4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>LG/WW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47</v>
      </c>
      <c r="D15" s="25" t="s">
        <v>26</v>
      </c>
      <c r="E15" s="25" t="s">
        <v>46</v>
      </c>
      <c r="F15" s="25" t="s">
        <v>204</v>
      </c>
      <c r="G15" s="25">
        <v>7</v>
      </c>
      <c r="H15" s="25">
        <v>4</v>
      </c>
      <c r="I15" s="25">
        <v>1</v>
      </c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LG/5M</v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31</v>
      </c>
      <c r="D16" s="25" t="s">
        <v>47</v>
      </c>
      <c r="E16" s="25" t="s">
        <v>37</v>
      </c>
      <c r="F16" s="25" t="s">
        <v>205</v>
      </c>
      <c r="G16" s="25">
        <v>1</v>
      </c>
      <c r="H16" s="25">
        <v>1</v>
      </c>
      <c r="I16" s="25">
        <v>1</v>
      </c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>WW/LG</v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26</v>
      </c>
      <c r="D17" s="25" t="s">
        <v>31</v>
      </c>
      <c r="E17" s="25" t="s">
        <v>50</v>
      </c>
      <c r="F17" s="25" t="s">
        <v>99</v>
      </c>
      <c r="G17" s="25">
        <v>1</v>
      </c>
      <c r="H17" s="25">
        <v>1</v>
      </c>
      <c r="I17" s="25">
        <v>1</v>
      </c>
      <c r="Q17" s="2" t="s">
        <v>61</v>
      </c>
      <c r="R17" s="8">
        <f t="shared" si="0"/>
        <v>4</v>
      </c>
      <c r="S17" s="9">
        <f t="shared" si="1"/>
        <v>1</v>
      </c>
      <c r="T17" s="9">
        <f t="shared" si="2"/>
        <v>1</v>
      </c>
      <c r="U17" s="9">
        <f t="shared" si="3"/>
        <v>1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>5M/WW</v>
      </c>
      <c r="AB17" s="2"/>
    </row>
    <row r="18" spans="2:32" ht="14.25" customHeight="1" x14ac:dyDescent="0.45">
      <c r="B18" s="25">
        <v>15</v>
      </c>
      <c r="C18" s="25" t="s">
        <v>26</v>
      </c>
      <c r="D18" s="25" t="s">
        <v>47</v>
      </c>
      <c r="E18" s="25" t="s">
        <v>50</v>
      </c>
      <c r="F18" s="25" t="s">
        <v>99</v>
      </c>
      <c r="G18" s="25">
        <v>2</v>
      </c>
      <c r="H18" s="25">
        <v>2</v>
      </c>
      <c r="I18" s="25">
        <v>2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5M/LG</v>
      </c>
      <c r="AB18" s="2"/>
    </row>
    <row r="19" spans="2:32" ht="14.25" customHeight="1" x14ac:dyDescent="0.45">
      <c r="B19" s="25">
        <v>16</v>
      </c>
      <c r="C19" s="25" t="s">
        <v>31</v>
      </c>
      <c r="D19" s="25" t="s">
        <v>26</v>
      </c>
      <c r="E19" s="25" t="s">
        <v>256</v>
      </c>
      <c r="F19" s="25" t="s">
        <v>256</v>
      </c>
      <c r="G19" s="25">
        <v>1</v>
      </c>
      <c r="H19" s="25">
        <v>1</v>
      </c>
      <c r="I19" s="25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>WW/5M</v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1,</v>
      </c>
      <c r="S24" s="16" t="str">
        <f t="shared" si="9"/>
        <v>1,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Table618[[#This Row],[Finishes]]+Table618[[#This Row],[Midranges]]+Table618[[#This Row],[Threes]]+Table618[[#This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Table618[[#This Row],[Finishes]]+Table618[[#This Row],[Midranges]]+Table618[[#This Row],[Threes]]+Table618[[#This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Table618[[#This Row],[Finishes]]+Table618[[#This Row],[Midranges]]+Table618[[#This Row],[Threes]]+Table618[[#This Row],[Threes]]</f>
        <v>2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1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3,</v>
      </c>
      <c r="S27" s="16" t="str">
        <f t="shared" si="9"/>
        <v>1,</v>
      </c>
      <c r="T27" s="16" t="str">
        <f t="shared" si="9"/>
        <v>0,</v>
      </c>
      <c r="U27" s="16" t="str">
        <f t="shared" si="9"/>
        <v>1,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Table618[[#This Row],[Finishes]]+Table618[[#This Row],[Midranges]]+Table618[[#This Row],[Threes]]+Table618[[#This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Table618[[#This Row],[Finishes]]+Table618[[#This Row],[Midranges]]+Table618[[#This Row],[Threes]]+Table618[[#This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Table618[[#This Row],[Finishes]]+Table618[[#This Row],[Midranges]]+Table618[[#This Row],[Threes]]+Table618[[#This Row],[Threes]]</f>
        <v>2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1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2,</v>
      </c>
      <c r="S30" s="16" t="str">
        <f t="shared" si="9"/>
        <v>0,</v>
      </c>
      <c r="T30" s="16" t="str">
        <f t="shared" si="9"/>
        <v>0,</v>
      </c>
      <c r="U30" s="16" t="str">
        <f t="shared" si="9"/>
        <v>1,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Table618[[#This Row],[Finishes]]+Table618[[#This Row],[Midranges]]+Table618[[#This Row],[Threes]]+Table618[[#This Row],[Threes]]</f>
        <v>1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4,</v>
      </c>
      <c r="S31" s="16" t="str">
        <f t="shared" si="9"/>
        <v>3,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Table618[[#This Row],[Finishes]]+Table618[[#This Row],[Midranges]]+Table618[[#This Row],[Threes]]+Table618[[#This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2,</v>
      </c>
      <c r="S32" s="16" t="str">
        <f t="shared" si="9"/>
        <v>0,</v>
      </c>
      <c r="T32" s="16" t="str">
        <f t="shared" si="9"/>
        <v>2,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Table618[[#This Row],[Finishes]]+Table618[[#This Row],[Midranges]]+Table618[[#This Row],[Threes]]+Table618[[#This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Table618[[#This Row],[Finishes]]+Table618[[#This Row],[Midranges]]+Table618[[#This Row],[Threes]]+Table618[[#This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Table618[[#This Row],[Finishes]]+Table618[[#This Row],[Midranges]]+Table618[[#This Row],[Threes]]+Table618[[#This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1,</v>
      </c>
      <c r="S35" s="16" t="str">
        <f t="shared" si="9"/>
        <v>1,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Table618[[#This Row],[Finishes]]+Table618[[#This Row],[Midranges]]+Table618[[#This Row],[Threes]]+Table618[[#This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4,</v>
      </c>
      <c r="S37" s="16" t="str">
        <f t="shared" si="9"/>
        <v>1,</v>
      </c>
      <c r="T37" s="16" t="str">
        <f t="shared" si="9"/>
        <v>1,</v>
      </c>
      <c r="U37" s="16" t="str">
        <f t="shared" si="9"/>
        <v>1,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"Date":["31-July"],</v>
      </c>
    </row>
    <row r="45" spans="2:32" ht="14.25" customHeight="1" x14ac:dyDescent="0.45">
      <c r="B45" s="74" t="str">
        <f>C2</f>
        <v>31-July</v>
      </c>
      <c r="C45" s="16">
        <f>MAX(L3:L5)</f>
        <v>9</v>
      </c>
      <c r="D45" s="16">
        <f>COUNT(B4:B42)-C45-E45</f>
        <v>4</v>
      </c>
      <c r="E45" s="16">
        <f>MIN(L3:L5)</f>
        <v>3</v>
      </c>
      <c r="F45" s="16">
        <f>L3</f>
        <v>9</v>
      </c>
      <c r="G45" s="16">
        <f>COUNTIF(Y4:Y39, "WW/LG")</f>
        <v>2</v>
      </c>
      <c r="H45" s="16">
        <f>COUNTIF(Z4:Z39, "5M/LG")</f>
        <v>1</v>
      </c>
      <c r="I45" s="16">
        <f>L5</f>
        <v>4</v>
      </c>
      <c r="J45" s="16">
        <f>COUNTIF(X4:X39, "LG/WW")</f>
        <v>4</v>
      </c>
      <c r="K45" s="16">
        <f>COUNTIF(Z4:Z39, "5M/WW")</f>
        <v>2</v>
      </c>
      <c r="L45" s="16">
        <f>L4</f>
        <v>3</v>
      </c>
      <c r="M45" s="16">
        <f>COUNTIF(X4:X39, "LG/5M")</f>
        <v>5</v>
      </c>
      <c r="N45" s="16">
        <f>COUNTIF(Y4:Y39, "WW/5M")</f>
        <v>2</v>
      </c>
      <c r="O45" s="16">
        <f>O3</f>
        <v>3</v>
      </c>
      <c r="P45" s="16">
        <f>O5</f>
        <v>2</v>
      </c>
      <c r="Q45" s="16">
        <f>O4</f>
        <v>1</v>
      </c>
      <c r="T45" s="16" t="str">
        <f>CHAR(34)&amp;"Points"&amp;CHAR(34)&amp;":["&amp;R23&amp;R24&amp;R25&amp;R26&amp;R27&amp;R28&amp;R29&amp;R30&amp;R31&amp;R32&amp;R33&amp;R34&amp;R35&amp;R36&amp;R37&amp;R38&amp;R39&amp;"],"</f>
        <v>"Points":[0,1,"Did not Play","Did not Play",3,0,0,2,4,2,0,"Did not Play",1,1,4,0,0],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"Finishes":[0,1,"Did not Play","Did not Play",1,0,0,0,3,0,0,"Did not Play",1,1,1,0,0],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"Midrange":[0,0,"Did not Play","Did not Play",0,0,0,0,1,2,0,"Did not Play",0,0,1,0,0],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Play","Did not Play",1,0,0,1,0,0,0,"Did not Play",0,0,1,0,0]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EB08-85DA-4E05-9E06-636B9AA07B4C}">
  <dimension ref="B1:AF1000"/>
  <sheetViews>
    <sheetView topLeftCell="P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244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3</v>
      </c>
      <c r="M3" s="11">
        <f>COUNTIF(D3:D40, "Loose Gooses")</f>
        <v>5</v>
      </c>
      <c r="N3" s="10">
        <f>L3/(L3+M3)</f>
        <v>0.375</v>
      </c>
      <c r="O3" s="11">
        <f>IF(AND(N3&gt;N4, N3&gt;N5), 3, IF(OR(N3&gt;N4, N3&gt;N5), 2, 1))</f>
        <v>2</v>
      </c>
      <c r="Q3" s="2" t="s">
        <v>25</v>
      </c>
      <c r="R3" s="8">
        <f t="shared" ref="R3:R19" si="0">COUNTIF($E$3:$E$40, Q3)+U3</f>
        <v>1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1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26</v>
      </c>
      <c r="D4" s="25" t="s">
        <v>31</v>
      </c>
      <c r="E4" s="25" t="s">
        <v>30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8</v>
      </c>
      <c r="M4" s="11">
        <f>COUNTIF(D3:D40, "5 Musketeers")</f>
        <v>3</v>
      </c>
      <c r="N4" s="10">
        <f t="shared" ref="N4:N5" si="4">L4/(L4+M4)</f>
        <v>0.72727272727272729</v>
      </c>
      <c r="O4" s="11">
        <f>IF(AND(N4&gt;N3, N4&gt;N5), 3, IF(OR(N4&gt;N3, N4&gt;N5), 2, 1))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5M/WW</v>
      </c>
      <c r="AB4" s="2"/>
    </row>
    <row r="5" spans="2:31" ht="14.25" customHeight="1" x14ac:dyDescent="0.45">
      <c r="B5" s="25">
        <v>2</v>
      </c>
      <c r="C5" s="25" t="s">
        <v>26</v>
      </c>
      <c r="D5" s="25" t="s">
        <v>47</v>
      </c>
      <c r="E5" s="25" t="s">
        <v>50</v>
      </c>
      <c r="F5" s="25" t="s">
        <v>99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3</v>
      </c>
      <c r="M5" s="11">
        <f>COUNTIF(D3:D40, "Wet Willies")</f>
        <v>6</v>
      </c>
      <c r="N5" s="10">
        <f t="shared" si="4"/>
        <v>0.33333333333333331</v>
      </c>
      <c r="O5" s="11">
        <f>IF(AND(N5&gt;N4, N5&gt;N3), 3, IF(OR(N5&gt;N4, N5&gt;N3), 2, 1))</f>
        <v>1</v>
      </c>
      <c r="Q5" s="2" t="s">
        <v>30</v>
      </c>
      <c r="R5" s="8">
        <f t="shared" si="0"/>
        <v>5</v>
      </c>
      <c r="S5" s="9">
        <f t="shared" si="1"/>
        <v>3</v>
      </c>
      <c r="T5" s="9">
        <f t="shared" si="2"/>
        <v>0</v>
      </c>
      <c r="U5" s="9">
        <f t="shared" si="3"/>
        <v>1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>5M/LG</v>
      </c>
      <c r="AB5" s="2"/>
    </row>
    <row r="6" spans="2:31" ht="14.25" customHeight="1" x14ac:dyDescent="0.45">
      <c r="B6" s="25">
        <v>3</v>
      </c>
      <c r="C6" s="25" t="s">
        <v>26</v>
      </c>
      <c r="D6" s="25" t="s">
        <v>31</v>
      </c>
      <c r="E6" s="25" t="s">
        <v>30</v>
      </c>
      <c r="F6" s="25" t="s">
        <v>204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1</v>
      </c>
      <c r="S6" s="9">
        <f t="shared" si="1"/>
        <v>1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/>
      </c>
      <c r="Z6" s="52" t="str">
        <f t="shared" si="7"/>
        <v>5M/WW</v>
      </c>
      <c r="AB6" s="2"/>
    </row>
    <row r="7" spans="2:31" ht="14.25" customHeight="1" x14ac:dyDescent="0.45">
      <c r="B7" s="25">
        <v>4</v>
      </c>
      <c r="C7" s="25" t="s">
        <v>26</v>
      </c>
      <c r="D7" s="25" t="s">
        <v>47</v>
      </c>
      <c r="E7" s="25" t="s">
        <v>55</v>
      </c>
      <c r="F7" s="25" t="s">
        <v>99</v>
      </c>
      <c r="G7" s="25">
        <v>4</v>
      </c>
      <c r="H7" s="25">
        <v>2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1</v>
      </c>
      <c r="X7" s="52" t="str">
        <f t="shared" si="5"/>
        <v/>
      </c>
      <c r="Y7" s="52" t="str">
        <f t="shared" si="6"/>
        <v/>
      </c>
      <c r="Z7" s="52" t="str">
        <f t="shared" si="7"/>
        <v>5M/LG</v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31</v>
      </c>
      <c r="E8" s="25" t="s">
        <v>50</v>
      </c>
      <c r="F8" s="25" t="s">
        <v>99</v>
      </c>
      <c r="G8" s="25">
        <v>5</v>
      </c>
      <c r="H8" s="25">
        <v>3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5M/WW</v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47</v>
      </c>
      <c r="E9" s="25" t="s">
        <v>30</v>
      </c>
      <c r="F9" s="25" t="s">
        <v>204</v>
      </c>
      <c r="G9" s="25">
        <v>6</v>
      </c>
      <c r="H9" s="25">
        <v>3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</row>
    <row r="10" spans="2:31" ht="14.25" customHeight="1" x14ac:dyDescent="0.45">
      <c r="B10" s="25">
        <v>7</v>
      </c>
      <c r="C10" s="25" t="s">
        <v>26</v>
      </c>
      <c r="D10" s="25" t="s">
        <v>31</v>
      </c>
      <c r="E10" s="25" t="s">
        <v>30</v>
      </c>
      <c r="F10" s="25" t="s">
        <v>205</v>
      </c>
      <c r="G10" s="25">
        <v>7</v>
      </c>
      <c r="H10" s="25">
        <v>4</v>
      </c>
      <c r="I10" s="25">
        <v>2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5M/WW</v>
      </c>
      <c r="AB10" s="2"/>
    </row>
    <row r="11" spans="2:31" ht="14.25" customHeight="1" x14ac:dyDescent="0.45">
      <c r="B11" s="25">
        <v>8</v>
      </c>
      <c r="C11" s="25" t="s">
        <v>26</v>
      </c>
      <c r="D11" s="25" t="s">
        <v>47</v>
      </c>
      <c r="E11" s="25" t="s">
        <v>55</v>
      </c>
      <c r="F11" s="25" t="s">
        <v>204</v>
      </c>
      <c r="G11" s="25">
        <v>8</v>
      </c>
      <c r="H11" s="25">
        <v>4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5M/LG</v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26</v>
      </c>
      <c r="E12" s="25" t="s">
        <v>52</v>
      </c>
      <c r="F12" s="25" t="s">
        <v>99</v>
      </c>
      <c r="G12" s="25">
        <v>1</v>
      </c>
      <c r="H12" s="25">
        <v>1</v>
      </c>
      <c r="I12" s="25">
        <v>1</v>
      </c>
      <c r="Q12" s="2" t="s">
        <v>50</v>
      </c>
      <c r="R12" s="8">
        <f t="shared" si="0"/>
        <v>2</v>
      </c>
      <c r="S12" s="9">
        <f t="shared" si="1"/>
        <v>0</v>
      </c>
      <c r="T12" s="9">
        <f t="shared" si="2"/>
        <v>2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WW/5M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31</v>
      </c>
      <c r="D13" s="25" t="s">
        <v>47</v>
      </c>
      <c r="E13" s="25" t="s">
        <v>35</v>
      </c>
      <c r="F13" s="25" t="s">
        <v>204</v>
      </c>
      <c r="G13" s="25">
        <v>2</v>
      </c>
      <c r="H13" s="25">
        <v>5</v>
      </c>
      <c r="I13" s="25">
        <v>1</v>
      </c>
      <c r="Q13" s="2" t="s">
        <v>52</v>
      </c>
      <c r="R13" s="8">
        <f t="shared" si="0"/>
        <v>2</v>
      </c>
      <c r="S13" s="9">
        <f t="shared" si="1"/>
        <v>0</v>
      </c>
      <c r="T13" s="9">
        <f t="shared" si="2"/>
        <v>2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>WW/LG</v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31</v>
      </c>
      <c r="D14" s="25" t="s">
        <v>26</v>
      </c>
      <c r="E14" s="25" t="s">
        <v>52</v>
      </c>
      <c r="F14" s="25" t="s">
        <v>99</v>
      </c>
      <c r="G14" s="25">
        <v>3</v>
      </c>
      <c r="H14" s="25">
        <v>2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>WW/5M</v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47</v>
      </c>
      <c r="D15" s="25" t="s">
        <v>31</v>
      </c>
      <c r="E15" s="25" t="s">
        <v>61</v>
      </c>
      <c r="F15" s="25" t="s">
        <v>99</v>
      </c>
      <c r="G15" s="25">
        <v>1</v>
      </c>
      <c r="H15" s="25">
        <v>1</v>
      </c>
      <c r="I15" s="25">
        <v>1</v>
      </c>
      <c r="Q15" s="2" t="s">
        <v>55</v>
      </c>
      <c r="R15" s="8">
        <f t="shared" si="0"/>
        <v>2</v>
      </c>
      <c r="S15" s="9">
        <f t="shared" si="1"/>
        <v>1</v>
      </c>
      <c r="T15" s="9">
        <f t="shared" si="2"/>
        <v>1</v>
      </c>
      <c r="U15" s="9">
        <f t="shared" si="3"/>
        <v>0</v>
      </c>
      <c r="V15" s="26" t="b">
        <v>0</v>
      </c>
      <c r="X15" s="52" t="str">
        <f t="shared" si="5"/>
        <v>LG/WW</v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26</v>
      </c>
      <c r="E16" s="25" t="s">
        <v>61</v>
      </c>
      <c r="F16" s="25" t="s">
        <v>204</v>
      </c>
      <c r="G16" s="25">
        <v>2</v>
      </c>
      <c r="H16" s="25">
        <v>3</v>
      </c>
      <c r="I16" s="25">
        <v>2</v>
      </c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47</v>
      </c>
      <c r="D17" s="25" t="s">
        <v>31</v>
      </c>
      <c r="E17" s="25" t="s">
        <v>25</v>
      </c>
      <c r="F17" s="25" t="s">
        <v>99</v>
      </c>
      <c r="G17" s="25">
        <v>3</v>
      </c>
      <c r="H17" s="25">
        <v>2</v>
      </c>
      <c r="I17" s="25">
        <v>1</v>
      </c>
      <c r="Q17" s="2" t="s">
        <v>61</v>
      </c>
      <c r="R17" s="8">
        <f t="shared" si="0"/>
        <v>2</v>
      </c>
      <c r="S17" s="9">
        <f t="shared" si="1"/>
        <v>1</v>
      </c>
      <c r="T17" s="9">
        <f t="shared" si="2"/>
        <v>1</v>
      </c>
      <c r="U17" s="9">
        <f t="shared" si="3"/>
        <v>0</v>
      </c>
      <c r="V17" s="26" t="b">
        <v>0</v>
      </c>
      <c r="X17" s="52" t="str">
        <f t="shared" si="5"/>
        <v>LG/WW</v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1,</v>
      </c>
      <c r="S23" s="16" t="str">
        <f t="shared" ref="S23:U23" si="8">IF($V3, CHAR(34)&amp;"Did not Play"&amp;CHAR(34), S3)&amp;","</f>
        <v>0,</v>
      </c>
      <c r="T23" s="16" t="str">
        <f t="shared" si="8"/>
        <v>1,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Table617[[#This Row],[Finishes]]+Table617[[#This Row],[Midranges]]+Table617[[#This Row],[Threes]]+Table617[[#This Row],[Threes]]</f>
        <v>1</v>
      </c>
      <c r="AD24" s="156">
        <f>COUNTIFS(D4:D35, "Loose Gooses", E$4:E$35,AB24,F$4:F$35,"Finish")</f>
        <v>1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5,</v>
      </c>
      <c r="S25" s="16" t="str">
        <f t="shared" si="9"/>
        <v>3,</v>
      </c>
      <c r="T25" s="16" t="str">
        <f t="shared" si="9"/>
        <v>0,</v>
      </c>
      <c r="U25" s="16" t="str">
        <f t="shared" si="9"/>
        <v>1,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Table617[[#This Row],[Finishes]]+Table617[[#This Row],[Midranges]]+Table617[[#This Row],[Threes]]+Table617[[#This Row],[Threes]]</f>
        <v>1</v>
      </c>
      <c r="AD25" s="157">
        <f>COUNTIFS(D4:D35, "Loose Gooses", E$4:E$35,AB25,F$4:F$35,"Finish")</f>
        <v>1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1,</v>
      </c>
      <c r="S26" s="16" t="str">
        <f t="shared" si="9"/>
        <v>1,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Table617[[#This Row],[Finishes]]+Table617[[#This Row],[Midranges]]+Table617[[#This Row],[Threes]]+Table617[[#This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"Did not Play",</v>
      </c>
      <c r="S27" s="16" t="str">
        <f t="shared" si="9"/>
        <v>"Did not Play",</v>
      </c>
      <c r="T27" s="16" t="str">
        <f t="shared" si="9"/>
        <v>"Did not Play",</v>
      </c>
      <c r="U27" s="16" t="str">
        <f t="shared" si="9"/>
        <v>"Did not Play",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Table617[[#This Row],[Finishes]]+Table617[[#This Row],[Midranges]]+Table617[[#This Row],[Threes]]+Table617[[#This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Table617[[#This Row],[Finishes]]+Table617[[#This Row],[Midranges]]+Table617[[#This Row],[Threes]]+Table617[[#This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Table617[[#This Row],[Finishes]]+Table617[[#This Row],[Midranges]]+Table617[[#This Row],[Threes]]+Table617[[#This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0,</v>
      </c>
      <c r="S30" s="16" t="str">
        <f t="shared" si="9"/>
        <v>0,</v>
      </c>
      <c r="T30" s="16" t="str">
        <f t="shared" si="9"/>
        <v>0,</v>
      </c>
      <c r="U30" s="16" t="str">
        <f t="shared" si="9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Table617[[#This Row],[Finishes]]+Table617[[#This Row],[Midranges]]+Table617[[#This Row],[Threes]]+Table617[[#This Row],[Threes]]</f>
        <v>1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0,</v>
      </c>
      <c r="S31" s="16" t="str">
        <f t="shared" si="9"/>
        <v>0,</v>
      </c>
      <c r="T31" s="16" t="str">
        <f t="shared" si="9"/>
        <v>0,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Table617[[#This Row],[Finishes]]+Table617[[#This Row],[Midranges]]+Table617[[#This Row],[Threes]]+Table617[[#This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2,</v>
      </c>
      <c r="S32" s="16" t="str">
        <f t="shared" si="9"/>
        <v>0,</v>
      </c>
      <c r="T32" s="16" t="str">
        <f t="shared" si="9"/>
        <v>2,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Table617[[#This Row],[Finishes]]+Table617[[#This Row],[Midranges]]+Table617[[#This Row],[Threes]]+Table617[[#This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2,</v>
      </c>
      <c r="S33" s="16" t="str">
        <f t="shared" si="9"/>
        <v>0,</v>
      </c>
      <c r="T33" s="16" t="str">
        <f t="shared" si="9"/>
        <v>2,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Table617[[#This Row],[Finishes]]+Table617[[#This Row],[Midranges]]+Table617[[#This Row],[Threes]]+Table617[[#This Row],[Threes]]</f>
        <v>2</v>
      </c>
      <c r="AD33" s="157">
        <f>COUNTIFS(D4:D35, "Loose Gooses", E$4:E$35,AB33,F$4:F$35,"Finish")</f>
        <v>1</v>
      </c>
      <c r="AE33" s="157">
        <f>COUNTIFS(D4:D35, "Loose Gooses", E$4:E$35,AB33,F$4:F$35,"Midrange")</f>
        <v>1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Table617[[#This Row],[Finishes]]+Table617[[#This Row],[Midranges]]+Table617[[#This Row],[Threes]]+Table617[[#This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2,</v>
      </c>
      <c r="S35" s="16" t="str">
        <f t="shared" si="9"/>
        <v>1,</v>
      </c>
      <c r="T35" s="16" t="str">
        <f t="shared" si="9"/>
        <v>1,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Table617[[#This Row],[Finishes]]+Table617[[#This Row],[Midranges]]+Table617[[#This Row],[Threes]]+Table617[[#This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0,</v>
      </c>
      <c r="S36" s="16" t="str">
        <f t="shared" si="9"/>
        <v>0,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2,</v>
      </c>
      <c r="S37" s="16" t="str">
        <f t="shared" si="9"/>
        <v>1,</v>
      </c>
      <c r="T37" s="16" t="str">
        <f t="shared" si="9"/>
        <v>1,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"Date":["27-July"],</v>
      </c>
    </row>
    <row r="45" spans="2:32" ht="14.25" customHeight="1" x14ac:dyDescent="0.45">
      <c r="B45" s="74" t="str">
        <f>C2</f>
        <v>27-July</v>
      </c>
      <c r="C45" s="16">
        <f>MAX(L3:L5)</f>
        <v>8</v>
      </c>
      <c r="D45" s="16">
        <f>COUNT(B4:B42)-C45-E45</f>
        <v>3</v>
      </c>
      <c r="E45" s="16">
        <f>MIN(L3:L5)</f>
        <v>3</v>
      </c>
      <c r="F45" s="16">
        <f>L3</f>
        <v>3</v>
      </c>
      <c r="G45" s="16">
        <f>COUNTIF(Y4:Y39, "WW/LG")</f>
        <v>1</v>
      </c>
      <c r="H45" s="16">
        <f>COUNTIF(Z4:Z39, "5M/LG")</f>
        <v>4</v>
      </c>
      <c r="I45" s="16">
        <f>L5</f>
        <v>3</v>
      </c>
      <c r="J45" s="16">
        <f>COUNTIF(X4:X39, "LG/WW")</f>
        <v>2</v>
      </c>
      <c r="K45" s="16">
        <f>COUNTIF(Z4:Z39, "5M/WW")</f>
        <v>4</v>
      </c>
      <c r="L45" s="16">
        <f>L4</f>
        <v>8</v>
      </c>
      <c r="M45" s="16">
        <f>COUNTIF(X4:X39, "LG/5M")</f>
        <v>1</v>
      </c>
      <c r="N45" s="16">
        <f>COUNTIF(Y4:Y39, "WW/5M")</f>
        <v>2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"Points":[1,0,5,1,"Did not Play",0,0,0,0,2,2,"Did not Play",2,0,2,0,"Did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"Finishes":[0,0,3,1,"Did not Play",0,0,0,0,0,0,"Did not Play",1,0,1,0,"Did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"Midrange":[1,0,0,0,"Did not Play",0,0,0,0,2,2,"Did not Play",1,0,1,0,"Did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"ThreePointers":[0,0,1,0,"Did not Play",0,0,0,0,0,0,"Did not Play",0,0,0,0,"Did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C22A-8058-43FE-B7ED-142697A75A9C}">
  <dimension ref="B1:AF1000"/>
  <sheetViews>
    <sheetView topLeftCell="J1" zoomScale="79" workbookViewId="0">
      <selection activeCell="AA37" sqref="AA37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241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6</v>
      </c>
      <c r="M3" s="11">
        <f>COUNTIF(D3:D40, "Loose Gooses")</f>
        <v>5</v>
      </c>
      <c r="N3" s="10">
        <f>L3/(L3+M3)</f>
        <v>0.54545454545454541</v>
      </c>
      <c r="O3" s="11">
        <f>IF(AND(N3&gt;N4, N3&gt;N5), 3, IF(OR(N3&gt;N4, N3&gt;N5), 2, 1))</f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  <c r="AC3" s="123" t="s">
        <v>221</v>
      </c>
      <c r="AD3" s="123" t="s">
        <v>222</v>
      </c>
      <c r="AE3" s="123" t="s">
        <v>223</v>
      </c>
    </row>
    <row r="4" spans="2:31" ht="14.25" customHeight="1" x14ac:dyDescent="0.45">
      <c r="B4" s="25">
        <v>1</v>
      </c>
      <c r="C4" s="25" t="s">
        <v>26</v>
      </c>
      <c r="D4" s="25" t="s">
        <v>31</v>
      </c>
      <c r="E4" s="25" t="s">
        <v>30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8</v>
      </c>
      <c r="M4" s="11">
        <f>COUNTIF(D3:D40, "5 Musketeers")</f>
        <v>5</v>
      </c>
      <c r="N4" s="10">
        <f t="shared" ref="N4:N5" si="4">L4/(L4+M4)</f>
        <v>0.61538461538461542</v>
      </c>
      <c r="O4" s="11">
        <f>IF(AND(N4&gt;N3, N4&gt;N5), 3, IF(OR(N4&gt;N3, N4&gt;N5), 2, 1))</f>
        <v>3</v>
      </c>
      <c r="Q4" s="2" t="s">
        <v>28</v>
      </c>
      <c r="R4" s="8">
        <f t="shared" si="0"/>
        <v>1</v>
      </c>
      <c r="S4" s="9">
        <f t="shared" si="1"/>
        <v>1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5M/WW</v>
      </c>
      <c r="AB4" s="2" t="s">
        <v>25</v>
      </c>
    </row>
    <row r="5" spans="2:31" ht="14.25" customHeight="1" x14ac:dyDescent="0.45">
      <c r="B5" s="25">
        <v>2</v>
      </c>
      <c r="C5" s="25" t="s">
        <v>47</v>
      </c>
      <c r="D5" s="25" t="s">
        <v>26</v>
      </c>
      <c r="E5" s="25" t="s">
        <v>46</v>
      </c>
      <c r="F5" s="25" t="s">
        <v>99</v>
      </c>
      <c r="G5" s="25">
        <v>1</v>
      </c>
      <c r="H5" s="25">
        <v>1</v>
      </c>
      <c r="I5" s="25">
        <v>1</v>
      </c>
      <c r="K5" s="11" t="s">
        <v>109</v>
      </c>
      <c r="L5" s="11">
        <f>COUNTIF(C3:C40, "Wet Willies")</f>
        <v>3</v>
      </c>
      <c r="M5" s="11">
        <f>COUNTIF(D3:D40, "Wet Willies")</f>
        <v>7</v>
      </c>
      <c r="N5" s="10">
        <f t="shared" si="4"/>
        <v>0.3</v>
      </c>
      <c r="O5" s="11">
        <f>IF(AND(N5&gt;N4, N5&gt;N3), 3, IF(OR(N5&gt;N4, N5&gt;N3), 2, 1))</f>
        <v>1</v>
      </c>
      <c r="Q5" s="2" t="s">
        <v>30</v>
      </c>
      <c r="R5" s="8">
        <f t="shared" si="0"/>
        <v>3</v>
      </c>
      <c r="S5" s="9">
        <f t="shared" si="1"/>
        <v>3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>LG/5M</v>
      </c>
      <c r="Y5" s="52" t="str">
        <f t="shared" si="6"/>
        <v/>
      </c>
      <c r="Z5" s="52" t="str">
        <f t="shared" si="7"/>
        <v/>
      </c>
      <c r="AB5" s="2" t="s">
        <v>28</v>
      </c>
      <c r="AC5" s="16">
        <v>6</v>
      </c>
    </row>
    <row r="6" spans="2:31" ht="14.25" customHeight="1" x14ac:dyDescent="0.45">
      <c r="B6" s="25">
        <v>3</v>
      </c>
      <c r="C6" s="25" t="s">
        <v>31</v>
      </c>
      <c r="D6" s="25" t="s">
        <v>47</v>
      </c>
      <c r="E6" s="25" t="s">
        <v>42</v>
      </c>
      <c r="F6" s="25" t="s">
        <v>204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1</v>
      </c>
      <c r="S6" s="9">
        <f t="shared" si="1"/>
        <v>1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>WW/LG</v>
      </c>
      <c r="Z6" s="52" t="str">
        <f t="shared" si="7"/>
        <v/>
      </c>
      <c r="AB6" s="2" t="s">
        <v>30</v>
      </c>
      <c r="AC6" s="16">
        <v>3</v>
      </c>
      <c r="AD6" s="16">
        <v>2</v>
      </c>
    </row>
    <row r="7" spans="2:31" ht="14.25" customHeight="1" x14ac:dyDescent="0.45">
      <c r="B7" s="25">
        <v>4</v>
      </c>
      <c r="C7" s="25" t="s">
        <v>31</v>
      </c>
      <c r="D7" s="25" t="s">
        <v>26</v>
      </c>
      <c r="E7" s="25" t="s">
        <v>64</v>
      </c>
      <c r="F7" s="25" t="s">
        <v>99</v>
      </c>
      <c r="G7" s="25">
        <v>2</v>
      </c>
      <c r="H7" s="25">
        <v>2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1</v>
      </c>
      <c r="X7" s="52" t="str">
        <f t="shared" si="5"/>
        <v/>
      </c>
      <c r="Y7" s="52" t="str">
        <f t="shared" si="6"/>
        <v>WW/5M</v>
      </c>
      <c r="Z7" s="52" t="str">
        <f t="shared" si="7"/>
        <v/>
      </c>
      <c r="AB7" s="2" t="s">
        <v>35</v>
      </c>
      <c r="AC7" s="16">
        <v>2</v>
      </c>
      <c r="AD7" s="16">
        <v>1</v>
      </c>
      <c r="AE7" s="16">
        <v>2</v>
      </c>
    </row>
    <row r="8" spans="2:31" ht="14.25" customHeight="1" x14ac:dyDescent="0.45">
      <c r="B8" s="25">
        <v>5</v>
      </c>
      <c r="C8" s="25" t="s">
        <v>31</v>
      </c>
      <c r="D8" s="25" t="s">
        <v>47</v>
      </c>
      <c r="E8" s="25" t="s">
        <v>35</v>
      </c>
      <c r="F8" s="25" t="s">
        <v>204</v>
      </c>
      <c r="G8" s="25">
        <v>3</v>
      </c>
      <c r="H8" s="25">
        <v>2</v>
      </c>
      <c r="I8" s="25">
        <v>1</v>
      </c>
      <c r="Q8" s="2" t="s">
        <v>42</v>
      </c>
      <c r="R8" s="8">
        <f t="shared" si="0"/>
        <v>1</v>
      </c>
      <c r="S8" s="9">
        <f t="shared" si="1"/>
        <v>1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>WW/LG</v>
      </c>
      <c r="Z8" s="52" t="str">
        <f t="shared" si="7"/>
        <v/>
      </c>
      <c r="AB8" s="2" t="s">
        <v>37</v>
      </c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1</v>
      </c>
      <c r="S9" s="9">
        <f t="shared" si="1"/>
        <v>1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  <c r="AB9" s="2" t="s">
        <v>42</v>
      </c>
      <c r="AC9" s="16">
        <v>1</v>
      </c>
      <c r="AE9" s="16">
        <v>1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30</v>
      </c>
      <c r="F10" s="25" t="s">
        <v>204</v>
      </c>
      <c r="G10" s="25">
        <v>2</v>
      </c>
      <c r="H10" s="25">
        <v>3</v>
      </c>
      <c r="I10" s="25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16" t="s">
        <v>115</v>
      </c>
      <c r="AC10" s="16">
        <v>2</v>
      </c>
      <c r="AE10" s="16">
        <v>1</v>
      </c>
    </row>
    <row r="11" spans="2:31" ht="14.25" customHeight="1" x14ac:dyDescent="0.45">
      <c r="B11" s="25">
        <v>8</v>
      </c>
      <c r="C11" s="25" t="s">
        <v>26</v>
      </c>
      <c r="D11" s="25" t="s">
        <v>31</v>
      </c>
      <c r="E11" s="25" t="s">
        <v>50</v>
      </c>
      <c r="F11" s="25" t="s">
        <v>99</v>
      </c>
      <c r="G11" s="25">
        <v>3</v>
      </c>
      <c r="H11" s="25">
        <v>2</v>
      </c>
      <c r="I11" s="25">
        <v>1</v>
      </c>
      <c r="Q11" s="2" t="s">
        <v>46</v>
      </c>
      <c r="R11" s="8">
        <f t="shared" si="0"/>
        <v>1</v>
      </c>
      <c r="S11" s="9">
        <f t="shared" si="1"/>
        <v>0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5M/WW</v>
      </c>
      <c r="AB11" s="2" t="s">
        <v>44</v>
      </c>
    </row>
    <row r="12" spans="2:31" ht="14.25" customHeight="1" x14ac:dyDescent="0.45">
      <c r="B12" s="25">
        <v>9</v>
      </c>
      <c r="C12" s="25" t="s">
        <v>26</v>
      </c>
      <c r="D12" s="25" t="s">
        <v>47</v>
      </c>
      <c r="E12" s="25" t="s">
        <v>115</v>
      </c>
      <c r="F12" s="25" t="s">
        <v>204</v>
      </c>
      <c r="G12" s="25">
        <v>4</v>
      </c>
      <c r="H12" s="25">
        <v>4</v>
      </c>
      <c r="I12" s="25">
        <v>1</v>
      </c>
      <c r="Q12" s="2" t="s">
        <v>50</v>
      </c>
      <c r="R12" s="8">
        <f t="shared" si="0"/>
        <v>4</v>
      </c>
      <c r="S12" s="9">
        <f t="shared" si="1"/>
        <v>1</v>
      </c>
      <c r="T12" s="9">
        <f t="shared" si="2"/>
        <v>3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5M/LG</v>
      </c>
      <c r="AB12" s="2" t="s">
        <v>46</v>
      </c>
      <c r="AC12" s="16">
        <v>2</v>
      </c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50</v>
      </c>
      <c r="F13" s="25" t="s">
        <v>204</v>
      </c>
      <c r="G13" s="25">
        <v>5</v>
      </c>
      <c r="H13" s="25">
        <v>3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 t="s">
        <v>50</v>
      </c>
      <c r="AC13" s="16">
        <v>3</v>
      </c>
    </row>
    <row r="14" spans="2:31" ht="14.25" customHeight="1" x14ac:dyDescent="0.45">
      <c r="B14" s="25">
        <v>11</v>
      </c>
      <c r="C14" s="25" t="s">
        <v>47</v>
      </c>
      <c r="D14" s="25" t="s">
        <v>26</v>
      </c>
      <c r="E14" s="25" t="s">
        <v>61</v>
      </c>
      <c r="F14" s="25" t="s">
        <v>204</v>
      </c>
      <c r="G14" s="25">
        <v>1</v>
      </c>
      <c r="H14" s="25">
        <v>1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>LG/5M</v>
      </c>
      <c r="Y14" s="52" t="str">
        <f t="shared" si="6"/>
        <v/>
      </c>
      <c r="Z14" s="52" t="str">
        <f t="shared" si="7"/>
        <v/>
      </c>
      <c r="AB14" s="2" t="s">
        <v>52</v>
      </c>
      <c r="AE14" s="16">
        <v>1</v>
      </c>
    </row>
    <row r="15" spans="2:31" ht="14.25" customHeight="1" x14ac:dyDescent="0.45">
      <c r="B15" s="25">
        <v>12</v>
      </c>
      <c r="C15" s="25" t="s">
        <v>47</v>
      </c>
      <c r="D15" s="25" t="s">
        <v>31</v>
      </c>
      <c r="E15" s="25" t="s">
        <v>58</v>
      </c>
      <c r="F15" s="25" t="s">
        <v>204</v>
      </c>
      <c r="G15" s="25">
        <v>2</v>
      </c>
      <c r="H15" s="25">
        <v>4</v>
      </c>
      <c r="I15" s="25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LG/WW</v>
      </c>
      <c r="Y15" s="52" t="str">
        <f t="shared" si="6"/>
        <v/>
      </c>
      <c r="Z15" s="52" t="str">
        <f t="shared" si="7"/>
        <v/>
      </c>
      <c r="AB15" s="2" t="s">
        <v>200</v>
      </c>
      <c r="AD15" s="16">
        <v>1</v>
      </c>
    </row>
    <row r="16" spans="2:31" ht="14.25" customHeight="1" x14ac:dyDescent="0.45">
      <c r="B16" s="25">
        <v>13</v>
      </c>
      <c r="C16" s="25" t="s">
        <v>47</v>
      </c>
      <c r="D16" s="25" t="s">
        <v>26</v>
      </c>
      <c r="E16" s="25" t="s">
        <v>61</v>
      </c>
      <c r="F16" s="25" t="s">
        <v>204</v>
      </c>
      <c r="G16" s="25">
        <v>3</v>
      </c>
      <c r="H16" s="25">
        <v>2</v>
      </c>
      <c r="I16" s="25">
        <v>1</v>
      </c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 t="s">
        <v>55</v>
      </c>
      <c r="AD16" s="16">
        <v>1</v>
      </c>
    </row>
    <row r="17" spans="2:32" ht="14.25" customHeight="1" x14ac:dyDescent="0.45">
      <c r="B17" s="25">
        <v>14</v>
      </c>
      <c r="C17" s="25" t="s">
        <v>47</v>
      </c>
      <c r="D17" s="25" t="s">
        <v>31</v>
      </c>
      <c r="E17" s="25" t="s">
        <v>28</v>
      </c>
      <c r="F17" s="25" t="s">
        <v>204</v>
      </c>
      <c r="G17" s="25">
        <v>4</v>
      </c>
      <c r="H17" s="25">
        <v>5</v>
      </c>
      <c r="I17" s="25">
        <v>1</v>
      </c>
      <c r="Q17" s="2" t="s">
        <v>61</v>
      </c>
      <c r="R17" s="8">
        <f t="shared" si="0"/>
        <v>3</v>
      </c>
      <c r="S17" s="9">
        <f t="shared" si="1"/>
        <v>2</v>
      </c>
      <c r="T17" s="9">
        <f t="shared" si="2"/>
        <v>1</v>
      </c>
      <c r="U17" s="9">
        <f t="shared" si="3"/>
        <v>0</v>
      </c>
      <c r="V17" s="26" t="b">
        <v>0</v>
      </c>
      <c r="X17" s="52" t="str">
        <f t="shared" si="5"/>
        <v>LG/WW</v>
      </c>
      <c r="Y17" s="52" t="str">
        <f t="shared" si="6"/>
        <v/>
      </c>
      <c r="Z17" s="52" t="str">
        <f t="shared" si="7"/>
        <v/>
      </c>
      <c r="AB17" s="2" t="s">
        <v>58</v>
      </c>
      <c r="AC17" s="16">
        <v>5</v>
      </c>
    </row>
    <row r="18" spans="2:32" ht="14.25" customHeight="1" x14ac:dyDescent="0.45">
      <c r="B18" s="25">
        <v>15</v>
      </c>
      <c r="C18" s="25" t="s">
        <v>26</v>
      </c>
      <c r="D18" s="25" t="s">
        <v>47</v>
      </c>
      <c r="E18" s="25" t="s">
        <v>30</v>
      </c>
      <c r="F18" s="25" t="s">
        <v>204</v>
      </c>
      <c r="G18" s="25">
        <v>1</v>
      </c>
      <c r="H18" s="25">
        <v>1</v>
      </c>
      <c r="I18" s="25">
        <v>1</v>
      </c>
      <c r="Q18" s="2" t="s">
        <v>64</v>
      </c>
      <c r="R18" s="8">
        <f t="shared" si="0"/>
        <v>1</v>
      </c>
      <c r="S18" s="9">
        <f t="shared" si="1"/>
        <v>0</v>
      </c>
      <c r="T18" s="9">
        <f t="shared" si="2"/>
        <v>1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5M/LG</v>
      </c>
      <c r="AB18" s="2" t="s">
        <v>61</v>
      </c>
      <c r="AC18" s="16">
        <v>4</v>
      </c>
    </row>
    <row r="19" spans="2:32" ht="14.25" customHeight="1" x14ac:dyDescent="0.45">
      <c r="B19" s="25">
        <v>16</v>
      </c>
      <c r="C19" s="25" t="s">
        <v>26</v>
      </c>
      <c r="D19" s="25" t="s">
        <v>31</v>
      </c>
      <c r="E19" s="25" t="s">
        <v>50</v>
      </c>
      <c r="F19" s="25" t="s">
        <v>99</v>
      </c>
      <c r="G19" s="25">
        <v>2</v>
      </c>
      <c r="H19" s="25">
        <v>6</v>
      </c>
      <c r="I19" s="25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>5M/WW</v>
      </c>
      <c r="AB19" s="2" t="s">
        <v>64</v>
      </c>
      <c r="AD19" s="16">
        <v>1</v>
      </c>
    </row>
    <row r="20" spans="2:32" ht="14.25" customHeight="1" x14ac:dyDescent="0.45">
      <c r="B20" s="25">
        <v>17</v>
      </c>
      <c r="C20" s="25" t="s">
        <v>47</v>
      </c>
      <c r="D20" s="25" t="s">
        <v>26</v>
      </c>
      <c r="E20" s="25" t="s">
        <v>61</v>
      </c>
      <c r="F20" s="25" t="s">
        <v>99</v>
      </c>
      <c r="G20" s="25">
        <v>1</v>
      </c>
      <c r="H20" s="25">
        <v>1</v>
      </c>
      <c r="I20" s="25">
        <v>1</v>
      </c>
      <c r="X20" s="52" t="str">
        <f t="shared" si="5"/>
        <v>LG/5M</v>
      </c>
      <c r="Y20" s="52" t="str">
        <f t="shared" si="6"/>
        <v/>
      </c>
      <c r="Z20" s="52" t="str">
        <f t="shared" si="7"/>
        <v/>
      </c>
      <c r="AB20" s="2" t="s">
        <v>67</v>
      </c>
      <c r="AE20" s="16">
        <v>1</v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1,</v>
      </c>
      <c r="S24" s="16" t="str">
        <f t="shared" si="9"/>
        <v>1,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Table616[[#This Row],[Finishes]]+Table616[[#This Row],[Midranges]]+Table616[[#This Row],[Threes]]+Table616[[#This Row],[Threes]]</f>
        <v>2</v>
      </c>
      <c r="AD24" s="156">
        <f>COUNTIFS(D4:D35, "Loose Gooses", E$4:E$35,AB24,F$4:F$35,"Finish")</f>
        <v>2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3,</v>
      </c>
      <c r="S25" s="16" t="str">
        <f t="shared" si="9"/>
        <v>3,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Table616[[#This Row],[Finishes]]+Table616[[#This Row],[Midranges]]+Table616[[#This Row],[Threes]]+Table616[[#This Row],[Threes]]</f>
        <v>1</v>
      </c>
      <c r="AD25" s="157">
        <f>COUNTIFS(D4:D35, "Loose Gooses", E$4:E$35,AB25,F$4:F$35,"Finish")</f>
        <v>1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1,</v>
      </c>
      <c r="S26" s="16" t="str">
        <f t="shared" si="9"/>
        <v>1,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Table616[[#This Row],[Finishes]]+Table616[[#This Row],[Midranges]]+Table616[[#This Row],[Threes]]+Table616[[#This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"Did not Play",</v>
      </c>
      <c r="S27" s="16" t="str">
        <f t="shared" si="9"/>
        <v>"Did not Play",</v>
      </c>
      <c r="T27" s="16" t="str">
        <f t="shared" si="9"/>
        <v>"Did not Play",</v>
      </c>
      <c r="U27" s="16" t="str">
        <f t="shared" si="9"/>
        <v>"Did not Play",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Table616[[#This Row],[Finishes]]+Table616[[#This Row],[Midranges]]+Table616[[#This Row],[Threes]]+Table616[[#This Row],[Threes]]</f>
        <v>1</v>
      </c>
      <c r="AD27" s="157">
        <f>COUNTIFS(D4:D35, "Loose Gooses", E$4:E$35,AB27,F$4:F$35,"Finish")</f>
        <v>1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1,</v>
      </c>
      <c r="S28" s="16" t="str">
        <f t="shared" si="9"/>
        <v>1,</v>
      </c>
      <c r="T28" s="16" t="str">
        <f>IF($V8, CHAR(34)&amp;"Did not Play"&amp;CHAR(34), T8)&amp;","</f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Table616[[#This Row],[Finishes]]+Table616[[#This Row],[Midranges]]+Table616[[#This Row],[Threes]]+Table616[[#This Row],[Threes]]</f>
        <v>1</v>
      </c>
      <c r="AD28" s="156">
        <f>COUNTIFS(D4:D35, "Loose Gooses", E$4:E$35,AB28,F$4:F$35,"Finish")</f>
        <v>1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1,</v>
      </c>
      <c r="S29" s="16" t="str">
        <f t="shared" si="9"/>
        <v>1,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Table616[[#This Row],[Finishes]]+Table616[[#This Row],[Midranges]]+Table616[[#This Row],[Threes]]+Table616[[#This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Table616[[#This Row],[Finishes]]+Table616[[#This Row],[Midranges]]+Table616[[#This Row],[Threes]]+Table616[[#This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0,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Table616[[#This Row],[Finishes]]+Table616[[#This Row],[Midranges]]+Table616[[#This Row],[Threes]]+Table616[[#This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4,</v>
      </c>
      <c r="S32" s="16" t="str">
        <f t="shared" si="9"/>
        <v>1,</v>
      </c>
      <c r="T32" s="16" t="str">
        <f t="shared" si="9"/>
        <v>3,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Table616[[#This Row],[Finishes]]+Table616[[#This Row],[Midranges]]+Table616[[#This Row],[Threes]]+Table616[[#This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Table616[[#This Row],[Finishes]]+Table616[[#This Row],[Midranges]]+Table616[[#This Row],[Threes]]+Table616[[#This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Table616[[#This Row],[Finishes]]+Table616[[#This Row],[Midranges]]+Table616[[#This Row],[Threes]]+Table616[[#This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Table616[[#This Row],[Finishes]]+Table616[[#This Row],[Midranges]]+Table616[[#This Row],[Threes]]+Table616[[#This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3,</v>
      </c>
      <c r="S37" s="16" t="str">
        <f t="shared" si="9"/>
        <v>2,</v>
      </c>
      <c r="T37" s="16" t="str">
        <f t="shared" si="9"/>
        <v>1,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1,</v>
      </c>
      <c r="S38" s="16" t="str">
        <f t="shared" si="9"/>
        <v>0,</v>
      </c>
      <c r="T38" s="16" t="str">
        <f t="shared" si="9"/>
        <v>1,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"Date":["26-July"],</v>
      </c>
    </row>
    <row r="45" spans="2:32" ht="14.25" customHeight="1" x14ac:dyDescent="0.45">
      <c r="B45" s="74" t="str">
        <f>C2</f>
        <v>26-July</v>
      </c>
      <c r="C45" s="16">
        <f>MAX(L3:L5)</f>
        <v>8</v>
      </c>
      <c r="D45" s="16">
        <f>COUNT(B4:B42)-C45-E45</f>
        <v>6</v>
      </c>
      <c r="E45" s="16">
        <f>MIN(L3:L5)</f>
        <v>3</v>
      </c>
      <c r="F45" s="16">
        <f>L3</f>
        <v>6</v>
      </c>
      <c r="G45" s="16">
        <f>COUNTIF(Y4:Y39, "WW/LG")</f>
        <v>2</v>
      </c>
      <c r="H45" s="16">
        <f>COUNTIF(Z4:Z39, "5M/LG")</f>
        <v>3</v>
      </c>
      <c r="I45" s="16">
        <f>L5</f>
        <v>3</v>
      </c>
      <c r="J45" s="16">
        <f>COUNTIF(X4:X39, "LG/WW")</f>
        <v>2</v>
      </c>
      <c r="K45" s="16">
        <f>COUNTIF(Z4:Z39, "5M/WW")</f>
        <v>5</v>
      </c>
      <c r="L45" s="16">
        <f>L4</f>
        <v>8</v>
      </c>
      <c r="M45" s="16">
        <f>COUNTIF(X4:X39, "LG/5M")</f>
        <v>4</v>
      </c>
      <c r="N45" s="16">
        <f>COUNTIF(Y4:Y39, "WW/5M")</f>
        <v>1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"Points":[0,1,3,1,"Did not Play",1,1,"Did not Play",1,4,0,"Did not Play",0,1,3,1,0],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"Finishes":[0,1,3,1,"Did not Play",1,1,"Did not Play",0,1,0,"Did not Play",0,1,2,0,0],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"Midrange":[0,0,0,0,"Did not Play",0,0,"Did not Play",1,3,0,"Did not Play",0,0,1,1,0],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"ThreePointers":[0,0,0,0,"Did not Play",0,0,"Did not Play",0,0,0,"Did not Play",0,0,0,0,0]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0EBA-E7AD-4AD3-AB8F-F362C2B23236}">
  <dimension ref="B1:AF1000"/>
  <sheetViews>
    <sheetView topLeftCell="M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240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1</v>
      </c>
      <c r="M3" s="11">
        <f>COUNTIF(D3:D40, "Loose Gooses")</f>
        <v>5</v>
      </c>
      <c r="N3" s="10">
        <f>L3/(L3+M3)</f>
        <v>0.16666666666666666</v>
      </c>
      <c r="O3" s="11"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  <c r="AC3" s="123" t="s">
        <v>221</v>
      </c>
      <c r="AD3" s="123" t="s">
        <v>222</v>
      </c>
      <c r="AE3" s="123" t="s">
        <v>223</v>
      </c>
    </row>
    <row r="4" spans="2:31" ht="14.25" customHeight="1" x14ac:dyDescent="0.45">
      <c r="B4" s="25">
        <v>1</v>
      </c>
      <c r="C4" s="25" t="s">
        <v>26</v>
      </c>
      <c r="D4" s="25" t="s">
        <v>31</v>
      </c>
      <c r="E4" s="25" t="s">
        <v>115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9</v>
      </c>
      <c r="M4" s="11">
        <f>COUNTIF(D3:D40, "5 Musketeers")</f>
        <v>1</v>
      </c>
      <c r="N4" s="10">
        <f t="shared" ref="N4:N5" si="4">L4/(L4+M4)</f>
        <v>0.9</v>
      </c>
      <c r="O4" s="11">
        <f>IF(AND(N4&gt;N3, N4&gt;N5), 3, IF(OR(N4&gt;N3, N4&gt;N5), 2, 1))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>5M/WW</v>
      </c>
      <c r="AB4" s="2" t="s">
        <v>25</v>
      </c>
      <c r="AE4" s="16">
        <v>1</v>
      </c>
    </row>
    <row r="5" spans="2:31" ht="14.25" customHeight="1" x14ac:dyDescent="0.45">
      <c r="B5" s="25">
        <v>2</v>
      </c>
      <c r="C5" s="25" t="s">
        <v>26</v>
      </c>
      <c r="D5" s="25" t="s">
        <v>47</v>
      </c>
      <c r="E5" s="25" t="s">
        <v>30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1</v>
      </c>
      <c r="M5" s="11">
        <f>COUNTIF(D3:D40, "Wet Willies")</f>
        <v>5</v>
      </c>
      <c r="N5" s="10">
        <f t="shared" si="4"/>
        <v>0.16666666666666666</v>
      </c>
      <c r="O5" s="11">
        <f>IF(AND(N5&gt;N4, N5&gt;N3), 3, IF(OR(N5&gt;N4, N5&gt;N3), 2, 1))</f>
        <v>1</v>
      </c>
      <c r="Q5" s="2" t="s">
        <v>30</v>
      </c>
      <c r="R5" s="8">
        <f t="shared" si="0"/>
        <v>4</v>
      </c>
      <c r="S5" s="9">
        <f t="shared" si="1"/>
        <v>4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>5M/LG</v>
      </c>
      <c r="AB5" s="2" t="s">
        <v>28</v>
      </c>
      <c r="AC5" s="16">
        <v>1</v>
      </c>
    </row>
    <row r="6" spans="2:31" ht="14.25" customHeight="1" x14ac:dyDescent="0.45">
      <c r="B6" s="25">
        <v>3</v>
      </c>
      <c r="C6" s="25" t="s">
        <v>26</v>
      </c>
      <c r="D6" s="25" t="s">
        <v>31</v>
      </c>
      <c r="E6" s="25" t="s">
        <v>50</v>
      </c>
      <c r="F6" s="25" t="s">
        <v>99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/>
      </c>
      <c r="Y6" s="52" t="str">
        <f t="shared" si="6"/>
        <v/>
      </c>
      <c r="Z6" s="52" t="str">
        <f t="shared" si="7"/>
        <v>5M/WW</v>
      </c>
      <c r="AB6" s="2" t="s">
        <v>30</v>
      </c>
      <c r="AC6" s="16">
        <v>2</v>
      </c>
      <c r="AD6" s="16">
        <v>1</v>
      </c>
      <c r="AE6" s="16">
        <v>2</v>
      </c>
    </row>
    <row r="7" spans="2:31" ht="14.25" customHeight="1" x14ac:dyDescent="0.45">
      <c r="B7" s="25">
        <v>4</v>
      </c>
      <c r="C7" s="25" t="s">
        <v>26</v>
      </c>
      <c r="D7" s="25" t="s">
        <v>47</v>
      </c>
      <c r="E7" s="25" t="s">
        <v>30</v>
      </c>
      <c r="F7" s="25" t="s">
        <v>204</v>
      </c>
      <c r="G7" s="25">
        <v>4</v>
      </c>
      <c r="H7" s="25">
        <v>2</v>
      </c>
      <c r="I7" s="25">
        <v>1</v>
      </c>
      <c r="Q7" s="2" t="s">
        <v>37</v>
      </c>
      <c r="R7" s="8">
        <f t="shared" si="0"/>
        <v>1</v>
      </c>
      <c r="S7" s="9">
        <f t="shared" si="1"/>
        <v>0</v>
      </c>
      <c r="T7" s="9">
        <f t="shared" si="2"/>
        <v>1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5M/LG</v>
      </c>
      <c r="AB7" s="2" t="s">
        <v>35</v>
      </c>
      <c r="AC7" s="16">
        <v>8</v>
      </c>
    </row>
    <row r="8" spans="2:31" ht="14.25" customHeight="1" x14ac:dyDescent="0.45">
      <c r="B8" s="25">
        <v>5</v>
      </c>
      <c r="C8" s="25" t="s">
        <v>31</v>
      </c>
      <c r="D8" s="25" t="s">
        <v>26</v>
      </c>
      <c r="E8" s="25" t="s">
        <v>37</v>
      </c>
      <c r="F8" s="25" t="s">
        <v>99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>WW/5M</v>
      </c>
      <c r="Z8" s="52" t="str">
        <f t="shared" si="7"/>
        <v/>
      </c>
      <c r="AB8" s="2" t="s">
        <v>37</v>
      </c>
      <c r="AC8" s="16">
        <v>2</v>
      </c>
    </row>
    <row r="9" spans="2:31" ht="14.25" customHeight="1" x14ac:dyDescent="0.45">
      <c r="B9" s="25">
        <v>6</v>
      </c>
      <c r="C9" s="25" t="s">
        <v>47</v>
      </c>
      <c r="D9" s="25" t="s">
        <v>31</v>
      </c>
      <c r="E9" s="25" t="s">
        <v>46</v>
      </c>
      <c r="F9" s="25" t="s">
        <v>99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3</v>
      </c>
      <c r="S9" s="9">
        <f t="shared" si="1"/>
        <v>2</v>
      </c>
      <c r="T9" s="9">
        <f t="shared" si="2"/>
        <v>1</v>
      </c>
      <c r="U9" s="9">
        <f t="shared" si="3"/>
        <v>0</v>
      </c>
      <c r="V9" s="26" t="b">
        <v>0</v>
      </c>
      <c r="X9" s="52" t="str">
        <f t="shared" si="5"/>
        <v>LG/WW</v>
      </c>
      <c r="Y9" s="52" t="str">
        <f t="shared" si="6"/>
        <v/>
      </c>
      <c r="Z9" s="52" t="str">
        <f t="shared" si="7"/>
        <v/>
      </c>
      <c r="AB9" s="2" t="s">
        <v>42</v>
      </c>
      <c r="AC9" s="16">
        <v>3</v>
      </c>
      <c r="AD9" s="16">
        <v>1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50</v>
      </c>
      <c r="F10" s="25" t="s">
        <v>204</v>
      </c>
      <c r="G10" s="25">
        <v>1</v>
      </c>
      <c r="H10" s="25">
        <v>1</v>
      </c>
      <c r="I10" s="25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16" t="s">
        <v>115</v>
      </c>
      <c r="AC10" s="16">
        <v>2</v>
      </c>
      <c r="AE10" s="16">
        <v>1</v>
      </c>
    </row>
    <row r="11" spans="2:31" ht="14.25" customHeight="1" x14ac:dyDescent="0.45">
      <c r="B11" s="25">
        <v>8</v>
      </c>
      <c r="C11" s="25" t="s">
        <v>26</v>
      </c>
      <c r="D11" s="25" t="s">
        <v>31</v>
      </c>
      <c r="E11" s="25" t="s">
        <v>115</v>
      </c>
      <c r="F11" s="25" t="s">
        <v>204</v>
      </c>
      <c r="G11" s="25">
        <v>2</v>
      </c>
      <c r="H11" s="25">
        <v>2</v>
      </c>
      <c r="I11" s="25">
        <v>1</v>
      </c>
      <c r="Q11" s="2" t="s">
        <v>46</v>
      </c>
      <c r="R11" s="8">
        <f t="shared" si="0"/>
        <v>1</v>
      </c>
      <c r="S11" s="9">
        <f t="shared" si="1"/>
        <v>0</v>
      </c>
      <c r="T11" s="9">
        <f t="shared" si="2"/>
        <v>1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5M/WW</v>
      </c>
      <c r="AB11" s="2" t="s">
        <v>44</v>
      </c>
    </row>
    <row r="12" spans="2:31" ht="14.25" customHeight="1" x14ac:dyDescent="0.45">
      <c r="B12" s="25">
        <v>9</v>
      </c>
      <c r="C12" s="25" t="s">
        <v>26</v>
      </c>
      <c r="D12" s="25" t="s">
        <v>47</v>
      </c>
      <c r="E12" s="25" t="s">
        <v>115</v>
      </c>
      <c r="F12" s="25" t="s">
        <v>204</v>
      </c>
      <c r="G12" s="25">
        <v>3</v>
      </c>
      <c r="H12" s="25">
        <v>2</v>
      </c>
      <c r="I12" s="25">
        <v>2</v>
      </c>
      <c r="Q12" s="2" t="s">
        <v>50</v>
      </c>
      <c r="R12" s="8">
        <f t="shared" si="0"/>
        <v>2</v>
      </c>
      <c r="S12" s="9">
        <f t="shared" si="1"/>
        <v>1</v>
      </c>
      <c r="T12" s="9">
        <f t="shared" si="2"/>
        <v>1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5M/LG</v>
      </c>
      <c r="AB12" s="2" t="s">
        <v>46</v>
      </c>
      <c r="AC12" s="16">
        <v>3</v>
      </c>
      <c r="AE12" s="16">
        <v>1</v>
      </c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30</v>
      </c>
      <c r="F13" s="25" t="s">
        <v>204</v>
      </c>
      <c r="G13" s="25">
        <v>4</v>
      </c>
      <c r="H13" s="25">
        <v>3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 t="s">
        <v>50</v>
      </c>
      <c r="AC13" s="16">
        <v>4</v>
      </c>
      <c r="AD13" s="16">
        <v>2</v>
      </c>
    </row>
    <row r="14" spans="2:31" ht="14.25" customHeight="1" x14ac:dyDescent="0.45">
      <c r="B14" s="25">
        <v>11</v>
      </c>
      <c r="C14" s="25" t="s">
        <v>26</v>
      </c>
      <c r="D14" s="25" t="s">
        <v>47</v>
      </c>
      <c r="E14" s="25" t="s">
        <v>30</v>
      </c>
      <c r="F14" s="25" t="s">
        <v>204</v>
      </c>
      <c r="G14" s="25">
        <v>5</v>
      </c>
      <c r="H14" s="25">
        <v>3</v>
      </c>
      <c r="I14" s="25">
        <v>2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 t="s">
        <v>52</v>
      </c>
      <c r="AE14" s="16">
        <v>2</v>
      </c>
    </row>
    <row r="15" spans="2:31" ht="14.25" customHeight="1" x14ac:dyDescent="0.45">
      <c r="B15" s="25"/>
      <c r="C15" s="25"/>
      <c r="D15" s="25"/>
      <c r="E15" s="25"/>
      <c r="F15" s="25"/>
      <c r="G15" s="25"/>
      <c r="H15" s="25"/>
      <c r="I15" s="25"/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/>
      </c>
      <c r="AB15" s="2" t="s">
        <v>200</v>
      </c>
      <c r="AC15" s="16">
        <v>1</v>
      </c>
    </row>
    <row r="16" spans="2:31" ht="14.25" customHeight="1" x14ac:dyDescent="0.45">
      <c r="B16" s="25"/>
      <c r="C16" s="25"/>
      <c r="D16" s="25"/>
      <c r="E16" s="25"/>
      <c r="F16" s="25"/>
      <c r="G16" s="25"/>
      <c r="H16" s="25"/>
      <c r="I16" s="25"/>
      <c r="Q16" s="2" t="s">
        <v>58</v>
      </c>
      <c r="R16" s="8">
        <f t="shared" si="0"/>
        <v>0</v>
      </c>
      <c r="S16" s="9">
        <f t="shared" si="1"/>
        <v>0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/>
      </c>
      <c r="AB16" s="2" t="s">
        <v>55</v>
      </c>
      <c r="AC16" s="16">
        <v>2</v>
      </c>
      <c r="AE16" s="16">
        <v>2</v>
      </c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0</v>
      </c>
      <c r="S17" s="9">
        <f t="shared" si="1"/>
        <v>0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 t="s">
        <v>58</v>
      </c>
      <c r="AC17" s="16">
        <v>1</v>
      </c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 t="s">
        <v>61</v>
      </c>
      <c r="AC18" s="16">
        <v>2</v>
      </c>
      <c r="AD18" s="16">
        <v>1</v>
      </c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  <c r="AB19" s="2" t="s">
        <v>64</v>
      </c>
      <c r="AC19" s="16">
        <v>1</v>
      </c>
      <c r="AE19" s="16">
        <v>1</v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  <c r="AB20" s="2" t="s">
        <v>67</v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0,</v>
      </c>
      <c r="S24" s="16" t="str">
        <f t="shared" si="9"/>
        <v>0,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Table615[[#This Row],[Finishes]]+Table615[[#This Row],[Midranges]]+Table615[[#This Row],[Threes]]+Table615[[#This Row],[Threes]]</f>
        <v>3</v>
      </c>
      <c r="AD24" s="156">
        <f>COUNTIFS(D4:D35, "Loose Gooses", E$4:E$35,AB24,F$4:F$35,"Finish")</f>
        <v>3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4,</v>
      </c>
      <c r="S25" s="16" t="str">
        <f t="shared" si="9"/>
        <v>4,</v>
      </c>
      <c r="T25" s="16" t="str">
        <f t="shared" si="9"/>
        <v>0,</v>
      </c>
      <c r="U25" s="16" t="str">
        <f t="shared" si="9"/>
        <v>0,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Table615[[#This Row],[Finishes]]+Table615[[#This Row],[Midranges]]+Table615[[#This Row],[Threes]]+Table615[[#This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0,</v>
      </c>
      <c r="S26" s="16" t="str">
        <f t="shared" si="9"/>
        <v>0,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Table615[[#This Row],[Finishes]]+Table615[[#This Row],[Midranges]]+Table615[[#This Row],[Threes]]+Table615[[#This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1,</v>
      </c>
      <c r="S27" s="16" t="str">
        <f t="shared" si="9"/>
        <v>0,</v>
      </c>
      <c r="T27" s="16" t="str">
        <f t="shared" si="9"/>
        <v>1,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Table615[[#This Row],[Finishes]]+Table615[[#This Row],[Midranges]]+Table615[[#This Row],[Threes]]+Table615[[#This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Table615[[#This Row],[Finishes]]+Table615[[#This Row],[Midranges]]+Table615[[#This Row],[Threes]]+Table615[[#This Row],[Threes]]</f>
        <v>1</v>
      </c>
      <c r="AD28" s="156">
        <f>COUNTIFS(D4:D35, "Loose Gooses", E$4:E$35,AB28,F$4:F$35,"Finish")</f>
        <v>1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3,</v>
      </c>
      <c r="S29" s="16" t="str">
        <f t="shared" si="9"/>
        <v>2,</v>
      </c>
      <c r="T29" s="16" t="str">
        <f t="shared" si="9"/>
        <v>1,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Table615[[#This Row],[Finishes]]+Table615[[#This Row],[Midranges]]+Table615[[#This Row],[Threes]]+Table615[[#This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Table615[[#This Row],[Finishes]]+Table615[[#This Row],[Midranges]]+Table615[[#This Row],[Threes]]+Table615[[#This Row],[Threes]]</f>
        <v>1</v>
      </c>
      <c r="AD30" s="156">
        <f>COUNTIFS(D4:D35, "Loose Gooses", E$4:E$35,AB30,F$4:F$35,"Finish")</f>
        <v>1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0,</v>
      </c>
      <c r="T31" s="16" t="str">
        <f t="shared" si="9"/>
        <v>1,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Table615[[#This Row],[Finishes]]+Table615[[#This Row],[Midranges]]+Table615[[#This Row],[Threes]]+Table615[[#This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2,</v>
      </c>
      <c r="S32" s="16" t="str">
        <f t="shared" si="9"/>
        <v>1,</v>
      </c>
      <c r="T32" s="16" t="str">
        <f t="shared" si="9"/>
        <v>1,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Table615[[#This Row],[Finishes]]+Table615[[#This Row],[Midranges]]+Table615[[#This Row],[Threes]]+Table615[[#This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Table615[[#This Row],[Finishes]]+Table615[[#This Row],[Midranges]]+Table615[[#This Row],[Threes]]+Table615[[#This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0,</v>
      </c>
      <c r="S34" s="16" t="str">
        <f t="shared" si="9"/>
        <v>0,</v>
      </c>
      <c r="T34" s="16" t="str">
        <f t="shared" si="9"/>
        <v>0,</v>
      </c>
      <c r="U34" s="16" t="str">
        <f t="shared" si="9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Table615[[#This Row],[Finishes]]+Table615[[#This Row],[Midranges]]+Table615[[#This Row],[Threes]]+Table615[[#This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Table615[[#This Row],[Finishes]]+Table615[[#This Row],[Midranges]]+Table615[[#This Row],[Threes]]+Table615[[#This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0,</v>
      </c>
      <c r="S36" s="16" t="str">
        <f t="shared" si="9"/>
        <v>0,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  <c r="AB36" s="125"/>
      <c r="AC36" s="138"/>
      <c r="AD36" s="138"/>
      <c r="AE36" s="138"/>
    </row>
    <row r="37" spans="2:32" ht="14.25" customHeight="1" x14ac:dyDescent="0.45">
      <c r="R37" s="16" t="str">
        <f t="shared" si="9"/>
        <v>0,</v>
      </c>
      <c r="S37" s="16" t="str">
        <f t="shared" si="9"/>
        <v>0,</v>
      </c>
      <c r="T37" s="16" t="str">
        <f t="shared" si="9"/>
        <v>0,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  <c r="AB37" s="125"/>
      <c r="AC37" s="138"/>
      <c r="AD37" s="138"/>
      <c r="AE37" s="138"/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  <c r="AB38" s="125"/>
      <c r="AC38" s="138"/>
      <c r="AD38" s="138"/>
      <c r="AE38" s="138"/>
    </row>
    <row r="39" spans="2:32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  <c r="AB39" s="125"/>
      <c r="AC39" s="138"/>
      <c r="AD39" s="138"/>
      <c r="AE39" s="138"/>
    </row>
    <row r="40" spans="2:32" ht="14.25" customHeight="1" x14ac:dyDescent="0.45">
      <c r="B40" s="73"/>
      <c r="S40" s="8"/>
      <c r="T40" s="8"/>
      <c r="U40" s="8"/>
      <c r="AB40" s="125"/>
      <c r="AC40" s="138"/>
      <c r="AD40" s="138"/>
      <c r="AE40" s="13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"Date":["24-July"],</v>
      </c>
    </row>
    <row r="45" spans="2:32" ht="14.25" customHeight="1" x14ac:dyDescent="0.45">
      <c r="B45" s="74" t="str">
        <f>C2</f>
        <v>24-July</v>
      </c>
      <c r="C45" s="16">
        <f>MAX(L3:L5)</f>
        <v>9</v>
      </c>
      <c r="D45" s="16">
        <f>COUNT(B4:B42)-C45-E45</f>
        <v>1</v>
      </c>
      <c r="E45" s="16">
        <f>MIN(L3:L5)</f>
        <v>1</v>
      </c>
      <c r="F45" s="16">
        <f>L3</f>
        <v>1</v>
      </c>
      <c r="G45" s="16">
        <f>COUNTIF(Y4:Y39, "WW/LG")</f>
        <v>0</v>
      </c>
      <c r="H45" s="16">
        <f>COUNTIF(Z4:Z39, "5M/LG")</f>
        <v>5</v>
      </c>
      <c r="I45" s="16">
        <f>L5</f>
        <v>1</v>
      </c>
      <c r="J45" s="16">
        <f>COUNTIF(X4:X39, "LG/WW")</f>
        <v>1</v>
      </c>
      <c r="K45" s="16">
        <f>COUNTIF(Z4:Z39, "5M/WW")</f>
        <v>4</v>
      </c>
      <c r="L45" s="16">
        <f>L4</f>
        <v>9</v>
      </c>
      <c r="M45" s="16">
        <f>COUNTIF(X4:X39, "LG/5M")</f>
        <v>0</v>
      </c>
      <c r="N45" s="16">
        <f>COUNTIF(Y4:Y39, "WW/5M")</f>
        <v>1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"Points":[0,0,4,0,1,0,3,"Did not Play",1,2,0,0,0,0,0,0,0],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"Finishes":[0,0,4,0,0,0,2,"Did not Play",0,1,0,0,0,0,0,0,0],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"Midrange":[0,0,0,0,1,0,1,"Did not Play",1,1,0,0,0,0,0,0,0],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"ThreePointers":[0,0,0,0,0,0,0,"Did not Play",0,0,0,0,0,0,0,0,0]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9E3-D0BF-4E38-A82D-8A943FB22419}">
  <dimension ref="B1:AF1000"/>
  <sheetViews>
    <sheetView topLeftCell="M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235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3</v>
      </c>
      <c r="M3" s="11">
        <f>COUNTIF(D3:D40, "Loose Gooses")</f>
        <v>4</v>
      </c>
      <c r="N3" s="10">
        <f>L3/(L3+M3)</f>
        <v>0.42857142857142855</v>
      </c>
      <c r="O3" s="11">
        <f>IF(AND(N3&gt;N4, N3&gt;N5), 3, IF(OR(N3&gt;N4, N3&gt;N5), 2, 1))</f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31</v>
      </c>
      <c r="D4" s="25" t="s">
        <v>47</v>
      </c>
      <c r="E4" s="25" t="s">
        <v>52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2</v>
      </c>
      <c r="M4" s="11">
        <f>COUNTIF(D3:D40, "5 Musketeers")</f>
        <v>4</v>
      </c>
      <c r="N4" s="10">
        <f t="shared" ref="N4:N5" si="4">L4/(L4+M4)</f>
        <v>0.33333333333333331</v>
      </c>
      <c r="O4" s="11">
        <f>IF(AND(N4&gt;N3, N4&gt;N5), 3, IF(OR(N4&gt;N3, N4&gt;N5), 2, 1))</f>
        <v>1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1</v>
      </c>
      <c r="X4" s="52" t="str">
        <f t="shared" ref="X4:X39" si="5">IF(AND(C4="Loose Gooses",D4="Wet Willies"),"LG/WW", IF(AND(C4="Loose Gooses",D4="5 Musketeers"),"LG/5M", ""))</f>
        <v/>
      </c>
      <c r="Y4" s="52" t="str">
        <f t="shared" ref="Y4:Y39" si="6">IF(AND(C4="Wet Willies",D4="Loose Gooses"),"WW/LG", IF(AND(C4="Wet Willies",D4="5 Musketeers"),"WW/5M", ""))</f>
        <v>WW/LG</v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31</v>
      </c>
      <c r="D5" s="25" t="s">
        <v>26</v>
      </c>
      <c r="E5" s="25" t="s">
        <v>42</v>
      </c>
      <c r="F5" s="25" t="s">
        <v>99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6</v>
      </c>
      <c r="M5" s="11">
        <f>COUNTIF(D3:D40, "Wet Willies")</f>
        <v>3</v>
      </c>
      <c r="N5" s="10">
        <f t="shared" si="4"/>
        <v>0.66666666666666663</v>
      </c>
      <c r="O5" s="11">
        <f>IF(AND(N5&gt;N4, N5&gt;N3), 3, IF(OR(N5&gt;N4, N5&gt;N3), 2, 1))</f>
        <v>3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/>
      </c>
      <c r="Y5" s="52" t="str">
        <f t="shared" si="6"/>
        <v>WW/5M</v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47</v>
      </c>
      <c r="D6" s="25" t="s">
        <v>31</v>
      </c>
      <c r="E6" s="25" t="s">
        <v>58</v>
      </c>
      <c r="F6" s="25" t="s">
        <v>204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3</v>
      </c>
      <c r="S6" s="9">
        <f t="shared" si="1"/>
        <v>3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>LG/WW</v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47</v>
      </c>
      <c r="D7" s="25" t="s">
        <v>26</v>
      </c>
      <c r="E7" s="25" t="s">
        <v>46</v>
      </c>
      <c r="F7" s="25" t="s">
        <v>204</v>
      </c>
      <c r="G7" s="25">
        <v>2</v>
      </c>
      <c r="H7" s="25">
        <v>2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>LG/5M</v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31</v>
      </c>
      <c r="D8" s="25" t="s">
        <v>47</v>
      </c>
      <c r="E8" s="25" t="s">
        <v>35</v>
      </c>
      <c r="F8" s="25" t="s">
        <v>204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2</v>
      </c>
      <c r="S8" s="9">
        <f t="shared" si="1"/>
        <v>1</v>
      </c>
      <c r="T8" s="9">
        <f t="shared" si="2"/>
        <v>1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>WW/LG</v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50</v>
      </c>
      <c r="F10" s="25" t="s">
        <v>99</v>
      </c>
      <c r="G10" s="25">
        <v>2</v>
      </c>
      <c r="H10" s="25">
        <v>2</v>
      </c>
      <c r="I10" s="25">
        <v>2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2"/>
    </row>
    <row r="11" spans="2:31" ht="14.25" customHeight="1" x14ac:dyDescent="0.45">
      <c r="B11" s="25">
        <v>8</v>
      </c>
      <c r="C11" s="25" t="s">
        <v>31</v>
      </c>
      <c r="D11" s="25" t="s">
        <v>26</v>
      </c>
      <c r="E11" s="25" t="s">
        <v>35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1</v>
      </c>
      <c r="S11" s="9">
        <f t="shared" si="1"/>
        <v>1</v>
      </c>
      <c r="T11" s="9">
        <f t="shared" si="2"/>
        <v>0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>WW/5M</v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31</v>
      </c>
      <c r="D12" s="25" t="s">
        <v>47</v>
      </c>
      <c r="E12" s="25" t="s">
        <v>42</v>
      </c>
      <c r="F12" s="25" t="s">
        <v>204</v>
      </c>
      <c r="G12" s="25">
        <v>2</v>
      </c>
      <c r="H12" s="25">
        <v>3</v>
      </c>
      <c r="I12" s="25">
        <v>1</v>
      </c>
      <c r="Q12" s="2" t="s">
        <v>50</v>
      </c>
      <c r="R12" s="8">
        <f t="shared" si="0"/>
        <v>2</v>
      </c>
      <c r="S12" s="9">
        <f t="shared" si="1"/>
        <v>0</v>
      </c>
      <c r="T12" s="9">
        <f t="shared" si="2"/>
        <v>2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>WW/LG</v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31</v>
      </c>
      <c r="D13" s="25" t="s">
        <v>26</v>
      </c>
      <c r="E13" s="25" t="s">
        <v>35</v>
      </c>
      <c r="F13" s="25" t="s">
        <v>204</v>
      </c>
      <c r="G13" s="25">
        <v>3</v>
      </c>
      <c r="H13" s="25">
        <v>2</v>
      </c>
      <c r="I13" s="25">
        <v>1</v>
      </c>
      <c r="Q13" s="2" t="s">
        <v>52</v>
      </c>
      <c r="R13" s="8">
        <f t="shared" si="0"/>
        <v>1</v>
      </c>
      <c r="S13" s="9">
        <f t="shared" si="1"/>
        <v>1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>WW/5M</v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31</v>
      </c>
      <c r="E14" s="25" t="s">
        <v>61</v>
      </c>
      <c r="F14" s="25" t="s">
        <v>99</v>
      </c>
      <c r="G14" s="25">
        <v>1</v>
      </c>
      <c r="H14" s="25">
        <v>1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>LG/WW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/>
      <c r="C15" s="25"/>
      <c r="D15" s="25"/>
      <c r="E15" s="25"/>
      <c r="F15" s="25"/>
      <c r="G15" s="25"/>
      <c r="H15" s="25"/>
      <c r="I15" s="25"/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/>
      <c r="C16" s="25"/>
      <c r="D16" s="25"/>
      <c r="E16" s="25"/>
      <c r="F16" s="25"/>
      <c r="G16" s="25"/>
      <c r="H16" s="25"/>
      <c r="I16" s="25"/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1</v>
      </c>
      <c r="S17" s="9">
        <f t="shared" si="1"/>
        <v>0</v>
      </c>
      <c r="T17" s="9">
        <f t="shared" si="2"/>
        <v>1</v>
      </c>
      <c r="U17" s="9">
        <f t="shared" si="3"/>
        <v>0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"Did not Play",</v>
      </c>
      <c r="S24" s="16" t="str">
        <f t="shared" si="9"/>
        <v>"Did not Play",</v>
      </c>
      <c r="T24" s="16" t="str">
        <f t="shared" si="9"/>
        <v>"Did not Play",</v>
      </c>
      <c r="U24" s="16" t="str">
        <f t="shared" si="9"/>
        <v>"Did not Play",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Table610[[#This Row],[Finishes]]+Table610[[#This Row],[Midranges]]+Table610[[#This Row],[Threes]]+Table610[[#This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Table610[[#This Row],[Finishes]]+Table610[[#This Row],[Midranges]]+Table610[[#This Row],[Threes]]+Table610[[#This Row],[Threes]]</f>
        <v>1</v>
      </c>
      <c r="AD25" s="157">
        <f>COUNTIFS(D4:D35, "Loose Gooses", E$4:E$35,AB25,F$4:F$35,"Finish")</f>
        <v>1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3,</v>
      </c>
      <c r="S26" s="16" t="str">
        <f t="shared" si="9"/>
        <v>3,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Table610[[#This Row],[Finishes]]+Table610[[#This Row],[Midranges]]+Table610[[#This Row],[Threes]]+Table610[[#This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0,</v>
      </c>
      <c r="S27" s="16" t="str">
        <f t="shared" si="9"/>
        <v>0,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Table610[[#This Row],[Finishes]]+Table610[[#This Row],[Midranges]]+Table610[[#This Row],[Threes]]+Table610[[#This Row],[Threes]]</f>
        <v>1</v>
      </c>
      <c r="AD27" s="157">
        <f>COUNTIFS(D4:D35, "Loose Gooses", E$4:E$35,AB27,F$4:F$35,"Finish")</f>
        <v>1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2,</v>
      </c>
      <c r="S28" s="16" t="str">
        <f t="shared" si="9"/>
        <v>1,</v>
      </c>
      <c r="T28" s="16" t="str">
        <f t="shared" si="9"/>
        <v>1,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Table610[[#This Row],[Finishes]]+Table610[[#This Row],[Midranges]]+Table610[[#This Row],[Threes]]+Table610[[#This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Table610[[#This Row],[Finishes]]+Table610[[#This Row],[Midranges]]+Table610[[#This Row],[Threes]]+Table610[[#This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Table610[[#This Row],[Finishes]]+Table610[[#This Row],[Midranges]]+Table610[[#This Row],[Threes]]+Table610[[#This Row],[Threes]]</f>
        <v>1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1,</v>
      </c>
      <c r="T31" s="16" t="str">
        <f t="shared" si="9"/>
        <v>0,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Table610[[#This Row],[Finishes]]+Table610[[#This Row],[Midranges]]+Table610[[#This Row],[Threes]]+Table610[[#This Row],[Threes]]</f>
        <v>1</v>
      </c>
      <c r="AD31" s="157">
        <f>COUNTIFS(D4:D35, "Loose Gooses", E$4:E$35,AB31,F$4:F$35,"Finish")</f>
        <v>1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2,</v>
      </c>
      <c r="S32" s="16" t="str">
        <f t="shared" si="9"/>
        <v>0,</v>
      </c>
      <c r="T32" s="16" t="str">
        <f t="shared" si="9"/>
        <v>2,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Table610[[#This Row],[Finishes]]+Table610[[#This Row],[Midranges]]+Table610[[#This Row],[Threes]]+Table610[[#This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1,</v>
      </c>
      <c r="S33" s="16" t="str">
        <f t="shared" si="9"/>
        <v>1,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Table610[[#This Row],[Finishes]]+Table610[[#This Row],[Midranges]]+Table610[[#This Row],[Threes]]+Table610[[#This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0,</v>
      </c>
      <c r="S34" s="16" t="str">
        <f t="shared" si="9"/>
        <v>0,</v>
      </c>
      <c r="T34" s="16" t="str">
        <f t="shared" si="9"/>
        <v>0,</v>
      </c>
      <c r="U34" s="16" t="str">
        <f t="shared" si="9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Table610[[#This Row],[Finishes]]+Table610[[#This Row],[Midranges]]+Table610[[#This Row],[Threes]]+Table610[[#This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Table610[[#This Row],[Finishes]]+Table610[[#This Row],[Midranges]]+Table610[[#This Row],[Threes]]+Table610[[#This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1,</v>
      </c>
      <c r="S36" s="16" t="str">
        <f t="shared" si="9"/>
        <v>1,</v>
      </c>
      <c r="T36" s="16" t="str">
        <f t="shared" si="9"/>
        <v>0,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1,</v>
      </c>
      <c r="S37" s="16" t="str">
        <f t="shared" si="9"/>
        <v>0,</v>
      </c>
      <c r="T37" s="16" t="str">
        <f t="shared" si="9"/>
        <v>1,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"Date":["20-July"],</v>
      </c>
    </row>
    <row r="45" spans="2:32" ht="14.25" customHeight="1" x14ac:dyDescent="0.45">
      <c r="B45" s="74" t="str">
        <f>C2</f>
        <v>20-July</v>
      </c>
      <c r="C45" s="16">
        <f>MAX(L3:L5)</f>
        <v>6</v>
      </c>
      <c r="D45" s="16">
        <f>COUNT(B4:B42)-C45-E45</f>
        <v>3</v>
      </c>
      <c r="E45" s="16">
        <f>MIN(L3:L5)</f>
        <v>2</v>
      </c>
      <c r="F45" s="16">
        <f>L3</f>
        <v>3</v>
      </c>
      <c r="G45" s="16">
        <f>COUNTIF(Y4:Y39, "WW/LG")</f>
        <v>3</v>
      </c>
      <c r="H45" s="16">
        <f>COUNTIF(Z4:Z39, "5M/LG")</f>
        <v>1</v>
      </c>
      <c r="I45" s="16">
        <f>L5</f>
        <v>6</v>
      </c>
      <c r="J45" s="16">
        <f>COUNTIF(X4:X39, "LG/WW")</f>
        <v>2</v>
      </c>
      <c r="K45" s="16">
        <f>COUNTIF(Z4:Z39, "5M/WW")</f>
        <v>1</v>
      </c>
      <c r="L45" s="16">
        <f>L4</f>
        <v>2</v>
      </c>
      <c r="M45" s="16">
        <f>COUNTIF(X4:X39, "LG/5M")</f>
        <v>1</v>
      </c>
      <c r="N45" s="16">
        <f>COUNTIF(Y4:Y39, "WW/5M")</f>
        <v>3</v>
      </c>
      <c r="O45" s="16">
        <f>O3</f>
        <v>2</v>
      </c>
      <c r="P45" s="16">
        <f>O5</f>
        <v>3</v>
      </c>
      <c r="Q45" s="16">
        <f>O4</f>
        <v>1</v>
      </c>
      <c r="T45" s="16" t="str">
        <f>CHAR(34)&amp;"Points"&amp;CHAR(34)&amp;":["&amp;R23&amp;R24&amp;R25&amp;R26&amp;R27&amp;R28&amp;R29&amp;R30&amp;R31&amp;R32&amp;R33&amp;R34&amp;R35&amp;R36&amp;R37&amp;R38&amp;R39&amp;"],"</f>
        <v>"Points":[0,"Did not Play","Did not Play",3,0,2,0,"Did not Play",1,2,1,0,0,1,1,0,"Did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"Finishes":[0,"Did not Play","Did not Play",3,0,1,0,"Did not Play",1,0,1,0,0,1,0,0,"Did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"Midrange":[0,"Did not Play","Did not Play",0,0,1,0,"Did not Play",0,2,0,0,0,0,1,0,"Did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"ThreePointers":[0,"Did not Play","Did not Play",0,0,0,0,"Did not Play",0,0,0,0,0,0,0,0,"Did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8656-6361-4532-BB0B-9C30DE811672}">
  <dimension ref="B1:AF1000"/>
  <sheetViews>
    <sheetView topLeftCell="M1" zoomScale="79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226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15</v>
      </c>
      <c r="M3" s="11">
        <f>COUNTIF(D3:D40, "Loose Gooses")</f>
        <v>0</v>
      </c>
      <c r="N3" s="10">
        <f>L3/(L3+M3)</f>
        <v>1</v>
      </c>
      <c r="O3" s="11">
        <f>IF(AND(N3&gt;N4, N3&gt;N5), 3, IF(OR(N3&gt;N4, N3&gt;N5), 2, 1))</f>
        <v>3</v>
      </c>
      <c r="Q3" s="2" t="s">
        <v>25</v>
      </c>
      <c r="R3" s="8">
        <f t="shared" ref="R3:R19" si="0">COUNTIF($E$3:$E$40, Q3)+U3</f>
        <v>1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1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47</v>
      </c>
      <c r="D4" s="25" t="s">
        <v>31</v>
      </c>
      <c r="E4" s="25" t="s">
        <v>58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0</v>
      </c>
      <c r="M4" s="11">
        <f>COUNTIF(D3:D40, "5 Musketeers")</f>
        <v>7</v>
      </c>
      <c r="N4" s="10">
        <f t="shared" ref="N4:N5" si="4">L4/(L4+M4)</f>
        <v>0</v>
      </c>
      <c r="O4" s="11">
        <v>2</v>
      </c>
      <c r="Q4" s="2" t="s">
        <v>28</v>
      </c>
      <c r="R4" s="8">
        <f t="shared" si="0"/>
        <v>3</v>
      </c>
      <c r="S4" s="9">
        <f t="shared" si="1"/>
        <v>3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LG/WW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26</v>
      </c>
      <c r="E5" s="25" t="s">
        <v>28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0</v>
      </c>
      <c r="M5" s="11">
        <f>COUNTIF(D3:D40, "Wet Willies")</f>
        <v>8</v>
      </c>
      <c r="N5" s="10">
        <f t="shared" si="4"/>
        <v>0</v>
      </c>
      <c r="O5" s="11">
        <f>IF(AND(N5&gt;N4, N5&gt;N3), 3, IF(OR(N5&gt;N4, N5&gt;N3), 2, 1))</f>
        <v>1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LG/5M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47</v>
      </c>
      <c r="D6" s="25" t="s">
        <v>31</v>
      </c>
      <c r="E6" s="25" t="s">
        <v>61</v>
      </c>
      <c r="F6" s="25" t="s">
        <v>204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0</v>
      </c>
      <c r="X6" s="52" t="str">
        <f t="shared" si="5"/>
        <v>LG/WW</v>
      </c>
      <c r="Y6" s="52" t="str">
        <f t="shared" si="6"/>
        <v/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47</v>
      </c>
      <c r="D7" s="25" t="s">
        <v>26</v>
      </c>
      <c r="E7" s="25" t="s">
        <v>25</v>
      </c>
      <c r="F7" s="25" t="s">
        <v>99</v>
      </c>
      <c r="G7" s="25">
        <v>4</v>
      </c>
      <c r="H7" s="25">
        <v>2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>LG/5M</v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47</v>
      </c>
      <c r="D8" s="25" t="s">
        <v>31</v>
      </c>
      <c r="E8" s="25" t="s">
        <v>28</v>
      </c>
      <c r="F8" s="25" t="s">
        <v>204</v>
      </c>
      <c r="G8" s="25">
        <v>5</v>
      </c>
      <c r="H8" s="25">
        <v>3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>LG/WW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47</v>
      </c>
      <c r="D9" s="25" t="s">
        <v>26</v>
      </c>
      <c r="E9" s="25" t="s">
        <v>46</v>
      </c>
      <c r="F9" s="25" t="s">
        <v>204</v>
      </c>
      <c r="G9" s="25">
        <v>6</v>
      </c>
      <c r="H9" s="25">
        <v>3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>LG/5M</v>
      </c>
      <c r="Y9" s="52" t="str">
        <f t="shared" si="6"/>
        <v/>
      </c>
      <c r="Z9" s="52" t="str">
        <f t="shared" si="7"/>
        <v/>
      </c>
    </row>
    <row r="10" spans="2:31" ht="14.25" customHeight="1" x14ac:dyDescent="0.45">
      <c r="B10" s="25">
        <v>7</v>
      </c>
      <c r="C10" s="25" t="s">
        <v>47</v>
      </c>
      <c r="D10" s="25" t="s">
        <v>31</v>
      </c>
      <c r="E10" s="25" t="s">
        <v>46</v>
      </c>
      <c r="F10" s="25" t="s">
        <v>99</v>
      </c>
      <c r="G10" s="25">
        <v>7</v>
      </c>
      <c r="H10" s="25">
        <v>4</v>
      </c>
      <c r="I10" s="25">
        <v>2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>LG/WW</v>
      </c>
      <c r="Y10" s="52" t="str">
        <f t="shared" si="6"/>
        <v/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47</v>
      </c>
      <c r="D11" s="25" t="s">
        <v>26</v>
      </c>
      <c r="E11" s="25" t="s">
        <v>61</v>
      </c>
      <c r="F11" s="25" t="s">
        <v>204</v>
      </c>
      <c r="G11" s="25">
        <v>8</v>
      </c>
      <c r="H11" s="25">
        <v>4</v>
      </c>
      <c r="I11" s="25">
        <v>1</v>
      </c>
      <c r="Q11" s="2" t="s">
        <v>46</v>
      </c>
      <c r="R11" s="8">
        <f t="shared" si="0"/>
        <v>6</v>
      </c>
      <c r="S11" s="9">
        <f t="shared" si="1"/>
        <v>2</v>
      </c>
      <c r="T11" s="9">
        <f t="shared" si="2"/>
        <v>2</v>
      </c>
      <c r="U11" s="9">
        <f t="shared" si="3"/>
        <v>1</v>
      </c>
      <c r="V11" s="26" t="b">
        <v>0</v>
      </c>
      <c r="X11" s="52" t="str">
        <f t="shared" si="5"/>
        <v>LG/5M</v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47</v>
      </c>
      <c r="D12" s="25" t="s">
        <v>31</v>
      </c>
      <c r="E12" s="25" t="s">
        <v>46</v>
      </c>
      <c r="F12" s="25" t="s">
        <v>99</v>
      </c>
      <c r="G12" s="25">
        <v>9</v>
      </c>
      <c r="H12" s="25">
        <v>5</v>
      </c>
      <c r="I12" s="25">
        <v>1</v>
      </c>
      <c r="Q12" s="2" t="s">
        <v>50</v>
      </c>
      <c r="R12" s="8">
        <f t="shared" si="0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26" t="b">
        <v>0</v>
      </c>
      <c r="X12" s="52" t="str">
        <f t="shared" si="5"/>
        <v>LG/WW</v>
      </c>
      <c r="Y12" s="52" t="str">
        <f t="shared" si="6"/>
        <v/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47</v>
      </c>
      <c r="D13" s="25" t="s">
        <v>26</v>
      </c>
      <c r="E13" s="25" t="s">
        <v>46</v>
      </c>
      <c r="F13" s="25" t="s">
        <v>204</v>
      </c>
      <c r="G13" s="25">
        <v>10</v>
      </c>
      <c r="H13" s="25">
        <v>5</v>
      </c>
      <c r="I13" s="25">
        <v>2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>LG/5M</v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31</v>
      </c>
      <c r="E14" s="25" t="s">
        <v>28</v>
      </c>
      <c r="F14" s="25" t="s">
        <v>204</v>
      </c>
      <c r="G14" s="25">
        <v>11</v>
      </c>
      <c r="H14" s="25">
        <v>6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>LG/WW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47</v>
      </c>
      <c r="D15" s="25" t="s">
        <v>26</v>
      </c>
      <c r="E15" s="25" t="s">
        <v>61</v>
      </c>
      <c r="F15" s="25" t="s">
        <v>204</v>
      </c>
      <c r="G15" s="25">
        <v>12</v>
      </c>
      <c r="H15" s="25">
        <v>6</v>
      </c>
      <c r="I15" s="25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LG/5M</v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31</v>
      </c>
      <c r="E16" s="25" t="s">
        <v>61</v>
      </c>
      <c r="F16" s="25" t="s">
        <v>99</v>
      </c>
      <c r="G16" s="25">
        <v>13</v>
      </c>
      <c r="H16" s="25">
        <v>7</v>
      </c>
      <c r="I16" s="25">
        <v>2</v>
      </c>
      <c r="Q16" s="2" t="s">
        <v>58</v>
      </c>
      <c r="R16" s="8">
        <f t="shared" si="0"/>
        <v>3</v>
      </c>
      <c r="S16" s="9">
        <f t="shared" si="1"/>
        <v>1</v>
      </c>
      <c r="T16" s="9">
        <f t="shared" si="2"/>
        <v>0</v>
      </c>
      <c r="U16" s="9">
        <f t="shared" si="3"/>
        <v>1</v>
      </c>
      <c r="V16" s="26" t="b">
        <v>0</v>
      </c>
      <c r="X16" s="52" t="str">
        <f t="shared" si="5"/>
        <v>LG/WW</v>
      </c>
      <c r="Y16" s="52" t="str">
        <f t="shared" si="6"/>
        <v/>
      </c>
      <c r="Z16" s="52" t="str">
        <f t="shared" si="7"/>
        <v/>
      </c>
      <c r="AB16" s="2"/>
    </row>
    <row r="17" spans="2:32" ht="14.25" customHeight="1" x14ac:dyDescent="0.45">
      <c r="B17" s="25">
        <v>14</v>
      </c>
      <c r="C17" s="25" t="s">
        <v>47</v>
      </c>
      <c r="D17" s="25" t="s">
        <v>26</v>
      </c>
      <c r="E17" s="25" t="s">
        <v>58</v>
      </c>
      <c r="F17" s="25" t="s">
        <v>205</v>
      </c>
      <c r="G17" s="25">
        <v>14</v>
      </c>
      <c r="H17" s="25">
        <v>7</v>
      </c>
      <c r="I17" s="25">
        <v>1</v>
      </c>
      <c r="Q17" s="2" t="s">
        <v>61</v>
      </c>
      <c r="R17" s="8">
        <f t="shared" si="0"/>
        <v>4</v>
      </c>
      <c r="S17" s="9">
        <f t="shared" si="1"/>
        <v>3</v>
      </c>
      <c r="T17" s="9">
        <f t="shared" si="2"/>
        <v>1</v>
      </c>
      <c r="U17" s="9">
        <f t="shared" si="3"/>
        <v>0</v>
      </c>
      <c r="V17" s="26" t="b">
        <v>0</v>
      </c>
      <c r="X17" s="52" t="str">
        <f t="shared" si="5"/>
        <v>LG/5M</v>
      </c>
      <c r="Y17" s="52" t="str">
        <f t="shared" si="6"/>
        <v/>
      </c>
      <c r="Z17" s="52" t="str">
        <f t="shared" si="7"/>
        <v/>
      </c>
      <c r="AB17" s="2"/>
    </row>
    <row r="18" spans="2:32" ht="14.25" customHeight="1" x14ac:dyDescent="0.45">
      <c r="B18" s="25">
        <v>15</v>
      </c>
      <c r="C18" s="25" t="s">
        <v>47</v>
      </c>
      <c r="D18" s="25" t="s">
        <v>31</v>
      </c>
      <c r="E18" s="25" t="s">
        <v>46</v>
      </c>
      <c r="F18" s="25" t="s">
        <v>205</v>
      </c>
      <c r="G18" s="25">
        <v>15</v>
      </c>
      <c r="H18" s="25">
        <v>8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>LG/WW</v>
      </c>
      <c r="Y18" s="52" t="str">
        <f t="shared" si="6"/>
        <v/>
      </c>
      <c r="Z18" s="52" t="str">
        <f t="shared" si="7"/>
        <v/>
      </c>
      <c r="AB18" s="2"/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1,</v>
      </c>
      <c r="S23" s="16" t="str">
        <f t="shared" ref="S23:U23" si="8">IF($V3, CHAR(34)&amp;"Did not Play"&amp;CHAR(34), S3)&amp;","</f>
        <v>0,</v>
      </c>
      <c r="T23" s="16" t="str">
        <f t="shared" si="8"/>
        <v>1,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3,</v>
      </c>
      <c r="S24" s="16" t="str">
        <f t="shared" si="9"/>
        <v>3,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Table69[[#This Row],[Finishes]]+Table69[[#This Row],[Midranges]]+Table69[[#This Row],[Threes]]+Table69[[#This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Table69[[#This Row],[Finishes]]+Table69[[#This Row],[Midranges]]+Table69[[#This Row],[Threes]]+Table69[[#This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0,</v>
      </c>
      <c r="S26" s="16" t="str">
        <f t="shared" si="9"/>
        <v>0,</v>
      </c>
      <c r="T26" s="16" t="str">
        <f t="shared" si="9"/>
        <v>0,</v>
      </c>
      <c r="U26" s="16" t="str">
        <f t="shared" si="9"/>
        <v>0,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Table69[[#This Row],[Finishes]]+Table69[[#This Row],[Midranges]]+Table69[[#This Row],[Threes]]+Table69[[#This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0,</v>
      </c>
      <c r="S27" s="16" t="str">
        <f t="shared" si="9"/>
        <v>0,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Table69[[#This Row],[Finishes]]+Table69[[#This Row],[Midranges]]+Table69[[#This Row],[Threes]]+Table69[[#This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Table69[[#This Row],[Finishes]]+Table69[[#This Row],[Midranges]]+Table69[[#This Row],[Threes]]+Table69[[#This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Table69[[#This Row],[Finishes]]+Table69[[#This Row],[Midranges]]+Table69[[#This Row],[Threes]]+Table69[[#This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Table69[[#This Row],[Finishes]]+Table69[[#This Row],[Midranges]]+Table69[[#This Row],[Threes]]+Table69[[#This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6,</v>
      </c>
      <c r="S31" s="16" t="str">
        <f t="shared" si="9"/>
        <v>2,</v>
      </c>
      <c r="T31" s="16" t="str">
        <f t="shared" si="9"/>
        <v>2,</v>
      </c>
      <c r="U31" s="16" t="str">
        <f t="shared" si="9"/>
        <v>1,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Table69[[#This Row],[Finishes]]+Table69[[#This Row],[Midranges]]+Table69[[#This Row],[Threes]]+Table69[[#This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0,</v>
      </c>
      <c r="S32" s="16" t="str">
        <f t="shared" si="9"/>
        <v>0,</v>
      </c>
      <c r="T32" s="16" t="str">
        <f t="shared" si="9"/>
        <v>0,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Table69[[#This Row],[Finishes]]+Table69[[#This Row],[Midranges]]+Table69[[#This Row],[Threes]]+Table69[[#This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0,</v>
      </c>
      <c r="S33" s="16" t="str">
        <f t="shared" si="9"/>
        <v>0,</v>
      </c>
      <c r="T33" s="16" t="str">
        <f t="shared" si="9"/>
        <v>0,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Table69[[#This Row],[Finishes]]+Table69[[#This Row],[Midranges]]+Table69[[#This Row],[Threes]]+Table69[[#This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0,</v>
      </c>
      <c r="S34" s="16" t="str">
        <f t="shared" si="9"/>
        <v>0,</v>
      </c>
      <c r="T34" s="16" t="str">
        <f t="shared" si="9"/>
        <v>0,</v>
      </c>
      <c r="U34" s="16" t="str">
        <f t="shared" si="9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Table69[[#This Row],[Finishes]]+Table69[[#This Row],[Midranges]]+Table69[[#This Row],[Threes]]+Table69[[#This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Table69[[#This Row],[Finishes]]+Table69[[#This Row],[Midranges]]+Table69[[#This Row],[Threes]]+Table69[[#This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3,</v>
      </c>
      <c r="S36" s="16" t="str">
        <f t="shared" si="9"/>
        <v>1,</v>
      </c>
      <c r="T36" s="16" t="str">
        <f t="shared" si="9"/>
        <v>0,</v>
      </c>
      <c r="U36" s="16" t="str">
        <f t="shared" si="9"/>
        <v>1,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R37" s="16" t="str">
        <f t="shared" si="9"/>
        <v>4,</v>
      </c>
      <c r="S37" s="16" t="str">
        <f t="shared" si="9"/>
        <v>3,</v>
      </c>
      <c r="T37" s="16" t="str">
        <f t="shared" si="9"/>
        <v>1,</v>
      </c>
      <c r="U37" s="16" t="str">
        <f t="shared" si="9"/>
        <v>0,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"Date":["19-July"],</v>
      </c>
    </row>
    <row r="45" spans="2:32" ht="14.25" customHeight="1" x14ac:dyDescent="0.45">
      <c r="B45" s="74" t="str">
        <f>C2</f>
        <v>19-July</v>
      </c>
      <c r="C45" s="16">
        <f>MAX(L3:L5)</f>
        <v>15</v>
      </c>
      <c r="D45" s="16">
        <f>COUNT(B4:B42)-C45-E45</f>
        <v>0</v>
      </c>
      <c r="E45" s="16">
        <f>MIN(L3:L5)</f>
        <v>0</v>
      </c>
      <c r="F45" s="16">
        <f>L3</f>
        <v>15</v>
      </c>
      <c r="G45" s="16">
        <f>COUNTIF(Y4:Y39, "WW/LG")</f>
        <v>0</v>
      </c>
      <c r="H45" s="16">
        <f>COUNTIF(Z4:Z39, "5M/LG")</f>
        <v>0</v>
      </c>
      <c r="I45" s="16">
        <f>L5</f>
        <v>0</v>
      </c>
      <c r="J45" s="16">
        <f>COUNTIF(X4:X39, "LG/WW")</f>
        <v>8</v>
      </c>
      <c r="K45" s="16">
        <f>COUNTIF(Z4:Z39, "5M/WW")</f>
        <v>0</v>
      </c>
      <c r="L45" s="16">
        <f>L4</f>
        <v>0</v>
      </c>
      <c r="M45" s="16">
        <f>COUNTIF(X4:X39, "LG/5M")</f>
        <v>7</v>
      </c>
      <c r="N45" s="16">
        <f>COUNTIF(Y4:Y39, "WW/5M")</f>
        <v>0</v>
      </c>
      <c r="O45" s="16">
        <f>O3</f>
        <v>3</v>
      </c>
      <c r="P45" s="16">
        <f>O5</f>
        <v>1</v>
      </c>
      <c r="Q45" s="16">
        <f>O4</f>
        <v>2</v>
      </c>
      <c r="T45" s="16" t="str">
        <f>CHAR(34)&amp;"Points"&amp;CHAR(34)&amp;":["&amp;R23&amp;R24&amp;R25&amp;R26&amp;R27&amp;R28&amp;R29&amp;R30&amp;R31&amp;R32&amp;R33&amp;R34&amp;R35&amp;R36&amp;R37&amp;R38&amp;R39&amp;"],"</f>
        <v>"Points":[1,3,"Did not Play",0,0,0,0,"Did not Play",6,0,0,0,0,3,4,0,"Did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"Finishes":[0,3,"Did not Play",0,0,0,0,"Did not Play",2,0,0,0,0,1,3,0,"Did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"Midrange":[1,0,"Did not Play",0,0,0,0,"Did not Play",2,0,0,0,0,0,1,0,"Did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Play",0,0,0,0,"Did not Play",1,0,0,0,0,1,0,0,"Did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1F1A-4A23-4996-9948-1508C0A56F45}">
  <dimension ref="B1:AF1000"/>
  <sheetViews>
    <sheetView topLeftCell="I1" zoomScale="79" workbookViewId="0">
      <selection activeCell="AD26" sqref="AD26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217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12</v>
      </c>
      <c r="M3" s="11">
        <f>COUNTIF(D3:D40, "Loose Gooses")</f>
        <v>1</v>
      </c>
      <c r="N3" s="10">
        <f>L3/(L3+M3)</f>
        <v>0.92307692307692313</v>
      </c>
      <c r="O3" s="11">
        <f>IF(AND(N3&gt;N4, N3&gt;N5), 3, IF(OR(N3&gt;N4, N3&gt;N5), 2, 1))</f>
        <v>3</v>
      </c>
      <c r="Q3" s="2" t="s">
        <v>25</v>
      </c>
      <c r="R3" s="8">
        <f t="shared" ref="R3:R19" si="0">COUNTIF($E$3:$E$40, Q3)+U3</f>
        <v>1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1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  <c r="AC3" s="123" t="s">
        <v>221</v>
      </c>
      <c r="AD3" s="123" t="s">
        <v>222</v>
      </c>
      <c r="AE3" s="123" t="s">
        <v>223</v>
      </c>
    </row>
    <row r="4" spans="2:31" ht="14.25" customHeight="1" x14ac:dyDescent="0.45">
      <c r="B4" s="25">
        <v>1</v>
      </c>
      <c r="C4" s="25" t="s">
        <v>47</v>
      </c>
      <c r="D4" s="25" t="s">
        <v>31</v>
      </c>
      <c r="E4" s="25" t="s">
        <v>61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</v>
      </c>
      <c r="M4" s="11">
        <f>COUNTIF(D3:D40, "5 Musketeers")</f>
        <v>6</v>
      </c>
      <c r="N4" s="10">
        <f t="shared" ref="N4:N5" si="4">L4/(L4+M4)</f>
        <v>0.14285714285714285</v>
      </c>
      <c r="O4" s="11">
        <f>IF(AND(N4&gt;N3, N4&gt;N5), 3, IF(OR(N4&gt;N3, N4&gt;N5), 2, 1))</f>
        <v>2</v>
      </c>
      <c r="Q4" s="2" t="s">
        <v>28</v>
      </c>
      <c r="R4" s="8">
        <f t="shared" si="0"/>
        <v>1</v>
      </c>
      <c r="S4" s="9">
        <f t="shared" si="1"/>
        <v>1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LG/WW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 t="s">
        <v>25</v>
      </c>
      <c r="AC4" s="16">
        <v>1</v>
      </c>
      <c r="AD4" s="16">
        <v>1</v>
      </c>
      <c r="AE4" s="16">
        <v>2</v>
      </c>
    </row>
    <row r="5" spans="2:31" ht="14.25" customHeight="1" x14ac:dyDescent="0.45">
      <c r="B5" s="25">
        <v>2</v>
      </c>
      <c r="C5" s="25" t="s">
        <v>47</v>
      </c>
      <c r="D5" s="25" t="s">
        <v>26</v>
      </c>
      <c r="E5" s="25" t="s">
        <v>58</v>
      </c>
      <c r="F5" s="25" t="s">
        <v>99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1</v>
      </c>
      <c r="M5" s="11">
        <f>COUNTIF(D3:D40, "Wet Willies")</f>
        <v>7</v>
      </c>
      <c r="N5" s="10">
        <f t="shared" si="4"/>
        <v>0.125</v>
      </c>
      <c r="O5" s="11">
        <f>IF(AND(N5&gt;N4, N5&gt;N3), 3, IF(OR(N5&gt;N4, N5&gt;N3), 2, 1))</f>
        <v>1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LG/5M</v>
      </c>
      <c r="Y5" s="52" t="str">
        <f t="shared" si="6"/>
        <v/>
      </c>
      <c r="Z5" s="52" t="str">
        <f t="shared" si="7"/>
        <v/>
      </c>
      <c r="AB5" s="2" t="s">
        <v>28</v>
      </c>
      <c r="AC5" s="16">
        <v>2</v>
      </c>
      <c r="AE5" s="16">
        <v>3</v>
      </c>
    </row>
    <row r="6" spans="2:31" ht="14.25" customHeight="1" x14ac:dyDescent="0.45">
      <c r="B6" s="25">
        <v>3</v>
      </c>
      <c r="C6" s="25" t="s">
        <v>47</v>
      </c>
      <c r="D6" s="25" t="s">
        <v>31</v>
      </c>
      <c r="E6" s="25" t="s">
        <v>58</v>
      </c>
      <c r="F6" s="25" t="s">
        <v>204</v>
      </c>
      <c r="G6" s="25">
        <v>3</v>
      </c>
      <c r="H6" s="25">
        <v>2</v>
      </c>
      <c r="I6" s="25">
        <v>2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>LG/WW</v>
      </c>
      <c r="Y6" s="52" t="str">
        <f t="shared" si="6"/>
        <v/>
      </c>
      <c r="Z6" s="52" t="str">
        <f t="shared" si="7"/>
        <v/>
      </c>
      <c r="AB6" s="2" t="s">
        <v>30</v>
      </c>
    </row>
    <row r="7" spans="2:31" ht="14.25" customHeight="1" x14ac:dyDescent="0.45">
      <c r="B7" s="25">
        <v>4</v>
      </c>
      <c r="C7" s="25" t="s">
        <v>47</v>
      </c>
      <c r="D7" s="25" t="s">
        <v>26</v>
      </c>
      <c r="E7" s="25" t="s">
        <v>58</v>
      </c>
      <c r="F7" s="25" t="s">
        <v>204</v>
      </c>
      <c r="G7" s="25">
        <v>4</v>
      </c>
      <c r="H7" s="25">
        <v>2</v>
      </c>
      <c r="I7" s="25">
        <v>3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>LG/5M</v>
      </c>
      <c r="Y7" s="52" t="str">
        <f t="shared" si="6"/>
        <v/>
      </c>
      <c r="Z7" s="52" t="str">
        <f t="shared" si="7"/>
        <v/>
      </c>
      <c r="AB7" s="2" t="s">
        <v>35</v>
      </c>
    </row>
    <row r="8" spans="2:31" ht="14.25" customHeight="1" x14ac:dyDescent="0.45">
      <c r="B8" s="25">
        <v>5</v>
      </c>
      <c r="C8" s="25" t="s">
        <v>31</v>
      </c>
      <c r="D8" s="25" t="s">
        <v>47</v>
      </c>
      <c r="E8" s="25" t="s">
        <v>52</v>
      </c>
      <c r="F8" s="25" t="s">
        <v>99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>WW/LG</v>
      </c>
      <c r="Z8" s="52" t="str">
        <f t="shared" si="7"/>
        <v/>
      </c>
      <c r="AB8" s="2" t="s">
        <v>37</v>
      </c>
      <c r="AC8" s="16">
        <v>4</v>
      </c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  <c r="AB9" s="2" t="s">
        <v>42</v>
      </c>
      <c r="AC9" s="16">
        <v>2</v>
      </c>
      <c r="AD9" s="16">
        <v>1</v>
      </c>
    </row>
    <row r="10" spans="2:31" ht="14.25" customHeight="1" x14ac:dyDescent="0.45">
      <c r="B10" s="25">
        <v>7</v>
      </c>
      <c r="C10" s="25" t="s">
        <v>47</v>
      </c>
      <c r="D10" s="25" t="s">
        <v>26</v>
      </c>
      <c r="E10" s="25" t="s">
        <v>46</v>
      </c>
      <c r="F10" s="25" t="s">
        <v>99</v>
      </c>
      <c r="G10" s="25">
        <v>1</v>
      </c>
      <c r="H10" s="25">
        <v>1</v>
      </c>
      <c r="I10" s="25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>LG/5M</v>
      </c>
      <c r="Y10" s="52" t="str">
        <f t="shared" si="6"/>
        <v/>
      </c>
      <c r="Z10" s="52" t="str">
        <f t="shared" si="7"/>
        <v/>
      </c>
      <c r="AB10" s="16" t="s">
        <v>115</v>
      </c>
    </row>
    <row r="11" spans="2:31" ht="14.25" customHeight="1" x14ac:dyDescent="0.45">
      <c r="B11" s="25">
        <v>8</v>
      </c>
      <c r="C11" s="25" t="s">
        <v>47</v>
      </c>
      <c r="D11" s="25" t="s">
        <v>31</v>
      </c>
      <c r="E11" s="25" t="s">
        <v>61</v>
      </c>
      <c r="F11" s="25" t="s">
        <v>204</v>
      </c>
      <c r="G11" s="25">
        <v>2</v>
      </c>
      <c r="H11" s="25">
        <v>2</v>
      </c>
      <c r="I11" s="25">
        <v>1</v>
      </c>
      <c r="Q11" s="2" t="s">
        <v>46</v>
      </c>
      <c r="R11" s="8">
        <f t="shared" si="0"/>
        <v>3</v>
      </c>
      <c r="S11" s="9">
        <f t="shared" si="1"/>
        <v>0</v>
      </c>
      <c r="T11" s="9">
        <f t="shared" si="2"/>
        <v>1</v>
      </c>
      <c r="U11" s="9">
        <f t="shared" si="3"/>
        <v>1</v>
      </c>
      <c r="V11" s="26" t="b">
        <v>0</v>
      </c>
      <c r="X11" s="52" t="str">
        <f t="shared" si="5"/>
        <v>LG/WW</v>
      </c>
      <c r="Y11" s="52" t="str">
        <f t="shared" si="6"/>
        <v/>
      </c>
      <c r="Z11" s="52" t="str">
        <f t="shared" si="7"/>
        <v/>
      </c>
      <c r="AB11" s="2" t="s">
        <v>44</v>
      </c>
    </row>
    <row r="12" spans="2:31" ht="14.25" customHeight="1" x14ac:dyDescent="0.45">
      <c r="B12" s="25">
        <v>9</v>
      </c>
      <c r="C12" s="25" t="s">
        <v>47</v>
      </c>
      <c r="D12" s="25" t="s">
        <v>26</v>
      </c>
      <c r="E12" s="25" t="s">
        <v>46</v>
      </c>
      <c r="F12" s="25" t="s">
        <v>205</v>
      </c>
      <c r="G12" s="25">
        <v>3</v>
      </c>
      <c r="H12" s="25">
        <v>2</v>
      </c>
      <c r="I12" s="25">
        <v>1</v>
      </c>
      <c r="Q12" s="2" t="s">
        <v>50</v>
      </c>
      <c r="R12" s="8">
        <f t="shared" si="0"/>
        <v>1</v>
      </c>
      <c r="S12" s="9">
        <f t="shared" si="1"/>
        <v>0</v>
      </c>
      <c r="T12" s="9">
        <f t="shared" si="2"/>
        <v>1</v>
      </c>
      <c r="U12" s="9">
        <f t="shared" si="3"/>
        <v>0</v>
      </c>
      <c r="V12" s="26" t="b">
        <v>0</v>
      </c>
      <c r="X12" s="52" t="str">
        <f t="shared" si="5"/>
        <v>LG/5M</v>
      </c>
      <c r="Y12" s="52" t="str">
        <f t="shared" si="6"/>
        <v/>
      </c>
      <c r="Z12" s="52" t="str">
        <f t="shared" si="7"/>
        <v/>
      </c>
      <c r="AB12" s="2" t="s">
        <v>46</v>
      </c>
      <c r="AC12" s="16">
        <v>4</v>
      </c>
      <c r="AD12" s="16">
        <v>2</v>
      </c>
      <c r="AE12" s="16">
        <v>1</v>
      </c>
    </row>
    <row r="13" spans="2:31" ht="14.25" customHeight="1" x14ac:dyDescent="0.45">
      <c r="B13" s="25">
        <v>10</v>
      </c>
      <c r="C13" s="25" t="s">
        <v>47</v>
      </c>
      <c r="D13" s="25" t="s">
        <v>31</v>
      </c>
      <c r="E13" s="25" t="s">
        <v>61</v>
      </c>
      <c r="F13" s="25" t="s">
        <v>205</v>
      </c>
      <c r="G13" s="25">
        <v>4</v>
      </c>
      <c r="H13" s="25">
        <v>3</v>
      </c>
      <c r="I13" s="25">
        <v>1</v>
      </c>
      <c r="Q13" s="2" t="s">
        <v>52</v>
      </c>
      <c r="R13" s="8">
        <f t="shared" si="0"/>
        <v>1</v>
      </c>
      <c r="S13" s="9">
        <f t="shared" si="1"/>
        <v>0</v>
      </c>
      <c r="T13" s="9">
        <f t="shared" si="2"/>
        <v>1</v>
      </c>
      <c r="U13" s="9">
        <f t="shared" si="3"/>
        <v>0</v>
      </c>
      <c r="V13" s="26" t="b">
        <v>0</v>
      </c>
      <c r="X13" s="52" t="str">
        <f t="shared" si="5"/>
        <v>LG/WW</v>
      </c>
      <c r="Y13" s="52" t="str">
        <f t="shared" si="6"/>
        <v/>
      </c>
      <c r="Z13" s="52" t="str">
        <f t="shared" si="7"/>
        <v/>
      </c>
      <c r="AB13" s="2" t="s">
        <v>50</v>
      </c>
      <c r="AC13" s="16">
        <v>1</v>
      </c>
    </row>
    <row r="14" spans="2:31" ht="14.25" customHeight="1" x14ac:dyDescent="0.45">
      <c r="B14" s="25">
        <v>11</v>
      </c>
      <c r="C14" s="25" t="s">
        <v>47</v>
      </c>
      <c r="D14" s="25" t="s">
        <v>26</v>
      </c>
      <c r="E14" s="25" t="s">
        <v>61</v>
      </c>
      <c r="F14" s="25" t="s">
        <v>99</v>
      </c>
      <c r="G14" s="25">
        <v>5</v>
      </c>
      <c r="H14" s="25">
        <v>3</v>
      </c>
      <c r="I14" s="25">
        <v>2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>LG/5M</v>
      </c>
      <c r="Y14" s="52" t="str">
        <f t="shared" si="6"/>
        <v/>
      </c>
      <c r="Z14" s="52" t="str">
        <f t="shared" si="7"/>
        <v/>
      </c>
      <c r="AB14" s="2" t="s">
        <v>52</v>
      </c>
      <c r="AC14" s="16">
        <v>1</v>
      </c>
      <c r="AE14" s="16">
        <v>1</v>
      </c>
    </row>
    <row r="15" spans="2:31" ht="14.25" customHeight="1" x14ac:dyDescent="0.45">
      <c r="B15" s="25">
        <v>12</v>
      </c>
      <c r="C15" s="25" t="s">
        <v>47</v>
      </c>
      <c r="D15" s="25" t="s">
        <v>31</v>
      </c>
      <c r="E15" s="25" t="s">
        <v>28</v>
      </c>
      <c r="F15" s="25" t="s">
        <v>204</v>
      </c>
      <c r="G15" s="25">
        <v>6</v>
      </c>
      <c r="H15" s="25">
        <v>4</v>
      </c>
      <c r="I15" s="25">
        <v>1</v>
      </c>
      <c r="Q15" s="2" t="s">
        <v>55</v>
      </c>
      <c r="R15" s="8">
        <f t="shared" si="0"/>
        <v>0</v>
      </c>
      <c r="S15" s="9">
        <f t="shared" si="1"/>
        <v>0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LG/WW</v>
      </c>
      <c r="Y15" s="52" t="str">
        <f t="shared" si="6"/>
        <v/>
      </c>
      <c r="Z15" s="52" t="str">
        <f t="shared" si="7"/>
        <v/>
      </c>
      <c r="AB15" s="2" t="s">
        <v>200</v>
      </c>
    </row>
    <row r="16" spans="2:31" ht="14.25" customHeight="1" x14ac:dyDescent="0.45">
      <c r="B16" s="25">
        <v>13</v>
      </c>
      <c r="C16" s="25" t="s">
        <v>47</v>
      </c>
      <c r="D16" s="25" t="s">
        <v>26</v>
      </c>
      <c r="E16" s="25" t="s">
        <v>25</v>
      </c>
      <c r="F16" s="25" t="s">
        <v>99</v>
      </c>
      <c r="G16" s="25">
        <v>7</v>
      </c>
      <c r="H16" s="25">
        <v>4</v>
      </c>
      <c r="I16" s="25">
        <v>1</v>
      </c>
      <c r="Q16" s="2" t="s">
        <v>58</v>
      </c>
      <c r="R16" s="8">
        <f t="shared" si="0"/>
        <v>3</v>
      </c>
      <c r="S16" s="9">
        <f t="shared" si="1"/>
        <v>2</v>
      </c>
      <c r="T16" s="9">
        <f t="shared" si="2"/>
        <v>1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 t="s">
        <v>55</v>
      </c>
    </row>
    <row r="17" spans="2:32" ht="14.25" customHeight="1" x14ac:dyDescent="0.45">
      <c r="B17" s="25">
        <v>14</v>
      </c>
      <c r="C17" s="25" t="s">
        <v>47</v>
      </c>
      <c r="D17" s="25" t="s">
        <v>31</v>
      </c>
      <c r="E17" s="25" t="s">
        <v>61</v>
      </c>
      <c r="F17" s="25" t="s">
        <v>204</v>
      </c>
      <c r="G17" s="25">
        <v>8</v>
      </c>
      <c r="H17" s="25">
        <v>5</v>
      </c>
      <c r="I17" s="25">
        <v>1</v>
      </c>
      <c r="Q17" s="2" t="s">
        <v>61</v>
      </c>
      <c r="R17" s="8">
        <f t="shared" si="0"/>
        <v>6</v>
      </c>
      <c r="S17" s="9">
        <f t="shared" si="1"/>
        <v>2</v>
      </c>
      <c r="T17" s="9">
        <f t="shared" si="2"/>
        <v>2</v>
      </c>
      <c r="U17" s="9">
        <f t="shared" si="3"/>
        <v>1</v>
      </c>
      <c r="V17" s="26" t="b">
        <v>0</v>
      </c>
      <c r="X17" s="52" t="str">
        <f t="shared" si="5"/>
        <v>LG/WW</v>
      </c>
      <c r="Y17" s="52" t="str">
        <f t="shared" si="6"/>
        <v/>
      </c>
      <c r="Z17" s="52" t="str">
        <f t="shared" si="7"/>
        <v/>
      </c>
      <c r="AB17" s="2" t="s">
        <v>58</v>
      </c>
      <c r="AC17" s="16">
        <v>4</v>
      </c>
      <c r="AD17" s="16">
        <v>1</v>
      </c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 t="s">
        <v>61</v>
      </c>
      <c r="AC18" s="16">
        <v>3</v>
      </c>
      <c r="AD18" s="16">
        <v>3</v>
      </c>
      <c r="AE18" s="16">
        <v>1</v>
      </c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  <c r="AB19" s="2" t="s">
        <v>64</v>
      </c>
      <c r="AC19" s="16">
        <v>3</v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  <c r="AB20" s="2" t="s">
        <v>67</v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  <c r="AB21" s="124"/>
      <c r="AC21" s="124"/>
      <c r="AD21" s="124"/>
      <c r="AE21" s="124"/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1,</v>
      </c>
      <c r="S23" s="16" t="str">
        <f t="shared" ref="S23:U23" si="8">IF($V3, CHAR(34)&amp;"Did not Play"&amp;CHAR(34), S3)&amp;","</f>
        <v>0,</v>
      </c>
      <c r="T23" s="16" t="str">
        <f t="shared" si="8"/>
        <v>1,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1,</v>
      </c>
      <c r="S24" s="16" t="str">
        <f t="shared" si="9"/>
        <v>1,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Table68[[#This Row],[Finishes]]+Table68[[#This Row],[Midranges]]+Table68[[#This Row],[Threes]]+Table68[[#This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Table68[[#This Row],[Finishes]]+Table68[[#This Row],[Midranges]]+Table68[[#This Row],[Threes]]+Table68[[#This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Table68[[#This Row],[Finishes]]+Table68[[#This Row],[Midranges]]+Table68[[#This Row],[Threes]]+Table68[[#This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0,</v>
      </c>
      <c r="S27" s="16" t="str">
        <f t="shared" si="9"/>
        <v>0,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Table68[[#This Row],[Finishes]]+Table68[[#This Row],[Midranges]]+Table68[[#This Row],[Threes]]+Table68[[#This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0,</v>
      </c>
      <c r="S28" s="16" t="str">
        <f t="shared" si="9"/>
        <v>0,</v>
      </c>
      <c r="T28" s="16" t="str">
        <f t="shared" si="9"/>
        <v>0,</v>
      </c>
      <c r="U28" s="16" t="str">
        <f t="shared" si="9"/>
        <v>0,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Table68[[#This Row],[Finishes]]+Table68[[#This Row],[Midranges]]+Table68[[#This Row],[Threes]]+Table68[[#This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Table68[[#This Row],[Finishes]]+Table68[[#This Row],[Midranges]]+Table68[[#This Row],[Threes]]+Table68[[#This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Table68[[#This Row],[Finishes]]+Table68[[#This Row],[Midranges]]+Table68[[#This Row],[Threes]]+Table68[[#This Row],[Threes]]</f>
        <v>0</v>
      </c>
      <c r="AD30" s="156">
        <f>COUNTIFS(D4:D35, "Loose Gooses", E$4:E$35,AB30,F$4:F$35,"Finish")</f>
        <v>0</v>
      </c>
      <c r="AE30" s="156">
        <f>COUNTIFS(D4:D35, "Loose Gooses", E$4:E$35,AB30,F$4:F$35,"Midrange")</f>
        <v>0</v>
      </c>
      <c r="AF30" s="156">
        <f>COUNTIFS(D4:D35, "Loose Gooses", E$4:E$35,AB30,F$4:F$35,"Three Pointer")</f>
        <v>0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3,</v>
      </c>
      <c r="S31" s="16" t="str">
        <f t="shared" si="9"/>
        <v>0,</v>
      </c>
      <c r="T31" s="16" t="str">
        <f t="shared" si="9"/>
        <v>1,</v>
      </c>
      <c r="U31" s="16" t="str">
        <f t="shared" si="9"/>
        <v>1,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Table68[[#This Row],[Finishes]]+Table68[[#This Row],[Midranges]]+Table68[[#This Row],[Threes]]+Table68[[#This Row],[Threes]]</f>
        <v>1</v>
      </c>
      <c r="AD31" s="157">
        <f>COUNTIFS(D4:D35, "Loose Gooses", E$4:E$35,AB31,F$4:F$35,"Finish")</f>
        <v>0</v>
      </c>
      <c r="AE31" s="157">
        <f>COUNTIFS(D4:D35, "Loose Gooses", E$4:E$35,AB31,F$4:F$35,"Midrange")</f>
        <v>1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1,</v>
      </c>
      <c r="S32" s="16" t="str">
        <f t="shared" si="9"/>
        <v>0,</v>
      </c>
      <c r="T32" s="16" t="str">
        <f t="shared" si="9"/>
        <v>1,</v>
      </c>
      <c r="U32" s="16" t="str">
        <f t="shared" si="9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Table68[[#This Row],[Finishes]]+Table68[[#This Row],[Midranges]]+Table68[[#This Row],[Threes]]+Table68[[#This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1,</v>
      </c>
      <c r="S33" s="16" t="str">
        <f t="shared" si="9"/>
        <v>0,</v>
      </c>
      <c r="T33" s="16" t="str">
        <f t="shared" si="9"/>
        <v>1,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Table68[[#This Row],[Finishes]]+Table68[[#This Row],[Midranges]]+Table68[[#This Row],[Threes]]+Table68[[#This Row],[Threes]]</f>
        <v>0</v>
      </c>
      <c r="AD33" s="157">
        <f>COUNTIFS(D4:D35, "Loose Gooses", E$4:E$35,AB33,F$4:F$35,"Finish")</f>
        <v>0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"Did not Play",</v>
      </c>
      <c r="S34" s="16" t="str">
        <f t="shared" si="9"/>
        <v>"Did not Play",</v>
      </c>
      <c r="T34" s="16" t="str">
        <f t="shared" si="9"/>
        <v>"Did not Play",</v>
      </c>
      <c r="U34" s="16" t="str">
        <f t="shared" si="9"/>
        <v>"Did not Play",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Table68[[#This Row],[Finishes]]+Table68[[#This Row],[Midranges]]+Table68[[#This Row],[Threes]]+Table68[[#This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R35" s="16" t="str">
        <f t="shared" si="9"/>
        <v>0,</v>
      </c>
      <c r="S35" s="16" t="str">
        <f t="shared" si="9"/>
        <v>0,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Table68[[#This Row],[Finishes]]+Table68[[#This Row],[Midranges]]+Table68[[#This Row],[Threes]]+Table68[[#This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R36" s="16" t="str">
        <f t="shared" si="9"/>
        <v>3,</v>
      </c>
      <c r="S36" s="16" t="str">
        <f t="shared" si="9"/>
        <v>2,</v>
      </c>
      <c r="T36" s="16" t="str">
        <f t="shared" si="9"/>
        <v>1,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  <c r="AB36" s="125"/>
      <c r="AC36" s="124"/>
      <c r="AD36" s="124"/>
      <c r="AE36" s="124"/>
    </row>
    <row r="37" spans="2:32" ht="14.25" customHeight="1" x14ac:dyDescent="0.45">
      <c r="R37" s="16" t="str">
        <f t="shared" si="9"/>
        <v>6,</v>
      </c>
      <c r="S37" s="16" t="str">
        <f t="shared" si="9"/>
        <v>2,</v>
      </c>
      <c r="T37" s="16" t="str">
        <f t="shared" si="9"/>
        <v>2,</v>
      </c>
      <c r="U37" s="16" t="str">
        <f t="shared" si="9"/>
        <v>1,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  <c r="AB37" s="125"/>
      <c r="AC37" s="124"/>
      <c r="AD37" s="124"/>
      <c r="AE37" s="124"/>
    </row>
    <row r="38" spans="2:32" ht="14.25" customHeight="1" x14ac:dyDescent="0.45"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  <c r="AB38" s="125"/>
      <c r="AC38" s="124"/>
      <c r="AD38" s="124"/>
      <c r="AE38" s="124"/>
    </row>
    <row r="39" spans="2:32" ht="14.25" customHeight="1" x14ac:dyDescent="0.45"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73"/>
      <c r="S40" s="8"/>
      <c r="T40" s="8"/>
      <c r="U40" s="8"/>
    </row>
    <row r="41" spans="2:32" ht="14.25" customHeight="1" x14ac:dyDescent="0.9">
      <c r="R41" s="94"/>
      <c r="S41" s="94"/>
      <c r="T41" s="190" t="s">
        <v>119</v>
      </c>
      <c r="U41" s="190"/>
      <c r="V41" s="190"/>
    </row>
    <row r="42" spans="2:32" ht="14.25" customHeight="1" x14ac:dyDescent="0.9"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"Date":["18-July"],</v>
      </c>
    </row>
    <row r="45" spans="2:32" ht="14.25" customHeight="1" x14ac:dyDescent="0.45">
      <c r="B45" s="74" t="str">
        <f>C2</f>
        <v>18-July</v>
      </c>
      <c r="C45" s="16">
        <f>MAX(L3:L5)</f>
        <v>12</v>
      </c>
      <c r="D45" s="16">
        <f>COUNT(B4:B42)-C45-E45</f>
        <v>1</v>
      </c>
      <c r="E45" s="16">
        <f>MIN(L3:L5)</f>
        <v>1</v>
      </c>
      <c r="F45" s="16">
        <f>L3</f>
        <v>12</v>
      </c>
      <c r="G45" s="16">
        <f>COUNTIF(Y4:Y39, "WW/LG")</f>
        <v>1</v>
      </c>
      <c r="H45" s="16">
        <f>COUNTIF(Z4:Z39, "5M/LG")</f>
        <v>0</v>
      </c>
      <c r="I45" s="16">
        <f>L5</f>
        <v>1</v>
      </c>
      <c r="J45" s="16">
        <f>COUNTIF(X4:X39, "LG/WW")</f>
        <v>6</v>
      </c>
      <c r="K45" s="16">
        <f>COUNTIF(Z4:Z39, "5M/WW")</f>
        <v>1</v>
      </c>
      <c r="L45" s="16">
        <f>L4</f>
        <v>1</v>
      </c>
      <c r="M45" s="16">
        <f>COUNTIF(X4:X39, "LG/5M")</f>
        <v>6</v>
      </c>
      <c r="N45" s="16">
        <f>COUNTIF(Y4:Y39, "WW/5M")</f>
        <v>0</v>
      </c>
      <c r="O45" s="16">
        <f>O3</f>
        <v>3</v>
      </c>
      <c r="P45" s="16">
        <f>O5</f>
        <v>1</v>
      </c>
      <c r="Q45" s="16">
        <f>O4</f>
        <v>2</v>
      </c>
      <c r="T45" s="16" t="str">
        <f>CHAR(34)&amp;"Points"&amp;CHAR(34)&amp;":["&amp;R23&amp;R24&amp;R25&amp;R26&amp;R27&amp;R28&amp;R29&amp;R30&amp;R31&amp;R32&amp;R33&amp;R34&amp;R35&amp;R36&amp;R37&amp;R38&amp;R39&amp;"],"</f>
        <v>"Points":[1,1,"Did not Play","Did not Play",0,0,0,"Did not Play",3,1,1,"Did not Play",0,3,6,0,"Did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"Finishes":[0,1,"Did not Play","Did not Play",0,0,0,"Did not Play",0,0,0,"Did not Play",0,2,2,0,"Did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"Midrange":[1,0,"Did not Play","Did not Play",0,0,0,"Did not Play",1,1,1,"Did not Play",0,1,2,0,"Did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Play","Did not Play",0,0,0,"Did not Play",1,0,0,"Did not Play",0,0,1,0,"Did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75DD-F31E-49E8-BC03-D21655A8AEBE}">
  <dimension ref="B1:AF1000"/>
  <sheetViews>
    <sheetView zoomScale="55" zoomScaleNormal="55" workbookViewId="0">
      <selection activeCell="AB22" sqref="AB22:AF35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216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X2" s="191" t="s">
        <v>218</v>
      </c>
      <c r="Y2" s="191"/>
      <c r="Z2" s="191"/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8</v>
      </c>
      <c r="M3" s="11">
        <f>COUNTIF(D3:D40, "Loose Gooses")</f>
        <v>3</v>
      </c>
      <c r="N3" s="10">
        <f>L3/(L3+M3)</f>
        <v>0.72727272727272729</v>
      </c>
      <c r="O3" s="11">
        <f>IF(AND(N3&gt;N4, N3&gt;N5), 3, IF(OR(N3&gt;N4, N3&gt;N5), 2, 1))</f>
        <v>3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  <c r="AC3" s="123" t="s">
        <v>221</v>
      </c>
      <c r="AD3" s="123" t="s">
        <v>222</v>
      </c>
      <c r="AE3" s="123" t="s">
        <v>223</v>
      </c>
    </row>
    <row r="4" spans="2:31" ht="14.25" customHeight="1" x14ac:dyDescent="0.45">
      <c r="B4" s="25">
        <v>1</v>
      </c>
      <c r="C4" s="25" t="s">
        <v>47</v>
      </c>
      <c r="D4" s="25" t="s">
        <v>26</v>
      </c>
      <c r="E4" s="25" t="s">
        <v>61</v>
      </c>
      <c r="F4" s="25" t="s">
        <v>204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3</v>
      </c>
      <c r="M4" s="11">
        <f>COUNTIF(D3:D40, "5 Musketeers")</f>
        <v>5</v>
      </c>
      <c r="N4" s="10">
        <f t="shared" ref="N4:N5" si="4">L4/(L4+M4)</f>
        <v>0.375</v>
      </c>
      <c r="O4" s="11">
        <f>IF(AND(N4&gt;N3, N4&gt;N5), 3, IF(OR(N4&gt;N3, N4&gt;N5), 2, 1))</f>
        <v>2</v>
      </c>
      <c r="Q4" s="2" t="s">
        <v>28</v>
      </c>
      <c r="R4" s="8">
        <f t="shared" si="0"/>
        <v>2</v>
      </c>
      <c r="S4" s="9">
        <f t="shared" si="1"/>
        <v>2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9" si="5">IF(AND(C4="Loose Gooses",D4="Wet Willies"),"LG/WW", IF(AND(C4="Loose Gooses",D4="5 Musketeers"),"LG/5M", ""))</f>
        <v>LG/5M</v>
      </c>
      <c r="Y4" s="52" t="str">
        <f t="shared" ref="Y4:Y39" si="6">IF(AND(C4="Wet Willies",D4="Loose Gooses"),"WW/LG", IF(AND(C4="Wet Willies",D4="5 Musketeers"),"WW/5M", ""))</f>
        <v/>
      </c>
      <c r="Z4" s="52" t="str">
        <f t="shared" ref="Z4:Z39" si="7">IF(AND(C4="5 Musketeers",D4="Loose Gooses"),"5M/LG", IF(AND($C4="5 Musketeers",$D4="Wet Willies"),"5M/WW", ""))</f>
        <v/>
      </c>
      <c r="AB4" s="2" t="s">
        <v>25</v>
      </c>
      <c r="AC4" s="16">
        <v>2</v>
      </c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28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2</v>
      </c>
      <c r="M5" s="11">
        <f>COUNTIF(D3:D40, "Wet Willies")</f>
        <v>5</v>
      </c>
      <c r="N5" s="10">
        <f t="shared" si="4"/>
        <v>0.2857142857142857</v>
      </c>
      <c r="O5" s="11">
        <f>IF(AND(N5&gt;N4, N5&gt;N3), 3, IF(OR(N5&gt;N4, N5&gt;N3), 2, 1))</f>
        <v>1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 t="s">
        <v>28</v>
      </c>
      <c r="AC5" s="16">
        <v>4</v>
      </c>
    </row>
    <row r="6" spans="2:31" ht="14.25" customHeight="1" x14ac:dyDescent="0.45">
      <c r="B6" s="25">
        <v>3</v>
      </c>
      <c r="C6" s="25" t="s">
        <v>26</v>
      </c>
      <c r="D6" s="25" t="s">
        <v>47</v>
      </c>
      <c r="E6" s="25" t="s">
        <v>50</v>
      </c>
      <c r="F6" s="25" t="s">
        <v>99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/>
      </c>
      <c r="Z6" s="52" t="str">
        <f t="shared" si="7"/>
        <v>5M/LG</v>
      </c>
      <c r="AB6" s="2" t="s">
        <v>30</v>
      </c>
    </row>
    <row r="7" spans="2:31" ht="14.25" customHeight="1" x14ac:dyDescent="0.45">
      <c r="B7" s="25">
        <v>4</v>
      </c>
      <c r="C7" s="25" t="s">
        <v>31</v>
      </c>
      <c r="D7" s="25" t="s">
        <v>26</v>
      </c>
      <c r="E7" s="25" t="s">
        <v>52</v>
      </c>
      <c r="F7" s="25" t="s">
        <v>99</v>
      </c>
      <c r="G7" s="25">
        <v>1</v>
      </c>
      <c r="H7" s="25">
        <v>1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>WW/5M</v>
      </c>
      <c r="Z7" s="52" t="str">
        <f t="shared" si="7"/>
        <v/>
      </c>
      <c r="AB7" s="2" t="s">
        <v>35</v>
      </c>
    </row>
    <row r="8" spans="2:31" ht="14.25" customHeight="1" x14ac:dyDescent="0.45">
      <c r="B8" s="25">
        <v>5</v>
      </c>
      <c r="C8" s="25" t="s">
        <v>47</v>
      </c>
      <c r="D8" s="25" t="s">
        <v>31</v>
      </c>
      <c r="E8" s="25" t="s">
        <v>58</v>
      </c>
      <c r="F8" s="25" t="s">
        <v>99</v>
      </c>
      <c r="G8" s="25">
        <v>1</v>
      </c>
      <c r="H8" s="25">
        <v>1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1</v>
      </c>
      <c r="X8" s="52" t="str">
        <f t="shared" si="5"/>
        <v>LG/WW</v>
      </c>
      <c r="Y8" s="52" t="str">
        <f t="shared" si="6"/>
        <v/>
      </c>
      <c r="Z8" s="52" t="str">
        <f t="shared" si="7"/>
        <v/>
      </c>
      <c r="AB8" s="2" t="s">
        <v>37</v>
      </c>
      <c r="AD8" s="16">
        <v>1</v>
      </c>
      <c r="AE8" s="16">
        <v>1</v>
      </c>
    </row>
    <row r="9" spans="2:31" ht="14.25" customHeight="1" x14ac:dyDescent="0.45">
      <c r="B9" s="25">
        <v>6</v>
      </c>
      <c r="C9" s="25" t="s">
        <v>26</v>
      </c>
      <c r="D9" s="25" t="s">
        <v>47</v>
      </c>
      <c r="E9" s="25" t="s">
        <v>55</v>
      </c>
      <c r="F9" s="25" t="s">
        <v>204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5M/LG</v>
      </c>
      <c r="AB9" s="2" t="s">
        <v>42</v>
      </c>
    </row>
    <row r="10" spans="2:31" ht="14.25" customHeight="1" x14ac:dyDescent="0.45">
      <c r="B10" s="25">
        <v>7</v>
      </c>
      <c r="C10" s="25" t="s">
        <v>31</v>
      </c>
      <c r="D10" s="25" t="s">
        <v>26</v>
      </c>
      <c r="E10" s="25" t="s">
        <v>52</v>
      </c>
      <c r="F10" s="25" t="s">
        <v>99</v>
      </c>
      <c r="G10" s="25">
        <v>1</v>
      </c>
      <c r="H10" s="25">
        <v>1</v>
      </c>
      <c r="I10" s="25">
        <v>1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/>
      </c>
      <c r="Y10" s="52" t="str">
        <f t="shared" si="6"/>
        <v>WW/5M</v>
      </c>
      <c r="Z10" s="52" t="str">
        <f t="shared" si="7"/>
        <v/>
      </c>
      <c r="AB10" s="16" t="s">
        <v>115</v>
      </c>
      <c r="AC10" s="16">
        <v>5</v>
      </c>
    </row>
    <row r="11" spans="2:31" ht="14.25" customHeight="1" x14ac:dyDescent="0.45">
      <c r="B11" s="25">
        <v>8</v>
      </c>
      <c r="C11" s="25" t="s">
        <v>47</v>
      </c>
      <c r="D11" s="25" t="s">
        <v>31</v>
      </c>
      <c r="E11" s="25" t="s">
        <v>61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1</v>
      </c>
      <c r="S11" s="9">
        <f t="shared" si="1"/>
        <v>1</v>
      </c>
      <c r="T11" s="9">
        <f t="shared" si="2"/>
        <v>0</v>
      </c>
      <c r="U11" s="9">
        <f t="shared" si="3"/>
        <v>0</v>
      </c>
      <c r="V11" s="26" t="b">
        <v>0</v>
      </c>
      <c r="X11" s="52" t="str">
        <f t="shared" si="5"/>
        <v>LG/WW</v>
      </c>
      <c r="Y11" s="52" t="str">
        <f t="shared" si="6"/>
        <v/>
      </c>
      <c r="Z11" s="52" t="str">
        <f t="shared" si="7"/>
        <v/>
      </c>
      <c r="AB11" s="2" t="s">
        <v>44</v>
      </c>
    </row>
    <row r="12" spans="2:31" ht="14.25" customHeight="1" x14ac:dyDescent="0.45">
      <c r="B12" s="25">
        <v>9</v>
      </c>
      <c r="C12" s="25" t="s">
        <v>47</v>
      </c>
      <c r="D12" s="25" t="s">
        <v>26</v>
      </c>
      <c r="E12" s="25" t="s">
        <v>61</v>
      </c>
      <c r="F12" s="25" t="s">
        <v>205</v>
      </c>
      <c r="G12" s="25">
        <v>2</v>
      </c>
      <c r="H12" s="25">
        <v>2</v>
      </c>
      <c r="I12" s="25">
        <v>2</v>
      </c>
      <c r="Q12" s="2" t="s">
        <v>50</v>
      </c>
      <c r="R12" s="8">
        <f t="shared" si="0"/>
        <v>3</v>
      </c>
      <c r="S12" s="9">
        <f t="shared" si="1"/>
        <v>0</v>
      </c>
      <c r="T12" s="9">
        <f t="shared" si="2"/>
        <v>1</v>
      </c>
      <c r="U12" s="9">
        <f t="shared" si="3"/>
        <v>1</v>
      </c>
      <c r="V12" s="26" t="b">
        <v>0</v>
      </c>
      <c r="X12" s="52" t="str">
        <f t="shared" si="5"/>
        <v>LG/5M</v>
      </c>
      <c r="Y12" s="52" t="str">
        <f t="shared" si="6"/>
        <v/>
      </c>
      <c r="Z12" s="52" t="str">
        <f t="shared" si="7"/>
        <v/>
      </c>
      <c r="AB12" s="2" t="s">
        <v>46</v>
      </c>
      <c r="AC12" s="16">
        <v>5</v>
      </c>
      <c r="AD12" s="16">
        <v>1</v>
      </c>
    </row>
    <row r="13" spans="2:31" ht="14.25" customHeight="1" x14ac:dyDescent="0.45">
      <c r="B13" s="25">
        <v>10</v>
      </c>
      <c r="C13" s="25" t="s">
        <v>47</v>
      </c>
      <c r="D13" s="25" t="s">
        <v>31</v>
      </c>
      <c r="E13" s="25" t="s">
        <v>46</v>
      </c>
      <c r="F13" s="25" t="s">
        <v>204</v>
      </c>
      <c r="G13" s="25">
        <v>3</v>
      </c>
      <c r="H13" s="25">
        <v>2</v>
      </c>
      <c r="I13" s="25">
        <v>1</v>
      </c>
      <c r="Q13" s="2" t="s">
        <v>52</v>
      </c>
      <c r="R13" s="8">
        <f t="shared" si="0"/>
        <v>2</v>
      </c>
      <c r="S13" s="9">
        <f t="shared" si="1"/>
        <v>0</v>
      </c>
      <c r="T13" s="9">
        <f t="shared" si="2"/>
        <v>2</v>
      </c>
      <c r="U13" s="9">
        <f t="shared" si="3"/>
        <v>0</v>
      </c>
      <c r="V13" s="26" t="b">
        <v>0</v>
      </c>
      <c r="X13" s="52" t="str">
        <f t="shared" si="5"/>
        <v>LG/WW</v>
      </c>
      <c r="Y13" s="52" t="str">
        <f t="shared" si="6"/>
        <v/>
      </c>
      <c r="Z13" s="52" t="str">
        <f t="shared" si="7"/>
        <v/>
      </c>
      <c r="AB13" s="2" t="s">
        <v>50</v>
      </c>
      <c r="AC13" s="16">
        <v>6</v>
      </c>
    </row>
    <row r="14" spans="2:31" ht="14.25" customHeight="1" x14ac:dyDescent="0.45">
      <c r="B14" s="25">
        <v>11</v>
      </c>
      <c r="C14" s="25" t="s">
        <v>47</v>
      </c>
      <c r="D14" s="25" t="s">
        <v>26</v>
      </c>
      <c r="E14" s="25" t="s">
        <v>28</v>
      </c>
      <c r="F14" s="25" t="s">
        <v>204</v>
      </c>
      <c r="G14" s="25">
        <v>4</v>
      </c>
      <c r="H14" s="25">
        <v>3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>LG/5M</v>
      </c>
      <c r="Y14" s="52" t="str">
        <f t="shared" si="6"/>
        <v/>
      </c>
      <c r="Z14" s="52" t="str">
        <f t="shared" si="7"/>
        <v/>
      </c>
      <c r="AB14" s="2" t="s">
        <v>52</v>
      </c>
      <c r="AE14" s="16">
        <v>1</v>
      </c>
    </row>
    <row r="15" spans="2:31" ht="14.25" customHeight="1" x14ac:dyDescent="0.45">
      <c r="B15" s="25">
        <v>12</v>
      </c>
      <c r="C15" s="25" t="s">
        <v>47</v>
      </c>
      <c r="D15" s="25" t="s">
        <v>31</v>
      </c>
      <c r="E15" s="25" t="s">
        <v>61</v>
      </c>
      <c r="F15" s="25" t="s">
        <v>204</v>
      </c>
      <c r="G15" s="25">
        <v>5</v>
      </c>
      <c r="H15" s="25">
        <v>3</v>
      </c>
      <c r="I15" s="25">
        <v>1</v>
      </c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LG/WW</v>
      </c>
      <c r="Y15" s="52" t="str">
        <f t="shared" si="6"/>
        <v/>
      </c>
      <c r="Z15" s="52" t="str">
        <f t="shared" si="7"/>
        <v/>
      </c>
      <c r="AB15" s="2" t="s">
        <v>200</v>
      </c>
      <c r="AC15" s="16">
        <v>2</v>
      </c>
    </row>
    <row r="16" spans="2:31" ht="14.25" customHeight="1" x14ac:dyDescent="0.45">
      <c r="B16" s="25">
        <v>13</v>
      </c>
      <c r="C16" s="25" t="s">
        <v>26</v>
      </c>
      <c r="D16" s="25" t="s">
        <v>47</v>
      </c>
      <c r="E16" s="25" t="s">
        <v>50</v>
      </c>
      <c r="F16" s="25" t="s">
        <v>205</v>
      </c>
      <c r="G16" s="25">
        <v>1</v>
      </c>
      <c r="H16" s="25">
        <v>1</v>
      </c>
      <c r="I16" s="25">
        <v>1</v>
      </c>
      <c r="Q16" s="2" t="s">
        <v>58</v>
      </c>
      <c r="R16" s="8">
        <f t="shared" si="0"/>
        <v>1</v>
      </c>
      <c r="S16" s="9">
        <f t="shared" si="1"/>
        <v>0</v>
      </c>
      <c r="T16" s="9">
        <f t="shared" si="2"/>
        <v>1</v>
      </c>
      <c r="U16" s="9">
        <f t="shared" si="3"/>
        <v>0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>5M/LG</v>
      </c>
      <c r="AB16" s="2" t="s">
        <v>55</v>
      </c>
      <c r="AC16" s="16">
        <v>6</v>
      </c>
      <c r="AE16" s="16">
        <v>1</v>
      </c>
    </row>
    <row r="17" spans="2:32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5</v>
      </c>
      <c r="S17" s="9">
        <f t="shared" si="1"/>
        <v>3</v>
      </c>
      <c r="T17" s="9">
        <f t="shared" si="2"/>
        <v>0</v>
      </c>
      <c r="U17" s="9">
        <f t="shared" si="3"/>
        <v>1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/>
      </c>
      <c r="AB17" s="2" t="s">
        <v>58</v>
      </c>
      <c r="AC17" s="16">
        <v>2</v>
      </c>
      <c r="AD17" s="16">
        <v>1</v>
      </c>
      <c r="AE17" s="16">
        <v>2</v>
      </c>
    </row>
    <row r="18" spans="2:32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/>
      </c>
      <c r="AB18" s="2" t="s">
        <v>61</v>
      </c>
      <c r="AC18" s="16">
        <v>2</v>
      </c>
      <c r="AD18" s="16">
        <v>3</v>
      </c>
      <c r="AE18" s="16">
        <v>2</v>
      </c>
    </row>
    <row r="19" spans="2:32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1</v>
      </c>
      <c r="X19" s="52" t="str">
        <f t="shared" si="5"/>
        <v/>
      </c>
      <c r="Y19" s="52" t="str">
        <f t="shared" si="6"/>
        <v/>
      </c>
      <c r="Z19" s="52" t="str">
        <f t="shared" si="7"/>
        <v/>
      </c>
      <c r="AB19" s="2" t="s">
        <v>64</v>
      </c>
      <c r="AE19" s="16">
        <v>1</v>
      </c>
    </row>
    <row r="20" spans="2:32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5"/>
        <v/>
      </c>
      <c r="Y20" s="52" t="str">
        <f t="shared" si="6"/>
        <v/>
      </c>
      <c r="Z20" s="52" t="str">
        <f t="shared" si="7"/>
        <v/>
      </c>
      <c r="AB20" s="2" t="s">
        <v>67</v>
      </c>
    </row>
    <row r="21" spans="2:32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5"/>
        <v/>
      </c>
      <c r="Y21" s="52" t="str">
        <f t="shared" si="6"/>
        <v/>
      </c>
      <c r="Z21" s="52" t="str">
        <f t="shared" si="7"/>
        <v/>
      </c>
    </row>
    <row r="22" spans="2:32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5"/>
        <v/>
      </c>
      <c r="Y22" s="52" t="str">
        <f t="shared" si="6"/>
        <v/>
      </c>
      <c r="Z22" s="52" t="str">
        <f t="shared" si="7"/>
        <v/>
      </c>
      <c r="AB22" s="16" t="s">
        <v>282</v>
      </c>
    </row>
    <row r="23" spans="2:32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8">IF($V3, CHAR(34)&amp;"Did not Play"&amp;CHAR(34), S3)&amp;","</f>
        <v>0,</v>
      </c>
      <c r="T23" s="16" t="str">
        <f t="shared" si="8"/>
        <v>0,</v>
      </c>
      <c r="U23" s="16" t="str">
        <f t="shared" si="8"/>
        <v>0,</v>
      </c>
      <c r="X23" s="52" t="str">
        <f t="shared" si="5"/>
        <v/>
      </c>
      <c r="Y23" s="52" t="str">
        <f t="shared" si="6"/>
        <v/>
      </c>
      <c r="Z23" s="52" t="str">
        <f t="shared" si="7"/>
        <v/>
      </c>
      <c r="AB23" s="162" t="s">
        <v>4</v>
      </c>
      <c r="AC23" s="163" t="s">
        <v>0</v>
      </c>
      <c r="AD23" s="164" t="s">
        <v>1</v>
      </c>
      <c r="AE23" s="164" t="s">
        <v>2</v>
      </c>
      <c r="AF23" s="164" t="s">
        <v>3</v>
      </c>
    </row>
    <row r="24" spans="2:32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9">IF($V4, CHAR(34)&amp;"Did not Play"&amp;CHAR(34), R4)&amp;","</f>
        <v>2,</v>
      </c>
      <c r="S24" s="16" t="str">
        <f t="shared" si="9"/>
        <v>2,</v>
      </c>
      <c r="T24" s="16" t="str">
        <f t="shared" si="9"/>
        <v>0,</v>
      </c>
      <c r="U24" s="16" t="str">
        <f t="shared" si="9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/>
      </c>
      <c r="AB24" s="158" t="s">
        <v>30</v>
      </c>
      <c r="AC24" s="165">
        <f>Table6[[#This Row],[Finishes]]+Table6[[#This Row],[Midranges]]+Table6[[#This Row],[Threes]]+Table6[[#This Row],[Threes]]</f>
        <v>0</v>
      </c>
      <c r="AD24" s="156">
        <f>COUNTIFS(D4:D35, "Loose Gooses", E$4:E$35,AB24,F$4:F$35,"Finish")</f>
        <v>0</v>
      </c>
      <c r="AE24" s="156">
        <f>COUNTIFS(D4:D35, "Loose Gooses", E$4:E$35,AB24,F$4:F$35,"Midrange")</f>
        <v>0</v>
      </c>
      <c r="AF24" s="156">
        <f>COUNTIFS(D4:D35, "Loose Gooses", E$4:E$35,AB24,F$4:F$35,"Three Pointer")</f>
        <v>0</v>
      </c>
    </row>
    <row r="25" spans="2:32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9"/>
        <v>"Did not Play",</v>
      </c>
      <c r="S25" s="16" t="str">
        <f t="shared" si="9"/>
        <v>"Did not Play",</v>
      </c>
      <c r="T25" s="16" t="str">
        <f t="shared" si="9"/>
        <v>"Did not Play",</v>
      </c>
      <c r="U25" s="16" t="str">
        <f t="shared" si="9"/>
        <v>"Did not Play",</v>
      </c>
      <c r="X25" s="52" t="str">
        <f t="shared" si="5"/>
        <v/>
      </c>
      <c r="Y25" s="52" t="str">
        <f t="shared" si="6"/>
        <v/>
      </c>
      <c r="Z25" s="52" t="str">
        <f t="shared" si="7"/>
        <v/>
      </c>
      <c r="AB25" s="159" t="s">
        <v>35</v>
      </c>
      <c r="AC25" s="166">
        <f>Table6[[#This Row],[Finishes]]+Table6[[#This Row],[Midranges]]+Table6[[#This Row],[Threes]]+Table6[[#This Row],[Threes]]</f>
        <v>0</v>
      </c>
      <c r="AD25" s="157">
        <f>COUNTIFS(D4:D35, "Loose Gooses", E$4:E$35,AB25,F$4:F$35,"Finish")</f>
        <v>0</v>
      </c>
      <c r="AE25" s="157">
        <f>COUNTIFS(D4:D35, "Loose Gooses", E$4:E$35,AB25,F$4:F$35,"Midrange")</f>
        <v>0</v>
      </c>
      <c r="AF25" s="157">
        <f>COUNTIFS(D4:D35, "Loose Gooses", E$4:E$35,AB25,F$4:F$35,"Three Pointer")</f>
        <v>0</v>
      </c>
    </row>
    <row r="26" spans="2:32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9"/>
        <v>"Did not Play",</v>
      </c>
      <c r="S26" s="16" t="str">
        <f t="shared" si="9"/>
        <v>"Did not Play",</v>
      </c>
      <c r="T26" s="16" t="str">
        <f t="shared" si="9"/>
        <v>"Did not Play",</v>
      </c>
      <c r="U26" s="16" t="str">
        <f t="shared" si="9"/>
        <v>"Did not Play",</v>
      </c>
      <c r="X26" s="52" t="str">
        <f t="shared" si="5"/>
        <v/>
      </c>
      <c r="Y26" s="52" t="str">
        <f t="shared" si="6"/>
        <v/>
      </c>
      <c r="Z26" s="52" t="str">
        <f t="shared" si="7"/>
        <v/>
      </c>
      <c r="AB26" s="158" t="s">
        <v>37</v>
      </c>
      <c r="AC26" s="165">
        <f>Table6[[#This Row],[Finishes]]+Table6[[#This Row],[Midranges]]+Table6[[#This Row],[Threes]]+Table6[[#This Row],[Threes]]</f>
        <v>0</v>
      </c>
      <c r="AD26" s="156">
        <f>COUNTIFS(D4:D35, "Loose Gooses", E$4:E$35,AB26,F$4:F$35,"Finish")</f>
        <v>0</v>
      </c>
      <c r="AE26" s="156">
        <f>COUNTIFS(D4:D35, "Loose Gooses", E$4:E$35,AB26,F$4:F$35,"Midrange")</f>
        <v>0</v>
      </c>
      <c r="AF26" s="156">
        <f>COUNTIFS(D4:D35, "Loose Gooses", E$4:E$35,AB26,F$4:F$35,"Three Pointer")</f>
        <v>0</v>
      </c>
    </row>
    <row r="27" spans="2:32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9"/>
        <v>0,</v>
      </c>
      <c r="S27" s="16" t="str">
        <f t="shared" si="9"/>
        <v>0,</v>
      </c>
      <c r="T27" s="16" t="str">
        <f t="shared" si="9"/>
        <v>0,</v>
      </c>
      <c r="U27" s="16" t="str">
        <f t="shared" si="9"/>
        <v>0,</v>
      </c>
      <c r="X27" s="52" t="str">
        <f t="shared" si="5"/>
        <v/>
      </c>
      <c r="Y27" s="52" t="str">
        <f t="shared" si="6"/>
        <v/>
      </c>
      <c r="Z27" s="52" t="str">
        <f t="shared" si="7"/>
        <v/>
      </c>
      <c r="AB27" s="159" t="s">
        <v>42</v>
      </c>
      <c r="AC27" s="166">
        <f>Table6[[#This Row],[Finishes]]+Table6[[#This Row],[Midranges]]+Table6[[#This Row],[Threes]]+Table6[[#This Row],[Threes]]</f>
        <v>0</v>
      </c>
      <c r="AD27" s="157">
        <f>COUNTIFS(D4:D35, "Loose Gooses", E$4:E$35,AB27,F$4:F$35,"Finish")</f>
        <v>0</v>
      </c>
      <c r="AE27" s="157">
        <f>COUNTIFS(D4:D35, "Loose Gooses", E$4:E$35,AB27,F$4:F$35,"Midrange")</f>
        <v>0</v>
      </c>
      <c r="AF27" s="157">
        <f>COUNTIFS(D4:D35, "Loose Gooses", E$4:E$35,AB27,F$4:F$35,"Three Pointer")</f>
        <v>0</v>
      </c>
    </row>
    <row r="28" spans="2:32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9"/>
        <v>"Did not Play",</v>
      </c>
      <c r="S28" s="16" t="str">
        <f t="shared" si="9"/>
        <v>"Did not Play",</v>
      </c>
      <c r="T28" s="16" t="str">
        <f t="shared" si="9"/>
        <v>"Did not Play",</v>
      </c>
      <c r="U28" s="16" t="str">
        <f t="shared" si="9"/>
        <v>"Did not Play",</v>
      </c>
      <c r="X28" s="52" t="str">
        <f t="shared" si="5"/>
        <v/>
      </c>
      <c r="Y28" s="52" t="str">
        <f t="shared" si="6"/>
        <v/>
      </c>
      <c r="Z28" s="52" t="str">
        <f t="shared" si="7"/>
        <v/>
      </c>
      <c r="AB28" s="158" t="s">
        <v>115</v>
      </c>
      <c r="AC28" s="165">
        <f>Table6[[#This Row],[Finishes]]+Table6[[#This Row],[Midranges]]+Table6[[#This Row],[Threes]]+Table6[[#This Row],[Threes]]</f>
        <v>0</v>
      </c>
      <c r="AD28" s="156">
        <f>COUNTIFS(D4:D35, "Loose Gooses", E$4:E$35,AB28,F$4:F$35,"Finish")</f>
        <v>0</v>
      </c>
      <c r="AE28" s="156">
        <f>COUNTIFS(D4:D35, "Loose Gooses", E$4:E$35,AB28,F$4:F$35,"Midrange")</f>
        <v>0</v>
      </c>
      <c r="AF28" s="156">
        <f>COUNTIFS(D4:D35, "Loose Gooses", E$4:E$35,AB28,F$4:F$35,"Three Pointer")</f>
        <v>0</v>
      </c>
    </row>
    <row r="29" spans="2:32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9"/>
        <v>0,</v>
      </c>
      <c r="S29" s="16" t="str">
        <f t="shared" si="9"/>
        <v>0,</v>
      </c>
      <c r="T29" s="16" t="str">
        <f t="shared" si="9"/>
        <v>0,</v>
      </c>
      <c r="U29" s="16" t="str">
        <f t="shared" si="9"/>
        <v>0,</v>
      </c>
      <c r="X29" s="52" t="str">
        <f t="shared" si="5"/>
        <v/>
      </c>
      <c r="Y29" s="52" t="str">
        <f t="shared" si="6"/>
        <v/>
      </c>
      <c r="Z29" s="52" t="str">
        <f t="shared" si="7"/>
        <v/>
      </c>
      <c r="AB29" s="159" t="s">
        <v>44</v>
      </c>
      <c r="AC29" s="166">
        <f>Table6[[#This Row],[Finishes]]+Table6[[#This Row],[Midranges]]+Table6[[#This Row],[Threes]]+Table6[[#This Row],[Threes]]</f>
        <v>0</v>
      </c>
      <c r="AD29" s="157">
        <f>COUNTIFS(D4:D35, "Loose Gooses", E$4:E$35,AB29,F$4:F$35,"Finish")</f>
        <v>0</v>
      </c>
      <c r="AE29" s="157">
        <f>COUNTIFS(D4:D35, "Loose Gooses", E$4:E$35,AB29,F$4:F$35,"Midrange")</f>
        <v>0</v>
      </c>
      <c r="AF29" s="157">
        <f>COUNTIFS(D4:D35, "Loose Gooses", E$4:E$35,AB29,F$4:F$35,"Three Pointer")</f>
        <v>0</v>
      </c>
    </row>
    <row r="30" spans="2:32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9"/>
        <v>"Did not Play",</v>
      </c>
      <c r="S30" s="16" t="str">
        <f t="shared" si="9"/>
        <v>"Did not Play",</v>
      </c>
      <c r="T30" s="16" t="str">
        <f t="shared" si="9"/>
        <v>"Did not Play",</v>
      </c>
      <c r="U30" s="16" t="str">
        <f t="shared" si="9"/>
        <v>"Did not Play",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  <c r="AB30" s="158" t="s">
        <v>50</v>
      </c>
      <c r="AC30" s="165">
        <f>Table6[[#This Row],[Finishes]]+Table6[[#This Row],[Midranges]]+Table6[[#This Row],[Threes]]+Table6[[#This Row],[Threes]]</f>
        <v>3</v>
      </c>
      <c r="AD30" s="156">
        <f>COUNTIFS(D4:D35, "Loose Gooses", E$4:E$35,AB30,F$4:F$35,"Finish")</f>
        <v>0</v>
      </c>
      <c r="AE30" s="156">
        <f>COUNTIFS(D4:D35, "Loose Gooses", E$4:E$35,AB30,F$4:F$35,"Midrange")</f>
        <v>1</v>
      </c>
      <c r="AF30" s="156">
        <f>COUNTIFS(D4:D35, "Loose Gooses", E$4:E$35,AB30,F$4:F$35,"Three Pointer")</f>
        <v>1</v>
      </c>
    </row>
    <row r="31" spans="2:32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9"/>
        <v>1,</v>
      </c>
      <c r="S31" s="16" t="str">
        <f t="shared" si="9"/>
        <v>1,</v>
      </c>
      <c r="T31" s="16" t="str">
        <f t="shared" si="9"/>
        <v>0,</v>
      </c>
      <c r="U31" s="16" t="str">
        <f t="shared" si="9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  <c r="AB31" s="159" t="s">
        <v>52</v>
      </c>
      <c r="AC31" s="166">
        <f>Table6[[#This Row],[Finishes]]+Table6[[#This Row],[Midranges]]+Table6[[#This Row],[Threes]]+Table6[[#This Row],[Threes]]</f>
        <v>0</v>
      </c>
      <c r="AD31" s="157">
        <f>COUNTIFS(D4:D35, "Loose Gooses", E$4:E$35,AB31,F$4:F$35,"Finish")</f>
        <v>0</v>
      </c>
      <c r="AE31" s="157">
        <f>COUNTIFS(D4:D35, "Loose Gooses", E$4:E$35,AB31,F$4:F$35,"Midrange")</f>
        <v>0</v>
      </c>
      <c r="AF31" s="157">
        <f>COUNTIFS(D4:D35, "Loose Gooses", E$4:E$35,AB31,F$4:F$35,"Three Pointer")</f>
        <v>0</v>
      </c>
    </row>
    <row r="32" spans="2:32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9"/>
        <v>3,</v>
      </c>
      <c r="S32" s="16" t="str">
        <f t="shared" si="9"/>
        <v>0,</v>
      </c>
      <c r="T32" s="16" t="str">
        <f t="shared" si="9"/>
        <v>1,</v>
      </c>
      <c r="U32" s="16" t="str">
        <f t="shared" si="9"/>
        <v>1,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  <c r="AB32" s="158" t="s">
        <v>200</v>
      </c>
      <c r="AC32" s="165">
        <f>Table6[[#This Row],[Finishes]]+Table6[[#This Row],[Midranges]]+Table6[[#This Row],[Threes]]+Table6[[#This Row],[Threes]]</f>
        <v>0</v>
      </c>
      <c r="AD32" s="156">
        <f>COUNTIFS(D4:D35, "Loose Gooses", E$4:E$35,AB32,F$4:F$35,"Finish")</f>
        <v>0</v>
      </c>
      <c r="AE32" s="156">
        <f>COUNTIFS(D4:D35, "Loose Gooses", E$4:E$35,AB32,F$4:F$35,"Midrange")</f>
        <v>0</v>
      </c>
      <c r="AF32" s="156">
        <f>COUNTIFS(D4:D35, "Loose Gooses", E$4:E$35,AB32,F$4:F$35,"Three Pointer")</f>
        <v>0</v>
      </c>
    </row>
    <row r="33" spans="2:32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9"/>
        <v>2,</v>
      </c>
      <c r="S33" s="16" t="str">
        <f t="shared" si="9"/>
        <v>0,</v>
      </c>
      <c r="T33" s="16" t="str">
        <f t="shared" si="9"/>
        <v>2,</v>
      </c>
      <c r="U33" s="16" t="str">
        <f t="shared" si="9"/>
        <v>0,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  <c r="AB33" s="159" t="s">
        <v>55</v>
      </c>
      <c r="AC33" s="166">
        <f>Table6[[#This Row],[Finishes]]+Table6[[#This Row],[Midranges]]+Table6[[#This Row],[Threes]]+Table6[[#This Row],[Threes]]</f>
        <v>1</v>
      </c>
      <c r="AD33" s="157">
        <f>COUNTIFS(D4:D35, "Loose Gooses", E$4:E$35,AB33,F$4:F$35,"Finish")</f>
        <v>1</v>
      </c>
      <c r="AE33" s="157">
        <f>COUNTIFS(D4:D35, "Loose Gooses", E$4:E$35,AB33,F$4:F$35,"Midrange")</f>
        <v>0</v>
      </c>
      <c r="AF33" s="157">
        <f>COUNTIFS(D4:D35, "Loose Gooses", E$4:E$35,AB33,F$4:F$35,"Three Pointer")</f>
        <v>0</v>
      </c>
    </row>
    <row r="34" spans="2:32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9"/>
        <v>0,</v>
      </c>
      <c r="S34" s="16" t="str">
        <f t="shared" si="9"/>
        <v>0,</v>
      </c>
      <c r="T34" s="16" t="str">
        <f t="shared" si="9"/>
        <v>0,</v>
      </c>
      <c r="U34" s="16" t="str">
        <f t="shared" si="9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  <c r="AB34" s="158" t="s">
        <v>64</v>
      </c>
      <c r="AC34" s="165">
        <f>Table6[[#This Row],[Finishes]]+Table6[[#This Row],[Midranges]]+Table6[[#This Row],[Threes]]+Table6[[#This Row],[Threes]]</f>
        <v>0</v>
      </c>
      <c r="AD34" s="156">
        <f>COUNTIFS(D4:D35, "Loose Gooses", E$4:E$35,AB34,F$4:F$35,"Finish")</f>
        <v>0</v>
      </c>
      <c r="AE34" s="156">
        <f>COUNTIFS(D4:D35, "Loose Gooses", E$4:E$35,AB34,F$4:F$35,"Midrange")</f>
        <v>0</v>
      </c>
      <c r="AF34" s="156">
        <f>COUNTIFS(D4:D35, "Loose Gooses", E$4:E$35,AB34,F$4:F$35,"Three Pointer")</f>
        <v>0</v>
      </c>
    </row>
    <row r="35" spans="2:32" ht="14.25" customHeight="1" x14ac:dyDescent="0.45">
      <c r="B35" s="25"/>
      <c r="C35" s="25"/>
      <c r="D35" s="25"/>
      <c r="E35" s="25"/>
      <c r="F35" s="25"/>
      <c r="G35" s="25"/>
      <c r="H35" s="25"/>
      <c r="I35" s="25"/>
      <c r="R35" s="16" t="str">
        <f t="shared" si="9"/>
        <v>1,</v>
      </c>
      <c r="S35" s="16" t="str">
        <f t="shared" si="9"/>
        <v>1,</v>
      </c>
      <c r="T35" s="16" t="str">
        <f t="shared" si="9"/>
        <v>0,</v>
      </c>
      <c r="U35" s="16" t="str">
        <f t="shared" si="9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  <c r="AB35" s="160" t="s">
        <v>67</v>
      </c>
      <c r="AC35" s="167">
        <f>Table6[[#This Row],[Finishes]]+Table6[[#This Row],[Midranges]]+Table6[[#This Row],[Threes]]+Table6[[#This Row],[Threes]]</f>
        <v>0</v>
      </c>
      <c r="AD35" s="161">
        <f>COUNTIFS(D4:D35, "Loose Gooses", E$4:E$35,AB35,F$4:F$35,"Finish")</f>
        <v>0</v>
      </c>
      <c r="AE35" s="161">
        <f>COUNTIFS(D4:D35, "Loose Gooses", E$4:E$35,AB35,F$4:F$35,"Midrange")</f>
        <v>0</v>
      </c>
      <c r="AF35" s="161">
        <f>COUNTIFS(D4:D35, "Loose Gooses", E$4:E$35,AB35,F$4:F$35,"Three Pointer")</f>
        <v>0</v>
      </c>
    </row>
    <row r="36" spans="2:32" ht="14.25" customHeight="1" x14ac:dyDescent="0.45">
      <c r="B36" s="25"/>
      <c r="C36" s="25"/>
      <c r="D36" s="25"/>
      <c r="E36" s="25"/>
      <c r="F36" s="25"/>
      <c r="G36" s="25"/>
      <c r="H36" s="25"/>
      <c r="I36" s="25"/>
      <c r="R36" s="16" t="str">
        <f t="shared" si="9"/>
        <v>1,</v>
      </c>
      <c r="S36" s="16" t="str">
        <f t="shared" si="9"/>
        <v>0,</v>
      </c>
      <c r="T36" s="16" t="str">
        <f t="shared" si="9"/>
        <v>1,</v>
      </c>
      <c r="U36" s="16" t="str">
        <f t="shared" si="9"/>
        <v>0,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32" ht="14.25" customHeight="1" x14ac:dyDescent="0.45">
      <c r="B37" s="25"/>
      <c r="C37" s="25"/>
      <c r="D37" s="25"/>
      <c r="E37" s="25"/>
      <c r="F37" s="25"/>
      <c r="G37" s="25"/>
      <c r="H37" s="25"/>
      <c r="I37" s="25"/>
      <c r="R37" s="16" t="str">
        <f t="shared" si="9"/>
        <v>5,</v>
      </c>
      <c r="S37" s="16" t="str">
        <f t="shared" si="9"/>
        <v>3,</v>
      </c>
      <c r="T37" s="16" t="str">
        <f t="shared" si="9"/>
        <v>0,</v>
      </c>
      <c r="U37" s="16" t="str">
        <f t="shared" si="9"/>
        <v>1,</v>
      </c>
      <c r="X37" s="52" t="str">
        <f t="shared" si="5"/>
        <v/>
      </c>
      <c r="Y37" s="52" t="str">
        <f t="shared" si="6"/>
        <v/>
      </c>
      <c r="Z37" s="52" t="str">
        <f t="shared" si="7"/>
        <v/>
      </c>
    </row>
    <row r="38" spans="2:32" ht="14.25" customHeight="1" x14ac:dyDescent="0.45">
      <c r="B38" s="25"/>
      <c r="C38" s="25"/>
      <c r="D38" s="25"/>
      <c r="E38" s="25"/>
      <c r="F38" s="25"/>
      <c r="G38" s="25"/>
      <c r="H38" s="25"/>
      <c r="I38" s="25"/>
      <c r="R38" s="16" t="str">
        <f t="shared" si="9"/>
        <v>0,</v>
      </c>
      <c r="S38" s="16" t="str">
        <f t="shared" si="9"/>
        <v>0,</v>
      </c>
      <c r="T38" s="16" t="str">
        <f t="shared" si="9"/>
        <v>0,</v>
      </c>
      <c r="U38" s="16" t="str">
        <f t="shared" si="9"/>
        <v>0,</v>
      </c>
      <c r="X38" s="52" t="str">
        <f t="shared" si="5"/>
        <v/>
      </c>
      <c r="Y38" s="52" t="str">
        <f t="shared" si="6"/>
        <v/>
      </c>
      <c r="Z38" s="52" t="str">
        <f t="shared" si="7"/>
        <v/>
      </c>
    </row>
    <row r="39" spans="2:32" ht="14.25" customHeight="1" x14ac:dyDescent="0.45">
      <c r="B39" s="25"/>
      <c r="C39" s="25"/>
      <c r="D39" s="25"/>
      <c r="E39" s="25"/>
      <c r="F39" s="25"/>
      <c r="G39" s="25"/>
      <c r="H39" s="25"/>
      <c r="I39" s="25"/>
      <c r="R39" s="16" t="str">
        <f>IF($V19, CHAR(34)&amp;"Did not Play"&amp;CHAR(34), R19)</f>
        <v>"Did not Play"</v>
      </c>
      <c r="S39" s="16" t="str">
        <f>IF($V19, CHAR(34)&amp;"Did not Play"&amp;CHAR(34), S19)</f>
        <v>"Did not Play"</v>
      </c>
      <c r="T39" s="16" t="str">
        <f>IF($V19, CHAR(34)&amp;"Did not Play"&amp;CHAR(34), T19)</f>
        <v>"Did not Play"</v>
      </c>
      <c r="U39" s="16" t="str">
        <f>IF($V19, CHAR(34)&amp;"Did not Play"&amp;CHAR(34), U19)</f>
        <v>"Did not Play"</v>
      </c>
      <c r="X39" s="52" t="str">
        <f t="shared" si="5"/>
        <v/>
      </c>
      <c r="Y39" s="52" t="str">
        <f t="shared" si="6"/>
        <v/>
      </c>
      <c r="Z39" s="52" t="str">
        <f t="shared" si="7"/>
        <v/>
      </c>
    </row>
    <row r="40" spans="2:32" ht="14.25" customHeight="1" x14ac:dyDescent="0.45">
      <c r="B40" s="25"/>
      <c r="C40" s="25"/>
      <c r="D40" s="25"/>
      <c r="E40" s="25"/>
      <c r="F40" s="25"/>
      <c r="G40" s="25"/>
      <c r="H40" s="25"/>
      <c r="I40" s="25"/>
      <c r="S40" s="8"/>
      <c r="T40" s="8"/>
      <c r="U40" s="8"/>
    </row>
    <row r="41" spans="2:32" ht="14.25" customHeight="1" x14ac:dyDescent="0.9">
      <c r="B41" s="25"/>
      <c r="C41" s="25"/>
      <c r="D41" s="25"/>
      <c r="E41" s="25"/>
      <c r="F41" s="25"/>
      <c r="G41" s="25"/>
      <c r="H41" s="25"/>
      <c r="I41" s="25"/>
      <c r="R41" s="94"/>
      <c r="S41" s="94"/>
      <c r="T41" s="190" t="s">
        <v>119</v>
      </c>
      <c r="U41" s="190"/>
      <c r="V41" s="190"/>
    </row>
    <row r="42" spans="2:32" ht="14.25" customHeight="1" x14ac:dyDescent="0.9">
      <c r="B42" s="25"/>
      <c r="C42" s="25"/>
      <c r="D42" s="25"/>
      <c r="E42" s="25"/>
      <c r="F42" s="25"/>
      <c r="G42" s="25"/>
      <c r="H42" s="25"/>
      <c r="I42" s="25"/>
      <c r="R42" s="94"/>
      <c r="S42" s="94"/>
      <c r="T42" s="190"/>
      <c r="U42" s="190"/>
      <c r="V42" s="190"/>
    </row>
    <row r="43" spans="2:32" ht="14.25" customHeight="1" x14ac:dyDescent="0.45">
      <c r="B43" s="16" t="s">
        <v>169</v>
      </c>
      <c r="T43" s="69" t="s">
        <v>167</v>
      </c>
    </row>
    <row r="44" spans="2:32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"Date":["17-July"],</v>
      </c>
    </row>
    <row r="45" spans="2:32" ht="14.25" customHeight="1" x14ac:dyDescent="0.45">
      <c r="B45" s="74" t="str">
        <f>C2</f>
        <v>17-July</v>
      </c>
      <c r="C45" s="16">
        <f>MAX(L3:L5)</f>
        <v>8</v>
      </c>
      <c r="D45" s="16">
        <f>COUNT(B4:B42)-C45-E45</f>
        <v>3</v>
      </c>
      <c r="E45" s="16">
        <f>MIN(L3:L5)</f>
        <v>2</v>
      </c>
      <c r="F45" s="16">
        <f>L3</f>
        <v>8</v>
      </c>
      <c r="G45" s="16">
        <f>COUNTIF(Y4:Y39, "WW/LG")</f>
        <v>0</v>
      </c>
      <c r="H45" s="16">
        <f>COUNTIF(Z4:Z39, "5M/LG")</f>
        <v>3</v>
      </c>
      <c r="I45" s="16">
        <f>L5</f>
        <v>2</v>
      </c>
      <c r="J45" s="16">
        <f>COUNTIF(X4:X39, "LG/WW")</f>
        <v>5</v>
      </c>
      <c r="K45" s="16">
        <f>COUNTIF(Z4:Z39, "5M/WW")</f>
        <v>0</v>
      </c>
      <c r="L45" s="16">
        <f>L4</f>
        <v>3</v>
      </c>
      <c r="M45" s="16">
        <f>COUNTIF(X4:X39, "LG/5M")</f>
        <v>3</v>
      </c>
      <c r="N45" s="16">
        <f>COUNTIF(Y4:Y39, "WW/5M")</f>
        <v>2</v>
      </c>
      <c r="O45" s="16">
        <f>O3</f>
        <v>3</v>
      </c>
      <c r="P45" s="16">
        <f>O5</f>
        <v>1</v>
      </c>
      <c r="Q45" s="16">
        <f>O4</f>
        <v>2</v>
      </c>
      <c r="T45" s="16" t="str">
        <f>CHAR(34)&amp;"Points"&amp;CHAR(34)&amp;":["&amp;R23&amp;R24&amp;R25&amp;R26&amp;R27&amp;R28&amp;R29&amp;R30&amp;R31&amp;R32&amp;R33&amp;R34&amp;R35&amp;R36&amp;R37&amp;R38&amp;R39&amp;"],"</f>
        <v>"Points":[0,2,"Did not Play","Did not Play",0,"Did not Play",0,"Did not Play",1,3,2,0,1,1,5,0,"Did not Play"],</v>
      </c>
    </row>
    <row r="46" spans="2:32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"Finishes":[0,2,"Did not Play","Did not Play",0,"Did not Play",0,"Did not Play",1,0,0,0,1,0,3,0,"Did not Play"],</v>
      </c>
    </row>
    <row r="47" spans="2:32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"Midrange":[0,0,"Did not Play","Did not Play",0,"Did not Play",0,"Did not Play",0,1,2,0,0,1,0,0,"Did not Play"],</v>
      </c>
    </row>
    <row r="48" spans="2:32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"ThreePointers":[0,0,"Did not Play","Did not Play",0,"Did not Play",0,"Did not Play",0,1,0,0,0,0,1,0,"Did not Play"]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2">
    <mergeCell ref="T41:V42"/>
    <mergeCell ref="X2:Z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CE76-B30D-48B5-B188-EFF67AF77570}">
  <dimension ref="B1:AE1000"/>
  <sheetViews>
    <sheetView zoomScale="79" workbookViewId="0">
      <selection activeCell="M24" sqref="M24"/>
    </sheetView>
  </sheetViews>
  <sheetFormatPr defaultColWidth="14.3984375" defaultRowHeight="15" customHeight="1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213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8</v>
      </c>
      <c r="M3" s="11">
        <f>COUNTIF(D3:D40, "Loose Gooses")</f>
        <v>2</v>
      </c>
      <c r="N3" s="10">
        <f>L3/(L3+M3)</f>
        <v>0.8</v>
      </c>
      <c r="O3" s="11">
        <f>IF(AND(N3&gt;N4, N3&gt;N5), 3, IF(OR(N3&gt;N4, N3&gt;N5), 2, 1))</f>
        <v>3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1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31</v>
      </c>
      <c r="D4" s="25" t="s">
        <v>26</v>
      </c>
      <c r="E4" s="25" t="s">
        <v>37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</v>
      </c>
      <c r="M4" s="11">
        <f>COUNTIF(D3:D40, "5 Musketeers")</f>
        <v>6</v>
      </c>
      <c r="N4" s="10">
        <f t="shared" ref="N4:N5" si="4">L4/(L4+M4)</f>
        <v>0.14285714285714285</v>
      </c>
      <c r="O4" s="11">
        <f>IF(AND(N4&gt;N3, N4&gt;N5), 3, IF(OR(N4&gt;N3, N4&gt;N5), 2, 1))</f>
        <v>1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16" si="5">IF(AND(C4="Loose Gooses",D4="Wet Willies"),"LG/WW", IF(AND(C4="Loose Gooses",D4="5 Musketeers"),"LG/5M", ""))</f>
        <v/>
      </c>
      <c r="Y4" s="52" t="str">
        <f t="shared" ref="Y4:Y16" si="6">IF(AND(C4="Wet Willies",D4="Loose Gooses"),"WW/LG", IF(AND(C4="Wet Willies",D4="5 Musketeers"),"WW/5M", ""))</f>
        <v>WW/5M</v>
      </c>
      <c r="Z4" s="52" t="str">
        <f t="shared" ref="Z4:Z16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31</v>
      </c>
      <c r="D5" s="25" t="s">
        <v>47</v>
      </c>
      <c r="E5" s="25" t="s">
        <v>44</v>
      </c>
      <c r="F5" s="25" t="s">
        <v>205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4</v>
      </c>
      <c r="M5" s="11">
        <f>COUNTIF(D3:D40, "Wet Willies")</f>
        <v>5</v>
      </c>
      <c r="N5" s="10">
        <f t="shared" si="4"/>
        <v>0.44444444444444442</v>
      </c>
      <c r="O5" s="11">
        <f>IF(AND(N5&gt;N4, N5&gt;N3), 3, IF(OR(N5&gt;N4, N5&gt;N3), 2, 1))</f>
        <v>2</v>
      </c>
      <c r="Q5" s="2" t="s">
        <v>30</v>
      </c>
      <c r="R5" s="8">
        <f t="shared" si="0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26" t="b">
        <v>1</v>
      </c>
      <c r="X5" s="52" t="str">
        <f t="shared" si="5"/>
        <v/>
      </c>
      <c r="Y5" s="52" t="str">
        <f t="shared" si="6"/>
        <v>WW/LG</v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31</v>
      </c>
      <c r="D6" s="25" t="s">
        <v>26</v>
      </c>
      <c r="E6" s="25" t="s">
        <v>200</v>
      </c>
      <c r="F6" s="25" t="s">
        <v>204</v>
      </c>
      <c r="G6" s="25">
        <v>3</v>
      </c>
      <c r="H6" s="25">
        <v>2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>WW/5M</v>
      </c>
      <c r="Z6" s="52" t="str">
        <f t="shared" si="7"/>
        <v/>
      </c>
      <c r="AB6" s="2"/>
    </row>
    <row r="7" spans="2:31" ht="14.25" customHeight="1" x14ac:dyDescent="0.45">
      <c r="B7" s="25">
        <v>4</v>
      </c>
      <c r="C7" s="25" t="s">
        <v>47</v>
      </c>
      <c r="D7" s="25" t="s">
        <v>31</v>
      </c>
      <c r="E7" s="25" t="s">
        <v>46</v>
      </c>
      <c r="F7" s="25" t="s">
        <v>99</v>
      </c>
      <c r="G7" s="25">
        <v>1</v>
      </c>
      <c r="H7" s="25">
        <v>1</v>
      </c>
      <c r="I7" s="25">
        <v>1</v>
      </c>
      <c r="Q7" s="2" t="s">
        <v>37</v>
      </c>
      <c r="R7" s="8">
        <f t="shared" si="0"/>
        <v>3</v>
      </c>
      <c r="S7" s="9">
        <f t="shared" si="1"/>
        <v>0</v>
      </c>
      <c r="T7" s="9">
        <f t="shared" si="2"/>
        <v>1</v>
      </c>
      <c r="U7" s="9">
        <f t="shared" si="3"/>
        <v>1</v>
      </c>
      <c r="V7" s="26" t="b">
        <v>0</v>
      </c>
      <c r="X7" s="52" t="str">
        <f t="shared" si="5"/>
        <v>LG/WW</v>
      </c>
      <c r="Y7" s="52" t="str">
        <f t="shared" si="6"/>
        <v/>
      </c>
      <c r="Z7" s="52" t="str">
        <f t="shared" si="7"/>
        <v/>
      </c>
      <c r="AB7" s="2"/>
    </row>
    <row r="8" spans="2:31" ht="14.25" customHeight="1" x14ac:dyDescent="0.45">
      <c r="B8" s="25">
        <v>5</v>
      </c>
      <c r="C8" s="25" t="s">
        <v>47</v>
      </c>
      <c r="D8" s="25" t="s">
        <v>26</v>
      </c>
      <c r="E8" s="25" t="s">
        <v>61</v>
      </c>
      <c r="F8" s="25" t="s">
        <v>205</v>
      </c>
      <c r="G8" s="25">
        <v>2</v>
      </c>
      <c r="H8" s="25">
        <v>3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>LG/5M</v>
      </c>
      <c r="Y8" s="52" t="str">
        <f t="shared" si="6"/>
        <v/>
      </c>
      <c r="Z8" s="52" t="str">
        <f t="shared" si="7"/>
        <v/>
      </c>
      <c r="AB8" s="2"/>
    </row>
    <row r="9" spans="2:31" ht="14.25" customHeight="1" x14ac:dyDescent="0.45">
      <c r="B9" s="25">
        <v>6</v>
      </c>
      <c r="C9" s="25" t="s">
        <v>31</v>
      </c>
      <c r="D9" s="25" t="s">
        <v>47</v>
      </c>
      <c r="E9" s="25" t="s">
        <v>37</v>
      </c>
      <c r="F9" s="25" t="s">
        <v>205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>WW/LG</v>
      </c>
      <c r="Z9" s="52" t="str">
        <f t="shared" si="7"/>
        <v/>
      </c>
    </row>
    <row r="10" spans="2:31" ht="14.25" customHeight="1" x14ac:dyDescent="0.45">
      <c r="B10" s="25">
        <v>7</v>
      </c>
      <c r="C10" s="25" t="s">
        <v>26</v>
      </c>
      <c r="D10" s="25" t="s">
        <v>31</v>
      </c>
      <c r="E10" s="25" t="s">
        <v>55</v>
      </c>
      <c r="F10" s="25" t="s">
        <v>204</v>
      </c>
      <c r="G10" s="25">
        <v>1</v>
      </c>
      <c r="H10" s="25">
        <v>1</v>
      </c>
      <c r="I10" s="25">
        <v>1</v>
      </c>
      <c r="Q10" s="2" t="s">
        <v>44</v>
      </c>
      <c r="R10" s="8">
        <f t="shared" si="0"/>
        <v>2</v>
      </c>
      <c r="S10" s="9">
        <f t="shared" si="1"/>
        <v>0</v>
      </c>
      <c r="T10" s="9">
        <f t="shared" si="2"/>
        <v>0</v>
      </c>
      <c r="U10" s="9">
        <f t="shared" si="3"/>
        <v>1</v>
      </c>
      <c r="V10" s="26" t="b">
        <v>0</v>
      </c>
      <c r="X10" s="52" t="str">
        <f t="shared" si="5"/>
        <v/>
      </c>
      <c r="Y10" s="52" t="str">
        <f t="shared" si="6"/>
        <v/>
      </c>
      <c r="Z10" s="52" t="str">
        <f t="shared" si="7"/>
        <v>5M/WW</v>
      </c>
      <c r="AB10" s="2"/>
    </row>
    <row r="11" spans="2:31" ht="14.25" customHeight="1" x14ac:dyDescent="0.45">
      <c r="B11" s="25">
        <v>8</v>
      </c>
      <c r="C11" s="25" t="s">
        <v>47</v>
      </c>
      <c r="D11" s="25" t="s">
        <v>26</v>
      </c>
      <c r="E11" s="25" t="s">
        <v>61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2</v>
      </c>
      <c r="S11" s="9">
        <f t="shared" si="1"/>
        <v>0</v>
      </c>
      <c r="T11" s="9">
        <f t="shared" si="2"/>
        <v>2</v>
      </c>
      <c r="U11" s="9">
        <f t="shared" si="3"/>
        <v>0</v>
      </c>
      <c r="V11" s="26" t="b">
        <v>0</v>
      </c>
      <c r="X11" s="52" t="str">
        <f t="shared" si="5"/>
        <v>LG/5M</v>
      </c>
      <c r="Y11" s="52" t="str">
        <f t="shared" si="6"/>
        <v/>
      </c>
      <c r="Z11" s="52" t="str">
        <f t="shared" si="7"/>
        <v/>
      </c>
      <c r="AB11" s="2"/>
    </row>
    <row r="12" spans="2:31" ht="14.25" customHeight="1" x14ac:dyDescent="0.45">
      <c r="B12" s="25">
        <v>9</v>
      </c>
      <c r="C12" s="25" t="s">
        <v>47</v>
      </c>
      <c r="D12" s="25" t="s">
        <v>31</v>
      </c>
      <c r="E12" s="25" t="s">
        <v>61</v>
      </c>
      <c r="F12" s="25" t="s">
        <v>204</v>
      </c>
      <c r="G12" s="25">
        <v>2</v>
      </c>
      <c r="H12" s="25">
        <v>2</v>
      </c>
      <c r="I12" s="25">
        <v>2</v>
      </c>
      <c r="Q12" s="2" t="s">
        <v>50</v>
      </c>
      <c r="R12" s="8">
        <f t="shared" si="0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26" t="b">
        <v>0</v>
      </c>
      <c r="X12" s="52" t="str">
        <f t="shared" si="5"/>
        <v>LG/WW</v>
      </c>
      <c r="Y12" s="52" t="str">
        <f t="shared" si="6"/>
        <v/>
      </c>
      <c r="Z12" s="52" t="str">
        <f t="shared" si="7"/>
        <v/>
      </c>
      <c r="AB12" s="2"/>
    </row>
    <row r="13" spans="2:31" ht="14.25" customHeight="1" x14ac:dyDescent="0.45">
      <c r="B13" s="25">
        <v>10</v>
      </c>
      <c r="C13" s="25" t="s">
        <v>47</v>
      </c>
      <c r="D13" s="25" t="s">
        <v>26</v>
      </c>
      <c r="E13" s="25" t="s">
        <v>61</v>
      </c>
      <c r="F13" s="25" t="s">
        <v>99</v>
      </c>
      <c r="G13" s="25">
        <v>3</v>
      </c>
      <c r="H13" s="25">
        <v>2</v>
      </c>
      <c r="I13" s="25">
        <v>3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>LG/5M</v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31</v>
      </c>
      <c r="E14" s="25" t="s">
        <v>61</v>
      </c>
      <c r="F14" s="25" t="s">
        <v>204</v>
      </c>
      <c r="G14" s="25">
        <v>4</v>
      </c>
      <c r="H14" s="25">
        <v>3</v>
      </c>
      <c r="I14" s="25">
        <v>4</v>
      </c>
      <c r="Q14" s="2" t="s">
        <v>200</v>
      </c>
      <c r="R14" s="8">
        <f t="shared" si="0"/>
        <v>1</v>
      </c>
      <c r="S14" s="9">
        <f t="shared" si="1"/>
        <v>1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>LG/WW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47</v>
      </c>
      <c r="D15" s="25" t="s">
        <v>26</v>
      </c>
      <c r="E15" s="25" t="s">
        <v>46</v>
      </c>
      <c r="F15" s="25" t="s">
        <v>99</v>
      </c>
      <c r="G15" s="25">
        <v>5</v>
      </c>
      <c r="H15" s="25">
        <v>3</v>
      </c>
      <c r="I15" s="25">
        <v>1</v>
      </c>
      <c r="Q15" s="2" t="s">
        <v>55</v>
      </c>
      <c r="R15" s="8">
        <f t="shared" si="0"/>
        <v>1</v>
      </c>
      <c r="S15" s="9">
        <f t="shared" si="1"/>
        <v>1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>LG/5M</v>
      </c>
      <c r="Y15" s="52" t="str">
        <f t="shared" si="6"/>
        <v/>
      </c>
      <c r="Z15" s="52" t="str">
        <f t="shared" si="7"/>
        <v/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31</v>
      </c>
      <c r="E16" s="25" t="s">
        <v>58</v>
      </c>
      <c r="F16" s="25" t="s">
        <v>204</v>
      </c>
      <c r="G16" s="25">
        <v>6</v>
      </c>
      <c r="H16" s="25">
        <v>4</v>
      </c>
      <c r="I16" s="25">
        <v>1</v>
      </c>
      <c r="Q16" s="2" t="s">
        <v>58</v>
      </c>
      <c r="R16" s="8">
        <f t="shared" si="0"/>
        <v>1</v>
      </c>
      <c r="S16" s="9">
        <f t="shared" si="1"/>
        <v>1</v>
      </c>
      <c r="T16" s="9">
        <f t="shared" si="2"/>
        <v>0</v>
      </c>
      <c r="U16" s="9">
        <f t="shared" si="3"/>
        <v>0</v>
      </c>
      <c r="V16" s="26" t="b">
        <v>0</v>
      </c>
      <c r="X16" s="52" t="str">
        <f t="shared" si="5"/>
        <v>LG/WW</v>
      </c>
      <c r="Y16" s="52" t="str">
        <f t="shared" si="6"/>
        <v/>
      </c>
      <c r="Z16" s="52" t="str">
        <f t="shared" si="7"/>
        <v/>
      </c>
      <c r="AB16" s="2"/>
    </row>
    <row r="17" spans="2:28" ht="14.25" customHeight="1" x14ac:dyDescent="0.45">
      <c r="B17" s="25"/>
      <c r="C17" s="25"/>
      <c r="D17" s="25"/>
      <c r="E17" s="25"/>
      <c r="F17" s="25"/>
      <c r="G17" s="25"/>
      <c r="H17" s="25"/>
      <c r="I17" s="25"/>
      <c r="Q17" s="2" t="s">
        <v>61</v>
      </c>
      <c r="R17" s="8">
        <f t="shared" si="0"/>
        <v>6</v>
      </c>
      <c r="S17" s="9">
        <f t="shared" si="1"/>
        <v>3</v>
      </c>
      <c r="T17" s="9">
        <f t="shared" si="2"/>
        <v>1</v>
      </c>
      <c r="U17" s="9">
        <f t="shared" si="3"/>
        <v>1</v>
      </c>
      <c r="V17" s="26" t="b">
        <v>0</v>
      </c>
      <c r="X17" s="52" t="str">
        <f t="shared" ref="X17:X39" si="8">IF(AND(C17="Loose Gooses",D17="Wet Willies"),"LG/WW", IF(AND(C17="Loose Gooses",D17="5 Musketeers"),"LG/5M", ""))</f>
        <v/>
      </c>
      <c r="Y17" s="52" t="str">
        <f t="shared" ref="Y17:Y39" si="9">IF(AND(C17="Wet Willies",D17="Loose Gooses"),"WW/LG", IF(AND(C17="Wet Willies",D17="5 Musketeers"),"WW/5M", ""))</f>
        <v/>
      </c>
      <c r="Z17" s="52" t="str">
        <f t="shared" ref="Z17:Z39" si="10">IF(AND(C17="5 Musketeers",D17="Loose Gooses"),"5M/LG", IF(AND($C17="5 Musketeers",$D17="Wet Willies"),"5M/WW", ""))</f>
        <v/>
      </c>
      <c r="AB17" s="2"/>
    </row>
    <row r="18" spans="2:28" ht="14.25" customHeight="1" x14ac:dyDescent="0.45">
      <c r="B18" s="25"/>
      <c r="C18" s="25"/>
      <c r="D18" s="25"/>
      <c r="E18" s="25"/>
      <c r="F18" s="25"/>
      <c r="G18" s="25"/>
      <c r="H18" s="25"/>
      <c r="I18" s="25"/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8"/>
        <v/>
      </c>
      <c r="Y18" s="52" t="str">
        <f t="shared" si="9"/>
        <v/>
      </c>
      <c r="Z18" s="52" t="str">
        <f t="shared" si="10"/>
        <v/>
      </c>
      <c r="AB18" s="2"/>
    </row>
    <row r="19" spans="2:28" ht="14.25" customHeight="1" x14ac:dyDescent="0.45">
      <c r="B19" s="25"/>
      <c r="C19" s="25"/>
      <c r="D19" s="25"/>
      <c r="E19" s="25"/>
      <c r="F19" s="25"/>
      <c r="G19" s="25"/>
      <c r="H19" s="25"/>
      <c r="I19" s="25"/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8"/>
        <v/>
      </c>
      <c r="Y19" s="52" t="str">
        <f t="shared" si="9"/>
        <v/>
      </c>
      <c r="Z19" s="52" t="str">
        <f t="shared" si="10"/>
        <v/>
      </c>
    </row>
    <row r="20" spans="2:28" ht="14.25" customHeight="1" x14ac:dyDescent="0.45">
      <c r="B20" s="25"/>
      <c r="C20" s="25"/>
      <c r="D20" s="25"/>
      <c r="E20" s="25"/>
      <c r="F20" s="25"/>
      <c r="G20" s="25"/>
      <c r="H20" s="25"/>
      <c r="I20" s="25"/>
      <c r="X20" s="52" t="str">
        <f t="shared" si="8"/>
        <v/>
      </c>
      <c r="Y20" s="52" t="str">
        <f t="shared" si="9"/>
        <v/>
      </c>
      <c r="Z20" s="52" t="str">
        <f t="shared" si="10"/>
        <v/>
      </c>
    </row>
    <row r="21" spans="2:28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si="8"/>
        <v/>
      </c>
      <c r="Y21" s="52" t="str">
        <f t="shared" si="9"/>
        <v/>
      </c>
      <c r="Z21" s="52" t="str">
        <f t="shared" si="10"/>
        <v/>
      </c>
    </row>
    <row r="22" spans="2:28" ht="14.25" customHeight="1" x14ac:dyDescent="0.45">
      <c r="B22" s="25"/>
      <c r="C22" s="25"/>
      <c r="D22" s="25"/>
      <c r="E22" s="25"/>
      <c r="F22" s="25"/>
      <c r="G22" s="25"/>
      <c r="H22" s="25"/>
      <c r="I22" s="25"/>
      <c r="X22" s="52" t="str">
        <f t="shared" si="8"/>
        <v/>
      </c>
      <c r="Y22" s="52" t="str">
        <f t="shared" si="9"/>
        <v/>
      </c>
      <c r="Z22" s="52" t="str">
        <f t="shared" si="10"/>
        <v/>
      </c>
    </row>
    <row r="23" spans="2:28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"Did not Play",</v>
      </c>
      <c r="S23" s="16" t="str">
        <f t="shared" ref="S23:U23" si="11">IF($V3, CHAR(34)&amp;"Did not Play"&amp;CHAR(34), S3)&amp;","</f>
        <v>"Did not Play",</v>
      </c>
      <c r="T23" s="16" t="str">
        <f t="shared" si="11"/>
        <v>"Did not Play",</v>
      </c>
      <c r="U23" s="16" t="str">
        <f t="shared" si="11"/>
        <v>"Did not Play",</v>
      </c>
      <c r="X23" s="52" t="str">
        <f t="shared" si="8"/>
        <v/>
      </c>
      <c r="Y23" s="52" t="str">
        <f t="shared" si="9"/>
        <v/>
      </c>
      <c r="Z23" s="52" t="str">
        <f t="shared" si="10"/>
        <v/>
      </c>
    </row>
    <row r="24" spans="2:28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12">IF($V4, CHAR(34)&amp;"Did not Play"&amp;CHAR(34), R4)&amp;","</f>
        <v>0,</v>
      </c>
      <c r="S24" s="16" t="str">
        <f t="shared" si="12"/>
        <v>0,</v>
      </c>
      <c r="T24" s="16" t="str">
        <f t="shared" si="12"/>
        <v>0,</v>
      </c>
      <c r="U24" s="16" t="str">
        <f t="shared" si="12"/>
        <v>0,</v>
      </c>
      <c r="X24" s="52" t="str">
        <f t="shared" si="8"/>
        <v/>
      </c>
      <c r="Y24" s="52" t="str">
        <f t="shared" si="9"/>
        <v/>
      </c>
      <c r="Z24" s="52" t="str">
        <f t="shared" si="10"/>
        <v/>
      </c>
    </row>
    <row r="25" spans="2:28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12"/>
        <v>"Did not Play",</v>
      </c>
      <c r="S25" s="16" t="str">
        <f t="shared" si="12"/>
        <v>"Did not Play",</v>
      </c>
      <c r="T25" s="16" t="str">
        <f t="shared" si="12"/>
        <v>"Did not Play",</v>
      </c>
      <c r="U25" s="16" t="str">
        <f t="shared" si="12"/>
        <v>"Did not Play",</v>
      </c>
      <c r="X25" s="52" t="str">
        <f t="shared" si="8"/>
        <v/>
      </c>
      <c r="Y25" s="52" t="str">
        <f t="shared" si="9"/>
        <v/>
      </c>
      <c r="Z25" s="52" t="str">
        <f t="shared" si="10"/>
        <v/>
      </c>
    </row>
    <row r="26" spans="2:28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12"/>
        <v>"Did not Play",</v>
      </c>
      <c r="S26" s="16" t="str">
        <f t="shared" si="12"/>
        <v>"Did not Play",</v>
      </c>
      <c r="T26" s="16" t="str">
        <f t="shared" si="12"/>
        <v>"Did not Play",</v>
      </c>
      <c r="U26" s="16" t="str">
        <f t="shared" si="12"/>
        <v>"Did not Play",</v>
      </c>
      <c r="X26" s="52" t="str">
        <f t="shared" si="8"/>
        <v/>
      </c>
      <c r="Y26" s="52" t="str">
        <f t="shared" si="9"/>
        <v/>
      </c>
      <c r="Z26" s="52" t="str">
        <f t="shared" si="10"/>
        <v/>
      </c>
    </row>
    <row r="27" spans="2:28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12"/>
        <v>3,</v>
      </c>
      <c r="S27" s="16" t="str">
        <f t="shared" si="12"/>
        <v>0,</v>
      </c>
      <c r="T27" s="16" t="str">
        <f t="shared" si="12"/>
        <v>1,</v>
      </c>
      <c r="U27" s="16" t="str">
        <f t="shared" si="12"/>
        <v>1,</v>
      </c>
      <c r="X27" s="52" t="str">
        <f t="shared" si="8"/>
        <v/>
      </c>
      <c r="Y27" s="52" t="str">
        <f t="shared" si="9"/>
        <v/>
      </c>
      <c r="Z27" s="52" t="str">
        <f t="shared" si="10"/>
        <v/>
      </c>
    </row>
    <row r="28" spans="2:28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12"/>
        <v>0,</v>
      </c>
      <c r="S28" s="16" t="str">
        <f t="shared" si="12"/>
        <v>0,</v>
      </c>
      <c r="T28" s="16" t="str">
        <f t="shared" si="12"/>
        <v>0,</v>
      </c>
      <c r="U28" s="16" t="str">
        <f t="shared" si="12"/>
        <v>0,</v>
      </c>
      <c r="X28" s="52" t="str">
        <f t="shared" si="8"/>
        <v/>
      </c>
      <c r="Y28" s="52" t="str">
        <f t="shared" si="9"/>
        <v/>
      </c>
      <c r="Z28" s="52" t="str">
        <f t="shared" si="10"/>
        <v/>
      </c>
    </row>
    <row r="29" spans="2:28" ht="14.25" customHeight="1" x14ac:dyDescent="0.45">
      <c r="B29" s="25"/>
      <c r="C29" s="25"/>
      <c r="D29" s="25"/>
      <c r="E29" s="25"/>
      <c r="F29" s="25"/>
      <c r="G29" s="25"/>
      <c r="H29" s="25"/>
      <c r="I29" s="25"/>
      <c r="R29" s="16" t="str">
        <f t="shared" si="12"/>
        <v>0,</v>
      </c>
      <c r="S29" s="16" t="str">
        <f t="shared" si="12"/>
        <v>0,</v>
      </c>
      <c r="T29" s="16" t="str">
        <f t="shared" si="12"/>
        <v>0,</v>
      </c>
      <c r="U29" s="16" t="str">
        <f t="shared" si="12"/>
        <v>0,</v>
      </c>
      <c r="X29" s="52" t="str">
        <f t="shared" si="8"/>
        <v/>
      </c>
      <c r="Y29" s="52" t="str">
        <f t="shared" si="9"/>
        <v/>
      </c>
      <c r="Z29" s="52" t="str">
        <f t="shared" si="10"/>
        <v/>
      </c>
    </row>
    <row r="30" spans="2:28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12"/>
        <v>2,</v>
      </c>
      <c r="S30" s="16" t="str">
        <f t="shared" si="12"/>
        <v>0,</v>
      </c>
      <c r="T30" s="16" t="str">
        <f t="shared" si="12"/>
        <v>0,</v>
      </c>
      <c r="U30" s="16" t="str">
        <f t="shared" si="12"/>
        <v>1,</v>
      </c>
      <c r="X30" s="52" t="str">
        <f t="shared" si="8"/>
        <v/>
      </c>
      <c r="Y30" s="52" t="str">
        <f t="shared" si="9"/>
        <v/>
      </c>
      <c r="Z30" s="52" t="str">
        <f t="shared" si="10"/>
        <v/>
      </c>
    </row>
    <row r="31" spans="2:28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12"/>
        <v>2,</v>
      </c>
      <c r="S31" s="16" t="str">
        <f t="shared" si="12"/>
        <v>0,</v>
      </c>
      <c r="T31" s="16" t="str">
        <f t="shared" si="12"/>
        <v>2,</v>
      </c>
      <c r="U31" s="16" t="str">
        <f t="shared" si="12"/>
        <v>0,</v>
      </c>
      <c r="X31" s="52" t="str">
        <f t="shared" si="8"/>
        <v/>
      </c>
      <c r="Y31" s="52" t="str">
        <f t="shared" si="9"/>
        <v/>
      </c>
      <c r="Z31" s="52" t="str">
        <f t="shared" si="10"/>
        <v/>
      </c>
    </row>
    <row r="32" spans="2:28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12"/>
        <v>0,</v>
      </c>
      <c r="S32" s="16" t="str">
        <f t="shared" si="12"/>
        <v>0,</v>
      </c>
      <c r="T32" s="16" t="str">
        <f t="shared" si="12"/>
        <v>0,</v>
      </c>
      <c r="U32" s="16" t="str">
        <f t="shared" si="12"/>
        <v>0,</v>
      </c>
      <c r="X32" s="52" t="str">
        <f t="shared" si="8"/>
        <v/>
      </c>
      <c r="Y32" s="52" t="str">
        <f t="shared" si="9"/>
        <v/>
      </c>
      <c r="Z32" s="52" t="str">
        <f t="shared" si="10"/>
        <v/>
      </c>
    </row>
    <row r="33" spans="2:26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12"/>
        <v>0,</v>
      </c>
      <c r="S33" s="16" t="str">
        <f t="shared" si="12"/>
        <v>0,</v>
      </c>
      <c r="T33" s="16" t="str">
        <f t="shared" si="12"/>
        <v>0,</v>
      </c>
      <c r="U33" s="16" t="str">
        <f t="shared" si="12"/>
        <v>0,</v>
      </c>
      <c r="X33" s="52" t="str">
        <f t="shared" si="8"/>
        <v/>
      </c>
      <c r="Y33" s="52" t="str">
        <f t="shared" si="9"/>
        <v/>
      </c>
      <c r="Z33" s="52" t="str">
        <f t="shared" si="10"/>
        <v/>
      </c>
    </row>
    <row r="34" spans="2:26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12"/>
        <v>1,</v>
      </c>
      <c r="S34" s="16" t="str">
        <f t="shared" si="12"/>
        <v>1,</v>
      </c>
      <c r="T34" s="16" t="str">
        <f t="shared" si="12"/>
        <v>0,</v>
      </c>
      <c r="U34" s="16" t="str">
        <f t="shared" si="12"/>
        <v>0,</v>
      </c>
      <c r="X34" s="52" t="str">
        <f t="shared" si="8"/>
        <v/>
      </c>
      <c r="Y34" s="52" t="str">
        <f t="shared" si="9"/>
        <v/>
      </c>
      <c r="Z34" s="52" t="str">
        <f t="shared" si="10"/>
        <v/>
      </c>
    </row>
    <row r="35" spans="2:26" ht="14.25" customHeight="1" x14ac:dyDescent="0.45">
      <c r="R35" s="16" t="str">
        <f t="shared" si="12"/>
        <v>1,</v>
      </c>
      <c r="S35" s="16" t="str">
        <f t="shared" si="12"/>
        <v>1,</v>
      </c>
      <c r="T35" s="16" t="str">
        <f t="shared" si="12"/>
        <v>0,</v>
      </c>
      <c r="U35" s="16" t="str">
        <f t="shared" si="12"/>
        <v>0,</v>
      </c>
      <c r="X35" s="52" t="str">
        <f t="shared" si="8"/>
        <v/>
      </c>
      <c r="Y35" s="52" t="str">
        <f t="shared" si="9"/>
        <v/>
      </c>
      <c r="Z35" s="52" t="str">
        <f t="shared" si="10"/>
        <v/>
      </c>
    </row>
    <row r="36" spans="2:26" ht="14.25" customHeight="1" x14ac:dyDescent="0.45">
      <c r="R36" s="16" t="str">
        <f t="shared" si="12"/>
        <v>1,</v>
      </c>
      <c r="S36" s="16" t="str">
        <f t="shared" si="12"/>
        <v>1,</v>
      </c>
      <c r="T36" s="16" t="str">
        <f t="shared" si="12"/>
        <v>0,</v>
      </c>
      <c r="U36" s="16" t="str">
        <f t="shared" si="12"/>
        <v>0,</v>
      </c>
      <c r="X36" s="52" t="str">
        <f t="shared" si="8"/>
        <v/>
      </c>
      <c r="Y36" s="52" t="str">
        <f t="shared" si="9"/>
        <v/>
      </c>
      <c r="Z36" s="52" t="str">
        <f t="shared" si="10"/>
        <v/>
      </c>
    </row>
    <row r="37" spans="2:26" ht="14.25" customHeight="1" x14ac:dyDescent="0.45">
      <c r="R37" s="16" t="str">
        <f t="shared" si="12"/>
        <v>6,</v>
      </c>
      <c r="S37" s="16" t="str">
        <f t="shared" si="12"/>
        <v>3,</v>
      </c>
      <c r="T37" s="16" t="str">
        <f t="shared" si="12"/>
        <v>1,</v>
      </c>
      <c r="U37" s="16" t="str">
        <f t="shared" si="12"/>
        <v>1,</v>
      </c>
      <c r="X37" s="52" t="str">
        <f t="shared" si="8"/>
        <v/>
      </c>
      <c r="Y37" s="52" t="str">
        <f t="shared" si="9"/>
        <v/>
      </c>
      <c r="Z37" s="52" t="str">
        <f t="shared" si="10"/>
        <v/>
      </c>
    </row>
    <row r="38" spans="2:26" ht="14.25" customHeight="1" x14ac:dyDescent="0.45">
      <c r="R38" s="16" t="str">
        <f t="shared" si="12"/>
        <v>0,</v>
      </c>
      <c r="S38" s="16" t="str">
        <f t="shared" si="12"/>
        <v>0,</v>
      </c>
      <c r="T38" s="16" t="str">
        <f t="shared" si="12"/>
        <v>0,</v>
      </c>
      <c r="U38" s="16" t="str">
        <f t="shared" si="12"/>
        <v>0,</v>
      </c>
      <c r="X38" s="52" t="str">
        <f t="shared" si="8"/>
        <v/>
      </c>
      <c r="Y38" s="52" t="str">
        <f t="shared" si="9"/>
        <v/>
      </c>
      <c r="Z38" s="52" t="str">
        <f t="shared" si="10"/>
        <v/>
      </c>
    </row>
    <row r="39" spans="2:26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8"/>
        <v/>
      </c>
      <c r="Y39" s="52" t="str">
        <f t="shared" si="9"/>
        <v/>
      </c>
      <c r="Z39" s="52" t="str">
        <f t="shared" si="10"/>
        <v/>
      </c>
    </row>
    <row r="40" spans="2:26" ht="14.25" customHeight="1" x14ac:dyDescent="0.45">
      <c r="B40" s="73"/>
      <c r="S40" s="8"/>
      <c r="T40" s="8"/>
      <c r="U40" s="8"/>
    </row>
    <row r="41" spans="2:26" ht="14.25" customHeight="1" x14ac:dyDescent="0.9">
      <c r="R41" s="94"/>
      <c r="S41" s="94"/>
      <c r="T41" s="190" t="s">
        <v>119</v>
      </c>
      <c r="U41" s="190"/>
      <c r="V41" s="190"/>
    </row>
    <row r="42" spans="2:26" ht="14.25" customHeight="1" x14ac:dyDescent="0.9">
      <c r="R42" s="94"/>
      <c r="S42" s="94"/>
      <c r="T42" s="190"/>
      <c r="U42" s="190"/>
      <c r="V42" s="190"/>
    </row>
    <row r="43" spans="2:26" ht="14.25" customHeight="1" x14ac:dyDescent="0.45">
      <c r="B43" s="16" t="s">
        <v>169</v>
      </c>
      <c r="T43" s="69" t="s">
        <v>167</v>
      </c>
    </row>
    <row r="44" spans="2:26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"Date":["13-July"],</v>
      </c>
    </row>
    <row r="45" spans="2:26" ht="14.25" customHeight="1" x14ac:dyDescent="0.45">
      <c r="B45" s="74" t="str">
        <f>C2</f>
        <v>13-July</v>
      </c>
      <c r="C45" s="16">
        <f>MAX(L3:L5)</f>
        <v>8</v>
      </c>
      <c r="D45" s="16">
        <f>COUNT(B4:B42)-C45-E45</f>
        <v>4</v>
      </c>
      <c r="E45" s="16">
        <f>MIN(L3:L5)</f>
        <v>1</v>
      </c>
      <c r="F45" s="16">
        <f>L3</f>
        <v>8</v>
      </c>
      <c r="G45" s="16">
        <f>COUNTIF(Y4:Y39, "WW/LG")</f>
        <v>2</v>
      </c>
      <c r="H45" s="16">
        <f>COUNTIF(Z4:Z39, "5M/LG")</f>
        <v>0</v>
      </c>
      <c r="I45" s="16">
        <f>L5</f>
        <v>4</v>
      </c>
      <c r="J45" s="16">
        <f>COUNTIF(X4:X39, "LG/WW")</f>
        <v>4</v>
      </c>
      <c r="K45" s="16">
        <f>COUNTIF(Z4:Z39, "5M/WW")</f>
        <v>1</v>
      </c>
      <c r="L45" s="16">
        <f>L4</f>
        <v>1</v>
      </c>
      <c r="M45" s="16">
        <f>COUNTIF(X4:X39, "LG/5M")</f>
        <v>4</v>
      </c>
      <c r="N45" s="16">
        <f>COUNTIF(Y4:Y39, "WW/5M")</f>
        <v>2</v>
      </c>
      <c r="O45" s="16">
        <f>O3</f>
        <v>3</v>
      </c>
      <c r="P45" s="16">
        <f>O5</f>
        <v>2</v>
      </c>
      <c r="Q45" s="16">
        <f>O4</f>
        <v>1</v>
      </c>
      <c r="T45" s="16" t="str">
        <f>CHAR(34)&amp;"Points"&amp;CHAR(34)&amp;":["&amp;R23&amp;R24&amp;R25&amp;R26&amp;R27&amp;R28&amp;R29&amp;R30&amp;R31&amp;R32&amp;R33&amp;R34&amp;R35&amp;R36&amp;R37&amp;R38&amp;R39&amp;"],"</f>
        <v>"Points":["Did not Play",0,"Did not Play","Did not Play",3,0,0,2,2,0,0,1,1,1,6,0,0],</v>
      </c>
    </row>
    <row r="46" spans="2:26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"Finishes":["Did not Play",0,"Did not Play","Did not Play",0,0,0,0,0,0,0,1,1,1,3,0,0],</v>
      </c>
    </row>
    <row r="47" spans="2:26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"Midrange":["Did not Play",0,"Did not Play","Did not Play",1,0,0,0,2,0,0,0,0,0,1,0,0],</v>
      </c>
    </row>
    <row r="48" spans="2:26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"ThreePointers":["Did not Play",0,"Did not Play","Did not Play",1,0,0,1,0,0,0,0,0,0,1,0,0]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EDE-D888-4596-9691-75BE60D1C78B}">
  <dimension ref="B1:AE1000"/>
  <sheetViews>
    <sheetView zoomScale="70" zoomScaleNormal="70" workbookViewId="0">
      <selection activeCell="B4" sqref="B4:I29"/>
    </sheetView>
  </sheetViews>
  <sheetFormatPr defaultColWidth="14.3984375" defaultRowHeight="14.25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208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9</v>
      </c>
      <c r="M3" s="11">
        <f>COUNTIF(D3:D40, "Loose Gooses")</f>
        <v>8</v>
      </c>
      <c r="N3" s="10">
        <f>L3/(L3+M3)</f>
        <v>0.52941176470588236</v>
      </c>
      <c r="O3" s="11">
        <f>IF(AND(N3&gt;N4, N3&gt;N5), 3, IF(OR(N3&gt;N4, N3&gt;N5), 2, 1))</f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26</v>
      </c>
      <c r="D4" s="25" t="s">
        <v>31</v>
      </c>
      <c r="E4" s="25" t="s">
        <v>50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15</v>
      </c>
      <c r="M4" s="11">
        <f>COUNTIF(D3:D40, "5 Musketeers")</f>
        <v>6</v>
      </c>
      <c r="N4" s="10">
        <f t="shared" ref="N4:N5" si="4">L4/(L4+M4)</f>
        <v>0.7142857142857143</v>
      </c>
      <c r="O4" s="11">
        <f>IF(AND(N4&gt;N3, N4&gt;N5), 3, IF(OR(N4&gt;N3, N4&gt;N5), 2, 1))</f>
        <v>3</v>
      </c>
      <c r="Q4" s="2" t="s">
        <v>28</v>
      </c>
      <c r="R4" s="8">
        <f t="shared" si="0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26" t="b">
        <v>0</v>
      </c>
      <c r="X4" s="52" t="str">
        <f t="shared" ref="X4:X36" si="5">IF(AND(C4="Loose Gooses",D4="Wet Willies"),"LG/WW", IF(AND(C4="Loose Gooses",D4="5 Musketeers"),"LG/5M", ""))</f>
        <v/>
      </c>
      <c r="Y4" s="52" t="str">
        <f t="shared" ref="Y4:Y36" si="6">IF(AND(C4="Wet Willies",D4="Loose Gooses"),"WW/LG", IF(AND(C4="Wet Willies",D4="5 Musketeers"),"WW/5M", ""))</f>
        <v/>
      </c>
      <c r="Z4" s="52" t="str">
        <f t="shared" ref="Z4:Z36" si="7">IF(AND(C4="5 Musketeers",D4="Loose Gooses"),"5M/LG", IF(AND($C4="5 Musketeers",$D4="Wet Willies"),"5M/WW", ""))</f>
        <v>5M/WW</v>
      </c>
      <c r="AB4" s="2"/>
    </row>
    <row r="5" spans="2:31" ht="14.25" customHeight="1" x14ac:dyDescent="0.45">
      <c r="B5" s="25">
        <v>2</v>
      </c>
      <c r="C5" s="25" t="s">
        <v>26</v>
      </c>
      <c r="D5" s="25" t="s">
        <v>47</v>
      </c>
      <c r="E5" s="25" t="s">
        <v>30</v>
      </c>
      <c r="F5" s="25" t="s">
        <v>204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2</v>
      </c>
      <c r="M5" s="11">
        <f>COUNTIF(D3:D40, "Wet Willies")</f>
        <v>12</v>
      </c>
      <c r="N5" s="10">
        <f t="shared" si="4"/>
        <v>0.14285714285714285</v>
      </c>
      <c r="O5" s="11">
        <f>IF(AND(N5&gt;N4, N5&gt;N3), 3, IF(OR(N5&gt;N4, N5&gt;N3), 2, 1))</f>
        <v>1</v>
      </c>
      <c r="Q5" s="2" t="s">
        <v>30</v>
      </c>
      <c r="R5" s="8">
        <f t="shared" si="0"/>
        <v>7</v>
      </c>
      <c r="S5" s="9">
        <f t="shared" si="1"/>
        <v>7</v>
      </c>
      <c r="T5" s="9">
        <f t="shared" si="2"/>
        <v>0</v>
      </c>
      <c r="U5" s="9">
        <f t="shared" si="3"/>
        <v>0</v>
      </c>
      <c r="V5" s="26" t="b">
        <v>0</v>
      </c>
      <c r="X5" s="52" t="str">
        <f t="shared" si="5"/>
        <v/>
      </c>
      <c r="Y5" s="52" t="str">
        <f t="shared" si="6"/>
        <v/>
      </c>
      <c r="Z5" s="52" t="str">
        <f t="shared" si="7"/>
        <v>5M/LG</v>
      </c>
      <c r="AB5" s="2"/>
    </row>
    <row r="6" spans="2:31" ht="14.25" customHeight="1" x14ac:dyDescent="0.45">
      <c r="B6" s="25">
        <v>3</v>
      </c>
      <c r="C6" s="25" t="s">
        <v>26</v>
      </c>
      <c r="D6" s="25" t="s">
        <v>31</v>
      </c>
      <c r="E6" s="25" t="s">
        <v>30</v>
      </c>
      <c r="F6" s="25" t="s">
        <v>204</v>
      </c>
      <c r="G6" s="25">
        <v>3</v>
      </c>
      <c r="H6" s="25">
        <v>2</v>
      </c>
      <c r="I6" s="25">
        <v>2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/>
      </c>
      <c r="Z6" s="52" t="str">
        <f t="shared" si="7"/>
        <v>5M/WW</v>
      </c>
      <c r="AB6" s="2"/>
    </row>
    <row r="7" spans="2:31" ht="14.25" customHeight="1" x14ac:dyDescent="0.45">
      <c r="B7" s="25">
        <v>4</v>
      </c>
      <c r="C7" s="25" t="s">
        <v>26</v>
      </c>
      <c r="D7" s="25" t="s">
        <v>47</v>
      </c>
      <c r="E7" s="25" t="s">
        <v>30</v>
      </c>
      <c r="F7" s="25" t="s">
        <v>204</v>
      </c>
      <c r="G7" s="25">
        <v>4</v>
      </c>
      <c r="H7" s="25">
        <v>2</v>
      </c>
      <c r="I7" s="25">
        <v>3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5M/LG</v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31</v>
      </c>
      <c r="E8" s="25" t="s">
        <v>50</v>
      </c>
      <c r="F8" s="25" t="s">
        <v>99</v>
      </c>
      <c r="G8" s="25">
        <v>5</v>
      </c>
      <c r="H8" s="25">
        <v>3</v>
      </c>
      <c r="I8" s="25">
        <v>1</v>
      </c>
      <c r="Q8" s="2" t="s">
        <v>42</v>
      </c>
      <c r="R8" s="8">
        <f t="shared" si="0"/>
        <v>1</v>
      </c>
      <c r="S8" s="9">
        <f t="shared" si="1"/>
        <v>1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5M/WW</v>
      </c>
      <c r="AB8" s="2"/>
    </row>
    <row r="9" spans="2:31" ht="14.25" customHeight="1" x14ac:dyDescent="0.45">
      <c r="B9" s="25">
        <v>6</v>
      </c>
      <c r="C9" s="25" t="s">
        <v>47</v>
      </c>
      <c r="D9" s="25" t="s">
        <v>26</v>
      </c>
      <c r="E9" s="25" t="s">
        <v>61</v>
      </c>
      <c r="F9" s="25" t="s">
        <v>205</v>
      </c>
      <c r="G9" s="25">
        <v>1</v>
      </c>
      <c r="H9" s="25">
        <v>1</v>
      </c>
      <c r="I9" s="25">
        <v>1</v>
      </c>
      <c r="Q9" s="16" t="s">
        <v>115</v>
      </c>
      <c r="R9" s="18">
        <f t="shared" si="0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26" t="b">
        <v>0</v>
      </c>
      <c r="X9" s="52" t="str">
        <f t="shared" si="5"/>
        <v>LG/5M</v>
      </c>
      <c r="Y9" s="52" t="str">
        <f t="shared" si="6"/>
        <v/>
      </c>
      <c r="Z9" s="52" t="str">
        <f t="shared" si="7"/>
        <v/>
      </c>
    </row>
    <row r="10" spans="2:31" ht="14.25" customHeight="1" x14ac:dyDescent="0.45">
      <c r="B10" s="25">
        <v>7</v>
      </c>
      <c r="C10" s="25" t="s">
        <v>47</v>
      </c>
      <c r="D10" s="25" t="s">
        <v>31</v>
      </c>
      <c r="E10" s="25" t="s">
        <v>61</v>
      </c>
      <c r="F10" s="25" t="s">
        <v>204</v>
      </c>
      <c r="G10" s="25">
        <v>2</v>
      </c>
      <c r="H10" s="25">
        <v>4</v>
      </c>
      <c r="I10" s="25">
        <v>2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0</v>
      </c>
      <c r="X10" s="52" t="str">
        <f t="shared" si="5"/>
        <v>LG/WW</v>
      </c>
      <c r="Y10" s="52" t="str">
        <f t="shared" si="6"/>
        <v/>
      </c>
      <c r="Z10" s="52" t="str">
        <f t="shared" si="7"/>
        <v/>
      </c>
      <c r="AB10" s="2"/>
    </row>
    <row r="11" spans="2:31" ht="14.25" customHeight="1" x14ac:dyDescent="0.45">
      <c r="B11" s="25">
        <v>8</v>
      </c>
      <c r="C11" s="25" t="s">
        <v>26</v>
      </c>
      <c r="D11" s="25" t="s">
        <v>47</v>
      </c>
      <c r="E11" s="25" t="s">
        <v>30</v>
      </c>
      <c r="F11" s="25" t="s">
        <v>204</v>
      </c>
      <c r="G11" s="25">
        <v>1</v>
      </c>
      <c r="H11" s="25">
        <v>1</v>
      </c>
      <c r="I11" s="25">
        <v>1</v>
      </c>
      <c r="Q11" s="2" t="s">
        <v>46</v>
      </c>
      <c r="R11" s="8">
        <f t="shared" si="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5M/LG</v>
      </c>
      <c r="AB11" s="2"/>
    </row>
    <row r="12" spans="2:31" ht="14.25" customHeight="1" x14ac:dyDescent="0.45">
      <c r="B12" s="25">
        <v>9</v>
      </c>
      <c r="C12" s="25" t="s">
        <v>26</v>
      </c>
      <c r="D12" s="25" t="s">
        <v>31</v>
      </c>
      <c r="E12" s="25" t="s">
        <v>30</v>
      </c>
      <c r="F12" s="25" t="s">
        <v>204</v>
      </c>
      <c r="G12" s="25">
        <v>2</v>
      </c>
      <c r="H12" s="25">
        <v>5</v>
      </c>
      <c r="I12" s="25">
        <v>2</v>
      </c>
      <c r="Q12" s="2" t="s">
        <v>50</v>
      </c>
      <c r="R12" s="8">
        <f t="shared" si="0"/>
        <v>6</v>
      </c>
      <c r="S12" s="9">
        <f t="shared" si="1"/>
        <v>1</v>
      </c>
      <c r="T12" s="9">
        <f t="shared" si="2"/>
        <v>5</v>
      </c>
      <c r="U12" s="9">
        <f t="shared" si="3"/>
        <v>0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5M/WW</v>
      </c>
      <c r="AB12" s="2"/>
    </row>
    <row r="13" spans="2:31" ht="14.25" customHeight="1" x14ac:dyDescent="0.45">
      <c r="B13" s="25">
        <v>10</v>
      </c>
      <c r="C13" s="25" t="s">
        <v>47</v>
      </c>
      <c r="D13" s="25" t="s">
        <v>26</v>
      </c>
      <c r="E13" s="25" t="s">
        <v>58</v>
      </c>
      <c r="F13" s="25" t="s">
        <v>205</v>
      </c>
      <c r="G13" s="25">
        <v>1</v>
      </c>
      <c r="H13" s="25">
        <v>1</v>
      </c>
      <c r="I13" s="25">
        <v>1</v>
      </c>
      <c r="Q13" s="2" t="s">
        <v>52</v>
      </c>
      <c r="R13" s="8">
        <f t="shared" si="0"/>
        <v>2</v>
      </c>
      <c r="S13" s="9">
        <f t="shared" si="1"/>
        <v>0</v>
      </c>
      <c r="T13" s="9">
        <f t="shared" si="2"/>
        <v>0</v>
      </c>
      <c r="U13" s="9">
        <f t="shared" si="3"/>
        <v>1</v>
      </c>
      <c r="V13" s="26" t="b">
        <v>0</v>
      </c>
      <c r="X13" s="52" t="str">
        <f t="shared" si="5"/>
        <v>LG/5M</v>
      </c>
      <c r="Y13" s="52" t="str">
        <f t="shared" si="6"/>
        <v/>
      </c>
      <c r="Z13" s="52" t="str">
        <f t="shared" si="7"/>
        <v/>
      </c>
      <c r="AB13" s="2"/>
    </row>
    <row r="14" spans="2:31" ht="14.25" customHeight="1" x14ac:dyDescent="0.45">
      <c r="B14" s="25">
        <v>11</v>
      </c>
      <c r="C14" s="25" t="s">
        <v>47</v>
      </c>
      <c r="D14" s="25" t="s">
        <v>31</v>
      </c>
      <c r="E14" s="25" t="s">
        <v>58</v>
      </c>
      <c r="F14" s="25" t="s">
        <v>204</v>
      </c>
      <c r="G14" s="25">
        <v>2</v>
      </c>
      <c r="H14" s="25">
        <v>6</v>
      </c>
      <c r="I14" s="25">
        <v>2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0</v>
      </c>
      <c r="X14" s="52" t="str">
        <f t="shared" si="5"/>
        <v>LG/WW</v>
      </c>
      <c r="Y14" s="52" t="str">
        <f t="shared" si="6"/>
        <v/>
      </c>
      <c r="Z14" s="52" t="str">
        <f t="shared" si="7"/>
        <v/>
      </c>
      <c r="AB14" s="2"/>
    </row>
    <row r="15" spans="2:31" ht="14.25" customHeight="1" x14ac:dyDescent="0.45">
      <c r="B15" s="25">
        <v>12</v>
      </c>
      <c r="C15" s="25" t="s">
        <v>26</v>
      </c>
      <c r="D15" s="25" t="s">
        <v>47</v>
      </c>
      <c r="E15" s="25" t="s">
        <v>30</v>
      </c>
      <c r="F15" s="25" t="s">
        <v>204</v>
      </c>
      <c r="G15" s="25">
        <v>1</v>
      </c>
      <c r="H15" s="25">
        <v>1</v>
      </c>
      <c r="I15" s="25">
        <v>1</v>
      </c>
      <c r="Q15" s="2" t="s">
        <v>55</v>
      </c>
      <c r="R15" s="8">
        <f t="shared" si="0"/>
        <v>2</v>
      </c>
      <c r="S15" s="9">
        <f t="shared" si="1"/>
        <v>2</v>
      </c>
      <c r="T15" s="9">
        <f t="shared" si="2"/>
        <v>0</v>
      </c>
      <c r="U15" s="9">
        <f t="shared" si="3"/>
        <v>0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>5M/LG</v>
      </c>
      <c r="AB15" s="2"/>
    </row>
    <row r="16" spans="2:31" ht="14.25" customHeight="1" x14ac:dyDescent="0.45">
      <c r="B16" s="25">
        <v>13</v>
      </c>
      <c r="C16" s="25" t="s">
        <v>26</v>
      </c>
      <c r="D16" s="25" t="s">
        <v>31</v>
      </c>
      <c r="E16" s="25" t="s">
        <v>50</v>
      </c>
      <c r="F16" s="25" t="s">
        <v>204</v>
      </c>
      <c r="G16" s="25">
        <v>2</v>
      </c>
      <c r="H16" s="25">
        <v>7</v>
      </c>
      <c r="I16" s="25">
        <v>1</v>
      </c>
      <c r="Q16" s="2" t="s">
        <v>58</v>
      </c>
      <c r="R16" s="8">
        <f t="shared" si="0"/>
        <v>5</v>
      </c>
      <c r="S16" s="9">
        <f t="shared" si="1"/>
        <v>2</v>
      </c>
      <c r="T16" s="9">
        <f t="shared" si="2"/>
        <v>1</v>
      </c>
      <c r="U16" s="9">
        <f t="shared" si="3"/>
        <v>1</v>
      </c>
      <c r="V16" s="26" t="b">
        <v>0</v>
      </c>
      <c r="X16" s="52" t="str">
        <f t="shared" si="5"/>
        <v/>
      </c>
      <c r="Y16" s="52" t="str">
        <f t="shared" si="6"/>
        <v/>
      </c>
      <c r="Z16" s="52" t="str">
        <f t="shared" si="7"/>
        <v>5M/WW</v>
      </c>
      <c r="AB16" s="2"/>
    </row>
    <row r="17" spans="2:28" ht="14.25" customHeight="1" x14ac:dyDescent="0.45">
      <c r="B17" s="25">
        <v>14</v>
      </c>
      <c r="C17" s="25" t="s">
        <v>26</v>
      </c>
      <c r="D17" s="25" t="s">
        <v>47</v>
      </c>
      <c r="E17" s="25" t="s">
        <v>55</v>
      </c>
      <c r="F17" s="25" t="s">
        <v>204</v>
      </c>
      <c r="G17" s="25">
        <v>3</v>
      </c>
      <c r="H17" s="25">
        <v>2</v>
      </c>
      <c r="I17" s="25">
        <v>1</v>
      </c>
      <c r="Q17" s="2" t="s">
        <v>61</v>
      </c>
      <c r="R17" s="8">
        <f t="shared" si="0"/>
        <v>6</v>
      </c>
      <c r="S17" s="9">
        <f t="shared" si="1"/>
        <v>3</v>
      </c>
      <c r="T17" s="9">
        <f t="shared" si="2"/>
        <v>1</v>
      </c>
      <c r="U17" s="9">
        <f t="shared" si="3"/>
        <v>1</v>
      </c>
      <c r="V17" s="26" t="b">
        <v>0</v>
      </c>
      <c r="X17" s="52" t="str">
        <f t="shared" si="5"/>
        <v/>
      </c>
      <c r="Y17" s="52" t="str">
        <f t="shared" si="6"/>
        <v/>
      </c>
      <c r="Z17" s="52" t="str">
        <f t="shared" si="7"/>
        <v>5M/LG</v>
      </c>
      <c r="AB17" s="2"/>
    </row>
    <row r="18" spans="2:28" ht="14.25" customHeight="1" x14ac:dyDescent="0.45">
      <c r="B18" s="25">
        <v>15</v>
      </c>
      <c r="C18" s="25" t="s">
        <v>26</v>
      </c>
      <c r="D18" s="25" t="s">
        <v>31</v>
      </c>
      <c r="E18" s="25" t="s">
        <v>50</v>
      </c>
      <c r="F18" s="25" t="s">
        <v>99</v>
      </c>
      <c r="G18" s="25">
        <v>4</v>
      </c>
      <c r="H18" s="25">
        <v>8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5M/WW</v>
      </c>
      <c r="AB18" s="2"/>
    </row>
    <row r="19" spans="2:28" ht="14.25" customHeight="1" x14ac:dyDescent="0.45">
      <c r="B19" s="25">
        <v>16</v>
      </c>
      <c r="C19" s="25" t="s">
        <v>26</v>
      </c>
      <c r="D19" s="25" t="s">
        <v>47</v>
      </c>
      <c r="E19" s="25" t="s">
        <v>50</v>
      </c>
      <c r="F19" s="25" t="s">
        <v>99</v>
      </c>
      <c r="G19" s="25">
        <v>5</v>
      </c>
      <c r="H19" s="25">
        <v>3</v>
      </c>
      <c r="I19" s="25">
        <v>2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>5M/LG</v>
      </c>
    </row>
    <row r="20" spans="2:28" ht="14.25" customHeight="1" x14ac:dyDescent="0.45">
      <c r="B20" s="25">
        <v>17</v>
      </c>
      <c r="C20" s="25" t="s">
        <v>26</v>
      </c>
      <c r="D20" s="25" t="s">
        <v>31</v>
      </c>
      <c r="E20" s="25" t="s">
        <v>55</v>
      </c>
      <c r="F20" s="25" t="s">
        <v>204</v>
      </c>
      <c r="G20" s="25">
        <v>6</v>
      </c>
      <c r="H20" s="25">
        <v>9</v>
      </c>
      <c r="I20" s="25">
        <v>1</v>
      </c>
      <c r="X20" s="52" t="str">
        <f t="shared" si="5"/>
        <v/>
      </c>
      <c r="Y20" s="52" t="str">
        <f t="shared" si="6"/>
        <v/>
      </c>
      <c r="Z20" s="52" t="str">
        <f t="shared" si="7"/>
        <v>5M/WW</v>
      </c>
    </row>
    <row r="21" spans="2:28" ht="14.25" customHeight="1" x14ac:dyDescent="0.45">
      <c r="B21" s="25">
        <v>18</v>
      </c>
      <c r="C21" s="25" t="s">
        <v>26</v>
      </c>
      <c r="D21" s="25" t="s">
        <v>47</v>
      </c>
      <c r="E21" s="25" t="s">
        <v>50</v>
      </c>
      <c r="F21" s="25" t="s">
        <v>99</v>
      </c>
      <c r="G21" s="25">
        <v>7</v>
      </c>
      <c r="H21" s="25">
        <v>4</v>
      </c>
      <c r="I21" s="25">
        <v>1</v>
      </c>
      <c r="X21" s="52" t="str">
        <f t="shared" ref="X21:X22" si="8">IF(AND(C21="Loose Gooses",D21="Wet Willies"),"LG/WW", IF(AND(C21="Loose Gooses",D21="5 Musketeers"),"LG/5M", ""))</f>
        <v/>
      </c>
      <c r="Y21" s="52" t="str">
        <f t="shared" ref="Y21:Y22" si="9">IF(AND(C21="Wet Willies",D21="Loose Gooses"),"WW/LG", IF(AND(C21="Wet Willies",D21="5 Musketeers"),"WW/5M", ""))</f>
        <v/>
      </c>
      <c r="Z21" s="52" t="str">
        <f t="shared" ref="Z21:Z22" si="10">IF(AND(C21="5 Musketeers",D21="Loose Gooses"),"5M/LG", IF(AND($C21="5 Musketeers",$D21="Wet Willies"),"5M/WW", ""))</f>
        <v>5M/LG</v>
      </c>
    </row>
    <row r="22" spans="2:28" ht="14.25" customHeight="1" x14ac:dyDescent="0.45">
      <c r="B22" s="25">
        <v>19</v>
      </c>
      <c r="C22" s="25" t="s">
        <v>31</v>
      </c>
      <c r="D22" s="25" t="s">
        <v>26</v>
      </c>
      <c r="E22" s="25" t="s">
        <v>52</v>
      </c>
      <c r="F22" s="25" t="s">
        <v>205</v>
      </c>
      <c r="G22" s="25">
        <v>1</v>
      </c>
      <c r="H22" s="25">
        <v>1</v>
      </c>
      <c r="I22" s="25">
        <v>1</v>
      </c>
      <c r="X22" s="52" t="str">
        <f t="shared" si="8"/>
        <v/>
      </c>
      <c r="Y22" s="52" t="str">
        <f t="shared" si="9"/>
        <v>WW/5M</v>
      </c>
      <c r="Z22" s="52" t="str">
        <f t="shared" si="10"/>
        <v/>
      </c>
    </row>
    <row r="23" spans="2:28" ht="14.25" customHeight="1" x14ac:dyDescent="0.45">
      <c r="B23" s="25">
        <v>20</v>
      </c>
      <c r="C23" s="25" t="s">
        <v>31</v>
      </c>
      <c r="D23" s="25" t="s">
        <v>47</v>
      </c>
      <c r="E23" s="25" t="s">
        <v>42</v>
      </c>
      <c r="F23" s="25" t="s">
        <v>204</v>
      </c>
      <c r="G23" s="25">
        <v>2</v>
      </c>
      <c r="H23" s="25">
        <v>5</v>
      </c>
      <c r="I23" s="25">
        <v>1</v>
      </c>
      <c r="Q23" s="2"/>
      <c r="R23" s="16" t="str">
        <f>IF($V3, CHAR(34)&amp;"Did not Play"&amp;CHAR(34), R3)&amp;","</f>
        <v>0,</v>
      </c>
      <c r="S23" s="16" t="str">
        <f t="shared" ref="S23:U23" si="11">IF($V3, CHAR(34)&amp;"Did not Play"&amp;CHAR(34), S3)&amp;","</f>
        <v>0,</v>
      </c>
      <c r="T23" s="16" t="str">
        <f t="shared" si="11"/>
        <v>0,</v>
      </c>
      <c r="U23" s="16" t="str">
        <f t="shared" si="11"/>
        <v>0,</v>
      </c>
      <c r="X23" s="52" t="str">
        <f t="shared" si="5"/>
        <v/>
      </c>
      <c r="Y23" s="52" t="str">
        <f t="shared" si="6"/>
        <v>WW/LG</v>
      </c>
      <c r="Z23" s="52" t="str">
        <f t="shared" si="7"/>
        <v/>
      </c>
    </row>
    <row r="24" spans="2:28" ht="14.25" customHeight="1" x14ac:dyDescent="0.45">
      <c r="B24" s="25">
        <v>21</v>
      </c>
      <c r="C24" s="25" t="s">
        <v>26</v>
      </c>
      <c r="D24" s="25" t="s">
        <v>31</v>
      </c>
      <c r="E24" s="25" t="s">
        <v>30</v>
      </c>
      <c r="F24" s="25" t="s">
        <v>204</v>
      </c>
      <c r="G24" s="25">
        <v>1</v>
      </c>
      <c r="H24" s="25">
        <v>1</v>
      </c>
      <c r="I24" s="25">
        <v>1</v>
      </c>
      <c r="R24" s="16" t="str">
        <f t="shared" ref="R24:U38" si="12">IF($V4, CHAR(34)&amp;"Did not Play"&amp;CHAR(34), R4)&amp;","</f>
        <v>0,</v>
      </c>
      <c r="S24" s="16" t="str">
        <f t="shared" si="12"/>
        <v>0,</v>
      </c>
      <c r="T24" s="16" t="str">
        <f t="shared" si="12"/>
        <v>0,</v>
      </c>
      <c r="U24" s="16" t="str">
        <f t="shared" si="12"/>
        <v>0,</v>
      </c>
      <c r="X24" s="52" t="str">
        <f t="shared" si="5"/>
        <v/>
      </c>
      <c r="Y24" s="52" t="str">
        <f t="shared" si="6"/>
        <v/>
      </c>
      <c r="Z24" s="52" t="str">
        <f t="shared" si="7"/>
        <v>5M/WW</v>
      </c>
    </row>
    <row r="25" spans="2:28" ht="14.25" customHeight="1" x14ac:dyDescent="0.45">
      <c r="B25" s="25">
        <v>22</v>
      </c>
      <c r="C25" s="25" t="s">
        <v>47</v>
      </c>
      <c r="D25" s="25" t="s">
        <v>26</v>
      </c>
      <c r="E25" s="25" t="s">
        <v>58</v>
      </c>
      <c r="F25" s="25" t="s">
        <v>204</v>
      </c>
      <c r="G25" s="25">
        <v>1</v>
      </c>
      <c r="H25" s="25">
        <v>1</v>
      </c>
      <c r="I25" s="25">
        <v>1</v>
      </c>
      <c r="Q25" s="6"/>
      <c r="R25" s="16" t="str">
        <f t="shared" si="12"/>
        <v>7,</v>
      </c>
      <c r="S25" s="16" t="str">
        <f t="shared" si="12"/>
        <v>7,</v>
      </c>
      <c r="T25" s="16" t="str">
        <f t="shared" si="12"/>
        <v>0,</v>
      </c>
      <c r="U25" s="16" t="str">
        <f t="shared" si="12"/>
        <v>0,</v>
      </c>
      <c r="X25" s="52" t="str">
        <f t="shared" si="5"/>
        <v>LG/5M</v>
      </c>
      <c r="Y25" s="52" t="str">
        <f t="shared" si="6"/>
        <v/>
      </c>
      <c r="Z25" s="52" t="str">
        <f t="shared" si="7"/>
        <v/>
      </c>
    </row>
    <row r="26" spans="2:28" ht="14.25" customHeight="1" x14ac:dyDescent="0.45">
      <c r="B26" s="25">
        <v>23</v>
      </c>
      <c r="C26" s="25" t="s">
        <v>47</v>
      </c>
      <c r="D26" s="25" t="s">
        <v>31</v>
      </c>
      <c r="E26" s="25" t="s">
        <v>61</v>
      </c>
      <c r="F26" s="25" t="s">
        <v>204</v>
      </c>
      <c r="G26" s="25">
        <v>2</v>
      </c>
      <c r="H26" s="25">
        <v>2</v>
      </c>
      <c r="I26" s="25">
        <v>1</v>
      </c>
      <c r="Q26" s="12"/>
      <c r="R26" s="16" t="str">
        <f t="shared" si="12"/>
        <v>"Did not Play",</v>
      </c>
      <c r="S26" s="16" t="str">
        <f t="shared" si="12"/>
        <v>"Did not Play",</v>
      </c>
      <c r="T26" s="16" t="str">
        <f t="shared" si="12"/>
        <v>"Did not Play",</v>
      </c>
      <c r="U26" s="16" t="str">
        <f t="shared" si="12"/>
        <v>"Did not Play",</v>
      </c>
      <c r="X26" s="52" t="str">
        <f t="shared" si="5"/>
        <v>LG/WW</v>
      </c>
      <c r="Y26" s="52" t="str">
        <f t="shared" si="6"/>
        <v/>
      </c>
      <c r="Z26" s="52" t="str">
        <f t="shared" si="7"/>
        <v/>
      </c>
    </row>
    <row r="27" spans="2:28" ht="14.25" customHeight="1" x14ac:dyDescent="0.45">
      <c r="B27" s="25">
        <v>24</v>
      </c>
      <c r="C27" s="25" t="s">
        <v>47</v>
      </c>
      <c r="D27" s="25" t="s">
        <v>26</v>
      </c>
      <c r="E27" s="25" t="s">
        <v>61</v>
      </c>
      <c r="F27" s="25" t="s">
        <v>99</v>
      </c>
      <c r="G27" s="25">
        <v>3</v>
      </c>
      <c r="H27" s="25">
        <v>2</v>
      </c>
      <c r="I27" s="25">
        <v>2</v>
      </c>
      <c r="R27" s="16" t="str">
        <f t="shared" si="12"/>
        <v>0,</v>
      </c>
      <c r="S27" s="16" t="str">
        <f t="shared" si="12"/>
        <v>0,</v>
      </c>
      <c r="T27" s="16" t="str">
        <f t="shared" si="12"/>
        <v>0,</v>
      </c>
      <c r="U27" s="16" t="str">
        <f t="shared" si="12"/>
        <v>0,</v>
      </c>
      <c r="X27" s="52" t="str">
        <f t="shared" si="5"/>
        <v>LG/5M</v>
      </c>
      <c r="Y27" s="52" t="str">
        <f t="shared" si="6"/>
        <v/>
      </c>
      <c r="Z27" s="52" t="str">
        <f t="shared" si="7"/>
        <v/>
      </c>
    </row>
    <row r="28" spans="2:28" ht="14.25" customHeight="1" x14ac:dyDescent="0.45">
      <c r="B28" s="25">
        <v>25</v>
      </c>
      <c r="C28" s="25" t="s">
        <v>47</v>
      </c>
      <c r="D28" s="25" t="s">
        <v>31</v>
      </c>
      <c r="E28" s="25" t="s">
        <v>58</v>
      </c>
      <c r="F28" s="25" t="s">
        <v>99</v>
      </c>
      <c r="G28" s="25">
        <v>4</v>
      </c>
      <c r="H28" s="25">
        <v>3</v>
      </c>
      <c r="I28" s="25">
        <v>1</v>
      </c>
      <c r="R28" s="16" t="str">
        <f t="shared" si="12"/>
        <v>1,</v>
      </c>
      <c r="S28" s="16" t="str">
        <f t="shared" si="12"/>
        <v>1,</v>
      </c>
      <c r="T28" s="16" t="str">
        <f t="shared" si="12"/>
        <v>0,</v>
      </c>
      <c r="U28" s="16" t="str">
        <f t="shared" si="12"/>
        <v>0,</v>
      </c>
      <c r="X28" s="52" t="str">
        <f t="shared" si="5"/>
        <v>LG/WW</v>
      </c>
      <c r="Y28" s="52" t="str">
        <f t="shared" si="6"/>
        <v/>
      </c>
      <c r="Z28" s="52" t="str">
        <f t="shared" si="7"/>
        <v/>
      </c>
    </row>
    <row r="29" spans="2:28" ht="14.25" customHeight="1" x14ac:dyDescent="0.45">
      <c r="B29" s="25">
        <v>26</v>
      </c>
      <c r="C29" s="25" t="s">
        <v>47</v>
      </c>
      <c r="D29" s="25" t="s">
        <v>26</v>
      </c>
      <c r="E29" s="25" t="s">
        <v>61</v>
      </c>
      <c r="F29" s="25" t="s">
        <v>204</v>
      </c>
      <c r="G29" s="25">
        <v>5</v>
      </c>
      <c r="H29" s="25">
        <v>3</v>
      </c>
      <c r="I29" s="25">
        <v>1</v>
      </c>
      <c r="R29" s="16" t="str">
        <f t="shared" si="12"/>
        <v>0,</v>
      </c>
      <c r="S29" s="16" t="str">
        <f t="shared" si="12"/>
        <v>0,</v>
      </c>
      <c r="T29" s="16" t="str">
        <f t="shared" si="12"/>
        <v>0,</v>
      </c>
      <c r="U29" s="16" t="str">
        <f t="shared" si="12"/>
        <v>0,</v>
      </c>
      <c r="X29" s="52" t="str">
        <f t="shared" si="5"/>
        <v>LG/5M</v>
      </c>
      <c r="Y29" s="52" t="str">
        <f t="shared" si="6"/>
        <v/>
      </c>
      <c r="Z29" s="52" t="str">
        <f t="shared" si="7"/>
        <v/>
      </c>
    </row>
    <row r="30" spans="2:28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12"/>
        <v>0,</v>
      </c>
      <c r="S30" s="16" t="str">
        <f t="shared" si="12"/>
        <v>0,</v>
      </c>
      <c r="T30" s="16" t="str">
        <f t="shared" si="12"/>
        <v>0,</v>
      </c>
      <c r="U30" s="16" t="str">
        <f t="shared" si="12"/>
        <v>0,</v>
      </c>
      <c r="X30" s="52" t="str">
        <f t="shared" si="5"/>
        <v/>
      </c>
      <c r="Y30" s="52" t="str">
        <f t="shared" si="6"/>
        <v/>
      </c>
      <c r="Z30" s="52" t="str">
        <f t="shared" si="7"/>
        <v/>
      </c>
    </row>
    <row r="31" spans="2:28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12"/>
        <v>0,</v>
      </c>
      <c r="S31" s="16" t="str">
        <f t="shared" si="12"/>
        <v>0,</v>
      </c>
      <c r="T31" s="16" t="str">
        <f t="shared" si="12"/>
        <v>0,</v>
      </c>
      <c r="U31" s="16" t="str">
        <f t="shared" si="12"/>
        <v>0,</v>
      </c>
      <c r="X31" s="52" t="str">
        <f t="shared" si="5"/>
        <v/>
      </c>
      <c r="Y31" s="52" t="str">
        <f t="shared" si="6"/>
        <v/>
      </c>
      <c r="Z31" s="52" t="str">
        <f t="shared" si="7"/>
        <v/>
      </c>
    </row>
    <row r="32" spans="2:28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12"/>
        <v>6,</v>
      </c>
      <c r="S32" s="16" t="str">
        <f t="shared" si="12"/>
        <v>1,</v>
      </c>
      <c r="T32" s="16" t="str">
        <f t="shared" si="12"/>
        <v>5,</v>
      </c>
      <c r="U32" s="16" t="str">
        <f t="shared" si="12"/>
        <v>0,</v>
      </c>
      <c r="X32" s="52" t="str">
        <f t="shared" si="5"/>
        <v/>
      </c>
      <c r="Y32" s="52" t="str">
        <f t="shared" si="6"/>
        <v/>
      </c>
      <c r="Z32" s="52" t="str">
        <f t="shared" si="7"/>
        <v/>
      </c>
    </row>
    <row r="33" spans="2:26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12"/>
        <v>2,</v>
      </c>
      <c r="S33" s="16" t="str">
        <f t="shared" si="12"/>
        <v>0,</v>
      </c>
      <c r="T33" s="16" t="str">
        <f t="shared" si="12"/>
        <v>0,</v>
      </c>
      <c r="U33" s="16" t="str">
        <f t="shared" si="12"/>
        <v>1,</v>
      </c>
      <c r="X33" s="52" t="str">
        <f t="shared" si="5"/>
        <v/>
      </c>
      <c r="Y33" s="52" t="str">
        <f t="shared" si="6"/>
        <v/>
      </c>
      <c r="Z33" s="52" t="str">
        <f t="shared" si="7"/>
        <v/>
      </c>
    </row>
    <row r="34" spans="2:26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12"/>
        <v>0,</v>
      </c>
      <c r="S34" s="16" t="str">
        <f t="shared" si="12"/>
        <v>0,</v>
      </c>
      <c r="T34" s="16" t="str">
        <f t="shared" si="12"/>
        <v>0,</v>
      </c>
      <c r="U34" s="16" t="str">
        <f t="shared" si="12"/>
        <v>0,</v>
      </c>
      <c r="X34" s="52" t="str">
        <f t="shared" si="5"/>
        <v/>
      </c>
      <c r="Y34" s="52" t="str">
        <f t="shared" si="6"/>
        <v/>
      </c>
      <c r="Z34" s="52" t="str">
        <f t="shared" si="7"/>
        <v/>
      </c>
    </row>
    <row r="35" spans="2:26" ht="14.25" customHeight="1" x14ac:dyDescent="0.45">
      <c r="R35" s="16" t="str">
        <f t="shared" si="12"/>
        <v>2,</v>
      </c>
      <c r="S35" s="16" t="str">
        <f t="shared" si="12"/>
        <v>2,</v>
      </c>
      <c r="T35" s="16" t="str">
        <f t="shared" si="12"/>
        <v>0,</v>
      </c>
      <c r="U35" s="16" t="str">
        <f t="shared" si="12"/>
        <v>0,</v>
      </c>
      <c r="X35" s="52" t="str">
        <f t="shared" si="5"/>
        <v/>
      </c>
      <c r="Y35" s="52" t="str">
        <f t="shared" si="6"/>
        <v/>
      </c>
      <c r="Z35" s="52" t="str">
        <f t="shared" si="7"/>
        <v/>
      </c>
    </row>
    <row r="36" spans="2:26" ht="14.25" customHeight="1" x14ac:dyDescent="0.45">
      <c r="R36" s="16" t="str">
        <f t="shared" si="12"/>
        <v>5,</v>
      </c>
      <c r="S36" s="16" t="str">
        <f t="shared" si="12"/>
        <v>2,</v>
      </c>
      <c r="T36" s="16" t="str">
        <f t="shared" si="12"/>
        <v>1,</v>
      </c>
      <c r="U36" s="16" t="str">
        <f t="shared" si="12"/>
        <v>1,</v>
      </c>
      <c r="X36" s="52" t="str">
        <f t="shared" si="5"/>
        <v/>
      </c>
      <c r="Y36" s="52" t="str">
        <f t="shared" si="6"/>
        <v/>
      </c>
      <c r="Z36" s="52" t="str">
        <f t="shared" si="7"/>
        <v/>
      </c>
    </row>
    <row r="37" spans="2:26" ht="14.25" customHeight="1" x14ac:dyDescent="0.45">
      <c r="R37" s="16" t="str">
        <f t="shared" si="12"/>
        <v>6,</v>
      </c>
      <c r="S37" s="16" t="str">
        <f t="shared" si="12"/>
        <v>3,</v>
      </c>
      <c r="T37" s="16" t="str">
        <f t="shared" si="12"/>
        <v>1,</v>
      </c>
      <c r="U37" s="16" t="str">
        <f t="shared" si="12"/>
        <v>1,</v>
      </c>
      <c r="X37" s="52" t="str">
        <f>IF(AND(C37="Loose Gooses",D37="Wet Willies"),"LG/WW", IF(AND(C37="Loose Gooses",D37="5 Musketeers"),"LG/5M", ""))</f>
        <v/>
      </c>
      <c r="Y37" s="52" t="str">
        <f>IF(AND(C37="Wet Willies",D37="Loose Gooses"),"WW/LG", IF(AND(C37="Wet Willies",D37="5 Musketeers"),"WW/5M", ""))</f>
        <v/>
      </c>
      <c r="Z37" s="52" t="str">
        <f>IF(AND(C37="5 Musketeers",D37="Loose Gooses"),"5M/LG", IF(AND($C37="5 Musketeers",$D37="Wet Willies"),"5M/WW", ""))</f>
        <v/>
      </c>
    </row>
    <row r="38" spans="2:26" ht="14.25" customHeight="1" x14ac:dyDescent="0.45">
      <c r="R38" s="16" t="str">
        <f t="shared" si="12"/>
        <v>0,</v>
      </c>
      <c r="S38" s="16" t="str">
        <f t="shared" si="12"/>
        <v>0,</v>
      </c>
      <c r="T38" s="16" t="str">
        <f t="shared" si="12"/>
        <v>0,</v>
      </c>
      <c r="U38" s="16" t="str">
        <f t="shared" si="12"/>
        <v>0,</v>
      </c>
      <c r="X38" s="52" t="str">
        <f>IF(AND(C38="Loose Gooses",D38="Wet Willies"),"LG/WW", IF(AND(C38="Loose Gooses",D38="5 Musketeers"),"LG/5M", ""))</f>
        <v/>
      </c>
      <c r="Y38" s="52" t="str">
        <f>IF(AND(C38="Wet Willies",D38="Loose Gooses"),"WW/LG", IF(AND(C38="Wet Willies",D38="5 Musketeers"),"WW/5M", ""))</f>
        <v/>
      </c>
      <c r="Z38" s="52" t="str">
        <f>IF(AND(C38="5 Musketeers",D38="Loose Gooses"),"5M/LG", IF(AND($C38="5 Musketeers",$D38="Wet Willies"),"5M/WW", ""))</f>
        <v/>
      </c>
    </row>
    <row r="39" spans="2:26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>IF(AND(C39="Loose Gooses",D39="Wet Willies"),"LG/WW", IF(AND(C39="Loose Gooses",D39="5 Musketeers"),"LG/5M", ""))</f>
        <v/>
      </c>
      <c r="Y39" s="52" t="str">
        <f>IF(AND(C39="Wet Willies",D39="Loose Gooses"),"WW/LG", IF(AND(C39="Wet Willies",D39="5 Musketeers"),"WW/5M", ""))</f>
        <v/>
      </c>
      <c r="Z39" s="52" t="str">
        <f>IF(AND(C39="5 Musketeers",D39="Loose Gooses"),"5M/LG", IF(AND($C39="5 Musketeers",$D39="Wet Willies"),"5M/WW", ""))</f>
        <v/>
      </c>
    </row>
    <row r="40" spans="2:26" ht="14.25" customHeight="1" x14ac:dyDescent="0.45">
      <c r="B40" s="73"/>
      <c r="S40" s="8"/>
      <c r="T40" s="8"/>
      <c r="U40" s="8"/>
    </row>
    <row r="41" spans="2:26" ht="14.25" customHeight="1" x14ac:dyDescent="0.9">
      <c r="R41" s="94"/>
      <c r="S41" s="94"/>
      <c r="T41" s="190" t="s">
        <v>119</v>
      </c>
      <c r="U41" s="190"/>
      <c r="V41" s="190"/>
    </row>
    <row r="42" spans="2:26" ht="14.25" customHeight="1" x14ac:dyDescent="0.9">
      <c r="R42" s="94"/>
      <c r="S42" s="94"/>
      <c r="T42" s="190"/>
      <c r="U42" s="190"/>
      <c r="V42" s="190"/>
    </row>
    <row r="43" spans="2:26" ht="14.25" customHeight="1" x14ac:dyDescent="0.45">
      <c r="B43" s="16" t="s">
        <v>169</v>
      </c>
      <c r="T43" s="69" t="s">
        <v>167</v>
      </c>
    </row>
    <row r="44" spans="2:26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"Date":["12-July"],</v>
      </c>
    </row>
    <row r="45" spans="2:26" ht="14.25" customHeight="1" x14ac:dyDescent="0.45">
      <c r="B45" s="74" t="str">
        <f>C2</f>
        <v>12-July</v>
      </c>
      <c r="C45" s="16">
        <f>MAX(L3:L5)</f>
        <v>15</v>
      </c>
      <c r="D45" s="16">
        <f>COUNT(B4:B42)-C45-E45</f>
        <v>9</v>
      </c>
      <c r="E45" s="16">
        <f>MIN(L3:L5)</f>
        <v>2</v>
      </c>
      <c r="F45" s="16">
        <f>L3</f>
        <v>9</v>
      </c>
      <c r="G45" s="16">
        <f>COUNTIF(Y4:Y39, "WW/LG")</f>
        <v>1</v>
      </c>
      <c r="H45" s="16">
        <f>COUNTIF(Z4:Z39, "5M/LG")</f>
        <v>7</v>
      </c>
      <c r="I45" s="16">
        <f>L5</f>
        <v>2</v>
      </c>
      <c r="J45" s="16">
        <f>COUNTIF(X4:X39, "LG/WW")</f>
        <v>4</v>
      </c>
      <c r="K45" s="16">
        <f>COUNTIF(Z4:Z39, "5M/WW")</f>
        <v>8</v>
      </c>
      <c r="L45" s="16">
        <f>L4</f>
        <v>15</v>
      </c>
      <c r="M45" s="16">
        <f>COUNTIF(X4:X39, "LG/5M")</f>
        <v>5</v>
      </c>
      <c r="N45" s="16">
        <f>COUNTIF(Y4:Y39, "WW/5M")</f>
        <v>1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"Points":[0,0,7,"Did not Play",0,1,0,0,0,6,2,0,2,5,6,0,0],</v>
      </c>
    </row>
    <row r="46" spans="2:26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"Finishes":[0,0,7,"Did not Play",0,1,0,0,0,1,0,0,2,2,3,0,0],</v>
      </c>
    </row>
    <row r="47" spans="2:26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"Midrange":[0,0,0,"Did not Play",0,0,0,0,0,5,0,0,0,1,1,0,0],</v>
      </c>
    </row>
    <row r="48" spans="2:26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"ThreePointers":[0,0,0,"Did not Play",0,0,0,0,0,0,1,0,0,1,1,0,0]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8906-0D06-4CE3-8060-96BC8217D4DC}">
  <dimension ref="B1:AE1000"/>
  <sheetViews>
    <sheetView topLeftCell="M1" zoomScale="85" zoomScaleNormal="85" workbookViewId="0">
      <selection activeCell="X20" sqref="X20:Z39"/>
    </sheetView>
  </sheetViews>
  <sheetFormatPr defaultColWidth="14.3984375" defaultRowHeight="14.25" x14ac:dyDescent="0.45"/>
  <cols>
    <col min="1" max="1" width="8.73046875" style="16" customWidth="1"/>
    <col min="2" max="2" width="13.1328125" style="16" customWidth="1"/>
    <col min="3" max="3" width="11.73046875" style="16" customWidth="1"/>
    <col min="4" max="4" width="14" style="16" customWidth="1"/>
    <col min="5" max="17" width="8.73046875" style="16" customWidth="1"/>
    <col min="18" max="18" width="10.73046875" style="16" customWidth="1"/>
    <col min="19" max="26" width="8.73046875" style="16" customWidth="1"/>
    <col min="27" max="16384" width="14.3984375" style="16"/>
  </cols>
  <sheetData>
    <row r="1" spans="2:31" ht="14.25" customHeight="1" x14ac:dyDescent="0.45"/>
    <row r="2" spans="2:31" ht="14.25" customHeight="1" x14ac:dyDescent="0.45">
      <c r="B2" s="11" t="s">
        <v>97</v>
      </c>
      <c r="C2" s="50" t="s">
        <v>203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1" t="s">
        <v>0</v>
      </c>
      <c r="S2" s="2" t="s">
        <v>1</v>
      </c>
      <c r="T2" s="2" t="s">
        <v>99</v>
      </c>
      <c r="U2" s="2" t="s">
        <v>100</v>
      </c>
      <c r="V2" s="16" t="s">
        <v>121</v>
      </c>
      <c r="AC2" s="2"/>
      <c r="AD2" s="2"/>
      <c r="AE2" s="2"/>
    </row>
    <row r="3" spans="2:31" ht="14.25" customHeight="1" x14ac:dyDescent="0.45"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112</v>
      </c>
      <c r="K3" s="11" t="s">
        <v>108</v>
      </c>
      <c r="L3" s="11">
        <f>COUNTIF(C3:C40, "Loose Gooses")</f>
        <v>5</v>
      </c>
      <c r="M3" s="11">
        <f>COUNTIF(D3:D40, "Loose Gooses")</f>
        <v>6</v>
      </c>
      <c r="N3" s="10">
        <f>L3/(L3+M3)</f>
        <v>0.45454545454545453</v>
      </c>
      <c r="O3" s="11">
        <v>2</v>
      </c>
      <c r="Q3" s="2" t="s">
        <v>25</v>
      </c>
      <c r="R3" s="8">
        <f t="shared" ref="R3:R19" si="0">COUNTIF($E$3:$E$40, Q3)+U3</f>
        <v>0</v>
      </c>
      <c r="S3" s="9">
        <f t="shared" ref="S3:S19" si="1">COUNTIFS($E$3:$E$40, $Q3,$F$3:$F$40,"Finish")</f>
        <v>0</v>
      </c>
      <c r="T3" s="9">
        <f t="shared" ref="T3:T19" si="2">COUNTIFS($E$3:$E$40, $Q3,$F$3:$F$40,"Midrange")</f>
        <v>0</v>
      </c>
      <c r="U3" s="9">
        <f t="shared" ref="U3:U19" si="3">COUNTIFS($E$3:$E$40, $Q3,$F$3:$F$40,"Three Pointer")</f>
        <v>0</v>
      </c>
      <c r="V3" s="26" t="b">
        <v>0</v>
      </c>
      <c r="X3" s="51" t="s">
        <v>108</v>
      </c>
      <c r="Y3" s="51" t="s">
        <v>109</v>
      </c>
      <c r="Z3" s="51" t="s">
        <v>110</v>
      </c>
      <c r="AB3" s="2"/>
    </row>
    <row r="4" spans="2:31" ht="14.25" customHeight="1" x14ac:dyDescent="0.45">
      <c r="B4" s="25">
        <v>1</v>
      </c>
      <c r="C4" s="25" t="s">
        <v>47</v>
      </c>
      <c r="D4" s="25" t="s">
        <v>26</v>
      </c>
      <c r="E4" s="25" t="s">
        <v>58</v>
      </c>
      <c r="F4" s="25" t="s">
        <v>99</v>
      </c>
      <c r="G4" s="25">
        <v>1</v>
      </c>
      <c r="H4" s="25">
        <v>1</v>
      </c>
      <c r="I4" s="25">
        <v>1</v>
      </c>
      <c r="K4" s="11" t="s">
        <v>110</v>
      </c>
      <c r="L4" s="11">
        <f>COUNTIF(C3:C40, "5 Musketeers")</f>
        <v>12</v>
      </c>
      <c r="M4" s="11">
        <f>COUNTIF(D3:D40, "5 Musketeers")</f>
        <v>3</v>
      </c>
      <c r="N4" s="10">
        <f t="shared" ref="N4:N5" si="4">L4/(L4+M4)</f>
        <v>0.8</v>
      </c>
      <c r="O4" s="11">
        <f>IF(AND(N4&gt;N3, N4&gt;N5), 3, IF(OR(N4&gt;N3, N4&gt;N5), 2, 1))</f>
        <v>3</v>
      </c>
      <c r="Q4" s="2" t="s">
        <v>28</v>
      </c>
      <c r="R4" s="8">
        <f t="shared" si="0"/>
        <v>2</v>
      </c>
      <c r="S4" s="9">
        <f t="shared" si="1"/>
        <v>1</v>
      </c>
      <c r="T4" s="9">
        <f t="shared" si="2"/>
        <v>1</v>
      </c>
      <c r="U4" s="9">
        <f t="shared" si="3"/>
        <v>0</v>
      </c>
      <c r="V4" s="26" t="b">
        <v>0</v>
      </c>
      <c r="X4" s="52" t="str">
        <f t="shared" ref="X4:X20" si="5">IF(AND(C4="Loose Gooses",D4="Wet Willies"),"LG/WW", IF(AND(C4="Loose Gooses",D4="5 Musketeers"),"LG/5M", ""))</f>
        <v>LG/5M</v>
      </c>
      <c r="Y4" s="52" t="str">
        <f t="shared" ref="Y4:Y20" si="6">IF(AND(C4="Wet Willies",D4="Loose Gooses"),"WW/LG", IF(AND(C4="Wet Willies",D4="5 Musketeers"),"WW/5M", ""))</f>
        <v/>
      </c>
      <c r="Z4" s="52" t="str">
        <f t="shared" ref="Z4:Z20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5">
        <v>2</v>
      </c>
      <c r="C5" s="25" t="s">
        <v>47</v>
      </c>
      <c r="D5" s="25" t="s">
        <v>31</v>
      </c>
      <c r="E5" s="25" t="s">
        <v>28</v>
      </c>
      <c r="F5" s="25" t="s">
        <v>99</v>
      </c>
      <c r="G5" s="25">
        <v>2</v>
      </c>
      <c r="H5" s="25">
        <v>1</v>
      </c>
      <c r="I5" s="25">
        <v>1</v>
      </c>
      <c r="K5" s="11" t="s">
        <v>109</v>
      </c>
      <c r="L5" s="11">
        <f>COUNTIF(C3:C40, "Wet Willies")</f>
        <v>0</v>
      </c>
      <c r="M5" s="11">
        <f>COUNTIF(D3:D40, "Wet Willies")</f>
        <v>8</v>
      </c>
      <c r="N5" s="10">
        <f t="shared" si="4"/>
        <v>0</v>
      </c>
      <c r="O5" s="11">
        <f>IF(AND(N5&gt;N4, N5&gt;N3), 3, IF(OR(N5&gt;N4, N5&gt;N3), 2, 1))</f>
        <v>1</v>
      </c>
      <c r="Q5" s="2" t="s">
        <v>30</v>
      </c>
      <c r="R5" s="8">
        <f t="shared" si="0"/>
        <v>5</v>
      </c>
      <c r="S5" s="9">
        <f t="shared" si="1"/>
        <v>3</v>
      </c>
      <c r="T5" s="9">
        <f t="shared" si="2"/>
        <v>0</v>
      </c>
      <c r="U5" s="9">
        <f t="shared" si="3"/>
        <v>1</v>
      </c>
      <c r="V5" s="26" t="b">
        <v>0</v>
      </c>
      <c r="X5" s="52" t="str">
        <f t="shared" si="5"/>
        <v>LG/WW</v>
      </c>
      <c r="Y5" s="52" t="str">
        <f t="shared" si="6"/>
        <v/>
      </c>
      <c r="Z5" s="52" t="str">
        <f t="shared" si="7"/>
        <v/>
      </c>
      <c r="AB5" s="2"/>
    </row>
    <row r="6" spans="2:31" ht="14.25" customHeight="1" x14ac:dyDescent="0.45">
      <c r="B6" s="25">
        <v>3</v>
      </c>
      <c r="C6" s="25" t="s">
        <v>26</v>
      </c>
      <c r="D6" s="25" t="s">
        <v>47</v>
      </c>
      <c r="E6" s="25" t="s">
        <v>30</v>
      </c>
      <c r="F6" s="25" t="s">
        <v>204</v>
      </c>
      <c r="G6" s="25">
        <v>1</v>
      </c>
      <c r="H6" s="25">
        <v>1</v>
      </c>
      <c r="I6" s="25">
        <v>1</v>
      </c>
      <c r="Q6" s="2" t="s">
        <v>35</v>
      </c>
      <c r="R6" s="8">
        <f t="shared" si="0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26" t="b">
        <v>1</v>
      </c>
      <c r="X6" s="52" t="str">
        <f t="shared" si="5"/>
        <v/>
      </c>
      <c r="Y6" s="52" t="str">
        <f t="shared" si="6"/>
        <v/>
      </c>
      <c r="Z6" s="52" t="str">
        <f t="shared" si="7"/>
        <v>5M/LG</v>
      </c>
      <c r="AB6" s="2"/>
    </row>
    <row r="7" spans="2:31" ht="14.25" customHeight="1" x14ac:dyDescent="0.45">
      <c r="B7" s="25">
        <v>4</v>
      </c>
      <c r="C7" s="25" t="s">
        <v>26</v>
      </c>
      <c r="D7" s="25" t="s">
        <v>31</v>
      </c>
      <c r="E7" s="25" t="s">
        <v>50</v>
      </c>
      <c r="F7" s="25" t="s">
        <v>205</v>
      </c>
      <c r="G7" s="25">
        <v>2</v>
      </c>
      <c r="H7" s="25">
        <v>2</v>
      </c>
      <c r="I7" s="25">
        <v>1</v>
      </c>
      <c r="Q7" s="2" t="s">
        <v>37</v>
      </c>
      <c r="R7" s="8">
        <f t="shared" si="0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26" t="b">
        <v>0</v>
      </c>
      <c r="X7" s="52" t="str">
        <f t="shared" si="5"/>
        <v/>
      </c>
      <c r="Y7" s="52" t="str">
        <f t="shared" si="6"/>
        <v/>
      </c>
      <c r="Z7" s="52" t="str">
        <f t="shared" si="7"/>
        <v>5M/WW</v>
      </c>
      <c r="AB7" s="2"/>
    </row>
    <row r="8" spans="2:31" ht="14.25" customHeight="1" x14ac:dyDescent="0.45">
      <c r="B8" s="25">
        <v>5</v>
      </c>
      <c r="C8" s="25" t="s">
        <v>26</v>
      </c>
      <c r="D8" s="25" t="s">
        <v>47</v>
      </c>
      <c r="E8" s="25" t="s">
        <v>115</v>
      </c>
      <c r="F8" s="25" t="s">
        <v>99</v>
      </c>
      <c r="G8" s="25">
        <v>3</v>
      </c>
      <c r="H8" s="25">
        <v>2</v>
      </c>
      <c r="I8" s="25">
        <v>1</v>
      </c>
      <c r="Q8" s="2" t="s">
        <v>42</v>
      </c>
      <c r="R8" s="8">
        <f t="shared" si="0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26" t="b">
        <v>0</v>
      </c>
      <c r="X8" s="52" t="str">
        <f t="shared" si="5"/>
        <v/>
      </c>
      <c r="Y8" s="52" t="str">
        <f t="shared" si="6"/>
        <v/>
      </c>
      <c r="Z8" s="52" t="str">
        <f t="shared" si="7"/>
        <v>5M/LG</v>
      </c>
      <c r="AB8" s="2"/>
    </row>
    <row r="9" spans="2:31" ht="14.25" customHeight="1" x14ac:dyDescent="0.45">
      <c r="B9" s="25">
        <v>6</v>
      </c>
      <c r="C9" s="25" t="s">
        <v>26</v>
      </c>
      <c r="D9" s="25" t="s">
        <v>31</v>
      </c>
      <c r="E9" s="25" t="s">
        <v>50</v>
      </c>
      <c r="F9" s="25" t="s">
        <v>99</v>
      </c>
      <c r="G9" s="25">
        <v>4</v>
      </c>
      <c r="H9" s="25">
        <v>3</v>
      </c>
      <c r="I9" s="25">
        <v>1</v>
      </c>
      <c r="Q9" s="16" t="s">
        <v>115</v>
      </c>
      <c r="R9" s="18">
        <f t="shared" si="0"/>
        <v>2</v>
      </c>
      <c r="S9" s="9">
        <f t="shared" si="1"/>
        <v>1</v>
      </c>
      <c r="T9" s="9">
        <f t="shared" si="2"/>
        <v>1</v>
      </c>
      <c r="U9" s="9">
        <f t="shared" si="3"/>
        <v>0</v>
      </c>
      <c r="V9" s="26" t="b">
        <v>0</v>
      </c>
      <c r="X9" s="52" t="str">
        <f t="shared" si="5"/>
        <v/>
      </c>
      <c r="Y9" s="52" t="str">
        <f t="shared" si="6"/>
        <v/>
      </c>
      <c r="Z9" s="52" t="str">
        <f t="shared" si="7"/>
        <v>5M/WW</v>
      </c>
    </row>
    <row r="10" spans="2:31" ht="14.25" customHeight="1" x14ac:dyDescent="0.45">
      <c r="B10" s="25">
        <v>7</v>
      </c>
      <c r="C10" s="25" t="s">
        <v>26</v>
      </c>
      <c r="D10" s="25" t="s">
        <v>47</v>
      </c>
      <c r="E10" s="25" t="s">
        <v>50</v>
      </c>
      <c r="F10" s="25" t="s">
        <v>99</v>
      </c>
      <c r="G10" s="25">
        <v>5</v>
      </c>
      <c r="H10" s="25">
        <v>3</v>
      </c>
      <c r="I10" s="25">
        <v>2</v>
      </c>
      <c r="Q10" s="2" t="s">
        <v>44</v>
      </c>
      <c r="R10" s="8">
        <f t="shared" si="0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26" t="b">
        <v>1</v>
      </c>
      <c r="X10" s="52" t="str">
        <f t="shared" si="5"/>
        <v/>
      </c>
      <c r="Y10" s="52" t="str">
        <f t="shared" si="6"/>
        <v/>
      </c>
      <c r="Z10" s="52" t="str">
        <f t="shared" si="7"/>
        <v>5M/LG</v>
      </c>
      <c r="AB10" s="2"/>
    </row>
    <row r="11" spans="2:31" ht="14.25" customHeight="1" x14ac:dyDescent="0.45">
      <c r="B11" s="25">
        <v>8</v>
      </c>
      <c r="C11" s="25" t="s">
        <v>26</v>
      </c>
      <c r="D11" s="25" t="s">
        <v>31</v>
      </c>
      <c r="E11" s="25" t="s">
        <v>30</v>
      </c>
      <c r="F11" s="25" t="s">
        <v>204</v>
      </c>
      <c r="G11" s="25">
        <v>6</v>
      </c>
      <c r="H11" s="25">
        <v>4</v>
      </c>
      <c r="I11" s="25">
        <v>1</v>
      </c>
      <c r="Q11" s="2" t="s">
        <v>46</v>
      </c>
      <c r="R11" s="8">
        <f t="shared" si="0"/>
        <v>3</v>
      </c>
      <c r="S11" s="9">
        <f t="shared" si="1"/>
        <v>1</v>
      </c>
      <c r="T11" s="9">
        <f t="shared" si="2"/>
        <v>0</v>
      </c>
      <c r="U11" s="9">
        <f t="shared" si="3"/>
        <v>1</v>
      </c>
      <c r="V11" s="26" t="b">
        <v>0</v>
      </c>
      <c r="X11" s="52" t="str">
        <f t="shared" si="5"/>
        <v/>
      </c>
      <c r="Y11" s="52" t="str">
        <f t="shared" si="6"/>
        <v/>
      </c>
      <c r="Z11" s="52" t="str">
        <f t="shared" si="7"/>
        <v>5M/WW</v>
      </c>
      <c r="AB11" s="2"/>
    </row>
    <row r="12" spans="2:31" ht="14.25" customHeight="1" x14ac:dyDescent="0.45">
      <c r="B12" s="25">
        <v>9</v>
      </c>
      <c r="C12" s="25" t="s">
        <v>26</v>
      </c>
      <c r="D12" s="25" t="s">
        <v>47</v>
      </c>
      <c r="E12" s="25" t="s">
        <v>30</v>
      </c>
      <c r="F12" s="25" t="s">
        <v>204</v>
      </c>
      <c r="G12" s="25">
        <v>7</v>
      </c>
      <c r="H12" s="25">
        <v>4</v>
      </c>
      <c r="I12" s="25">
        <v>2</v>
      </c>
      <c r="Q12" s="2" t="s">
        <v>50</v>
      </c>
      <c r="R12" s="8">
        <f t="shared" si="0"/>
        <v>6</v>
      </c>
      <c r="S12" s="9">
        <f t="shared" si="1"/>
        <v>0</v>
      </c>
      <c r="T12" s="9">
        <f t="shared" si="2"/>
        <v>4</v>
      </c>
      <c r="U12" s="9">
        <f t="shared" si="3"/>
        <v>1</v>
      </c>
      <c r="V12" s="26" t="b">
        <v>0</v>
      </c>
      <c r="X12" s="52" t="str">
        <f t="shared" si="5"/>
        <v/>
      </c>
      <c r="Y12" s="52" t="str">
        <f t="shared" si="6"/>
        <v/>
      </c>
      <c r="Z12" s="52" t="str">
        <f t="shared" si="7"/>
        <v>5M/LG</v>
      </c>
      <c r="AB12" s="2"/>
    </row>
    <row r="13" spans="2:31" ht="14.25" customHeight="1" x14ac:dyDescent="0.45">
      <c r="B13" s="25">
        <v>10</v>
      </c>
      <c r="C13" s="25" t="s">
        <v>26</v>
      </c>
      <c r="D13" s="25" t="s">
        <v>31</v>
      </c>
      <c r="E13" s="25" t="s">
        <v>50</v>
      </c>
      <c r="F13" s="25" t="s">
        <v>99</v>
      </c>
      <c r="G13" s="25">
        <v>8</v>
      </c>
      <c r="H13" s="25">
        <v>5</v>
      </c>
      <c r="I13" s="25">
        <v>1</v>
      </c>
      <c r="Q13" s="2" t="s">
        <v>52</v>
      </c>
      <c r="R13" s="8">
        <f t="shared" si="0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26" t="b">
        <v>0</v>
      </c>
      <c r="X13" s="52" t="str">
        <f t="shared" si="5"/>
        <v/>
      </c>
      <c r="Y13" s="52" t="str">
        <f t="shared" si="6"/>
        <v/>
      </c>
      <c r="Z13" s="52" t="str">
        <f t="shared" si="7"/>
        <v>5M/WW</v>
      </c>
      <c r="AB13" s="2"/>
    </row>
    <row r="14" spans="2:31" ht="14.25" customHeight="1" x14ac:dyDescent="0.45">
      <c r="B14" s="25">
        <v>11</v>
      </c>
      <c r="C14" s="25" t="s">
        <v>26</v>
      </c>
      <c r="D14" s="25" t="s">
        <v>47</v>
      </c>
      <c r="E14" s="25" t="s">
        <v>55</v>
      </c>
      <c r="F14" s="25" t="s">
        <v>205</v>
      </c>
      <c r="G14" s="25">
        <v>9</v>
      </c>
      <c r="H14" s="25">
        <v>5</v>
      </c>
      <c r="I14" s="25">
        <v>1</v>
      </c>
      <c r="Q14" s="2" t="s">
        <v>200</v>
      </c>
      <c r="R14" s="8">
        <f t="shared" si="0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26" t="b">
        <v>1</v>
      </c>
      <c r="X14" s="52" t="str">
        <f t="shared" si="5"/>
        <v/>
      </c>
      <c r="Y14" s="52" t="str">
        <f t="shared" si="6"/>
        <v/>
      </c>
      <c r="Z14" s="52" t="str">
        <f t="shared" si="7"/>
        <v>5M/LG</v>
      </c>
      <c r="AB14" s="2"/>
    </row>
    <row r="15" spans="2:31" ht="14.25" customHeight="1" x14ac:dyDescent="0.45">
      <c r="B15" s="25">
        <v>12</v>
      </c>
      <c r="C15" s="25" t="s">
        <v>26</v>
      </c>
      <c r="D15" s="25" t="s">
        <v>31</v>
      </c>
      <c r="E15" s="25" t="s">
        <v>115</v>
      </c>
      <c r="F15" s="25" t="s">
        <v>204</v>
      </c>
      <c r="G15" s="25">
        <v>10</v>
      </c>
      <c r="H15" s="25">
        <v>6</v>
      </c>
      <c r="I15" s="25">
        <v>1</v>
      </c>
      <c r="Q15" s="2" t="s">
        <v>55</v>
      </c>
      <c r="R15" s="8">
        <f t="shared" si="0"/>
        <v>2</v>
      </c>
      <c r="S15" s="9">
        <f t="shared" si="1"/>
        <v>0</v>
      </c>
      <c r="T15" s="9">
        <f t="shared" si="2"/>
        <v>0</v>
      </c>
      <c r="U15" s="9">
        <f t="shared" si="3"/>
        <v>1</v>
      </c>
      <c r="V15" s="26" t="b">
        <v>0</v>
      </c>
      <c r="X15" s="52" t="str">
        <f t="shared" si="5"/>
        <v/>
      </c>
      <c r="Y15" s="52" t="str">
        <f t="shared" si="6"/>
        <v/>
      </c>
      <c r="Z15" s="52" t="str">
        <f t="shared" si="7"/>
        <v>5M/WW</v>
      </c>
      <c r="AB15" s="2"/>
    </row>
    <row r="16" spans="2:31" ht="14.25" customHeight="1" x14ac:dyDescent="0.45">
      <c r="B16" s="25">
        <v>13</v>
      </c>
      <c r="C16" s="25" t="s">
        <v>47</v>
      </c>
      <c r="D16" s="25" t="s">
        <v>26</v>
      </c>
      <c r="E16" s="25" t="s">
        <v>46</v>
      </c>
      <c r="F16" s="25" t="s">
        <v>204</v>
      </c>
      <c r="G16" s="25">
        <v>1</v>
      </c>
      <c r="H16" s="25">
        <v>1</v>
      </c>
      <c r="I16" s="25">
        <v>1</v>
      </c>
      <c r="Q16" s="2" t="s">
        <v>58</v>
      </c>
      <c r="R16" s="8">
        <f t="shared" si="0"/>
        <v>1</v>
      </c>
      <c r="S16" s="9">
        <f t="shared" si="1"/>
        <v>0</v>
      </c>
      <c r="T16" s="9">
        <f t="shared" si="2"/>
        <v>1</v>
      </c>
      <c r="U16" s="9">
        <f t="shared" si="3"/>
        <v>0</v>
      </c>
      <c r="V16" s="26" t="b">
        <v>0</v>
      </c>
      <c r="X16" s="52" t="str">
        <f t="shared" si="5"/>
        <v>LG/5M</v>
      </c>
      <c r="Y16" s="52" t="str">
        <f t="shared" si="6"/>
        <v/>
      </c>
      <c r="Z16" s="52" t="str">
        <f t="shared" si="7"/>
        <v/>
      </c>
      <c r="AB16" s="2"/>
    </row>
    <row r="17" spans="2:28" ht="14.25" customHeight="1" x14ac:dyDescent="0.45">
      <c r="B17" s="25">
        <v>14</v>
      </c>
      <c r="C17" s="25" t="s">
        <v>47</v>
      </c>
      <c r="D17" s="25" t="s">
        <v>31</v>
      </c>
      <c r="E17" s="25" t="s">
        <v>46</v>
      </c>
      <c r="F17" s="25" t="s">
        <v>205</v>
      </c>
      <c r="G17" s="25">
        <v>2</v>
      </c>
      <c r="H17" s="25">
        <v>7</v>
      </c>
      <c r="I17" s="25">
        <v>2</v>
      </c>
      <c r="Q17" s="2" t="s">
        <v>61</v>
      </c>
      <c r="R17" s="8">
        <f t="shared" si="0"/>
        <v>0</v>
      </c>
      <c r="S17" s="9">
        <f t="shared" si="1"/>
        <v>0</v>
      </c>
      <c r="T17" s="9">
        <f t="shared" si="2"/>
        <v>0</v>
      </c>
      <c r="U17" s="9">
        <f t="shared" si="3"/>
        <v>0</v>
      </c>
      <c r="V17" s="26" t="b">
        <v>0</v>
      </c>
      <c r="X17" s="52" t="str">
        <f t="shared" si="5"/>
        <v>LG/WW</v>
      </c>
      <c r="Y17" s="52" t="str">
        <f t="shared" si="6"/>
        <v/>
      </c>
      <c r="Z17" s="52" t="str">
        <f t="shared" si="7"/>
        <v/>
      </c>
      <c r="AB17" s="2"/>
    </row>
    <row r="18" spans="2:28" ht="14.25" customHeight="1" x14ac:dyDescent="0.45">
      <c r="B18" s="25">
        <v>15</v>
      </c>
      <c r="C18" s="25" t="s">
        <v>26</v>
      </c>
      <c r="D18" s="25" t="s">
        <v>47</v>
      </c>
      <c r="E18" s="25" t="s">
        <v>30</v>
      </c>
      <c r="F18" s="25" t="s">
        <v>205</v>
      </c>
      <c r="G18" s="25">
        <v>1</v>
      </c>
      <c r="H18" s="25">
        <v>1</v>
      </c>
      <c r="I18" s="25">
        <v>1</v>
      </c>
      <c r="Q18" s="2" t="s">
        <v>64</v>
      </c>
      <c r="R18" s="8">
        <f t="shared" si="0"/>
        <v>0</v>
      </c>
      <c r="S18" s="9">
        <f t="shared" si="1"/>
        <v>0</v>
      </c>
      <c r="T18" s="9">
        <f t="shared" si="2"/>
        <v>0</v>
      </c>
      <c r="U18" s="9">
        <f t="shared" si="3"/>
        <v>0</v>
      </c>
      <c r="V18" s="26" t="b">
        <v>0</v>
      </c>
      <c r="X18" s="52" t="str">
        <f t="shared" si="5"/>
        <v/>
      </c>
      <c r="Y18" s="52" t="str">
        <f t="shared" si="6"/>
        <v/>
      </c>
      <c r="Z18" s="52" t="str">
        <f t="shared" si="7"/>
        <v>5M/LG</v>
      </c>
      <c r="AB18" s="2"/>
    </row>
    <row r="19" spans="2:28" ht="14.25" customHeight="1" x14ac:dyDescent="0.45">
      <c r="B19" s="25">
        <v>16</v>
      </c>
      <c r="C19" s="25" t="s">
        <v>26</v>
      </c>
      <c r="D19" s="25" t="s">
        <v>31</v>
      </c>
      <c r="E19" s="25" t="s">
        <v>50</v>
      </c>
      <c r="F19" s="25" t="s">
        <v>99</v>
      </c>
      <c r="G19" s="25">
        <v>2</v>
      </c>
      <c r="H19" s="25">
        <v>8</v>
      </c>
      <c r="I19" s="25">
        <v>1</v>
      </c>
      <c r="Q19" s="2" t="s">
        <v>67</v>
      </c>
      <c r="R19" s="8">
        <f t="shared" si="0"/>
        <v>0</v>
      </c>
      <c r="S19" s="9">
        <f t="shared" si="1"/>
        <v>0</v>
      </c>
      <c r="T19" s="9">
        <f t="shared" si="2"/>
        <v>0</v>
      </c>
      <c r="U19" s="9">
        <f t="shared" si="3"/>
        <v>0</v>
      </c>
      <c r="V19" s="26" t="b">
        <v>0</v>
      </c>
      <c r="X19" s="52" t="str">
        <f t="shared" si="5"/>
        <v/>
      </c>
      <c r="Y19" s="52" t="str">
        <f t="shared" si="6"/>
        <v/>
      </c>
      <c r="Z19" s="52" t="str">
        <f t="shared" si="7"/>
        <v>5M/WW</v>
      </c>
    </row>
    <row r="20" spans="2:28" ht="14.25" customHeight="1" x14ac:dyDescent="0.45">
      <c r="B20" s="25">
        <v>17</v>
      </c>
      <c r="C20" s="25" t="s">
        <v>47</v>
      </c>
      <c r="D20" s="25" t="s">
        <v>26</v>
      </c>
      <c r="E20" s="25" t="s">
        <v>28</v>
      </c>
      <c r="F20" s="25" t="s">
        <v>204</v>
      </c>
      <c r="G20" s="25">
        <v>1</v>
      </c>
      <c r="H20" s="25">
        <v>1</v>
      </c>
      <c r="I20" s="25">
        <v>1</v>
      </c>
      <c r="X20" s="52" t="str">
        <f t="shared" si="5"/>
        <v>LG/5M</v>
      </c>
      <c r="Y20" s="52" t="str">
        <f t="shared" si="6"/>
        <v/>
      </c>
      <c r="Z20" s="52" t="str">
        <f t="shared" si="7"/>
        <v/>
      </c>
    </row>
    <row r="21" spans="2:28" ht="14.25" customHeight="1" x14ac:dyDescent="0.45">
      <c r="B21" s="25"/>
      <c r="C21" s="25"/>
      <c r="D21" s="25"/>
      <c r="E21" s="25"/>
      <c r="F21" s="25"/>
      <c r="G21" s="25"/>
      <c r="H21" s="25"/>
      <c r="I21" s="25"/>
      <c r="X21" s="52" t="str">
        <f t="shared" ref="X21:X39" si="8">IF(AND(C21="Loose Gooses",D21="Wet Willies"),"LG/WW", IF(AND(C21="Loose Gooses",D21="5 Musketeers"),"LG/5M", ""))</f>
        <v/>
      </c>
      <c r="Y21" s="52" t="str">
        <f t="shared" ref="Y21:Y39" si="9">IF(AND(C21="Wet Willies",D21="Loose Gooses"),"WW/LG", IF(AND(C21="Wet Willies",D21="5 Musketeers"),"WW/5M", ""))</f>
        <v/>
      </c>
      <c r="Z21" s="52" t="str">
        <f t="shared" ref="Z21:Z39" si="10">IF(AND(C21="5 Musketeers",D21="Loose Gooses"),"5M/LG", IF(AND($C21="5 Musketeers",$D21="Wet Willies"),"5M/WW", ""))</f>
        <v/>
      </c>
    </row>
    <row r="22" spans="2:28" ht="14.25" customHeight="1" x14ac:dyDescent="0.45">
      <c r="B22" s="25"/>
      <c r="C22" s="25"/>
      <c r="E22" s="25"/>
      <c r="F22" s="25"/>
      <c r="G22" s="25"/>
      <c r="H22" s="25"/>
      <c r="I22" s="25"/>
      <c r="X22" s="52" t="str">
        <f t="shared" si="8"/>
        <v/>
      </c>
      <c r="Y22" s="52" t="str">
        <f t="shared" si="9"/>
        <v/>
      </c>
      <c r="Z22" s="52" t="str">
        <f t="shared" si="10"/>
        <v/>
      </c>
    </row>
    <row r="23" spans="2:28" ht="14.25" customHeight="1" x14ac:dyDescent="0.45">
      <c r="B23" s="25"/>
      <c r="C23" s="25"/>
      <c r="D23" s="25"/>
      <c r="E23" s="25"/>
      <c r="F23" s="25"/>
      <c r="G23" s="25"/>
      <c r="H23" s="25"/>
      <c r="I23" s="25"/>
      <c r="Q23" s="2"/>
      <c r="R23" s="16" t="str">
        <f>IF($V3, CHAR(34)&amp;"Did not Play"&amp;CHAR(34), R3)&amp;","</f>
        <v>0,</v>
      </c>
      <c r="S23" s="16" t="str">
        <f t="shared" ref="S23:U23" si="11">IF($V3, CHAR(34)&amp;"Did not Play"&amp;CHAR(34), S3)&amp;","</f>
        <v>0,</v>
      </c>
      <c r="T23" s="16" t="str">
        <f t="shared" si="11"/>
        <v>0,</v>
      </c>
      <c r="U23" s="16" t="str">
        <f t="shared" si="11"/>
        <v>0,</v>
      </c>
      <c r="X23" s="52" t="str">
        <f t="shared" si="8"/>
        <v/>
      </c>
      <c r="Y23" s="52" t="str">
        <f t="shared" si="9"/>
        <v/>
      </c>
      <c r="Z23" s="52" t="str">
        <f t="shared" si="10"/>
        <v/>
      </c>
    </row>
    <row r="24" spans="2:28" ht="14.25" customHeight="1" x14ac:dyDescent="0.45">
      <c r="B24" s="25"/>
      <c r="C24" s="25"/>
      <c r="D24" s="25"/>
      <c r="E24" s="25"/>
      <c r="F24" s="25"/>
      <c r="G24" s="25"/>
      <c r="H24" s="25"/>
      <c r="I24" s="25"/>
      <c r="R24" s="16" t="str">
        <f t="shared" ref="R24:U38" si="12">IF($V4, CHAR(34)&amp;"Did not Play"&amp;CHAR(34), R4)&amp;","</f>
        <v>2,</v>
      </c>
      <c r="S24" s="16" t="str">
        <f t="shared" si="12"/>
        <v>1,</v>
      </c>
      <c r="T24" s="16" t="str">
        <f t="shared" si="12"/>
        <v>1,</v>
      </c>
      <c r="U24" s="16" t="str">
        <f t="shared" si="12"/>
        <v>0,</v>
      </c>
      <c r="X24" s="52" t="str">
        <f t="shared" si="8"/>
        <v/>
      </c>
      <c r="Y24" s="52" t="str">
        <f t="shared" si="9"/>
        <v/>
      </c>
      <c r="Z24" s="52" t="str">
        <f t="shared" si="10"/>
        <v/>
      </c>
    </row>
    <row r="25" spans="2:28" ht="14.25" customHeight="1" x14ac:dyDescent="0.45">
      <c r="B25" s="25"/>
      <c r="C25" s="25"/>
      <c r="D25" s="25"/>
      <c r="E25" s="25"/>
      <c r="F25" s="25"/>
      <c r="G25" s="25"/>
      <c r="H25" s="25"/>
      <c r="I25" s="25"/>
      <c r="Q25" s="6"/>
      <c r="R25" s="16" t="str">
        <f t="shared" si="12"/>
        <v>5,</v>
      </c>
      <c r="S25" s="16" t="str">
        <f t="shared" si="12"/>
        <v>3,</v>
      </c>
      <c r="T25" s="16" t="str">
        <f t="shared" si="12"/>
        <v>0,</v>
      </c>
      <c r="U25" s="16" t="str">
        <f t="shared" si="12"/>
        <v>1,</v>
      </c>
      <c r="X25" s="52" t="str">
        <f t="shared" si="8"/>
        <v/>
      </c>
      <c r="Y25" s="52" t="str">
        <f t="shared" si="9"/>
        <v/>
      </c>
      <c r="Z25" s="52" t="str">
        <f t="shared" si="10"/>
        <v/>
      </c>
    </row>
    <row r="26" spans="2:28" ht="14.25" customHeight="1" x14ac:dyDescent="0.45">
      <c r="B26" s="25"/>
      <c r="C26" s="25"/>
      <c r="D26" s="25"/>
      <c r="E26" s="25"/>
      <c r="F26" s="25"/>
      <c r="G26" s="25"/>
      <c r="H26" s="25"/>
      <c r="I26" s="25"/>
      <c r="Q26" s="12"/>
      <c r="R26" s="16" t="str">
        <f t="shared" si="12"/>
        <v>"Did not Play",</v>
      </c>
      <c r="S26" s="16" t="str">
        <f t="shared" si="12"/>
        <v>"Did not Play",</v>
      </c>
      <c r="T26" s="16" t="str">
        <f t="shared" si="12"/>
        <v>"Did not Play",</v>
      </c>
      <c r="U26" s="16" t="str">
        <f t="shared" si="12"/>
        <v>"Did not Play",</v>
      </c>
      <c r="X26" s="52" t="str">
        <f t="shared" si="8"/>
        <v/>
      </c>
      <c r="Y26" s="52" t="str">
        <f t="shared" si="9"/>
        <v/>
      </c>
      <c r="Z26" s="52" t="str">
        <f t="shared" si="10"/>
        <v/>
      </c>
    </row>
    <row r="27" spans="2:28" ht="14.25" customHeight="1" x14ac:dyDescent="0.45">
      <c r="B27" s="25"/>
      <c r="C27" s="25"/>
      <c r="D27" s="25"/>
      <c r="E27" s="25"/>
      <c r="F27" s="25"/>
      <c r="G27" s="25"/>
      <c r="H27" s="25"/>
      <c r="I27" s="25"/>
      <c r="R27" s="16" t="str">
        <f t="shared" si="12"/>
        <v>0,</v>
      </c>
      <c r="S27" s="16" t="str">
        <f t="shared" si="12"/>
        <v>0,</v>
      </c>
      <c r="T27" s="16" t="str">
        <f t="shared" si="12"/>
        <v>0,</v>
      </c>
      <c r="U27" s="16" t="str">
        <f t="shared" si="12"/>
        <v>0,</v>
      </c>
      <c r="X27" s="52" t="str">
        <f t="shared" si="8"/>
        <v/>
      </c>
      <c r="Y27" s="52" t="str">
        <f t="shared" si="9"/>
        <v/>
      </c>
      <c r="Z27" s="52" t="str">
        <f t="shared" si="10"/>
        <v/>
      </c>
    </row>
    <row r="28" spans="2:28" ht="14.25" customHeight="1" x14ac:dyDescent="0.45">
      <c r="B28" s="25"/>
      <c r="C28" s="25"/>
      <c r="D28" s="25"/>
      <c r="E28" s="25"/>
      <c r="F28" s="25"/>
      <c r="G28" s="25"/>
      <c r="H28" s="25"/>
      <c r="I28" s="25"/>
      <c r="R28" s="16" t="str">
        <f t="shared" si="12"/>
        <v>0,</v>
      </c>
      <c r="S28" s="16" t="str">
        <f t="shared" si="12"/>
        <v>0,</v>
      </c>
      <c r="T28" s="16" t="str">
        <f t="shared" si="12"/>
        <v>0,</v>
      </c>
      <c r="U28" s="16" t="str">
        <f t="shared" si="12"/>
        <v>0,</v>
      </c>
      <c r="X28" s="52" t="str">
        <f t="shared" si="8"/>
        <v/>
      </c>
      <c r="Y28" s="52" t="str">
        <f t="shared" si="9"/>
        <v/>
      </c>
      <c r="Z28" s="52" t="str">
        <f t="shared" si="10"/>
        <v/>
      </c>
    </row>
    <row r="29" spans="2:28" ht="14.25" customHeight="1" x14ac:dyDescent="0.5">
      <c r="B29" s="48"/>
      <c r="C29" s="48"/>
      <c r="D29" s="48"/>
      <c r="E29" s="48"/>
      <c r="F29" s="48"/>
      <c r="G29" s="48"/>
      <c r="H29" s="48"/>
      <c r="I29" s="48"/>
      <c r="R29" s="16" t="str">
        <f t="shared" si="12"/>
        <v>2,</v>
      </c>
      <c r="S29" s="16" t="str">
        <f t="shared" si="12"/>
        <v>1,</v>
      </c>
      <c r="T29" s="16" t="str">
        <f t="shared" si="12"/>
        <v>1,</v>
      </c>
      <c r="U29" s="16" t="str">
        <f t="shared" si="12"/>
        <v>0,</v>
      </c>
      <c r="X29" s="52" t="str">
        <f t="shared" si="8"/>
        <v/>
      </c>
      <c r="Y29" s="52" t="str">
        <f t="shared" si="9"/>
        <v/>
      </c>
      <c r="Z29" s="52" t="str">
        <f t="shared" si="10"/>
        <v/>
      </c>
    </row>
    <row r="30" spans="2:28" ht="14.25" customHeight="1" x14ac:dyDescent="0.45">
      <c r="B30" s="25"/>
      <c r="C30" s="25"/>
      <c r="D30" s="25"/>
      <c r="E30" s="25"/>
      <c r="F30" s="25"/>
      <c r="G30" s="25"/>
      <c r="H30" s="25"/>
      <c r="I30" s="25"/>
      <c r="R30" s="16" t="str">
        <f t="shared" si="12"/>
        <v>"Did not Play",</v>
      </c>
      <c r="S30" s="16" t="str">
        <f t="shared" si="12"/>
        <v>"Did not Play",</v>
      </c>
      <c r="T30" s="16" t="str">
        <f t="shared" si="12"/>
        <v>"Did not Play",</v>
      </c>
      <c r="U30" s="16" t="str">
        <f t="shared" si="12"/>
        <v>"Did not Play",</v>
      </c>
      <c r="X30" s="52" t="str">
        <f t="shared" si="8"/>
        <v/>
      </c>
      <c r="Y30" s="52" t="str">
        <f t="shared" si="9"/>
        <v/>
      </c>
      <c r="Z30" s="52" t="str">
        <f t="shared" si="10"/>
        <v/>
      </c>
    </row>
    <row r="31" spans="2:28" ht="14.25" customHeight="1" x14ac:dyDescent="0.45">
      <c r="B31" s="25"/>
      <c r="C31" s="25"/>
      <c r="D31" s="25"/>
      <c r="E31" s="25"/>
      <c r="F31" s="25"/>
      <c r="G31" s="25"/>
      <c r="H31" s="25"/>
      <c r="I31" s="25"/>
      <c r="R31" s="16" t="str">
        <f t="shared" si="12"/>
        <v>3,</v>
      </c>
      <c r="S31" s="16" t="str">
        <f t="shared" si="12"/>
        <v>1,</v>
      </c>
      <c r="T31" s="16" t="str">
        <f t="shared" si="12"/>
        <v>0,</v>
      </c>
      <c r="U31" s="16" t="str">
        <f t="shared" si="12"/>
        <v>1,</v>
      </c>
      <c r="X31" s="52" t="str">
        <f t="shared" si="8"/>
        <v/>
      </c>
      <c r="Y31" s="52" t="str">
        <f t="shared" si="9"/>
        <v/>
      </c>
      <c r="Z31" s="52" t="str">
        <f t="shared" si="10"/>
        <v/>
      </c>
    </row>
    <row r="32" spans="2:28" ht="14.25" customHeight="1" x14ac:dyDescent="0.45">
      <c r="B32" s="25"/>
      <c r="C32" s="25"/>
      <c r="D32" s="25"/>
      <c r="E32" s="25"/>
      <c r="F32" s="25"/>
      <c r="G32" s="25"/>
      <c r="H32" s="25"/>
      <c r="I32" s="25"/>
      <c r="R32" s="16" t="str">
        <f t="shared" si="12"/>
        <v>6,</v>
      </c>
      <c r="S32" s="16" t="str">
        <f t="shared" si="12"/>
        <v>0,</v>
      </c>
      <c r="T32" s="16" t="str">
        <f t="shared" si="12"/>
        <v>4,</v>
      </c>
      <c r="U32" s="16" t="str">
        <f t="shared" si="12"/>
        <v>1,</v>
      </c>
      <c r="X32" s="52" t="str">
        <f t="shared" si="8"/>
        <v/>
      </c>
      <c r="Y32" s="52" t="str">
        <f t="shared" si="9"/>
        <v/>
      </c>
      <c r="Z32" s="52" t="str">
        <f t="shared" si="10"/>
        <v/>
      </c>
    </row>
    <row r="33" spans="2:26" ht="14.25" customHeight="1" x14ac:dyDescent="0.45">
      <c r="B33" s="25"/>
      <c r="C33" s="25"/>
      <c r="D33" s="25"/>
      <c r="E33" s="25"/>
      <c r="F33" s="25"/>
      <c r="G33" s="25"/>
      <c r="H33" s="25"/>
      <c r="I33" s="25"/>
      <c r="R33" s="16" t="str">
        <f t="shared" si="12"/>
        <v>0,</v>
      </c>
      <c r="S33" s="16" t="str">
        <f t="shared" si="12"/>
        <v>0,</v>
      </c>
      <c r="T33" s="16" t="str">
        <f t="shared" si="12"/>
        <v>0,</v>
      </c>
      <c r="U33" s="16" t="str">
        <f t="shared" si="12"/>
        <v>0,</v>
      </c>
      <c r="X33" s="52" t="str">
        <f t="shared" si="8"/>
        <v/>
      </c>
      <c r="Y33" s="52" t="str">
        <f t="shared" si="9"/>
        <v/>
      </c>
      <c r="Z33" s="52" t="str">
        <f t="shared" si="10"/>
        <v/>
      </c>
    </row>
    <row r="34" spans="2:26" ht="14.25" customHeight="1" x14ac:dyDescent="0.45">
      <c r="B34" s="25"/>
      <c r="C34" s="25"/>
      <c r="D34" s="25"/>
      <c r="E34" s="25"/>
      <c r="F34" s="25"/>
      <c r="G34" s="25"/>
      <c r="H34" s="25"/>
      <c r="I34" s="25"/>
      <c r="R34" s="16" t="str">
        <f t="shared" si="12"/>
        <v>"Did not Play",</v>
      </c>
      <c r="S34" s="16" t="str">
        <f t="shared" si="12"/>
        <v>"Did not Play",</v>
      </c>
      <c r="T34" s="16" t="str">
        <f t="shared" si="12"/>
        <v>"Did not Play",</v>
      </c>
      <c r="U34" s="16" t="str">
        <f t="shared" si="12"/>
        <v>"Did not Play",</v>
      </c>
      <c r="X34" s="52" t="str">
        <f t="shared" si="8"/>
        <v/>
      </c>
      <c r="Y34" s="52" t="str">
        <f t="shared" si="9"/>
        <v/>
      </c>
      <c r="Z34" s="52" t="str">
        <f t="shared" si="10"/>
        <v/>
      </c>
    </row>
    <row r="35" spans="2:26" ht="14.25" customHeight="1" x14ac:dyDescent="0.45">
      <c r="R35" s="16" t="str">
        <f t="shared" si="12"/>
        <v>2,</v>
      </c>
      <c r="S35" s="16" t="str">
        <f t="shared" si="12"/>
        <v>0,</v>
      </c>
      <c r="T35" s="16" t="str">
        <f t="shared" si="12"/>
        <v>0,</v>
      </c>
      <c r="U35" s="16" t="str">
        <f t="shared" si="12"/>
        <v>1,</v>
      </c>
      <c r="X35" s="52" t="str">
        <f t="shared" si="8"/>
        <v/>
      </c>
      <c r="Y35" s="52" t="str">
        <f t="shared" si="9"/>
        <v/>
      </c>
      <c r="Z35" s="52" t="str">
        <f t="shared" si="10"/>
        <v/>
      </c>
    </row>
    <row r="36" spans="2:26" ht="14.25" customHeight="1" x14ac:dyDescent="0.45">
      <c r="R36" s="16" t="str">
        <f t="shared" si="12"/>
        <v>1,</v>
      </c>
      <c r="S36" s="16" t="str">
        <f t="shared" si="12"/>
        <v>0,</v>
      </c>
      <c r="T36" s="16" t="str">
        <f t="shared" si="12"/>
        <v>1,</v>
      </c>
      <c r="U36" s="16" t="str">
        <f t="shared" si="12"/>
        <v>0,</v>
      </c>
      <c r="X36" s="52" t="str">
        <f t="shared" si="8"/>
        <v/>
      </c>
      <c r="Y36" s="52" t="str">
        <f t="shared" si="9"/>
        <v/>
      </c>
      <c r="Z36" s="52" t="str">
        <f t="shared" si="10"/>
        <v/>
      </c>
    </row>
    <row r="37" spans="2:26" ht="14.25" customHeight="1" x14ac:dyDescent="0.45">
      <c r="R37" s="16" t="str">
        <f t="shared" si="12"/>
        <v>0,</v>
      </c>
      <c r="S37" s="16" t="str">
        <f t="shared" si="12"/>
        <v>0,</v>
      </c>
      <c r="T37" s="16" t="str">
        <f t="shared" si="12"/>
        <v>0,</v>
      </c>
      <c r="U37" s="16" t="str">
        <f t="shared" si="12"/>
        <v>0,</v>
      </c>
      <c r="X37" s="52" t="str">
        <f t="shared" si="8"/>
        <v/>
      </c>
      <c r="Y37" s="52" t="str">
        <f t="shared" si="9"/>
        <v/>
      </c>
      <c r="Z37" s="52" t="str">
        <f t="shared" si="10"/>
        <v/>
      </c>
    </row>
    <row r="38" spans="2:26" ht="14.25" customHeight="1" x14ac:dyDescent="0.45">
      <c r="R38" s="16" t="str">
        <f t="shared" si="12"/>
        <v>0,</v>
      </c>
      <c r="S38" s="16" t="str">
        <f t="shared" si="12"/>
        <v>0,</v>
      </c>
      <c r="T38" s="16" t="str">
        <f t="shared" si="12"/>
        <v>0,</v>
      </c>
      <c r="U38" s="16" t="str">
        <f t="shared" si="12"/>
        <v>0,</v>
      </c>
      <c r="X38" s="52" t="str">
        <f t="shared" si="8"/>
        <v/>
      </c>
      <c r="Y38" s="52" t="str">
        <f t="shared" si="9"/>
        <v/>
      </c>
      <c r="Z38" s="52" t="str">
        <f t="shared" si="10"/>
        <v/>
      </c>
    </row>
    <row r="39" spans="2:26" ht="14.25" customHeight="1" x14ac:dyDescent="0.45">
      <c r="R39" s="16">
        <f>IF($V19, CHAR(34)&amp;"Did not Play"&amp;CHAR(34), R19)</f>
        <v>0</v>
      </c>
      <c r="S39" s="16">
        <f>IF($V19, CHAR(34)&amp;"Did not Play"&amp;CHAR(34), S19)</f>
        <v>0</v>
      </c>
      <c r="T39" s="16">
        <f>IF($V19, CHAR(34)&amp;"Did not Play"&amp;CHAR(34), T19)</f>
        <v>0</v>
      </c>
      <c r="U39" s="16">
        <f>IF($V19, CHAR(34)&amp;"Did not Play"&amp;CHAR(34), U19)</f>
        <v>0</v>
      </c>
      <c r="X39" s="52" t="str">
        <f t="shared" si="8"/>
        <v/>
      </c>
      <c r="Y39" s="52" t="str">
        <f t="shared" si="9"/>
        <v/>
      </c>
      <c r="Z39" s="52" t="str">
        <f t="shared" si="10"/>
        <v/>
      </c>
    </row>
    <row r="40" spans="2:26" ht="14.25" customHeight="1" x14ac:dyDescent="0.45">
      <c r="B40" s="73"/>
      <c r="S40" s="8"/>
      <c r="T40" s="8"/>
      <c r="U40" s="8"/>
    </row>
    <row r="41" spans="2:26" ht="14.25" customHeight="1" x14ac:dyDescent="0.9">
      <c r="R41" s="94"/>
      <c r="S41" s="94"/>
      <c r="T41" s="190" t="s">
        <v>119</v>
      </c>
      <c r="U41" s="190"/>
      <c r="V41" s="190"/>
    </row>
    <row r="42" spans="2:26" ht="14.25" customHeight="1" x14ac:dyDescent="0.9">
      <c r="R42" s="94"/>
      <c r="S42" s="94"/>
      <c r="T42" s="190"/>
      <c r="U42" s="190"/>
      <c r="V42" s="190"/>
    </row>
    <row r="43" spans="2:26" ht="14.25" customHeight="1" x14ac:dyDescent="0.45">
      <c r="B43" s="16" t="s">
        <v>169</v>
      </c>
      <c r="T43" s="69" t="s">
        <v>167</v>
      </c>
    </row>
    <row r="44" spans="2:26" ht="14.25" customHeight="1" x14ac:dyDescent="0.45">
      <c r="B44" s="16" t="s">
        <v>72</v>
      </c>
      <c r="C44" s="16" t="s">
        <v>77</v>
      </c>
      <c r="D44" s="16" t="s">
        <v>78</v>
      </c>
      <c r="E44" s="16" t="s">
        <v>79</v>
      </c>
      <c r="F44" s="16" t="s">
        <v>170</v>
      </c>
      <c r="G44" s="95" t="s">
        <v>176</v>
      </c>
      <c r="H44" s="95" t="s">
        <v>177</v>
      </c>
      <c r="I44" s="16" t="s">
        <v>171</v>
      </c>
      <c r="J44" s="16" t="s">
        <v>178</v>
      </c>
      <c r="K44" s="95" t="s">
        <v>179</v>
      </c>
      <c r="L44" s="16" t="s">
        <v>172</v>
      </c>
      <c r="M44" s="95" t="s">
        <v>180</v>
      </c>
      <c r="N44" s="95" t="s">
        <v>181</v>
      </c>
      <c r="O44" s="16" t="s">
        <v>173</v>
      </c>
      <c r="P44" s="16" t="s">
        <v>174</v>
      </c>
      <c r="Q44" s="16" t="s">
        <v>175</v>
      </c>
      <c r="T44" s="16" t="str">
        <f>CHAR(34)&amp;"Date"&amp;CHAR(34)&amp;":["&amp;CHAR(34)&amp;""&amp;C2&amp;""&amp;CHAR(34)&amp;"],"</f>
        <v>"Date":["11-July"],</v>
      </c>
    </row>
    <row r="45" spans="2:26" ht="14.25" customHeight="1" x14ac:dyDescent="0.45">
      <c r="B45" s="74" t="str">
        <f>C2</f>
        <v>11-July</v>
      </c>
      <c r="C45" s="16">
        <f>MAX(L3:L5)</f>
        <v>12</v>
      </c>
      <c r="D45" s="16">
        <f>COUNT(B4:B42)-C45-E45</f>
        <v>5</v>
      </c>
      <c r="E45" s="16">
        <f>MIN(L3:L5)</f>
        <v>0</v>
      </c>
      <c r="F45" s="16">
        <f>L3</f>
        <v>5</v>
      </c>
      <c r="G45" s="16">
        <f>COUNTIF(Y4:Y39, "WW/LG")</f>
        <v>0</v>
      </c>
      <c r="H45" s="16">
        <f>COUNTIF(Z4:Z39, "5M/LG")</f>
        <v>6</v>
      </c>
      <c r="I45" s="16">
        <f>L5</f>
        <v>0</v>
      </c>
      <c r="J45" s="16">
        <f>COUNTIF(X4:X39, "LG/WW")</f>
        <v>2</v>
      </c>
      <c r="K45" s="16">
        <f>COUNTIF(Z4:Z39, "5M/WW")</f>
        <v>6</v>
      </c>
      <c r="L45" s="16">
        <f>L4</f>
        <v>12</v>
      </c>
      <c r="M45" s="16">
        <f>COUNTIF(X4:X39, "LG/5M")</f>
        <v>3</v>
      </c>
      <c r="N45" s="16">
        <f>COUNTIF(Y4:Y39, "WW/5M")</f>
        <v>0</v>
      </c>
      <c r="O45" s="16">
        <f>O3</f>
        <v>2</v>
      </c>
      <c r="P45" s="16">
        <f>O5</f>
        <v>1</v>
      </c>
      <c r="Q45" s="16">
        <f>O4</f>
        <v>3</v>
      </c>
      <c r="T45" s="16" t="str">
        <f>CHAR(34)&amp;"Points"&amp;CHAR(34)&amp;":["&amp;R23&amp;R24&amp;R25&amp;R26&amp;R27&amp;R28&amp;R29&amp;R30&amp;R31&amp;R32&amp;R33&amp;R34&amp;R35&amp;R36&amp;R37&amp;R38&amp;R39&amp;"],"</f>
        <v>"Points":[0,2,5,"Did not Play",0,0,2,"Did not Play",3,6,0,"Did not Play",2,1,0,0,0],</v>
      </c>
    </row>
    <row r="46" spans="2:26" ht="14.25" customHeight="1" x14ac:dyDescent="0.45">
      <c r="T46" s="16" t="str">
        <f>CHAR(34)&amp;"Finishes"&amp;CHAR(34)&amp;":["&amp;S23&amp;S24&amp;S25&amp;S26&amp;S27&amp;S28&amp;S29&amp;S30&amp;S31&amp;S32&amp;S33&amp;S34&amp;S35&amp;S36&amp;S37&amp;S38&amp;S39&amp;"],"</f>
        <v>"Finishes":[0,1,3,"Did not Play",0,0,1,"Did not Play",1,0,0,"Did not Play",0,0,0,0,0],</v>
      </c>
    </row>
    <row r="47" spans="2:26" ht="14.25" customHeight="1" x14ac:dyDescent="0.45">
      <c r="T47" s="16" t="str">
        <f>CHAR(34)&amp;"Midrange"&amp;CHAR(34)&amp;":["&amp;T23&amp;T24&amp;T25&amp;T26&amp;T27&amp;T28&amp;T29&amp;T30&amp;T31&amp;T32&amp;T33&amp;T34&amp;T35&amp;T36&amp;T37&amp;T38&amp;T39&amp;"],"</f>
        <v>"Midrange":[0,1,0,"Did not Play",0,0,1,"Did not Play",0,4,0,"Did not Play",0,1,0,0,0],</v>
      </c>
    </row>
    <row r="48" spans="2:26" ht="14.25" customHeight="1" x14ac:dyDescent="0.45">
      <c r="T48" s="16" t="str">
        <f>CHAR(34)&amp;"ThreePointers"&amp;CHAR(34)&amp;":["&amp;U23&amp;U24&amp;U25&amp;U26&amp;U27&amp;U28&amp;U29&amp;U30&amp;U31&amp;U32&amp;U33&amp;U34&amp;U35&amp;U36&amp;U37&amp;U38&amp;U39&amp;"]"</f>
        <v>"ThreePointers":[0,0,1,"Did not Play",0,0,0,"Did not Play",1,1,0,"Did not Play",1,0,0,0,0]</v>
      </c>
    </row>
    <row r="49" spans="20:20" ht="14.25" customHeight="1" x14ac:dyDescent="0.45">
      <c r="T49" s="69" t="s">
        <v>168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Awards</vt:lpstr>
      <vt:lpstr>SfW</vt:lpstr>
      <vt:lpstr>Stats Global</vt:lpstr>
      <vt:lpstr>Statistics LG</vt:lpstr>
      <vt:lpstr>Statistics WW</vt:lpstr>
      <vt:lpstr>Statistics 5M</vt:lpstr>
      <vt:lpstr>Template</vt:lpstr>
      <vt:lpstr>Finals 3</vt:lpstr>
      <vt:lpstr>Finals 2</vt:lpstr>
      <vt:lpstr>Finals 1</vt:lpstr>
      <vt:lpstr>1708</vt:lpstr>
      <vt:lpstr>1508</vt:lpstr>
      <vt:lpstr>1408</vt:lpstr>
      <vt:lpstr>1008</vt:lpstr>
      <vt:lpstr>0908</vt:lpstr>
      <vt:lpstr>0808</vt:lpstr>
      <vt:lpstr>0308</vt:lpstr>
      <vt:lpstr>0208</vt:lpstr>
      <vt:lpstr>0108</vt:lpstr>
      <vt:lpstr>3107</vt:lpstr>
      <vt:lpstr>2707</vt:lpstr>
      <vt:lpstr>2607</vt:lpstr>
      <vt:lpstr>2407</vt:lpstr>
      <vt:lpstr>2007</vt:lpstr>
      <vt:lpstr>1907</vt:lpstr>
      <vt:lpstr>1807</vt:lpstr>
      <vt:lpstr>1707</vt:lpstr>
      <vt:lpstr>Preseason 3</vt:lpstr>
      <vt:lpstr>Preseason 2</vt:lpstr>
      <vt:lpstr>Preseason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2023-08-27T23:38:21Z</dcterms:modified>
</cp:coreProperties>
</file>