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0_ncr:0_{2032F298-3602-4F92-BECD-31D887D25F68}" xr6:coauthVersionLast="47" xr6:coauthVersionMax="47" xr10:uidLastSave="{00000000-0000-0000-0000-000000000000}"/>
  <bookViews>
    <workbookView xWindow="-98" yWindow="-98" windowWidth="22695" windowHeight="14595" activeTab="2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008" sheetId="24" r:id="rId7"/>
    <sheet name="0908" sheetId="23" r:id="rId8"/>
    <sheet name="0808" sheetId="22" r:id="rId9"/>
    <sheet name="0308" sheetId="21" r:id="rId10"/>
    <sheet name="0208" sheetId="20" r:id="rId11"/>
    <sheet name="0108" sheetId="19" r:id="rId12"/>
    <sheet name="3107" sheetId="18" r:id="rId13"/>
    <sheet name="2707" sheetId="17" r:id="rId14"/>
    <sheet name="2607" sheetId="16" r:id="rId15"/>
    <sheet name="2407" sheetId="15" r:id="rId16"/>
    <sheet name="2007" sheetId="14" r:id="rId17"/>
    <sheet name="1907" sheetId="13" r:id="rId18"/>
    <sheet name="1807" sheetId="12" r:id="rId19"/>
    <sheet name="1707" sheetId="11" r:id="rId20"/>
    <sheet name="Preseason 3" sheetId="10" r:id="rId21"/>
    <sheet name="Preseason 2" sheetId="9" r:id="rId22"/>
    <sheet name="Preseason 1" sheetId="8" r:id="rId23"/>
  </sheets>
  <externalReferences>
    <externalReference r:id="rId2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5" i="11" l="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AC33" i="24" l="1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D12" i="4" l="1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4" l="1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J11" i="3"/>
  <c r="AJ12" i="3"/>
  <c r="AJ13" i="3"/>
  <c r="AJ14" i="3"/>
  <c r="AJ15" i="3"/>
  <c r="AJ17" i="3"/>
  <c r="AJ19" i="3"/>
  <c r="AJ20" i="3"/>
  <c r="AJ21" i="3"/>
  <c r="AP21" i="3" s="1"/>
  <c r="AJ22" i="3"/>
  <c r="AP22" i="3" s="1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J24" i="3"/>
  <c r="AP15" i="3" l="1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Q34" i="6" l="1"/>
  <c r="P45" i="5"/>
  <c r="Q33" i="6"/>
  <c r="Q35" i="6"/>
  <c r="P44" i="5"/>
  <c r="P46" i="5"/>
  <c r="B44" i="2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<sst xmlns="http://schemas.openxmlformats.org/spreadsheetml/2006/main" count="3347" uniqueCount="283">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</sst>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3" fillId="0" borderId="1"/>
    <xf numFmtId="9" fontId="24" fillId="0" borderId="0" applyFont="0" applyFill="0" applyBorder="0" applyAlignment="0" applyProtection="0"/>
  </cellStyleXfs>
  <cellXfs count="179">
    <xf numFmtId="0" fontId="0" fillId="0" borderId="0" xfId="0" applyFont="1" applyAlignment="1"/>
    <xf numFmtId="0" fontId="24" fillId="0" borderId="0" xfId="0" applyFont="1"/>
    <xf numFmtId="0" fontId="24" fillId="0" borderId="0" xfId="0" applyFont="1" applyAlignment="1"/>
    <xf numFmtId="0" fontId="26" fillId="0" borderId="0" xfId="0" applyFont="1"/>
    <xf numFmtId="2" fontId="25" fillId="0" borderId="0" xfId="0" applyNumberFormat="1" applyFont="1"/>
    <xf numFmtId="164" fontId="27" fillId="0" borderId="0" xfId="0" applyNumberFormat="1" applyFont="1"/>
    <xf numFmtId="0" fontId="26" fillId="0" borderId="0" xfId="0" applyFont="1" applyAlignment="1"/>
    <xf numFmtId="2" fontId="24" fillId="0" borderId="0" xfId="0" applyNumberFormat="1" applyFont="1"/>
    <xf numFmtId="1" fontId="24" fillId="0" borderId="0" xfId="0" applyNumberFormat="1" applyFont="1"/>
    <xf numFmtId="1" fontId="25" fillId="0" borderId="0" xfId="0" applyNumberFormat="1" applyFont="1"/>
    <xf numFmtId="10" fontId="25" fillId="0" borderId="0" xfId="0" applyNumberFormat="1" applyFont="1"/>
    <xf numFmtId="0" fontId="24" fillId="0" borderId="0" xfId="0" applyFont="1"/>
    <xf numFmtId="16" fontId="24" fillId="0" borderId="0" xfId="0" applyNumberFormat="1" applyFont="1" applyAlignment="1"/>
    <xf numFmtId="0" fontId="29" fillId="0" borderId="0" xfId="0" applyFont="1" applyAlignment="1"/>
    <xf numFmtId="0" fontId="3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9" fillId="0" borderId="3" xfId="0" applyFont="1" applyFill="1" applyBorder="1"/>
    <xf numFmtId="0" fontId="29" fillId="0" borderId="4" xfId="0" applyFont="1" applyFill="1" applyBorder="1"/>
    <xf numFmtId="0" fontId="29" fillId="0" borderId="4" xfId="0" applyFont="1" applyFill="1" applyBorder="1" applyAlignment="1"/>
    <xf numFmtId="0" fontId="30" fillId="0" borderId="4" xfId="0" applyFont="1" applyFill="1" applyBorder="1" applyAlignment="1"/>
    <xf numFmtId="0" fontId="26" fillId="0" borderId="5" xfId="0" applyFont="1" applyFill="1" applyBorder="1"/>
    <xf numFmtId="0" fontId="0" fillId="0" borderId="0" xfId="0"/>
    <xf numFmtId="0" fontId="35" fillId="0" borderId="0" xfId="0" applyFont="1"/>
    <xf numFmtId="9" fontId="0" fillId="0" borderId="0" xfId="2" applyFont="1" applyAlignment="1"/>
    <xf numFmtId="0" fontId="29" fillId="0" borderId="0" xfId="0" applyFont="1" applyFill="1"/>
    <xf numFmtId="0" fontId="29" fillId="0" borderId="0" xfId="0" applyFont="1" applyFill="1" applyAlignment="1"/>
    <xf numFmtId="0" fontId="30" fillId="0" borderId="0" xfId="0" applyFont="1" applyFill="1" applyAlignment="1"/>
    <xf numFmtId="1" fontId="0" fillId="0" borderId="0" xfId="0" quotePrefix="1" applyNumberFormat="1" applyFont="1" applyFill="1" applyAlignment="1"/>
    <xf numFmtId="2" fontId="25" fillId="0" borderId="0" xfId="0" applyNumberFormat="1" applyFont="1" applyFill="1"/>
    <xf numFmtId="1" fontId="24" fillId="0" borderId="0" xfId="0" applyNumberFormat="1" applyFont="1" applyFill="1" applyAlignment="1"/>
    <xf numFmtId="0" fontId="2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0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9" fillId="0" borderId="0" xfId="0" applyFont="1" applyAlignment="1">
      <alignment horizontal="center"/>
    </xf>
    <xf numFmtId="0" fontId="23" fillId="0" borderId="0" xfId="0" applyFont="1" applyAlignment="1"/>
    <xf numFmtId="165" fontId="3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1" fillId="0" borderId="0" xfId="0" applyFont="1" applyAlignment="1"/>
    <xf numFmtId="16" fontId="22" fillId="0" borderId="0" xfId="0" applyNumberFormat="1" applyFont="1" applyAlignment="1"/>
    <xf numFmtId="0" fontId="24" fillId="0" borderId="0" xfId="0" applyFont="1" applyFill="1" applyAlignment="1"/>
    <xf numFmtId="0" fontId="33" fillId="0" borderId="1" xfId="1" applyNumberFormat="1"/>
    <xf numFmtId="0" fontId="34" fillId="0" borderId="1" xfId="0" applyFont="1" applyBorder="1" applyAlignment="1">
      <alignment horizontal="center"/>
    </xf>
    <xf numFmtId="49" fontId="25" fillId="0" borderId="0" xfId="0" applyNumberFormat="1" applyFont="1"/>
    <xf numFmtId="0" fontId="26" fillId="3" borderId="0" xfId="0" applyFont="1" applyFill="1"/>
    <xf numFmtId="0" fontId="24" fillId="3" borderId="0" xfId="0" applyFont="1" applyFill="1"/>
    <xf numFmtId="0" fontId="29" fillId="0" borderId="0" xfId="0" applyNumberFormat="1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6" fillId="0" borderId="1" xfId="0" applyFont="1" applyFill="1" applyBorder="1" applyAlignment="1">
      <alignment vertical="center"/>
    </xf>
    <xf numFmtId="0" fontId="3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5" fillId="0" borderId="2" xfId="0" applyNumberFormat="1" applyFont="1" applyFill="1" applyBorder="1"/>
    <xf numFmtId="1" fontId="24" fillId="0" borderId="2" xfId="0" applyNumberFormat="1" applyFont="1" applyFill="1" applyBorder="1" applyAlignment="1"/>
    <xf numFmtId="0" fontId="24" fillId="0" borderId="2" xfId="0" applyFont="1" applyFill="1" applyBorder="1"/>
    <xf numFmtId="1" fontId="25" fillId="0" borderId="6" xfId="0" applyNumberFormat="1" applyFont="1" applyFill="1" applyBorder="1"/>
    <xf numFmtId="0" fontId="19" fillId="0" borderId="0" xfId="0" applyFont="1" applyAlignment="1"/>
    <xf numFmtId="0" fontId="26" fillId="0" borderId="0" xfId="0" applyFont="1" applyFill="1"/>
    <xf numFmtId="0" fontId="25" fillId="0" borderId="0" xfId="0" applyFont="1" applyFill="1" applyAlignment="1">
      <alignment horizontal="center"/>
    </xf>
    <xf numFmtId="0" fontId="19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9" fontId="25" fillId="0" borderId="1" xfId="2" applyFont="1" applyFill="1" applyBorder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9" fontId="25" fillId="0" borderId="0" xfId="0" applyNumberFormat="1" applyFont="1" applyAlignment="1">
      <alignment vertical="center"/>
    </xf>
    <xf numFmtId="0" fontId="2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1" fontId="25" fillId="0" borderId="1" xfId="0" applyNumberFormat="1" applyFont="1" applyFill="1" applyBorder="1" applyAlignment="1">
      <alignment vertical="center"/>
    </xf>
    <xf numFmtId="0" fontId="34" fillId="0" borderId="1" xfId="0" applyFont="1" applyBorder="1" applyAlignment="1"/>
    <xf numFmtId="0" fontId="18" fillId="0" borderId="0" xfId="0" applyFont="1" applyAlignment="1"/>
    <xf numFmtId="0" fontId="18" fillId="0" borderId="0" xfId="0" applyFont="1"/>
    <xf numFmtId="0" fontId="25" fillId="4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1" xfId="0" applyFont="1" applyFill="1" applyBorder="1"/>
    <xf numFmtId="0" fontId="37" fillId="0" borderId="1" xfId="0" applyFont="1" applyFill="1" applyBorder="1" applyAlignment="1"/>
    <xf numFmtId="0" fontId="38" fillId="0" borderId="1" xfId="0" applyFont="1" applyFill="1" applyBorder="1" applyAlignment="1"/>
    <xf numFmtId="0" fontId="35" fillId="0" borderId="1" xfId="0" applyFont="1" applyFill="1" applyBorder="1" applyAlignment="1">
      <alignment vertical="center"/>
    </xf>
    <xf numFmtId="0" fontId="29" fillId="3" borderId="2" xfId="0" applyFont="1" applyFill="1" applyBorder="1" applyAlignment="1"/>
    <xf numFmtId="0" fontId="17" fillId="0" borderId="0" xfId="0" applyFont="1" applyAlignment="1"/>
    <xf numFmtId="0" fontId="16" fillId="0" borderId="0" xfId="0" applyFont="1" applyAlignment="1"/>
    <xf numFmtId="0" fontId="16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5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3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5" fillId="0" borderId="0" xfId="0" applyNumberFormat="1" applyFont="1"/>
    <xf numFmtId="16" fontId="25" fillId="5" borderId="0" xfId="0" applyNumberFormat="1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5" fillId="6" borderId="1" xfId="0" applyFont="1" applyFill="1" applyBorder="1" applyAlignment="1">
      <alignment vertical="center"/>
    </xf>
    <xf numFmtId="1" fontId="24" fillId="0" borderId="0" xfId="0" applyNumberFormat="1" applyFont="1" applyFill="1"/>
    <xf numFmtId="0" fontId="0" fillId="0" borderId="1" xfId="2" applyNumberFormat="1" applyFont="1" applyFill="1" applyBorder="1" applyAlignment="1"/>
    <xf numFmtId="10" fontId="29" fillId="0" borderId="1" xfId="2" applyNumberFormat="1" applyFont="1" applyFill="1" applyBorder="1" applyAlignment="1"/>
    <xf numFmtId="0" fontId="14" fillId="0" borderId="0" xfId="0" applyFont="1" applyAlignment="1"/>
    <xf numFmtId="0" fontId="13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0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2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1" fillId="0" borderId="0" xfId="0" applyFont="1" applyAlignment="1"/>
    <xf numFmtId="0" fontId="11" fillId="0" borderId="0" xfId="0" applyFont="1"/>
    <xf numFmtId="0" fontId="25" fillId="0" borderId="0" xfId="0" applyFont="1" applyFill="1" applyAlignment="1">
      <alignment vertical="center"/>
    </xf>
    <xf numFmtId="0" fontId="10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35" fillId="0" borderId="1" xfId="0" applyFont="1" applyFill="1" applyBorder="1"/>
    <xf numFmtId="166" fontId="25" fillId="0" borderId="1" xfId="0" applyNumberFormat="1" applyFont="1" applyFill="1" applyBorder="1"/>
    <xf numFmtId="0" fontId="7" fillId="0" borderId="0" xfId="0" applyFont="1" applyAlignment="1"/>
    <xf numFmtId="0" fontId="6" fillId="3" borderId="0" xfId="0" applyFont="1" applyFill="1" applyAlignment="1">
      <alignment vertical="center"/>
    </xf>
    <xf numFmtId="49" fontId="25" fillId="3" borderId="2" xfId="0" applyNumberFormat="1" applyFont="1" applyFill="1" applyBorder="1"/>
    <xf numFmtId="0" fontId="5" fillId="3" borderId="0" xfId="0" applyFont="1" applyFill="1" applyAlignment="1">
      <alignment vertical="center"/>
    </xf>
    <xf numFmtId="0" fontId="4" fillId="0" borderId="0" xfId="0" applyFont="1" applyAlignment="1"/>
    <xf numFmtId="0" fontId="33" fillId="0" borderId="1" xfId="1" applyNumberFormat="1"/>
    <xf numFmtId="0" fontId="3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12" xfId="0" applyFont="1" applyFill="1" applyBorder="1" applyAlignment="1"/>
    <xf numFmtId="0" fontId="2" fillId="7" borderId="8" xfId="0" applyFont="1" applyFill="1" applyBorder="1" applyAlignment="1"/>
    <xf numFmtId="0" fontId="2" fillId="0" borderId="8" xfId="0" applyFont="1" applyBorder="1" applyAlignment="1"/>
    <xf numFmtId="0" fontId="2" fillId="7" borderId="9" xfId="0" applyFont="1" applyFill="1" applyBorder="1" applyAlignment="1"/>
    <xf numFmtId="0" fontId="2" fillId="0" borderId="9" xfId="0" applyFont="1" applyBorder="1" applyAlignment="1"/>
    <xf numFmtId="0" fontId="2" fillId="0" borderId="13" xfId="0" applyFont="1" applyBorder="1" applyAlignment="1"/>
    <xf numFmtId="0" fontId="2" fillId="0" borderId="10" xfId="0" applyFont="1" applyBorder="1" applyAlignment="1"/>
    <xf numFmtId="0" fontId="2" fillId="8" borderId="11" xfId="0" applyFont="1" applyFill="1" applyBorder="1" applyAlignment="1"/>
    <xf numFmtId="9" fontId="2" fillId="8" borderId="12" xfId="0" applyNumberFormat="1" applyFont="1" applyFill="1" applyBorder="1" applyAlignment="1"/>
    <xf numFmtId="0" fontId="2" fillId="8" borderId="12" xfId="0" applyFont="1" applyFill="1" applyBorder="1" applyAlignment="1"/>
    <xf numFmtId="0" fontId="2" fillId="7" borderId="8" xfId="0" applyNumberFormat="1" applyFont="1" applyFill="1" applyBorder="1" applyAlignment="1"/>
    <xf numFmtId="0" fontId="2" fillId="0" borderId="8" xfId="0" applyNumberFormat="1" applyFont="1" applyBorder="1" applyAlignment="1"/>
    <xf numFmtId="0" fontId="2" fillId="0" borderId="10" xfId="0" applyNumberFormat="1" applyFont="1" applyBorder="1" applyAlignment="1"/>
    <xf numFmtId="2" fontId="2" fillId="0" borderId="12" xfId="0" applyNumberFormat="1" applyFont="1" applyFill="1" applyBorder="1" applyAlignment="1"/>
    <xf numFmtId="2" fontId="2" fillId="0" borderId="8" xfId="0" applyNumberFormat="1" applyFont="1" applyFill="1" applyBorder="1" applyAlignment="1"/>
    <xf numFmtId="2" fontId="2" fillId="0" borderId="10" xfId="0" applyNumberFormat="1" applyFont="1" applyFill="1" applyBorder="1" applyAlignment="1"/>
    <xf numFmtId="0" fontId="3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3" fillId="0" borderId="1" xfId="1" applyNumberFormat="1"/>
    <xf numFmtId="0" fontId="33" fillId="0" borderId="1" xfId="1" applyNumberFormat="1" applyFill="1"/>
    <xf numFmtId="0" fontId="1" fillId="3" borderId="0" xfId="0" applyFont="1" applyFill="1" applyAlignment="1">
      <alignment vertic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3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0.6342592592592593</c:v>
                </c:pt>
                <c:pt idx="1">
                  <c:v>0.25</c:v>
                </c:pt>
                <c:pt idx="2">
                  <c:v>0.11574074074074074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Global'!$T$78:$T$91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Global'!$U$78:$U$91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Global'!$V$78:$V$91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31" dataDxfId="329" headerRowBorderDxfId="330" tableBorderDxfId="328" totalsRowBorderDxfId="327">
  <autoFilter ref="Z7:AJ24" xr:uid="{598ECA3B-99B4-4CAB-8F81-5D711AA5A7FC}"/>
  <tableColumns count="11">
    <tableColumn id="1" xr3:uid="{9B036617-5450-4894-9268-827D2E0914FF}" name="Scoring" dataDxfId="326"/>
    <tableColumn id="2" xr3:uid="{6662CE93-E9C4-47DE-9476-E46126825B0A}" name="Points" dataDxfId="325">
      <calculatedColumnFormula>SUM(AL29,AA49,AL49,AA69,AL69,AA89,AL89)</calculatedColumnFormula>
    </tableColumn>
    <tableColumn id="3" xr3:uid="{8FDDFCB0-2692-4EB0-948C-7B877263B55B}" name="Average" dataDxfId="324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23">
      <calculatedColumnFormula>SUM(AM29,AB49,AM49,AB69,AM69,AB89,AM89)</calculatedColumnFormula>
    </tableColumn>
    <tableColumn id="5" xr3:uid="{5F324C66-956D-4EDC-870F-8EDE96C328C8}" name="Averages" dataDxfId="322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21">
      <calculatedColumnFormula>SUM(AN29,AC49,AN49,AC69,AN69,AC89,AN89)</calculatedColumnFormula>
    </tableColumn>
    <tableColumn id="7" xr3:uid="{8E7E6B37-23A0-4556-8839-B9D7834E3E68}" name="Averages2" dataDxfId="320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19">
      <calculatedColumnFormula>SUM(AO29,AD49,AO49,AD69,AO69,AD89,AO89)</calculatedColumnFormula>
    </tableColumn>
    <tableColumn id="9" xr3:uid="{E0C0BF1C-40E8-4137-8E0F-BB238D651DAE}" name="Averages3" dataDxfId="318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17">
      <calculatedColumnFormula>SfW!C3</calculatedColumnFormula>
    </tableColumn>
    <tableColumn id="11" xr3:uid="{E167D7FA-56F9-4571-B292-FF3869585F59}" name="Missed Games" dataDxfId="316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19">
  <autoFilter ref="AW7:BC24" xr:uid="{96B06DCA-2A57-491D-9968-278FF3FBD78A}"/>
  <tableColumns count="7">
    <tableColumn id="1" xr3:uid="{FE52DA28-AC9B-4385-A502-8DDB5D1FBA9E}" name="Name" dataDxfId="218"/>
    <tableColumn id="2" xr3:uid="{D93DA907-1A5C-4FC6-A721-6072347E34BF}" name="Total R" dataDxfId="217">
      <calculatedColumnFormula>'1707'!AC4+'1807'!AC4+'2407'!AC4+'2607'!AC4</calculatedColumnFormula>
    </tableColumn>
    <tableColumn id="3" xr3:uid="{EBD2E9CC-2367-4D50-957C-38F9CE276205}" name="Total A" dataDxfId="216">
      <calculatedColumnFormula>'1707'!AD4+'1807'!AD4+'2407'!AD4+'2607'!AD4</calculatedColumnFormula>
    </tableColumn>
    <tableColumn id="4" xr3:uid="{7DF9F4A1-F7D8-44DD-8445-ABFA3454613B}" name="Total S" dataDxfId="215">
      <calculatedColumnFormula>'1707'!AE4+'1807'!AE4+'2407'!AE4+'2607'!AE4</calculatedColumnFormula>
    </tableColumn>
    <tableColumn id="5" xr3:uid="{1AAD62E4-FA3F-4F41-8BD0-85F54409C489}" name="Avg R" dataDxfId="214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13" dataDxfId="212">
  <autoFilter ref="R3:AA8" xr:uid="{744FF78C-74B5-4798-AD3D-741E3ACB43CF}"/>
  <tableColumns count="10">
    <tableColumn id="1" xr3:uid="{B3B5C08C-655A-460A-A171-B3B0C826FF04}" name="Name" dataDxfId="211"/>
    <tableColumn id="2" xr3:uid="{427944B0-44CA-4325-A406-29F83026BA5E}" name="Points" dataDxfId="210">
      <calculatedColumnFormula>'Stats Global'!AA22</calculatedColumnFormula>
    </tableColumn>
    <tableColumn id="3" xr3:uid="{5E06D173-4DBE-4045-9072-0A0A77D19C84}" name="Average" dataDxfId="209"/>
    <tableColumn id="4" xr3:uid="{E74131A4-1DCA-4A89-8989-A4CF80175582}" name="Finishes" dataDxfId="208"/>
    <tableColumn id="5" xr3:uid="{FC3336D4-2CB5-4673-A345-7C9CCED7ADEE}" name="Averages" dataDxfId="207"/>
    <tableColumn id="6" xr3:uid="{BD6313A7-5D92-4B66-9B85-7ABC12DE9691}" name="Midranges" dataDxfId="206"/>
    <tableColumn id="7" xr3:uid="{6D0293BC-7E06-45CE-9D4B-FE4769DF9D9F}" name="Averages2" dataDxfId="205"/>
    <tableColumn id="8" xr3:uid="{89C1C64B-DD66-482C-BCDE-8B912D2676EF}" name="Threes" dataDxfId="204"/>
    <tableColumn id="9" xr3:uid="{7748B87C-1833-4BD6-9162-76373407E655}" name="Averages3" dataDxfId="203"/>
    <tableColumn id="10" xr3:uid="{D870E191-A52F-442E-AA52-A42CFAD05573}" name="Missed Games" dataDxfId="20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01" dataDxfId="200" tableBorderDxfId="199">
  <autoFilter ref="AC2:AO14" xr:uid="{1FFC47C7-DFD7-4A9F-A1A5-1CA685184237}"/>
  <tableColumns count="13">
    <tableColumn id="1" xr3:uid="{FB71619C-EB39-4988-B4DB-5EDC829403C2}" name="Against Us" dataDxfId="198"/>
    <tableColumn id="2" xr3:uid="{A05D2E0F-7123-4E1F-B29C-F30D2F0BF127}" name="Points" dataDxfId="197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196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195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194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193">
      <calculatedColumnFormula>Table3[[#This Row],[Points]]/('Stats Global'!$AA$6-'Stats Global'!$AJ$10)</calculatedColumnFormula>
    </tableColumn>
    <tableColumn id="7" xr3:uid="{C5F438D0-3649-45D5-96FD-9D3510FBA489}" name="AVG F" dataDxfId="192"/>
    <tableColumn id="8" xr3:uid="{4FE2170E-9694-4785-914B-948DCD739ABA}" name="AVG M" dataDxfId="191"/>
    <tableColumn id="9" xr3:uid="{2E746532-8EE6-4676-8881-EEE8EA96A6B2}" name="AVG T" dataDxfId="190"/>
    <tableColumn id="10" xr3:uid="{12C6BBBE-13C7-4FFC-B357-00756FCC2217}" name="Difference P" dataDxfId="189">
      <calculatedColumnFormula>'Stats Global'!AB10-Table3[[#This Row],[AVG P]]</calculatedColumnFormula>
    </tableColumn>
    <tableColumn id="11" xr3:uid="{B6506F90-A35B-444D-8607-68FB9AC442F9}" name="Difference F" dataDxfId="188"/>
    <tableColumn id="12" xr3:uid="{090A7971-5A51-4381-ADE6-805EDA460DAB}" name="Difference M" dataDxfId="187"/>
    <tableColumn id="13" xr3:uid="{455AB6FD-A12D-42D6-A826-A5BA8E9EE48E}" name="Difference T" dataDxfId="1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185" dataDxfId="184">
  <autoFilter ref="O3:X10" xr:uid="{54759C84-3153-4DC9-9240-E2749AA0D92B}"/>
  <tableColumns count="10">
    <tableColumn id="1" xr3:uid="{7790729E-C8E5-45C1-8784-25212A2654AA}" name="Name" dataDxfId="183"/>
    <tableColumn id="2" xr3:uid="{52A67B2B-967C-4970-8D83-8F8E9CC61522}" name="Points" dataDxfId="182"/>
    <tableColumn id="3" xr3:uid="{BA1FA2C8-AEC0-4644-83DB-5097750D7188}" name="Average" dataDxfId="181"/>
    <tableColumn id="4" xr3:uid="{4CF66F5D-BF10-4CBD-88FF-CCD38730E1CD}" name="Finishes" dataDxfId="180"/>
    <tableColumn id="5" xr3:uid="{BC246D5B-7E78-41A6-B796-C93ED8E53DF9}" name="Averages" dataDxfId="179"/>
    <tableColumn id="6" xr3:uid="{AB819419-CC06-4A40-8DED-E231125129C0}" name="Midranges" dataDxfId="178"/>
    <tableColumn id="7" xr3:uid="{064AA562-C451-4362-805E-D12DC76C3530}" name="Averages2" dataDxfId="177"/>
    <tableColumn id="8" xr3:uid="{BD0D8BAE-15E4-4B38-87FE-B682D7BAEE75}" name="Threes" dataDxfId="176"/>
    <tableColumn id="9" xr3:uid="{541E391B-4B08-4E98-A63F-753C11193269}" name="Averages3" dataDxfId="175"/>
    <tableColumn id="10" xr3:uid="{999BB5D2-D6FB-4EB9-A268-D62EA72F939D}" name="Missed Games" dataDxfId="17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73" dataDxfId="172">
  <autoFilter ref="L4:U10" xr:uid="{C12CFC3F-7D59-4C0F-8D43-3F8ACD58C2BD}"/>
  <tableColumns count="10">
    <tableColumn id="1" xr3:uid="{CE15C23D-9493-4B21-9D40-1A25D210C18E}" name="Name" dataDxfId="171"/>
    <tableColumn id="2" xr3:uid="{6BB170B1-AA38-4699-9B96-400D2947EE9C}" name="Points" dataDxfId="170"/>
    <tableColumn id="3" xr3:uid="{EC8B6CBB-FCC9-416C-AEA6-738419DFE531}" name="Average" dataDxfId="169"/>
    <tableColumn id="4" xr3:uid="{315DA055-9A43-468A-A501-1092626F523F}" name="Finishes" dataDxfId="168"/>
    <tableColumn id="5" xr3:uid="{56B6FF4D-95D4-4550-88E4-C781ABDA83A6}" name="Averages" dataDxfId="167"/>
    <tableColumn id="6" xr3:uid="{F7B5C0B8-FBE2-44B0-A372-112C7776FCCF}" name="Midranges" dataDxfId="166"/>
    <tableColumn id="7" xr3:uid="{1A1C2126-FEB1-408F-8523-049E53028B4E}" name="Averages2" dataDxfId="165"/>
    <tableColumn id="8" xr3:uid="{AE94036B-3777-4C1B-97D5-7BFA1037C0BF}" name="Threes" dataDxfId="164"/>
    <tableColumn id="9" xr3:uid="{448B0903-7F66-40BA-809F-74ADBF397B45}" name="Averages3" dataDxfId="163"/>
    <tableColumn id="10" xr3:uid="{E0CAC55D-8398-4928-A219-C01706996D48}" name="Missed Games" dataDxfId="16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161" dataDxfId="159" headerRowBorderDxfId="160" tableBorderDxfId="158" totalsRowBorderDxfId="157">
  <autoFilter ref="AB23:AF35" xr:uid="{13FD7CD8-C40D-411F-89C3-F53649174B3A}"/>
  <tableColumns count="5">
    <tableColumn id="1" xr3:uid="{55112290-2A71-4FFD-A96D-ED94D1FAD6CA}" name="Name" dataDxfId="156"/>
    <tableColumn id="2" xr3:uid="{92074427-DAC9-482D-B452-A84499E2326C}" name="Points" dataDxfId="155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154">
      <calculatedColumnFormula>COUNTIFS(E$4:E$35,AB24,F$4:F$35,"Finish")</calculatedColumnFormula>
    </tableColumn>
    <tableColumn id="4" xr3:uid="{F5E1BC98-B8DA-4352-AA36-948EEFB2D6BE}" name="Midranges" dataDxfId="153">
      <calculatedColumnFormula>COUNTIFS(E$4:E$35,AB24,F$4:F$35,"Midrange")</calculatedColumnFormula>
    </tableColumn>
    <tableColumn id="5" xr3:uid="{792FABB2-60F3-4593-AE66-08C16949FD78}" name="Threes" dataDxfId="15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51" dataDxfId="149" headerRowBorderDxfId="150" tableBorderDxfId="148" totalsRowBorderDxfId="147">
  <autoFilter ref="AB23:AF35" xr:uid="{A58502EA-6343-4A42-B904-BF5AA09EF1C9}"/>
  <tableColumns count="5">
    <tableColumn id="1" xr3:uid="{C42AD260-96D1-4BAD-8582-9EB233D448AD}" name="Name" dataDxfId="146"/>
    <tableColumn id="2" xr3:uid="{119BAC15-6DB1-4EED-9491-B9735D1A1CCD}" name="Points" dataDxfId="145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44">
      <calculatedColumnFormula>COUNTIFS(E$4:E$35,AB24,F$4:F$35,"Finish")</calculatedColumnFormula>
    </tableColumn>
    <tableColumn id="4" xr3:uid="{28ADA3B1-482E-43CA-AD2A-02F7A09CACFD}" name="Midranges" dataDxfId="143">
      <calculatedColumnFormula>COUNTIFS(E$4:E$35,AB24,F$4:F$35,"Midrange")</calculatedColumnFormula>
    </tableColumn>
    <tableColumn id="5" xr3:uid="{C9AC02A1-010E-43D2-BDCE-C22B864C549F}" name="Threes" dataDxfId="14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41" dataDxfId="139" headerRowBorderDxfId="140" tableBorderDxfId="138" totalsRowBorderDxfId="137">
  <autoFilter ref="AB23:AF35" xr:uid="{6E76429B-169B-468D-824D-A87B796442C0}"/>
  <tableColumns count="5">
    <tableColumn id="1" xr3:uid="{702D6C1A-EF35-4C14-A8EC-BBE79BC5BE81}" name="Name" dataDxfId="136"/>
    <tableColumn id="2" xr3:uid="{9BD04D9B-64B3-4165-9C75-3A9A0F304D9A}" name="Points" dataDxfId="135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34">
      <calculatedColumnFormula>COUNTIFS(E$4:E$35,AB24,F$4:F$35,"Finish")</calculatedColumnFormula>
    </tableColumn>
    <tableColumn id="4" xr3:uid="{179483FA-F4DC-46F6-9EBD-2B72684FBED5}" name="Midranges" dataDxfId="133">
      <calculatedColumnFormula>COUNTIFS(E$4:E$35,AB24,F$4:F$35,"Midrange")</calculatedColumnFormula>
    </tableColumn>
    <tableColumn id="5" xr3:uid="{82BFCC2E-BA97-42C7-9C9C-9D4A2257CC8D}" name="Threes" dataDxfId="13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31" dataDxfId="129" headerRowBorderDxfId="130" tableBorderDxfId="128" totalsRowBorderDxfId="127">
  <autoFilter ref="AB23:AF35" xr:uid="{711C1840-2FF8-49B4-9F4B-8223C0525289}"/>
  <tableColumns count="5">
    <tableColumn id="1" xr3:uid="{0B03E012-9A8E-4767-A04A-C16CD3CCDC33}" name="Name" dataDxfId="126"/>
    <tableColumn id="2" xr3:uid="{A2B7E625-74CD-4FF7-8B9D-7F3ACC55103A}" name="Points" dataDxfId="125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24">
      <calculatedColumnFormula>COUNTIFS(E$4:E$35,AB24,F$4:F$35,"Finish")</calculatedColumnFormula>
    </tableColumn>
    <tableColumn id="4" xr3:uid="{D078A61B-1896-43FA-8563-E4D3FCD6B4DD}" name="Midranges" dataDxfId="123">
      <calculatedColumnFormula>COUNTIFS(E$4:E$35,AB24,F$4:F$35,"Midrange")</calculatedColumnFormula>
    </tableColumn>
    <tableColumn id="5" xr3:uid="{A9701953-19FF-4D79-8455-76372461AB88}" name="Threes" dataDxfId="12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21" dataDxfId="119" headerRowBorderDxfId="120" tableBorderDxfId="118" totalsRowBorderDxfId="117">
  <autoFilter ref="AB23:AF35" xr:uid="{AE26177D-8CDE-4D62-99F6-2C9B80BCEAD6}"/>
  <tableColumns count="5">
    <tableColumn id="1" xr3:uid="{4C6C9C10-76EC-4EDA-B740-1EF5587C01D1}" name="Name" dataDxfId="116"/>
    <tableColumn id="2" xr3:uid="{6B881634-AC7D-412B-9F02-D156A1201211}" name="Points" dataDxfId="115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14">
      <calculatedColumnFormula>COUNTIFS(E$4:E$35,AB24,F$4:F$35,"Finish")</calculatedColumnFormula>
    </tableColumn>
    <tableColumn id="4" xr3:uid="{B1AB5C9D-3E0B-4B27-ADFF-1DF93EE6CC84}" name="Midranges" dataDxfId="113">
      <calculatedColumnFormula>COUNTIFS(E$4:E$35,AB24,F$4:F$35,"Midrange")</calculatedColumnFormula>
    </tableColumn>
    <tableColumn id="5" xr3:uid="{7C0B5A5A-E056-494F-86B0-CBEB8D1475C9}" name="Threes" dataDxfId="11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15" dataDxfId="314">
  <autoFilter ref="Z28:AI45" xr:uid="{84D0C431-52CF-4ABD-AA3E-D31975A289B1}"/>
  <tableColumns count="10">
    <tableColumn id="1" xr3:uid="{4DB7A2B8-7BD8-4BD7-8F53-2A7873A4EAAE}" name="Scoring" dataDxfId="313"/>
    <tableColumn id="2" xr3:uid="{BE8EBD49-660A-4C9F-970E-230EBB942EF1}" name="Points" dataDxfId="312">
      <calculatedColumnFormula>'Preseason 1'!R3+'Preseason 2'!R3+'Preseason 3'!R3</calculatedColumnFormula>
    </tableColumn>
    <tableColumn id="3" xr3:uid="{C2C49EF0-4D8C-4F8C-8D19-CDD1481D9568}" name="Finishes" dataDxfId="311">
      <calculatedColumnFormula>'Preseason 1'!S3+'Preseason 2'!S3+'Preseason 3'!S3</calculatedColumnFormula>
    </tableColumn>
    <tableColumn id="4" xr3:uid="{7E789F8C-B8F3-4D6E-AB6C-C9454835B062}" name="Midranges" dataDxfId="310">
      <calculatedColumnFormula>'Preseason 1'!T3+'Preseason 2'!T3+'Preseason 3'!T3</calculatedColumnFormula>
    </tableColumn>
    <tableColumn id="5" xr3:uid="{18C990F2-A6D0-4F57-B96A-D00066DCC8D8}" name="Threes" dataDxfId="309">
      <calculatedColumnFormula>'Preseason 1'!U3+'Preseason 2'!U3+'Preseason 3'!U3</calculatedColumnFormula>
    </tableColumn>
    <tableColumn id="6" xr3:uid="{40526534-76CA-42BA-A8B6-AB092D9CE18F}" name="Avg P" dataDxfId="308">
      <calculatedColumnFormula>AA29/($AA$27-Table2[[#This Row],[Missed Games]])</calculatedColumnFormula>
    </tableColumn>
    <tableColumn id="7" xr3:uid="{693AF117-21F6-4887-B78D-D59235BABA44}" name="Avg F" dataDxfId="307">
      <calculatedColumnFormula>AB29/($AA$27-Table2[[#This Row],[Missed Games]])</calculatedColumnFormula>
    </tableColumn>
    <tableColumn id="8" xr3:uid="{02AC8FBF-EBB3-4AFC-BAC5-B773E33B7279}" name="Avg M" dataDxfId="306">
      <calculatedColumnFormula>AC29/($AA$27-Table2[[#This Row],[Missed Games]])</calculatedColumnFormula>
    </tableColumn>
    <tableColumn id="9" xr3:uid="{CCF75EB4-34C4-4D47-9D51-E8D85C07E38B}" name="Avg T" dataDxfId="305">
      <calculatedColumnFormula>AD29/($AA$27-Table2[[#This Row],[Missed Games]])</calculatedColumnFormula>
    </tableColumn>
    <tableColumn id="10" xr3:uid="{1A786A5C-D0C2-4ABC-904C-983180542D5F}" name="Missed Games" dataDxfId="304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111" dataDxfId="109" headerRowBorderDxfId="110" tableBorderDxfId="108" totalsRowBorderDxfId="107">
  <autoFilter ref="AB23:AF35" xr:uid="{A35046DB-B0F1-42B0-86FE-D063621EE515}"/>
  <tableColumns count="5">
    <tableColumn id="1" xr3:uid="{27893731-032B-4D12-B452-2AA29EA44EC6}" name="Name" dataDxfId="106"/>
    <tableColumn id="2" xr3:uid="{E8C49AAC-F230-4F21-AC21-34B9ED55BD7B}" name="Points" dataDxfId="105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104">
      <calculatedColumnFormula>COUNTIFS(E$4:E$35,AB24,F$4:F$35,"Finish")</calculatedColumnFormula>
    </tableColumn>
    <tableColumn id="4" xr3:uid="{74575A80-2AA7-42B7-B656-A6420844C111}" name="Midranges" dataDxfId="103">
      <calculatedColumnFormula>COUNTIFS(E$4:E$35,AB24,F$4:F$35,"Midrange")</calculatedColumnFormula>
    </tableColumn>
    <tableColumn id="5" xr3:uid="{FF198C28-8745-4B95-8E6C-BFE1083D2908}" name="Threes" dataDxfId="10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101" dataDxfId="99" headerRowBorderDxfId="100" tableBorderDxfId="98" totalsRowBorderDxfId="97">
  <autoFilter ref="AB23:AF35" xr:uid="{1714D4D3-70C5-4A24-9A4E-A2AAB9CF35E3}"/>
  <tableColumns count="5">
    <tableColumn id="1" xr3:uid="{B8B5BD79-26B0-4FEE-85E2-FC16FA5B1C5A}" name="Name" dataDxfId="96"/>
    <tableColumn id="2" xr3:uid="{34EEB8C6-0E0C-432C-AC65-35959B908E48}" name="Points" dataDxfId="95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94">
      <calculatedColumnFormula>COUNTIFS(E$4:E$35,AB24,F$4:F$35,"Finish")</calculatedColumnFormula>
    </tableColumn>
    <tableColumn id="4" xr3:uid="{8013E110-47EC-40EA-9D63-E2D90CA59A8E}" name="Midranges" dataDxfId="93">
      <calculatedColumnFormula>COUNTIFS(E$4:E$35,AB24,F$4:F$35,"Midrange")</calculatedColumnFormula>
    </tableColumn>
    <tableColumn id="5" xr3:uid="{48311BF4-567F-401E-B8D3-DAB12DC49017}" name="Threes" dataDxfId="9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91" dataDxfId="89" headerRowBorderDxfId="90" tableBorderDxfId="88" totalsRowBorderDxfId="87">
  <autoFilter ref="AB23:AF35" xr:uid="{303E2669-BFE0-4C11-83AB-A66D3AD911D5}"/>
  <tableColumns count="5">
    <tableColumn id="1" xr3:uid="{0ACC658A-A2E6-4822-B4CF-E42B064307EC}" name="Name" dataDxfId="86"/>
    <tableColumn id="2" xr3:uid="{69E1B66B-C7C3-4733-9803-F7800D41C7AE}" name="Points" dataDxfId="85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84">
      <calculatedColumnFormula>COUNTIFS(E$4:E$35,AB24,F$4:F$35,"Finish")</calculatedColumnFormula>
    </tableColumn>
    <tableColumn id="4" xr3:uid="{ADB45E9B-AC7D-4069-B639-5DC6C0CF2238}" name="Midranges" dataDxfId="83">
      <calculatedColumnFormula>COUNTIFS(E$4:E$35,AB24,F$4:F$35,"Midrange")</calculatedColumnFormula>
    </tableColumn>
    <tableColumn id="5" xr3:uid="{551A75D2-68CD-46CD-B2A5-EA83451074D7}" name="Threes" dataDxfId="8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81" dataDxfId="79" headerRowBorderDxfId="80" tableBorderDxfId="78" totalsRowBorderDxfId="77">
  <autoFilter ref="AB23:AF35" xr:uid="{2C607A1D-5CBE-4AF6-B74F-A17EBEC2C394}"/>
  <tableColumns count="5">
    <tableColumn id="1" xr3:uid="{CA259BF9-3B7B-4C35-8EB0-8FC507F52620}" name="Name" dataDxfId="76"/>
    <tableColumn id="2" xr3:uid="{ACDF4FA4-A3AA-4EBC-A234-FB46076B438E}" name="Points" dataDxfId="75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74">
      <calculatedColumnFormula>COUNTIFS(E$4:E$35,AB24,F$4:F$35,"Finish")</calculatedColumnFormula>
    </tableColumn>
    <tableColumn id="4" xr3:uid="{0A3A77CE-3099-4A7B-981B-6A0F44B14D11}" name="Midranges" dataDxfId="73">
      <calculatedColumnFormula>COUNTIFS(E$4:E$35,AB24,F$4:F$35,"Midrange")</calculatedColumnFormula>
    </tableColumn>
    <tableColumn id="5" xr3:uid="{013E6D90-7B5B-4FB5-B0D3-D87F11C976DB}" name="Threes" dataDxfId="7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71" dataDxfId="69" headerRowBorderDxfId="70" tableBorderDxfId="68" totalsRowBorderDxfId="67">
  <autoFilter ref="AB23:AF35" xr:uid="{68118DB3-D0FB-483A-9EB4-32A2F2A95163}"/>
  <tableColumns count="5">
    <tableColumn id="1" xr3:uid="{CE47220C-0A23-4BEF-BE09-10F142B36862}" name="Name" dataDxfId="66"/>
    <tableColumn id="2" xr3:uid="{DF770B97-23E2-457C-9D37-5E9A3C3679DB}" name="Points" dataDxfId="65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64">
      <calculatedColumnFormula>COUNTIFS(E$4:E$35,AB24,F$4:F$35,"Finish")</calculatedColumnFormula>
    </tableColumn>
    <tableColumn id="4" xr3:uid="{9D32120F-F6FF-46CE-AE03-4EFA07E2703A}" name="Midranges" dataDxfId="63">
      <calculatedColumnFormula>COUNTIFS(E$4:E$35,AB24,F$4:F$35,"Midrange")</calculatedColumnFormula>
    </tableColumn>
    <tableColumn id="5" xr3:uid="{B0534804-3982-48F8-9692-9B112C42BBA4}" name="Threes" dataDxfId="6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61" dataDxfId="59" headerRowBorderDxfId="60" tableBorderDxfId="58" totalsRowBorderDxfId="57">
  <autoFilter ref="AB23:AF35" xr:uid="{9EF1906A-B3B3-4BEF-9867-FBF932269708}"/>
  <tableColumns count="5">
    <tableColumn id="1" xr3:uid="{19D780D9-93BA-439D-92CE-5E0011FC94C9}" name="Name" dataDxfId="56"/>
    <tableColumn id="2" xr3:uid="{F8FAB1B7-4D3F-462E-A255-9B298AE0F23D}" name="Points" dataDxfId="55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54">
      <calculatedColumnFormula>COUNTIFS(E$4:E$35,AB24,F$4:F$35,"Finish")</calculatedColumnFormula>
    </tableColumn>
    <tableColumn id="4" xr3:uid="{B84E09E7-4B7B-46CB-A382-B3A5B718B665}" name="Midranges" dataDxfId="53">
      <calculatedColumnFormula>COUNTIFS(E$4:E$35,AB24,F$4:F$35,"Midrange")</calculatedColumnFormula>
    </tableColumn>
    <tableColumn id="5" xr3:uid="{E05FF50D-26D5-4849-BD53-F8BE653947F2}" name="Threes" dataDxfId="5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51" dataDxfId="49" headerRowBorderDxfId="50" tableBorderDxfId="48" totalsRowBorderDxfId="47">
  <autoFilter ref="AB23:AF35" xr:uid="{3CDAA49A-970D-45E7-8776-FCD763C64D3D}"/>
  <tableColumns count="5">
    <tableColumn id="1" xr3:uid="{BE7D80F2-C167-4417-ABD8-DE86C19C3613}" name="Name" dataDxfId="46"/>
    <tableColumn id="2" xr3:uid="{073E7847-0F0B-4218-ADFE-40B8292E2D26}" name="Points" dataDxfId="45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44">
      <calculatedColumnFormula>COUNTIFS(E$4:E$35,AB24,F$4:F$35,"Finish")</calculatedColumnFormula>
    </tableColumn>
    <tableColumn id="4" xr3:uid="{64DD9251-F793-4491-85A1-6DBBF9E100BF}" name="Midranges" dataDxfId="43">
      <calculatedColumnFormula>COUNTIFS(E$4:E$35,AB24,F$4:F$35,"Midrange")</calculatedColumnFormula>
    </tableColumn>
    <tableColumn id="5" xr3:uid="{762904B8-CD39-408A-B16D-C23402BF9CDD}" name="Threes" dataDxfId="4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41" dataDxfId="39" headerRowBorderDxfId="40" tableBorderDxfId="38" totalsRowBorderDxfId="37">
  <autoFilter ref="AB23:AF35" xr:uid="{C6A4DFB5-74A3-4A64-AACD-91CE9502F555}"/>
  <tableColumns count="5">
    <tableColumn id="1" xr3:uid="{0299C96A-7BCA-47EB-AD86-241664A4F514}" name="Name" dataDxfId="36"/>
    <tableColumn id="2" xr3:uid="{5098BEB7-25CA-4164-914A-AC4AFA7BF2BC}" name="Points" dataDxfId="35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34">
      <calculatedColumnFormula>COUNTIFS(E$4:E$35,AB24,F$4:F$35,"Finish")</calculatedColumnFormula>
    </tableColumn>
    <tableColumn id="4" xr3:uid="{AB612CFA-1FA9-4ADE-AE53-130B2B192FB9}" name="Midranges" dataDxfId="33">
      <calculatedColumnFormula>COUNTIFS(E$4:E$35,AB24,F$4:F$35,"Midrange")</calculatedColumnFormula>
    </tableColumn>
    <tableColumn id="5" xr3:uid="{7E81C066-5B3D-4F5F-AA57-F66CFF5F91A1}" name="Threes" dataDxfId="3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31" dataDxfId="29" headerRowBorderDxfId="30" tableBorderDxfId="28" totalsRowBorderDxfId="27">
  <autoFilter ref="AB23:AF35" xr:uid="{AD350964-0408-4154-ACAC-3710508D9D87}"/>
  <tableColumns count="5">
    <tableColumn id="1" xr3:uid="{16BEA131-6137-4539-A2D9-4DB11B2311B6}" name="Name" dataDxfId="26"/>
    <tableColumn id="2" xr3:uid="{6AEC6A03-BBB8-42C1-A1C9-687F7E0DE182}" name="Points" dataDxfId="25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24">
      <calculatedColumnFormula>COUNTIFS(E$4:E$35,AB24,F$4:F$35,"Finish")</calculatedColumnFormula>
    </tableColumn>
    <tableColumn id="4" xr3:uid="{01AC69BC-B8B8-4D13-9632-3DA4330300C1}" name="Midranges" dataDxfId="23">
      <calculatedColumnFormula>COUNTIFS(E$4:E$35,AB24,F$4:F$35,"Midrange")</calculatedColumnFormula>
    </tableColumn>
    <tableColumn id="5" xr3:uid="{563C2D33-CBB1-4A24-AD12-1F7EB0B8E5B4}" name="Threes" dataDxfId="2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21" dataDxfId="19" headerRowBorderDxfId="20" tableBorderDxfId="18" totalsRowBorderDxfId="17">
  <autoFilter ref="AB23:AF35" xr:uid="{BA72D610-9C91-48B2-AE6A-0F3391E34A4D}"/>
  <tableColumns count="5">
    <tableColumn id="1" xr3:uid="{51F1B0CF-10E2-4194-85E6-583F7CE73389}" name="Name" dataDxfId="16"/>
    <tableColumn id="2" xr3:uid="{45797C8D-217B-47BB-9393-DBE33DBFD489}" name="Points" dataDxfId="15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14">
      <calculatedColumnFormula>COUNTIFS(E$4:E$35,AB24,F$4:F$35,"Finish")</calculatedColumnFormula>
    </tableColumn>
    <tableColumn id="4" xr3:uid="{67931CF6-4491-412B-9EC1-E1177336345D}" name="Midranges" dataDxfId="13">
      <calculatedColumnFormula>COUNTIFS(E$4:E$35,AB24,F$4:F$35,"Midrange")</calculatedColumnFormula>
    </tableColumn>
    <tableColumn id="5" xr3:uid="{55B3E858-EE70-46D9-B721-DC47897AA8BB}" name="Threes" dataDxfId="1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03" dataDxfId="302">
  <autoFilter ref="AK28:AT45" xr:uid="{46F39EBA-1E74-46F4-A6E5-473672128124}"/>
  <tableColumns count="10">
    <tableColumn id="1" xr3:uid="{5D003608-C1C2-4694-9447-8632FB8D7348}" name="Scoring" dataDxfId="301"/>
    <tableColumn id="2" xr3:uid="{D15F4085-CED5-4CDD-B43B-BF7EB59B45A3}" name="Points" dataDxfId="300">
      <calculatedColumnFormula>'1707'!R3+'1807'!R3+'1907'!R3+'2007'!R3</calculatedColumnFormula>
    </tableColumn>
    <tableColumn id="3" xr3:uid="{2D436F37-54B6-4820-9145-F48B4EF9B294}" name="Finishes" dataDxfId="299">
      <calculatedColumnFormula>'1707'!S3+'1807'!S3+'1907'!S3+'2007'!S3</calculatedColumnFormula>
    </tableColumn>
    <tableColumn id="4" xr3:uid="{1D9B6A22-B682-47F3-B738-7C138F317A41}" name="Midranges" dataDxfId="298">
      <calculatedColumnFormula>'1707'!T3+'1807'!T3+'1907'!T3+'2007'!T3</calculatedColumnFormula>
    </tableColumn>
    <tableColumn id="5" xr3:uid="{9966C9A0-3872-44E9-BB39-05DE197EAA68}" name="Threes" dataDxfId="297">
      <calculatedColumnFormula>'1707'!U3+'1807'!U3+'1907'!U3+'2007'!U3</calculatedColumnFormula>
    </tableColumn>
    <tableColumn id="6" xr3:uid="{CC4AB646-735F-425F-8528-C5EFE7FE11DC}" name="Avg P" dataDxfId="296">
      <calculatedColumnFormula>AL29/($AL$27-Table211[[#This Row],[Missed Games]])</calculatedColumnFormula>
    </tableColumn>
    <tableColumn id="7" xr3:uid="{F8D0247E-C6F7-467A-9F38-46084D44F8AB}" name="Avg F" dataDxfId="295">
      <calculatedColumnFormula>AM29/($AL$27-Table211[[#This Row],[Missed Games]])</calculatedColumnFormula>
    </tableColumn>
    <tableColumn id="8" xr3:uid="{7CCF1C77-9DB0-4EB2-B7D0-FD0BDBEBFA0E}" name="Avg M" dataDxfId="294">
      <calculatedColumnFormula>AN29/($AL$27-Table211[[#This Row],[Missed Games]])</calculatedColumnFormula>
    </tableColumn>
    <tableColumn id="9" xr3:uid="{582A1A4E-5383-4383-A480-735408867046}" name="Avg T" dataDxfId="293">
      <calculatedColumnFormula>AO29/($AL$27-Table211[[#This Row],[Missed Games]])</calculatedColumnFormula>
    </tableColumn>
    <tableColumn id="10" xr3:uid="{E547AEB5-F9BA-4C5F-8DCE-34B6A8FF303A}" name="Missed Games" dataDxfId="292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291" dataDxfId="290">
  <autoFilter ref="Z48:AI65" xr:uid="{D27C125F-71B2-44D9-9F7A-9BED67755DD3}"/>
  <tableColumns count="10">
    <tableColumn id="1" xr3:uid="{0B0344E8-2677-4FAB-9B03-4745991FB5AE}" name="Scoring" dataDxfId="289"/>
    <tableColumn id="2" xr3:uid="{58CA1107-8BB4-4A5D-BA00-31619C8D3973}" name="Points" dataDxfId="288">
      <calculatedColumnFormula>'2407'!R3+'2607'!R3+'2707'!R3</calculatedColumnFormula>
    </tableColumn>
    <tableColumn id="3" xr3:uid="{8090861E-1FDF-44F4-9DB6-BB814E32C754}" name="Finishes" dataDxfId="287">
      <calculatedColumnFormula>'2407'!S3+'2607'!S3+'2707'!S3</calculatedColumnFormula>
    </tableColumn>
    <tableColumn id="4" xr3:uid="{972D0347-DAB3-4985-A738-E5D78740D498}" name="Midranges" dataDxfId="286">
      <calculatedColumnFormula>'2407'!T3+'2607'!T3+'2707'!T3</calculatedColumnFormula>
    </tableColumn>
    <tableColumn id="5" xr3:uid="{48F5F884-1753-4988-9056-632B5EB6BBCB}" name="Threes" dataDxfId="285">
      <calculatedColumnFormula>'2407'!U3+'2607'!U3+'2707'!U3</calculatedColumnFormula>
    </tableColumn>
    <tableColumn id="6" xr3:uid="{6953B627-EA05-418F-A758-FD59263EA60D}" name="Avg P" dataDxfId="284">
      <calculatedColumnFormula>Table21123[[#This Row],[Points]]/($AA$47-Table21123[[#This Row],[Missed Games]])</calculatedColumnFormula>
    </tableColumn>
    <tableColumn id="7" xr3:uid="{BE057C9C-5ECD-4AC2-A9C0-18C89CFB52BC}" name="Avg F" dataDxfId="283">
      <calculatedColumnFormula>Table21123[[#This Row],[Finishes]]/($AA$47-Table21123[[#This Row],[Missed Games]])</calculatedColumnFormula>
    </tableColumn>
    <tableColumn id="8" xr3:uid="{0FDEBEE7-CD5E-4A44-A0AE-74F044F1FF46}" name="Avg M" dataDxfId="282">
      <calculatedColumnFormula>Table21123[[#This Row],[Midranges]]/($AA$47-Table21123[[#This Row],[Missed Games]])</calculatedColumnFormula>
    </tableColumn>
    <tableColumn id="9" xr3:uid="{76975BB6-3677-41A8-BC24-7536B1D876D3}" name="Avg T" dataDxfId="281">
      <calculatedColumnFormula>Table21123[[#This Row],[Threes]]/($AA$47-Table21123[[#This Row],[Missed Games]])</calculatedColumnFormula>
    </tableColumn>
    <tableColumn id="10" xr3:uid="{E5ADB69B-3BA2-4019-8C83-8B02221F187E}" name="Missed Games" dataDxfId="280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279" dataDxfId="278">
  <autoFilter ref="AK48:AT65" xr:uid="{22B89D2C-1B74-4036-A4ED-A5E61F1B3AAC}"/>
  <tableColumns count="10">
    <tableColumn id="1" xr3:uid="{3D35891E-3654-497A-8DB2-BF0BD916CA29}" name="Scoring" dataDxfId="277"/>
    <tableColumn id="2" xr3:uid="{54B5B6AF-372A-4E07-B4D6-DFC66F7E20C5}" name="Points" dataDxfId="276">
      <calculatedColumnFormula>'3107'!R3+'0108'!R3+'0208'!R3+'0308'!R3</calculatedColumnFormula>
    </tableColumn>
    <tableColumn id="3" xr3:uid="{6CA15B41-F560-4B43-8836-163F5BB5689C}" name="Finishes" dataDxfId="275">
      <calculatedColumnFormula>'3107'!S3+'0108'!S3+'0208'!S3+'0308'!S3</calculatedColumnFormula>
    </tableColumn>
    <tableColumn id="4" xr3:uid="{8FF05262-0051-44F7-966E-8D405318BA69}" name="Midranges" dataDxfId="274">
      <calculatedColumnFormula>'3107'!T3+'0108'!T3+'0208'!T3+'0308'!T3</calculatedColumnFormula>
    </tableColumn>
    <tableColumn id="5" xr3:uid="{F0D843FC-7A93-4C9A-BCCF-E789F7811B3B}" name="Threes" dataDxfId="273">
      <calculatedColumnFormula>'3107'!U3+'0108'!U3+'0208'!U3+'0308'!U3</calculatedColumnFormula>
    </tableColumn>
    <tableColumn id="6" xr3:uid="{F0498F8A-F646-4C1F-A3CF-E89E73750FC1}" name="Avg P" dataDxfId="272">
      <calculatedColumnFormula>AL49/($AL$47-Table21124[[#This Row],[Missed Games]])</calculatedColumnFormula>
    </tableColumn>
    <tableColumn id="7" xr3:uid="{A387BC88-F45C-4386-8503-EFEA33BDAC38}" name="Avg F" dataDxfId="271">
      <calculatedColumnFormula>AM49/($AL$47-Table21124[[#This Row],[Missed Games]])</calculatedColumnFormula>
    </tableColumn>
    <tableColumn id="8" xr3:uid="{BEA82919-0828-4351-A01A-D72E13E63FAB}" name="Avg M" dataDxfId="270">
      <calculatedColumnFormula>AN49/($AL$47-Table21124[[#This Row],[Missed Games]])</calculatedColumnFormula>
    </tableColumn>
    <tableColumn id="9" xr3:uid="{ABEBCE01-BCA4-4342-966C-27301889B607}" name="Avg T" dataDxfId="269">
      <calculatedColumnFormula>AO49/($AL$47-Table21124[[#This Row],[Missed Games]])</calculatedColumnFormula>
    </tableColumn>
    <tableColumn id="10" xr3:uid="{65E7A8E7-4C51-42E4-AB0F-B7FF6099D70A}" name="Missed Games" dataDxfId="268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267" dataDxfId="266">
  <autoFilter ref="AK68:AT85" xr:uid="{18C7D514-96DE-4BA6-B019-3E860ED143EC}"/>
  <tableColumns count="10">
    <tableColumn id="1" xr3:uid="{D144EF14-69FD-4E71-90C7-56F49F45FAE5}" name="Scoring" dataDxfId="265"/>
    <tableColumn id="2" xr3:uid="{34D1D392-F3E0-4C36-9EED-849D5B1149E6}" name="Points" dataDxfId="264">
      <calculatedColumnFormula>Template!AC43</calculatedColumnFormula>
    </tableColumn>
    <tableColumn id="3" xr3:uid="{E91D98A2-80BD-4E5C-9036-2FCC8185369F}" name="Finishes" dataDxfId="263">
      <calculatedColumnFormula>Template!AD43</calculatedColumnFormula>
    </tableColumn>
    <tableColumn id="4" xr3:uid="{D2E5029E-4811-4E9B-9A2D-5F5F8F322B0D}" name="Midranges" dataDxfId="262">
      <calculatedColumnFormula>Template!AE43</calculatedColumnFormula>
    </tableColumn>
    <tableColumn id="5" xr3:uid="{B3E76CEE-33DA-4B18-8DCE-8EBC7EE592D7}" name="Threes" dataDxfId="261">
      <calculatedColumnFormula>Template!AF43</calculatedColumnFormula>
    </tableColumn>
    <tableColumn id="6" xr3:uid="{6ABE1879-8018-4498-A9A1-22CF831F0364}" name="Avg P" dataDxfId="260">
      <calculatedColumnFormula>AL69/$AA$27</calculatedColumnFormula>
    </tableColumn>
    <tableColumn id="7" xr3:uid="{8DA4DD79-8A2A-49E4-996F-C1ACCED3C565}" name="Avg F" dataDxfId="259">
      <calculatedColumnFormula>AM69/$AA$27</calculatedColumnFormula>
    </tableColumn>
    <tableColumn id="8" xr3:uid="{256EA4BC-BA61-49E2-969F-0786AA9AA6EA}" name="Avg M" dataDxfId="258">
      <calculatedColumnFormula>AN69/$AA$27</calculatedColumnFormula>
    </tableColumn>
    <tableColumn id="9" xr3:uid="{0E5566B2-99EC-4B03-A074-8705C4EDA484}" name="Avg T" dataDxfId="257">
      <calculatedColumnFormula>AO69/$AA$27</calculatedColumnFormula>
    </tableColumn>
    <tableColumn id="10" xr3:uid="{3E2357F0-493E-401D-AC75-9AAB260F684E}" name="Missed Games" dataDxfId="256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255" dataDxfId="254">
  <autoFilter ref="Z68:AI85" xr:uid="{F118BED8-7AAF-4E55-A61F-C75C69A64AAE}"/>
  <tableColumns count="10">
    <tableColumn id="1" xr3:uid="{7723929D-65B3-40BB-8FDD-C4533243706C}" name="Scoring" dataDxfId="253"/>
    <tableColumn id="2" xr3:uid="{EC28DE3D-619E-4930-A3AF-7AD1BE1D4843}" name="Points" dataDxfId="252">
      <calculatedColumnFormula>'0808'!R3+'0908'!R3+'1008'!R3</calculatedColumnFormula>
    </tableColumn>
    <tableColumn id="3" xr3:uid="{9537269D-8C1D-42B5-866F-D03CE61A8512}" name="Finishes" dataDxfId="251">
      <calculatedColumnFormula>'0808'!S3+'0908'!S3+'1008'!S3</calculatedColumnFormula>
    </tableColumn>
    <tableColumn id="4" xr3:uid="{AC590DDB-BE19-4A14-8B98-1E5E2430AA45}" name="Midranges" dataDxfId="250">
      <calculatedColumnFormula>'0808'!T3+'0908'!T3+'1008'!T3</calculatedColumnFormula>
    </tableColumn>
    <tableColumn id="5" xr3:uid="{C96D3ACD-F34D-477E-86DE-4650EE56BC94}" name="Threes" dataDxfId="249">
      <calculatedColumnFormula>'0808'!U3+'0908'!U3+'1008'!U3</calculatedColumnFormula>
    </tableColumn>
    <tableColumn id="6" xr3:uid="{A43DE5E9-BB01-49FA-A204-66EE7BAA2E9F}" name="Avg P" dataDxfId="248">
      <calculatedColumnFormula>Table21126[[#This Row],[Points]]/($AA$67-Table21126[[#This Row],[Missed Games]])</calculatedColumnFormula>
    </tableColumn>
    <tableColumn id="7" xr3:uid="{C75A19FF-6041-45C2-BACB-E347F06B6329}" name="Avg F" dataDxfId="247">
      <calculatedColumnFormula>Table21126[[#This Row],[Finishes]]/($AA$67-Table21126[[#This Row],[Missed Games]])</calculatedColumnFormula>
    </tableColumn>
    <tableColumn id="8" xr3:uid="{00D3FCFC-C9C5-4C96-BE0E-8E1FDC95D07C}" name="Avg M" dataDxfId="246">
      <calculatedColumnFormula>Table21126[[#This Row],[Midranges]]/($AA$67-Table21126[[#This Row],[Missed Games]])</calculatedColumnFormula>
    </tableColumn>
    <tableColumn id="9" xr3:uid="{0448FF4E-9D2D-47F6-89B7-F17D36B05E8A}" name="Avg T" dataDxfId="245">
      <calculatedColumnFormula>Table21126[[#This Row],[Threes]]/($AA$67-Table21126[[#This Row],[Missed Games]])</calculatedColumnFormula>
    </tableColumn>
    <tableColumn id="10" xr3:uid="{D5BDFA2D-095B-44F8-8567-15B3B1520E5A}" name="Missed Games" dataDxfId="244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243" dataDxfId="242">
  <autoFilter ref="Z88:AI105" xr:uid="{BDD2E472-3925-41A7-BECD-3315E6E71ECC}"/>
  <tableColumns count="10">
    <tableColumn id="1" xr3:uid="{9DBD966D-620C-4B97-A502-29D00ABE150B}" name="Scoring" dataDxfId="241"/>
    <tableColumn id="2" xr3:uid="{F8F81F0E-16B3-4472-9D90-A92149C763E4}" name="Points" dataDxfId="240">
      <calculatedColumnFormula>Template!R63</calculatedColumnFormula>
    </tableColumn>
    <tableColumn id="3" xr3:uid="{09859CE1-290D-4977-B02C-46F4E5A6FDC2}" name="Finishes" dataDxfId="239">
      <calculatedColumnFormula>Template!S63</calculatedColumnFormula>
    </tableColumn>
    <tableColumn id="4" xr3:uid="{7D751A0E-2895-46DF-B5E2-5A8AA5531CD2}" name="Midranges" dataDxfId="238">
      <calculatedColumnFormula>Template!T63</calculatedColumnFormula>
    </tableColumn>
    <tableColumn id="5" xr3:uid="{591CDC71-B0EA-413B-B6C1-77884E7E50D4}" name="Threes" dataDxfId="237">
      <calculatedColumnFormula>Template!U63</calculatedColumnFormula>
    </tableColumn>
    <tableColumn id="6" xr3:uid="{52ED768C-5557-42DC-9824-7A4D9B547153}" name="Avg P" dataDxfId="236">
      <calculatedColumnFormula>AA89/$AA$27</calculatedColumnFormula>
    </tableColumn>
    <tableColumn id="7" xr3:uid="{FC79BE87-72E2-4F5E-83D6-CDCE645EB943}" name="Avg F" dataDxfId="235">
      <calculatedColumnFormula>AB89/$AA$27</calculatedColumnFormula>
    </tableColumn>
    <tableColumn id="8" xr3:uid="{BA012C22-0D65-4C11-98A7-4F958703D04B}" name="Avg M" dataDxfId="234">
      <calculatedColumnFormula>AC89/$AA$27</calculatedColumnFormula>
    </tableColumn>
    <tableColumn id="9" xr3:uid="{63344F2B-5D94-417D-85E2-C2BFBACE3E7E}" name="Avg T" dataDxfId="233">
      <calculatedColumnFormula>AD89/$AA$27</calculatedColumnFormula>
    </tableColumn>
    <tableColumn id="10" xr3:uid="{1AD5A604-8909-45B3-8E43-11D407451CEA}" name="Missed Games" dataDxfId="232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31" dataDxfId="230">
  <autoFilter ref="AK88:AT105" xr:uid="{F9183685-60DE-4163-AA62-BE4F563EE570}"/>
  <tableColumns count="10">
    <tableColumn id="1" xr3:uid="{E62FBAA0-D6F6-4997-96C9-B6B13FAA9B6E}" name="Scoring" dataDxfId="229"/>
    <tableColumn id="2" xr3:uid="{0A655F6F-9A21-4167-85B6-B9F7DC2070CA}" name="Points" dataDxfId="228">
      <calculatedColumnFormula>Template!AC63</calculatedColumnFormula>
    </tableColumn>
    <tableColumn id="3" xr3:uid="{460771D3-3BD8-4DA3-AF1B-1A0F98EF1499}" name="Finishes" dataDxfId="227">
      <calculatedColumnFormula>Template!AD63</calculatedColumnFormula>
    </tableColumn>
    <tableColumn id="4" xr3:uid="{3C08B2D7-823D-49C3-A627-A5848E664B2F}" name="Midranges" dataDxfId="226">
      <calculatedColumnFormula>Template!AE63</calculatedColumnFormula>
    </tableColumn>
    <tableColumn id="5" xr3:uid="{E88F45FB-4C46-4674-86D5-74808E7E5368}" name="Threes" dataDxfId="225">
      <calculatedColumnFormula>Template!AF63</calculatedColumnFormula>
    </tableColumn>
    <tableColumn id="6" xr3:uid="{0C0E8016-1E6E-4F25-9675-4EE061FFD0F7}" name="Avg P" dataDxfId="224">
      <calculatedColumnFormula>AL89/$AA$27</calculatedColumnFormula>
    </tableColumn>
    <tableColumn id="7" xr3:uid="{F7AC350B-AE4B-4912-B21D-16D99E2AE8BF}" name="Avg F" dataDxfId="223">
      <calculatedColumnFormula>AM89/$AA$27</calculatedColumnFormula>
    </tableColumn>
    <tableColumn id="8" xr3:uid="{F451E5CA-B9C4-4EFA-A647-CEDB2FB39550}" name="Avg M" dataDxfId="222">
      <calculatedColumnFormula>AN89/$AA$27</calculatedColumnFormula>
    </tableColumn>
    <tableColumn id="9" xr3:uid="{ED1D92B5-05F1-40CE-A89F-E6627FAB4A59}" name="Avg T" dataDxfId="221">
      <calculatedColumnFormula>AO89/$AA$27</calculatedColumnFormula>
    </tableColumn>
    <tableColumn id="10" xr3:uid="{48A4808A-3DE6-4644-83F5-C2AEDDFC3E5E}" name="Missed Games" dataDxfId="220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06" t="s">
        <v>47</v>
      </c>
      <c r="D3" s="7">
        <f>'Stats Global'!AB8</f>
        <v>0.21428571428571427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0.21428571428571427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196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06" t="s">
        <v>47</v>
      </c>
      <c r="D4" s="7">
        <f>'Stats Global'!AB9</f>
        <v>0.92307692307692313</v>
      </c>
      <c r="E4" s="11">
        <f>'Stats Global'!AA9</f>
        <v>12</v>
      </c>
      <c r="F4" s="7">
        <f>'Stats Global'!AD9</f>
        <v>0.92307692307692313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196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5" t="s">
        <v>26</v>
      </c>
      <c r="D5" s="7">
        <f>'Stats Global'!AB10</f>
        <v>3.4285714285714284</v>
      </c>
      <c r="E5" s="11">
        <f>'Stats Global'!AA10</f>
        <v>24</v>
      </c>
      <c r="F5" s="7">
        <f>'Stats Global'!AD10</f>
        <v>3.1428571428571428</v>
      </c>
      <c r="G5" s="11">
        <f>'Stats Global'!AC10</f>
        <v>22</v>
      </c>
      <c r="H5" s="7">
        <f>'Stats Global'!AF10</f>
        <v>0</v>
      </c>
      <c r="I5" s="11">
        <f>'Stats Global'!AE10</f>
        <v>0</v>
      </c>
      <c r="J5" s="7">
        <f>'Stats Global'!AH10</f>
        <v>0.14285714285714285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193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1.2</v>
      </c>
      <c r="E6" s="11">
        <f>'Stats Global'!AA11</f>
        <v>12</v>
      </c>
      <c r="F6" s="7">
        <f>'Stats Global'!AD11</f>
        <v>1.2</v>
      </c>
      <c r="G6" s="11">
        <f>'Stats Global'!AC11</f>
        <v>12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5" t="s">
        <v>189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5" t="s">
        <v>31</v>
      </c>
      <c r="D7" s="7">
        <f>'Stats Global'!AB12</f>
        <v>1.25</v>
      </c>
      <c r="E7" s="11">
        <f>'Stats Global'!AA12</f>
        <v>15</v>
      </c>
      <c r="F7" s="7">
        <f>'Stats Global'!AD12</f>
        <v>0.5</v>
      </c>
      <c r="G7" s="11">
        <f>'Stats Global'!AC12</f>
        <v>6</v>
      </c>
      <c r="H7" s="7">
        <f>'Stats Global'!AF12</f>
        <v>0.41666666666666669</v>
      </c>
      <c r="I7" s="11">
        <f>'Stats Global'!AE12</f>
        <v>5</v>
      </c>
      <c r="J7" s="7">
        <f>'Stats Global'!AH12</f>
        <v>0.16666666666666666</v>
      </c>
      <c r="K7" s="11">
        <f>'Stats Global'!AG12</f>
        <v>2</v>
      </c>
      <c r="L7" s="2" t="s">
        <v>38</v>
      </c>
      <c r="M7" s="2" t="s">
        <v>39</v>
      </c>
      <c r="N7" s="16" t="s">
        <v>153</v>
      </c>
      <c r="O7" s="16" t="s">
        <v>155</v>
      </c>
      <c r="T7" s="105" t="s">
        <v>194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44" t="s">
        <v>26</v>
      </c>
      <c r="D8" s="7">
        <f>'Stats Global'!AB13</f>
        <v>0.54545454545454541</v>
      </c>
      <c r="E8" s="11">
        <f>'Stats Global'!AA13</f>
        <v>6</v>
      </c>
      <c r="F8" s="7">
        <f>'Stats Global'!AD13</f>
        <v>0.45454545454545453</v>
      </c>
      <c r="G8" s="11">
        <f>'Stats Global'!AC13</f>
        <v>5</v>
      </c>
      <c r="H8" s="7">
        <f>'Stats Global'!AF13</f>
        <v>9.0909090909090912E-2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44" t="s">
        <v>239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06" t="s">
        <v>26</v>
      </c>
      <c r="D9" s="7">
        <f>'Stats Global'!AB14</f>
        <v>0.42857142857142855</v>
      </c>
      <c r="E9" s="11">
        <f>'Stats Global'!AA14</f>
        <v>6</v>
      </c>
      <c r="F9" s="7">
        <f>'Stats Global'!AD14</f>
        <v>0.2857142857142857</v>
      </c>
      <c r="G9" s="11">
        <f>'Stats Global'!AC14</f>
        <v>4</v>
      </c>
      <c r="H9" s="7">
        <f>'Stats Global'!AF14</f>
        <v>0.14285714285714285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212</v>
      </c>
      <c r="M9" s="16" t="s">
        <v>158</v>
      </c>
      <c r="T9" s="106" t="s">
        <v>199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06" t="s">
        <v>31</v>
      </c>
      <c r="D10" s="7">
        <f>'Stats Global'!AB15</f>
        <v>1.375</v>
      </c>
      <c r="E10" s="11">
        <f>'Stats Global'!AA15</f>
        <v>11</v>
      </c>
      <c r="F10" s="7">
        <f>'Stats Global'!AD15</f>
        <v>0</v>
      </c>
      <c r="G10" s="11">
        <f>'Stats Global'!AC15</f>
        <v>0</v>
      </c>
      <c r="H10" s="7">
        <f>'Stats Global'!AF15</f>
        <v>0.125</v>
      </c>
      <c r="I10" s="11">
        <f>'Stats Global'!AE15</f>
        <v>1</v>
      </c>
      <c r="J10" s="7">
        <f>'Stats Global'!AH15</f>
        <v>0.625</v>
      </c>
      <c r="K10" s="11">
        <f>'Stats Global'!AG15</f>
        <v>5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06" t="s">
        <v>198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5" t="s">
        <v>47</v>
      </c>
      <c r="D11" s="7">
        <f>'Stats Global'!AB16</f>
        <v>1.9166666666666667</v>
      </c>
      <c r="E11" s="11">
        <f>'Stats Global'!AA16</f>
        <v>23</v>
      </c>
      <c r="F11" s="7">
        <f>'Stats Global'!AD16</f>
        <v>0.75</v>
      </c>
      <c r="G11" s="11">
        <f>'Stats Global'!AC16</f>
        <v>9</v>
      </c>
      <c r="H11" s="7">
        <f>'Stats Global'!AF16</f>
        <v>0.66666666666666663</v>
      </c>
      <c r="I11" s="11">
        <f>'Stats Global'!AE16</f>
        <v>8</v>
      </c>
      <c r="J11" s="7">
        <f>'Stats Global'!AH16</f>
        <v>0.25</v>
      </c>
      <c r="K11" s="11">
        <f>'Stats Global'!AG16</f>
        <v>3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195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3.4615384615384617</v>
      </c>
      <c r="E12" s="11">
        <f>'Stats Global'!AA17</f>
        <v>45</v>
      </c>
      <c r="F12" s="7">
        <f>'Stats Global'!AD17</f>
        <v>0.53846153846153844</v>
      </c>
      <c r="G12" s="11">
        <f>'Stats Global'!AC17</f>
        <v>7</v>
      </c>
      <c r="H12" s="7">
        <f>'Stats Global'!AF17</f>
        <v>2.1538461538461537</v>
      </c>
      <c r="I12" s="11">
        <f>'Stats Global'!AE17</f>
        <v>28</v>
      </c>
      <c r="J12" s="7">
        <f>'Stats Global'!AH17</f>
        <v>0.38461538461538464</v>
      </c>
      <c r="K12" s="11">
        <f>'Stats Global'!AG17</f>
        <v>5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96" t="s">
        <v>190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06" t="s">
        <v>31</v>
      </c>
      <c r="D13" s="7">
        <f>'Stats Global'!AB18</f>
        <v>0.5714285714285714</v>
      </c>
      <c r="E13" s="11">
        <f>'Stats Global'!AA18</f>
        <v>8</v>
      </c>
      <c r="F13" s="7">
        <f>'Stats Global'!AD18</f>
        <v>7.1428571428571425E-2</v>
      </c>
      <c r="G13" s="11">
        <f>'Stats Global'!AC18</f>
        <v>1</v>
      </c>
      <c r="H13" s="7">
        <f>'Stats Global'!AF18</f>
        <v>0.5</v>
      </c>
      <c r="I13" s="11">
        <f>'Stats Global'!AE18</f>
        <v>7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07" t="s">
        <v>197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200</v>
      </c>
      <c r="C14" s="138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211</v>
      </c>
      <c r="M14" s="2"/>
      <c r="N14" s="16"/>
      <c r="O14" s="16"/>
      <c r="P14" s="16"/>
      <c r="Q14" s="16"/>
      <c r="R14" s="16"/>
      <c r="S14" s="16"/>
      <c r="T14" s="139" t="s">
        <v>239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44" t="s">
        <v>31</v>
      </c>
      <c r="D15" s="7">
        <f>'Stats Global'!AB20</f>
        <v>0.76923076923076927</v>
      </c>
      <c r="E15" s="11">
        <f>'Stats Global'!AA20</f>
        <v>10</v>
      </c>
      <c r="F15" s="7">
        <f>'Stats Global'!AD20</f>
        <v>0.69230769230769229</v>
      </c>
      <c r="G15" s="11">
        <f>'Stats Global'!AC20</f>
        <v>9</v>
      </c>
      <c r="H15" s="7">
        <f>'Stats Global'!AF20</f>
        <v>7.6923076923076927E-2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45" t="s">
        <v>238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06" t="s">
        <v>47</v>
      </c>
      <c r="D16" s="7">
        <f>'Stats Global'!AB21</f>
        <v>1.1428571428571428</v>
      </c>
      <c r="E16" s="11">
        <f>'Stats Global'!AA21</f>
        <v>16</v>
      </c>
      <c r="F16" s="7">
        <f>'Stats Global'!AD21</f>
        <v>0.7857142857142857</v>
      </c>
      <c r="G16" s="11">
        <f>'Stats Global'!AC21</f>
        <v>11</v>
      </c>
      <c r="H16" s="7">
        <f>'Stats Global'!AF21</f>
        <v>0.21428571428571427</v>
      </c>
      <c r="I16" s="11">
        <f>'Stats Global'!AE21</f>
        <v>3</v>
      </c>
      <c r="J16" s="7">
        <f>'Stats Global'!AH21</f>
        <v>7.1428571428571425E-2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07" t="s">
        <v>196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2.9285714285714284</v>
      </c>
      <c r="E17" s="11">
        <f>'Stats Global'!AA22</f>
        <v>41</v>
      </c>
      <c r="F17" s="7">
        <f>'Stats Global'!AD22</f>
        <v>1.5</v>
      </c>
      <c r="G17" s="11">
        <f>'Stats Global'!AC22</f>
        <v>21</v>
      </c>
      <c r="H17" s="7">
        <f>'Stats Global'!AF22</f>
        <v>0.5714285714285714</v>
      </c>
      <c r="I17" s="11">
        <f>'Stats Global'!AE22</f>
        <v>8</v>
      </c>
      <c r="J17" s="7">
        <f>'Stats Global'!AH22</f>
        <v>0.42857142857142855</v>
      </c>
      <c r="K17" s="11">
        <f>'Stats Global'!AG22</f>
        <v>6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5" t="s">
        <v>191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52" t="s">
        <v>26</v>
      </c>
      <c r="D18" s="7">
        <f>'Stats Global'!AB23</f>
        <v>7.1428571428571425E-2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7.1428571428571425E-2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52" t="s">
        <v>269</v>
      </c>
      <c r="U18" s="11" t="str">
        <f t="shared" si="2"/>
        <v>../Images/5M_Final.png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38" t="s">
        <v>31</v>
      </c>
      <c r="D19" s="7">
        <f>'Stats Global'!AB24</f>
        <v>0.5</v>
      </c>
      <c r="E19" s="11">
        <f>'Stats Global'!AA24</f>
        <v>4</v>
      </c>
      <c r="F19" s="7">
        <f>'Stats Global'!AD24</f>
        <v>0.5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38" t="s">
        <v>238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210</v>
      </c>
    </row>
    <row r="22" spans="2:24" ht="14.25" customHeight="1" x14ac:dyDescent="0.9">
      <c r="B22" s="174" t="s">
        <v>119</v>
      </c>
      <c r="C22" s="174"/>
      <c r="D22" s="94"/>
      <c r="X22" s="2" t="s">
        <v>70</v>
      </c>
    </row>
    <row r="23" spans="2:24" ht="14.25" customHeight="1" x14ac:dyDescent="0.9">
      <c r="B23" s="174"/>
      <c r="C23" s="174"/>
      <c r="D23" s="94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"PPG":[0.21,0.92,3.43,1.2,1.25,0.55,0.43,1.38,1.92,3.46,0.57,0.17,0.77,1.14,2.93,0.07,0.5],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"TP":[3,12,24,12,15,6,6,11,23,45,8,1,10,16,41,1,4],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"FPG":[0,0.92,3.14,1.2,0.5,0.45,0.29,0,0.75,0.54,0.07,0,0.69,0.79,1.5,0,0.5],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"TF":[0,12,22,12,6,5,4,0,9,7,1,0,9,11,21,0,4],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"MPG":[0.21,0,0,0,0.42,0.09,0.14,0.13,0.67,2.15,0.5,0.17,0.08,0.21,0.57,0.07,0],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"TM":[3,0,0,0,5,1,2,1,8,28,7,1,1,3,8,1,0],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"TPG":[0,0,0.14,0,0.17,0,0,0.63,0.25,0.38,0,0,0,0.07,0.43,0,0],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"TT":[0,0,1,0,2,0,0,5,3,5,0,0,0,1,6,0,0],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0.21,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0.21,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0.92,</v>
      </c>
      <c r="E51" s="17" t="str">
        <f t="shared" si="7"/>
        <v>12,</v>
      </c>
      <c r="F51" s="17" t="str">
        <f t="shared" si="8"/>
        <v>0.92,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3.43,</v>
      </c>
      <c r="E52" s="17" t="str">
        <f t="shared" si="7"/>
        <v>24,</v>
      </c>
      <c r="F52" s="17" t="str">
        <f t="shared" si="8"/>
        <v>3.14,</v>
      </c>
      <c r="G52" s="17" t="str">
        <f t="shared" si="9"/>
        <v>22,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0.14,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1.2,</v>
      </c>
      <c r="E53" s="17" t="str">
        <f t="shared" si="7"/>
        <v>12,</v>
      </c>
      <c r="F53" s="17" t="str">
        <f t="shared" si="8"/>
        <v>1.2,</v>
      </c>
      <c r="G53" s="17" t="str">
        <f t="shared" si="9"/>
        <v>12,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1.25,</v>
      </c>
      <c r="E54" s="17" t="str">
        <f t="shared" si="7"/>
        <v>15,</v>
      </c>
      <c r="F54" s="17" t="str">
        <f t="shared" si="8"/>
        <v>0.5,</v>
      </c>
      <c r="G54" s="17" t="str">
        <f t="shared" si="9"/>
        <v>6,</v>
      </c>
      <c r="H54" s="17" t="str">
        <f t="shared" si="10"/>
        <v>0.42,</v>
      </c>
      <c r="I54" s="17" t="str">
        <f t="shared" si="11"/>
        <v>5,</v>
      </c>
      <c r="J54" s="17" t="str">
        <f t="shared" si="12"/>
        <v>0.17,</v>
      </c>
      <c r="K54" s="17" t="str">
        <f t="shared" si="13"/>
        <v>2,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0.55,</v>
      </c>
      <c r="E55" s="17" t="str">
        <f t="shared" si="7"/>
        <v>6,</v>
      </c>
      <c r="F55" s="17" t="str">
        <f t="shared" si="8"/>
        <v>0.45,</v>
      </c>
      <c r="G55" s="17" t="str">
        <f t="shared" si="9"/>
        <v>5,</v>
      </c>
      <c r="H55" s="17" t="str">
        <f t="shared" si="10"/>
        <v>0.09,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0.43,</v>
      </c>
      <c r="E56" s="17" t="str">
        <f t="shared" si="7"/>
        <v>6,</v>
      </c>
      <c r="F56" s="17" t="str">
        <f t="shared" si="8"/>
        <v>0.29,</v>
      </c>
      <c r="G56" s="17" t="str">
        <f t="shared" si="9"/>
        <v>4,</v>
      </c>
      <c r="H56" s="17" t="str">
        <f t="shared" si="10"/>
        <v>0.14,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1.38,</v>
      </c>
      <c r="E57" s="17" t="str">
        <f t="shared" si="7"/>
        <v>11,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0.13,</v>
      </c>
      <c r="I57" s="17" t="str">
        <f t="shared" si="11"/>
        <v>1,</v>
      </c>
      <c r="J57" s="17" t="str">
        <f t="shared" si="12"/>
        <v>0.63,</v>
      </c>
      <c r="K57" s="17" t="str">
        <f t="shared" si="13"/>
        <v>5,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1.92,</v>
      </c>
      <c r="E58" s="17" t="str">
        <f t="shared" si="7"/>
        <v>23,</v>
      </c>
      <c r="F58" s="17" t="str">
        <f t="shared" si="8"/>
        <v>0.75,</v>
      </c>
      <c r="G58" s="17" t="str">
        <f t="shared" si="9"/>
        <v>9,</v>
      </c>
      <c r="H58" s="17" t="str">
        <f t="shared" si="10"/>
        <v>0.67,</v>
      </c>
      <c r="I58" s="17" t="str">
        <f t="shared" si="11"/>
        <v>8,</v>
      </c>
      <c r="J58" s="17" t="str">
        <f t="shared" si="12"/>
        <v>0.25,</v>
      </c>
      <c r="K58" s="17" t="str">
        <f t="shared" si="13"/>
        <v>3,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3.46,</v>
      </c>
      <c r="E59" s="17" t="str">
        <f t="shared" si="7"/>
        <v>45,</v>
      </c>
      <c r="F59" s="17" t="str">
        <f t="shared" si="8"/>
        <v>0.54,</v>
      </c>
      <c r="G59" s="17" t="str">
        <f t="shared" si="9"/>
        <v>7,</v>
      </c>
      <c r="H59" s="17" t="str">
        <f t="shared" si="10"/>
        <v>2.15,</v>
      </c>
      <c r="I59" s="17" t="str">
        <f t="shared" si="11"/>
        <v>28,</v>
      </c>
      <c r="J59" s="17" t="str">
        <f t="shared" si="12"/>
        <v>0.38,</v>
      </c>
      <c r="K59" s="17" t="str">
        <f t="shared" si="13"/>
        <v>5,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0.57,</v>
      </c>
      <c r="E60" s="17" t="str">
        <f t="shared" si="7"/>
        <v>8,</v>
      </c>
      <c r="F60" s="17" t="str">
        <f t="shared" si="8"/>
        <v>0.07,</v>
      </c>
      <c r="G60" s="17" t="str">
        <f t="shared" si="9"/>
        <v>1,</v>
      </c>
      <c r="H60" s="17" t="str">
        <f t="shared" si="10"/>
        <v>0.5,</v>
      </c>
      <c r="I60" s="17" t="str">
        <f t="shared" si="11"/>
        <v>7,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0.17,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0.17,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0.77,</v>
      </c>
      <c r="E62" s="17" t="str">
        <f t="shared" si="7"/>
        <v>10,</v>
      </c>
      <c r="F62" s="17" t="str">
        <f t="shared" si="8"/>
        <v>0.69,</v>
      </c>
      <c r="G62" s="17" t="str">
        <f t="shared" si="9"/>
        <v>9,</v>
      </c>
      <c r="H62" s="17" t="str">
        <f t="shared" si="10"/>
        <v>0.08,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1.14,</v>
      </c>
      <c r="E63" s="17" t="str">
        <f t="shared" si="7"/>
        <v>16,</v>
      </c>
      <c r="F63" s="17" t="str">
        <f t="shared" si="8"/>
        <v>0.79,</v>
      </c>
      <c r="G63" s="17" t="str">
        <f t="shared" si="9"/>
        <v>11,</v>
      </c>
      <c r="H63" s="17" t="str">
        <f t="shared" si="10"/>
        <v>0.21,</v>
      </c>
      <c r="I63" s="17" t="str">
        <f t="shared" si="11"/>
        <v>3,</v>
      </c>
      <c r="J63" s="17" t="str">
        <f t="shared" si="12"/>
        <v>0.07,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2.93,</v>
      </c>
      <c r="E64" s="17" t="str">
        <f t="shared" si="7"/>
        <v>41,</v>
      </c>
      <c r="F64" s="17" t="str">
        <f t="shared" si="8"/>
        <v>1.5,</v>
      </c>
      <c r="G64" s="17" t="str">
        <f t="shared" si="9"/>
        <v>21,</v>
      </c>
      <c r="H64" s="17" t="str">
        <f t="shared" si="10"/>
        <v>0.57,</v>
      </c>
      <c r="I64" s="17" t="str">
        <f t="shared" si="11"/>
        <v>8,</v>
      </c>
      <c r="J64" s="17" t="str">
        <f t="shared" si="12"/>
        <v>0.43,</v>
      </c>
      <c r="K64" s="17" t="str">
        <f t="shared" si="13"/>
        <v>6,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"5 Musketeers",</v>
      </c>
      <c r="D65" s="17" t="str">
        <f t="shared" si="6"/>
        <v>0.07,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0.07,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Willies. Dropped by Wet Willies. Signed by 5 Musketeers",</v>
      </c>
      <c r="U65" s="17" t="str">
        <f t="shared" si="29"/>
        <v>"../Images/5M_Final.png",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</v>
      </c>
      <c r="E66" s="17">
        <f>E19</f>
        <v>4</v>
      </c>
      <c r="F66" s="17">
        <f>ROUND(F19,2)</f>
        <v>0.5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2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Table621[[#This Row],[Finishes]]+Table621[[#This Row],[Midranges]]+Table621[[#This Row],[Threes]]+Table621[[#This Row],[Threes]]</f>
        <v>0</v>
      </c>
      <c r="AD24" s="159">
        <f>COUNTIFS(D4:D35, "Loose Gooses", E$4:E$35,AB24,F$4:F$35,"Finish")</f>
        <v>0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Table621[[#This Row],[Finishes]]+Table621[[#This Row],[Midranges]]+Table621[[#This Row],[Threes]]+Table621[[#This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Table621[[#This Row],[Finishes]]+Table621[[#This Row],[Midranges]]+Table621[[#This Row],[Threes]]+Table621[[#This Row],[Threes]]</f>
        <v>1</v>
      </c>
      <c r="AD26" s="159">
        <f>COUNTIFS(D4:D35, "Loose Gooses", E$4:E$35,AB26,F$4:F$35,"Finish")</f>
        <v>1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Table621[[#This Row],[Finishes]]+Table621[[#This Row],[Midranges]]+Table621[[#This Row],[Threes]]+Table621[[#This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Table621[[#This Row],[Finishes]]+Table621[[#This Row],[Midranges]]+Table621[[#This Row],[Threes]]+Table621[[#This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Table621[[#This Row],[Finishes]]+Table621[[#This Row],[Midranges]]+Table621[[#This Row],[Threes]]+Table621[[#This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Table621[[#This Row],[Finishes]]+Table621[[#This Row],[Midranges]]+Table621[[#This Row],[Threes]]+Table621[[#This Row],[Threes]]</f>
        <v>0</v>
      </c>
      <c r="AD30" s="159">
        <f>COUNTIFS(D4:D35, "Loose Gooses", E$4:E$35,AB30,F$4:F$35,"Finish")</f>
        <v>0</v>
      </c>
      <c r="AE30" s="159">
        <f>COUNTIFS(D4:D35, "Loose Gooses", E$4:E$35,AB30,F$4:F$35,"Midrange")</f>
        <v>0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Table621[[#This Row],[Finishes]]+Table621[[#This Row],[Midranges]]+Table621[[#This Row],[Threes]]+Table621[[#This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Table621[[#This Row],[Finishes]]+Table621[[#This Row],[Midranges]]+Table621[[#This Row],[Threes]]+Table621[[#This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Table621[[#This Row],[Finishes]]+Table621[[#This Row],[Midranges]]+Table621[[#This Row],[Threes]]+Table621[[#This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Table621[[#This Row],[Finishes]]+Table621[[#This Row],[Midranges]]+Table621[[#This Row],[Threes]]+Table621[[#This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Table621[[#This Row],[Finishes]]+Table621[[#This Row],[Midranges]]+Table621[[#This Row],[Threes]]+Table621[[#This Row],[Threes]]</f>
        <v>1</v>
      </c>
      <c r="AD35" s="164">
        <f>COUNTIFS(D4:D35, "Loose Gooses", E$4:E$35,AB35,F$4:F$35,"Finish")</f>
        <v>1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61" t="s">
        <v>30</v>
      </c>
      <c r="AC24" s="168">
        <f>Table620[[#This Row],[Finishes]]+Table620[[#This Row],[Midranges]]+Table620[[#This Row],[Threes]]+Table620[[#This Row],[Threes]]</f>
        <v>3</v>
      </c>
      <c r="AD24" s="159">
        <f>COUNTIFS(D4:D35, "Loose Gooses", E$4:E$35,AB24,F$4:F$35,"Finish")</f>
        <v>3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62" t="s">
        <v>35</v>
      </c>
      <c r="AC25" s="169">
        <f>Table620[[#This Row],[Finishes]]+Table620[[#This Row],[Midranges]]+Table620[[#This Row],[Threes]]+Table620[[#This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61" t="s">
        <v>37</v>
      </c>
      <c r="AC26" s="168">
        <f>Table620[[#This Row],[Finishes]]+Table620[[#This Row],[Midranges]]+Table620[[#This Row],[Threes]]+Table620[[#This Row],[Threes]]</f>
        <v>1</v>
      </c>
      <c r="AD26" s="159">
        <f>COUNTIFS(D4:D35, "Loose Gooses", E$4:E$35,AB26,F$4:F$35,"Finish")</f>
        <v>1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62" t="s">
        <v>42</v>
      </c>
      <c r="AC27" s="169">
        <f>Table620[[#This Row],[Finishes]]+Table620[[#This Row],[Midranges]]+Table620[[#This Row],[Threes]]+Table620[[#This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61" t="s">
        <v>115</v>
      </c>
      <c r="AC28" s="168">
        <f>Table620[[#This Row],[Finishes]]+Table620[[#This Row],[Midranges]]+Table620[[#This Row],[Threes]]+Table620[[#This Row],[Threes]]</f>
        <v>1</v>
      </c>
      <c r="AD28" s="159">
        <f>COUNTIFS(D4:D35, "Loose Gooses", E$4:E$35,AB28,F$4:F$35,"Finish")</f>
        <v>0</v>
      </c>
      <c r="AE28" s="159">
        <f>COUNTIFS(D4:D35, "Loose Gooses", E$4:E$35,AB28,F$4:F$35,"Midrange")</f>
        <v>1</v>
      </c>
      <c r="AF28" s="159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62" t="s">
        <v>44</v>
      </c>
      <c r="AC29" s="169">
        <f>Table620[[#This Row],[Finishes]]+Table620[[#This Row],[Midranges]]+Table620[[#This Row],[Threes]]+Table620[[#This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61" t="s">
        <v>50</v>
      </c>
      <c r="AC30" s="168">
        <f>Table620[[#This Row],[Finishes]]+Table620[[#This Row],[Midranges]]+Table620[[#This Row],[Threes]]+Table620[[#This Row],[Threes]]</f>
        <v>3</v>
      </c>
      <c r="AD30" s="159">
        <f>COUNTIFS(D4:D35, "Loose Gooses", E$4:E$35,AB30,F$4:F$35,"Finish")</f>
        <v>1</v>
      </c>
      <c r="AE30" s="159">
        <f>COUNTIFS(D4:D35, "Loose Gooses", E$4:E$35,AB30,F$4:F$35,"Midrange")</f>
        <v>2</v>
      </c>
      <c r="AF30" s="159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62" t="s">
        <v>52</v>
      </c>
      <c r="AC31" s="169">
        <f>Table620[[#This Row],[Finishes]]+Table620[[#This Row],[Midranges]]+Table620[[#This Row],[Threes]]+Table620[[#This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61" t="s">
        <v>200</v>
      </c>
      <c r="AC32" s="168">
        <f>Table620[[#This Row],[Finishes]]+Table620[[#This Row],[Midranges]]+Table620[[#This Row],[Threes]]+Table620[[#This Row],[Threes]]</f>
        <v>1</v>
      </c>
      <c r="AD32" s="159">
        <f>COUNTIFS(D4:D35, "Loose Gooses", E$4:E$35,AB32,F$4:F$35,"Finish")</f>
        <v>0</v>
      </c>
      <c r="AE32" s="159">
        <f>COUNTIFS(D4:D35, "Loose Gooses", E$4:E$35,AB32,F$4:F$35,"Midrange")</f>
        <v>1</v>
      </c>
      <c r="AF32" s="159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62" t="s">
        <v>55</v>
      </c>
      <c r="AC33" s="169">
        <f>Table620[[#This Row],[Finishes]]+Table620[[#This Row],[Midranges]]+Table620[[#This Row],[Threes]]+Table620[[#This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Table620[[#This Row],[Finishes]]+Table620[[#This Row],[Midranges]]+Table620[[#This Row],[Threes]]+Table620[[#This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Table620[[#This Row],[Finishes]]+Table620[[#This Row],[Midranges]]+Table620[[#This Row],[Threes]]+Table620[[#This Row],[Threes]]</f>
        <v>2</v>
      </c>
      <c r="AD35" s="164">
        <f>COUNTIFS(D4:D35, "Loose Gooses", E$4:E$35,AB35,F$4:F$35,"Finish")</f>
        <v>2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Table619[[#This Row],[Finishes]]+Table619[[#This Row],[Midranges]]+Table619[[#This Row],[Threes]]+Table619[[#This Row],[Threes]]</f>
        <v>0</v>
      </c>
      <c r="AD24" s="159">
        <f>COUNTIFS(D4:D35, "Loose Gooses", E$4:E$35,AB24,F$4:F$35,"Finish")</f>
        <v>0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Table619[[#This Row],[Finishes]]+Table619[[#This Row],[Midranges]]+Table619[[#This Row],[Threes]]+Table619[[#This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Table619[[#This Row],[Finishes]]+Table619[[#This Row],[Midranges]]+Table619[[#This Row],[Threes]]+Table619[[#This Row],[Threes]]</f>
        <v>2</v>
      </c>
      <c r="AD26" s="159">
        <f>COUNTIFS(D4:D35, "Loose Gooses", E$4:E$35,AB26,F$4:F$35,"Finish")</f>
        <v>0</v>
      </c>
      <c r="AE26" s="159">
        <f>COUNTIFS(D4:D35, "Loose Gooses", E$4:E$35,AB26,F$4:F$35,"Midrange")</f>
        <v>2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Table619[[#This Row],[Finishes]]+Table619[[#This Row],[Midranges]]+Table619[[#This Row],[Threes]]+Table619[[#This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Table619[[#This Row],[Finishes]]+Table619[[#This Row],[Midranges]]+Table619[[#This Row],[Threes]]+Table619[[#This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Table619[[#This Row],[Finishes]]+Table619[[#This Row],[Midranges]]+Table619[[#This Row],[Threes]]+Table619[[#This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Table619[[#This Row],[Finishes]]+Table619[[#This Row],[Midranges]]+Table619[[#This Row],[Threes]]+Table619[[#This Row],[Threes]]</f>
        <v>5</v>
      </c>
      <c r="AD30" s="159">
        <f>COUNTIFS(D4:D35, "Loose Gooses", E$4:E$35,AB30,F$4:F$35,"Finish")</f>
        <v>0</v>
      </c>
      <c r="AE30" s="159">
        <f>COUNTIFS(D4:D35, "Loose Gooses", E$4:E$35,AB30,F$4:F$35,"Midrange")</f>
        <v>1</v>
      </c>
      <c r="AF30" s="159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Table619[[#This Row],[Finishes]]+Table619[[#This Row],[Midranges]]+Table619[[#This Row],[Threes]]+Table619[[#This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Table619[[#This Row],[Finishes]]+Table619[[#This Row],[Midranges]]+Table619[[#This Row],[Threes]]+Table619[[#This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Table619[[#This Row],[Finishes]]+Table619[[#This Row],[Midranges]]+Table619[[#This Row],[Threes]]+Table619[[#This Row],[Threes]]</f>
        <v>1</v>
      </c>
      <c r="AD33" s="160">
        <f>COUNTIFS(D4:D35, "Loose Gooses", E$4:E$35,AB33,F$4:F$35,"Finish")</f>
        <v>1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Table619[[#This Row],[Finishes]]+Table619[[#This Row],[Midranges]]+Table619[[#This Row],[Threes]]+Table619[[#This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Table619[[#This Row],[Finishes]]+Table619[[#This Row],[Midranges]]+Table619[[#This Row],[Threes]]+Table619[[#This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Table618[[#This Row],[Finishes]]+Table618[[#This Row],[Midranges]]+Table618[[#This Row],[Threes]]+Table618[[#This Row],[Threes]]</f>
        <v>0</v>
      </c>
      <c r="AD24" s="159">
        <f>COUNTIFS(D4:D35, "Loose Gooses", E$4:E$35,AB24,F$4:F$35,"Finish")</f>
        <v>0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Table618[[#This Row],[Finishes]]+Table618[[#This Row],[Midranges]]+Table618[[#This Row],[Threes]]+Table618[[#This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Table618[[#This Row],[Finishes]]+Table618[[#This Row],[Midranges]]+Table618[[#This Row],[Threes]]+Table618[[#This Row],[Threes]]</f>
        <v>2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Table618[[#This Row],[Finishes]]+Table618[[#This Row],[Midranges]]+Table618[[#This Row],[Threes]]+Table618[[#This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Table618[[#This Row],[Finishes]]+Table618[[#This Row],[Midranges]]+Table618[[#This Row],[Threes]]+Table618[[#This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Table618[[#This Row],[Finishes]]+Table618[[#This Row],[Midranges]]+Table618[[#This Row],[Threes]]+Table618[[#This Row],[Threes]]</f>
        <v>2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Table618[[#This Row],[Finishes]]+Table618[[#This Row],[Midranges]]+Table618[[#This Row],[Threes]]+Table618[[#This Row],[Threes]]</f>
        <v>1</v>
      </c>
      <c r="AD30" s="159">
        <f>COUNTIFS(D4:D35, "Loose Gooses", E$4:E$35,AB30,F$4:F$35,"Finish")</f>
        <v>0</v>
      </c>
      <c r="AE30" s="159">
        <f>COUNTIFS(D4:D35, "Loose Gooses", E$4:E$35,AB30,F$4:F$35,"Midrange")</f>
        <v>1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Table618[[#This Row],[Finishes]]+Table618[[#This Row],[Midranges]]+Table618[[#This Row],[Threes]]+Table618[[#This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Table618[[#This Row],[Finishes]]+Table618[[#This Row],[Midranges]]+Table618[[#This Row],[Threes]]+Table618[[#This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Table618[[#This Row],[Finishes]]+Table618[[#This Row],[Midranges]]+Table618[[#This Row],[Threes]]+Table618[[#This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Table618[[#This Row],[Finishes]]+Table618[[#This Row],[Midranges]]+Table618[[#This Row],[Threes]]+Table618[[#This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Table618[[#This Row],[Finishes]]+Table618[[#This Row],[Midranges]]+Table618[[#This Row],[Threes]]+Table618[[#This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Table617[[#This Row],[Finishes]]+Table617[[#This Row],[Midranges]]+Table617[[#This Row],[Threes]]+Table617[[#This Row],[Threes]]</f>
        <v>1</v>
      </c>
      <c r="AD24" s="159">
        <f>COUNTIFS(D4:D35, "Loose Gooses", E$4:E$35,AB24,F$4:F$35,"Finish")</f>
        <v>1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Table617[[#This Row],[Finishes]]+Table617[[#This Row],[Midranges]]+Table617[[#This Row],[Threes]]+Table617[[#This Row],[Threes]]</f>
        <v>1</v>
      </c>
      <c r="AD25" s="160">
        <f>COUNTIFS(D4:D35, "Loose Gooses", E$4:E$35,AB25,F$4:F$35,"Finish")</f>
        <v>1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Table617[[#This Row],[Finishes]]+Table617[[#This Row],[Midranges]]+Table617[[#This Row],[Threes]]+Table617[[#This Row],[Threes]]</f>
        <v>0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Table617[[#This Row],[Finishes]]+Table617[[#This Row],[Midranges]]+Table617[[#This Row],[Threes]]+Table617[[#This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Table617[[#This Row],[Finishes]]+Table617[[#This Row],[Midranges]]+Table617[[#This Row],[Threes]]+Table617[[#This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Table617[[#This Row],[Finishes]]+Table617[[#This Row],[Midranges]]+Table617[[#This Row],[Threes]]+Table617[[#This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Table617[[#This Row],[Finishes]]+Table617[[#This Row],[Midranges]]+Table617[[#This Row],[Threes]]+Table617[[#This Row],[Threes]]</f>
        <v>1</v>
      </c>
      <c r="AD30" s="159">
        <f>COUNTIFS(D4:D35, "Loose Gooses", E$4:E$35,AB30,F$4:F$35,"Finish")</f>
        <v>0</v>
      </c>
      <c r="AE30" s="159">
        <f>COUNTIFS(D4:D35, "Loose Gooses", E$4:E$35,AB30,F$4:F$35,"Midrange")</f>
        <v>1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Table617[[#This Row],[Finishes]]+Table617[[#This Row],[Midranges]]+Table617[[#This Row],[Threes]]+Table617[[#This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Table617[[#This Row],[Finishes]]+Table617[[#This Row],[Midranges]]+Table617[[#This Row],[Threes]]+Table617[[#This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Table617[[#This Row],[Finishes]]+Table617[[#This Row],[Midranges]]+Table617[[#This Row],[Threes]]+Table617[[#This Row],[Threes]]</f>
        <v>2</v>
      </c>
      <c r="AD33" s="160">
        <f>COUNTIFS(D4:D35, "Loose Gooses", E$4:E$35,AB33,F$4:F$35,"Finish")</f>
        <v>1</v>
      </c>
      <c r="AE33" s="160">
        <f>COUNTIFS(D4:D35, "Loose Gooses", E$4:E$35,AB33,F$4:F$35,"Midrange")</f>
        <v>1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Table617[[#This Row],[Finishes]]+Table617[[#This Row],[Midranges]]+Table617[[#This Row],[Threes]]+Table617[[#This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Table617[[#This Row],[Finishes]]+Table617[[#This Row],[Midranges]]+Table617[[#This Row],[Threes]]+Table617[[#This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6" t="s">
        <v>221</v>
      </c>
      <c r="AD3" s="126" t="s">
        <v>222</v>
      </c>
      <c r="AE3" s="126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Table616[[#This Row],[Finishes]]+Table616[[#This Row],[Midranges]]+Table616[[#This Row],[Threes]]+Table616[[#This Row],[Threes]]</f>
        <v>2</v>
      </c>
      <c r="AD24" s="159">
        <f>COUNTIFS(D4:D35, "Loose Gooses", E$4:E$35,AB24,F$4:F$35,"Finish")</f>
        <v>2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Table616[[#This Row],[Finishes]]+Table616[[#This Row],[Midranges]]+Table616[[#This Row],[Threes]]+Table616[[#This Row],[Threes]]</f>
        <v>1</v>
      </c>
      <c r="AD25" s="160">
        <f>COUNTIFS(D4:D35, "Loose Gooses", E$4:E$35,AB25,F$4:F$35,"Finish")</f>
        <v>1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Table616[[#This Row],[Finishes]]+Table616[[#This Row],[Midranges]]+Table616[[#This Row],[Threes]]+Table616[[#This Row],[Threes]]</f>
        <v>0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Table616[[#This Row],[Finishes]]+Table616[[#This Row],[Midranges]]+Table616[[#This Row],[Threes]]+Table616[[#This Row],[Threes]]</f>
        <v>1</v>
      </c>
      <c r="AD27" s="160">
        <f>COUNTIFS(D4:D35, "Loose Gooses", E$4:E$35,AB27,F$4:F$35,"Finish")</f>
        <v>1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Table616[[#This Row],[Finishes]]+Table616[[#This Row],[Midranges]]+Table616[[#This Row],[Threes]]+Table616[[#This Row],[Threes]]</f>
        <v>1</v>
      </c>
      <c r="AD28" s="159">
        <f>COUNTIFS(D4:D35, "Loose Gooses", E$4:E$35,AB28,F$4:F$35,"Finish")</f>
        <v>1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Table616[[#This Row],[Finishes]]+Table616[[#This Row],[Midranges]]+Table616[[#This Row],[Threes]]+Table616[[#This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Table616[[#This Row],[Finishes]]+Table616[[#This Row],[Midranges]]+Table616[[#This Row],[Threes]]+Table616[[#This Row],[Threes]]</f>
        <v>0</v>
      </c>
      <c r="AD30" s="159">
        <f>COUNTIFS(D4:D35, "Loose Gooses", E$4:E$35,AB30,F$4:F$35,"Finish")</f>
        <v>0</v>
      </c>
      <c r="AE30" s="159">
        <f>COUNTIFS(D4:D35, "Loose Gooses", E$4:E$35,AB30,F$4:F$35,"Midrange")</f>
        <v>0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Table616[[#This Row],[Finishes]]+Table616[[#This Row],[Midranges]]+Table616[[#This Row],[Threes]]+Table616[[#This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Table616[[#This Row],[Finishes]]+Table616[[#This Row],[Midranges]]+Table616[[#This Row],[Threes]]+Table616[[#This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Table616[[#This Row],[Finishes]]+Table616[[#This Row],[Midranges]]+Table616[[#This Row],[Threes]]+Table616[[#This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Table616[[#This Row],[Finishes]]+Table616[[#This Row],[Midranges]]+Table616[[#This Row],[Threes]]+Table616[[#This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Table616[[#This Row],[Finishes]]+Table616[[#This Row],[Midranges]]+Table616[[#This Row],[Threes]]+Table616[[#This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6" t="s">
        <v>221</v>
      </c>
      <c r="AD3" s="126" t="s">
        <v>222</v>
      </c>
      <c r="AE3" s="126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Table615[[#This Row],[Finishes]]+Table615[[#This Row],[Midranges]]+Table615[[#This Row],[Threes]]+Table615[[#This Row],[Threes]]</f>
        <v>3</v>
      </c>
      <c r="AD24" s="159">
        <f>COUNTIFS(D4:D35, "Loose Gooses", E$4:E$35,AB24,F$4:F$35,"Finish")</f>
        <v>3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Table615[[#This Row],[Finishes]]+Table615[[#This Row],[Midranges]]+Table615[[#This Row],[Threes]]+Table615[[#This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Table615[[#This Row],[Finishes]]+Table615[[#This Row],[Midranges]]+Table615[[#This Row],[Threes]]+Table615[[#This Row],[Threes]]</f>
        <v>0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Table615[[#This Row],[Finishes]]+Table615[[#This Row],[Midranges]]+Table615[[#This Row],[Threes]]+Table615[[#This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Table615[[#This Row],[Finishes]]+Table615[[#This Row],[Midranges]]+Table615[[#This Row],[Threes]]+Table615[[#This Row],[Threes]]</f>
        <v>1</v>
      </c>
      <c r="AD28" s="159">
        <f>COUNTIFS(D4:D35, "Loose Gooses", E$4:E$35,AB28,F$4:F$35,"Finish")</f>
        <v>1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Table615[[#This Row],[Finishes]]+Table615[[#This Row],[Midranges]]+Table615[[#This Row],[Threes]]+Table615[[#This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Table615[[#This Row],[Finishes]]+Table615[[#This Row],[Midranges]]+Table615[[#This Row],[Threes]]+Table615[[#This Row],[Threes]]</f>
        <v>1</v>
      </c>
      <c r="AD30" s="159">
        <f>COUNTIFS(D4:D35, "Loose Gooses", E$4:E$35,AB30,F$4:F$35,"Finish")</f>
        <v>1</v>
      </c>
      <c r="AE30" s="159">
        <f>COUNTIFS(D4:D35, "Loose Gooses", E$4:E$35,AB30,F$4:F$35,"Midrange")</f>
        <v>0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Table615[[#This Row],[Finishes]]+Table615[[#This Row],[Midranges]]+Table615[[#This Row],[Threes]]+Table615[[#This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Table615[[#This Row],[Finishes]]+Table615[[#This Row],[Midranges]]+Table615[[#This Row],[Threes]]+Table615[[#This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Table615[[#This Row],[Finishes]]+Table615[[#This Row],[Midranges]]+Table615[[#This Row],[Threes]]+Table615[[#This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Table615[[#This Row],[Finishes]]+Table615[[#This Row],[Midranges]]+Table615[[#This Row],[Threes]]+Table615[[#This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Table615[[#This Row],[Finishes]]+Table615[[#This Row],[Midranges]]+Table615[[#This Row],[Threes]]+Table615[[#This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8"/>
      <c r="AC36" s="141"/>
      <c r="AD36" s="141"/>
      <c r="AE36" s="141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8"/>
      <c r="AC37" s="141"/>
      <c r="AD37" s="141"/>
      <c r="AE37" s="141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8"/>
      <c r="AC38" s="141"/>
      <c r="AD38" s="141"/>
      <c r="AE38" s="141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8"/>
      <c r="AC39" s="141"/>
      <c r="AD39" s="141"/>
      <c r="AE39" s="141"/>
    </row>
    <row r="40" spans="2:32" ht="14.25" customHeight="1" x14ac:dyDescent="0.45">
      <c r="B40" s="73"/>
      <c r="S40" s="8"/>
      <c r="T40" s="8"/>
      <c r="U40" s="8"/>
      <c r="AB40" s="128"/>
      <c r="AC40" s="141"/>
      <c r="AD40" s="141"/>
      <c r="AE40" s="141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Table610[[#This Row],[Finishes]]+Table610[[#This Row],[Midranges]]+Table610[[#This Row],[Threes]]+Table610[[#This Row],[Threes]]</f>
        <v>0</v>
      </c>
      <c r="AD24" s="159">
        <f>COUNTIFS(D4:D35, "Loose Gooses", E$4:E$35,AB24,F$4:F$35,"Finish")</f>
        <v>0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Table610[[#This Row],[Finishes]]+Table610[[#This Row],[Midranges]]+Table610[[#This Row],[Threes]]+Table610[[#This Row],[Threes]]</f>
        <v>1</v>
      </c>
      <c r="AD25" s="160">
        <f>COUNTIFS(D4:D35, "Loose Gooses", E$4:E$35,AB25,F$4:F$35,"Finish")</f>
        <v>1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Table610[[#This Row],[Finishes]]+Table610[[#This Row],[Midranges]]+Table610[[#This Row],[Threes]]+Table610[[#This Row],[Threes]]</f>
        <v>0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Table610[[#This Row],[Finishes]]+Table610[[#This Row],[Midranges]]+Table610[[#This Row],[Threes]]+Table610[[#This Row],[Threes]]</f>
        <v>1</v>
      </c>
      <c r="AD27" s="160">
        <f>COUNTIFS(D4:D35, "Loose Gooses", E$4:E$35,AB27,F$4:F$35,"Finish")</f>
        <v>1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Table610[[#This Row],[Finishes]]+Table610[[#This Row],[Midranges]]+Table610[[#This Row],[Threes]]+Table610[[#This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Table610[[#This Row],[Finishes]]+Table610[[#This Row],[Midranges]]+Table610[[#This Row],[Threes]]+Table610[[#This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Table610[[#This Row],[Finishes]]+Table610[[#This Row],[Midranges]]+Table610[[#This Row],[Threes]]+Table610[[#This Row],[Threes]]</f>
        <v>1</v>
      </c>
      <c r="AD30" s="159">
        <f>COUNTIFS(D4:D35, "Loose Gooses", E$4:E$35,AB30,F$4:F$35,"Finish")</f>
        <v>0</v>
      </c>
      <c r="AE30" s="159">
        <f>COUNTIFS(D4:D35, "Loose Gooses", E$4:E$35,AB30,F$4:F$35,"Midrange")</f>
        <v>1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Table610[[#This Row],[Finishes]]+Table610[[#This Row],[Midranges]]+Table610[[#This Row],[Threes]]+Table610[[#This Row],[Threes]]</f>
        <v>1</v>
      </c>
      <c r="AD31" s="160">
        <f>COUNTIFS(D4:D35, "Loose Gooses", E$4:E$35,AB31,F$4:F$35,"Finish")</f>
        <v>1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Table610[[#This Row],[Finishes]]+Table610[[#This Row],[Midranges]]+Table610[[#This Row],[Threes]]+Table610[[#This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Table610[[#This Row],[Finishes]]+Table610[[#This Row],[Midranges]]+Table610[[#This Row],[Threes]]+Table610[[#This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Table610[[#This Row],[Finishes]]+Table610[[#This Row],[Midranges]]+Table610[[#This Row],[Threes]]+Table610[[#This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Table610[[#This Row],[Finishes]]+Table610[[#This Row],[Midranges]]+Table610[[#This Row],[Threes]]+Table610[[#This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Table69[[#This Row],[Finishes]]+Table69[[#This Row],[Midranges]]+Table69[[#This Row],[Threes]]+Table69[[#This Row],[Threes]]</f>
        <v>0</v>
      </c>
      <c r="AD24" s="159">
        <f>COUNTIFS(D4:D35, "Loose Gooses", E$4:E$35,AB24,F$4:F$35,"Finish")</f>
        <v>0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Table69[[#This Row],[Finishes]]+Table69[[#This Row],[Midranges]]+Table69[[#This Row],[Threes]]+Table69[[#This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Table69[[#This Row],[Finishes]]+Table69[[#This Row],[Midranges]]+Table69[[#This Row],[Threes]]+Table69[[#This Row],[Threes]]</f>
        <v>0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Table69[[#This Row],[Finishes]]+Table69[[#This Row],[Midranges]]+Table69[[#This Row],[Threes]]+Table69[[#This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Table69[[#This Row],[Finishes]]+Table69[[#This Row],[Midranges]]+Table69[[#This Row],[Threes]]+Table69[[#This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Table69[[#This Row],[Finishes]]+Table69[[#This Row],[Midranges]]+Table69[[#This Row],[Threes]]+Table69[[#This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Table69[[#This Row],[Finishes]]+Table69[[#This Row],[Midranges]]+Table69[[#This Row],[Threes]]+Table69[[#This Row],[Threes]]</f>
        <v>0</v>
      </c>
      <c r="AD30" s="159">
        <f>COUNTIFS(D4:D35, "Loose Gooses", E$4:E$35,AB30,F$4:F$35,"Finish")</f>
        <v>0</v>
      </c>
      <c r="AE30" s="159">
        <f>COUNTIFS(D4:D35, "Loose Gooses", E$4:E$35,AB30,F$4:F$35,"Midrange")</f>
        <v>0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Table69[[#This Row],[Finishes]]+Table69[[#This Row],[Midranges]]+Table69[[#This Row],[Threes]]+Table69[[#This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Table69[[#This Row],[Finishes]]+Table69[[#This Row],[Midranges]]+Table69[[#This Row],[Threes]]+Table69[[#This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Table69[[#This Row],[Finishes]]+Table69[[#This Row],[Midranges]]+Table69[[#This Row],[Threes]]+Table69[[#This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Table69[[#This Row],[Finishes]]+Table69[[#This Row],[Midranges]]+Table69[[#This Row],[Threes]]+Table69[[#This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Table69[[#This Row],[Finishes]]+Table69[[#This Row],[Midranges]]+Table69[[#This Row],[Threes]]+Table69[[#This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6" t="s">
        <v>221</v>
      </c>
      <c r="AD3" s="126" t="s">
        <v>222</v>
      </c>
      <c r="AE3" s="126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7"/>
      <c r="AC21" s="127"/>
      <c r="AD21" s="127"/>
      <c r="AE21" s="127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Table68[[#This Row],[Finishes]]+Table68[[#This Row],[Midranges]]+Table68[[#This Row],[Threes]]+Table68[[#This Row],[Threes]]</f>
        <v>0</v>
      </c>
      <c r="AD24" s="159">
        <f>COUNTIFS(D4:D35, "Loose Gooses", E$4:E$35,AB24,F$4:F$35,"Finish")</f>
        <v>0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Table68[[#This Row],[Finishes]]+Table68[[#This Row],[Midranges]]+Table68[[#This Row],[Threes]]+Table68[[#This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Table68[[#This Row],[Finishes]]+Table68[[#This Row],[Midranges]]+Table68[[#This Row],[Threes]]+Table68[[#This Row],[Threes]]</f>
        <v>0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Table68[[#This Row],[Finishes]]+Table68[[#This Row],[Midranges]]+Table68[[#This Row],[Threes]]+Table68[[#This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Table68[[#This Row],[Finishes]]+Table68[[#This Row],[Midranges]]+Table68[[#This Row],[Threes]]+Table68[[#This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Table68[[#This Row],[Finishes]]+Table68[[#This Row],[Midranges]]+Table68[[#This Row],[Threes]]+Table68[[#This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Table68[[#This Row],[Finishes]]+Table68[[#This Row],[Midranges]]+Table68[[#This Row],[Threes]]+Table68[[#This Row],[Threes]]</f>
        <v>0</v>
      </c>
      <c r="AD30" s="159">
        <f>COUNTIFS(D4:D35, "Loose Gooses", E$4:E$35,AB30,F$4:F$35,"Finish")</f>
        <v>0</v>
      </c>
      <c r="AE30" s="159">
        <f>COUNTIFS(D4:D35, "Loose Gooses", E$4:E$35,AB30,F$4:F$35,"Midrange")</f>
        <v>0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Table68[[#This Row],[Finishes]]+Table68[[#This Row],[Midranges]]+Table68[[#This Row],[Threes]]+Table68[[#This Row],[Threes]]</f>
        <v>1</v>
      </c>
      <c r="AD31" s="160">
        <f>COUNTIFS(D4:D35, "Loose Gooses", E$4:E$35,AB31,F$4:F$35,"Finish")</f>
        <v>0</v>
      </c>
      <c r="AE31" s="160">
        <f>COUNTIFS(D4:D35, "Loose Gooses", E$4:E$35,AB31,F$4:F$35,"Midrange")</f>
        <v>1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Table68[[#This Row],[Finishes]]+Table68[[#This Row],[Midranges]]+Table68[[#This Row],[Threes]]+Table68[[#This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Table68[[#This Row],[Finishes]]+Table68[[#This Row],[Midranges]]+Table68[[#This Row],[Threes]]+Table68[[#This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Table68[[#This Row],[Finishes]]+Table68[[#This Row],[Midranges]]+Table68[[#This Row],[Threes]]+Table68[[#This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Table68[[#This Row],[Finishes]]+Table68[[#This Row],[Midranges]]+Table68[[#This Row],[Threes]]+Table68[[#This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8"/>
      <c r="AC36" s="127"/>
      <c r="AD36" s="127"/>
      <c r="AE36" s="127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8"/>
      <c r="AC37" s="127"/>
      <c r="AD37" s="127"/>
      <c r="AE37" s="127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8"/>
      <c r="AC38" s="127"/>
      <c r="AD38" s="127"/>
      <c r="AE38" s="127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Q1" zoomScale="85" zoomScaleNormal="85" workbookViewId="0">
      <selection activeCell="Z26" sqref="Z2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9">
        <f>AA6/(20-AA5)</f>
        <v>0.77777777777777779</v>
      </c>
    </row>
    <row r="5" spans="1:55" ht="14.25" customHeight="1" x14ac:dyDescent="0.45">
      <c r="B5" s="117" t="str">
        <f>'Preseason 1'!B45</f>
        <v>11-July</v>
      </c>
      <c r="C5" s="117">
        <f>'Preseason 1'!C45</f>
        <v>12</v>
      </c>
      <c r="D5" s="117">
        <f>'Preseason 1'!D45</f>
        <v>5</v>
      </c>
      <c r="E5" s="117">
        <f>'Preseason 1'!E45</f>
        <v>0</v>
      </c>
      <c r="F5" s="117">
        <f>'Preseason 1'!F45</f>
        <v>5</v>
      </c>
      <c r="G5" s="117">
        <f>'Preseason 1'!G45</f>
        <v>0</v>
      </c>
      <c r="H5" s="117">
        <f>'Preseason 1'!H45</f>
        <v>6</v>
      </c>
      <c r="I5" s="117">
        <f>'Preseason 1'!I45</f>
        <v>0</v>
      </c>
      <c r="J5" s="117">
        <f>'Preseason 1'!J45</f>
        <v>2</v>
      </c>
      <c r="K5" s="117">
        <f>'Preseason 1'!K45</f>
        <v>6</v>
      </c>
      <c r="L5" s="117">
        <f>'Preseason 1'!L45</f>
        <v>12</v>
      </c>
      <c r="M5" s="117">
        <f>'Preseason 1'!M45</f>
        <v>3</v>
      </c>
      <c r="N5" s="117">
        <f>'Preseason 1'!N45</f>
        <v>0</v>
      </c>
      <c r="O5" s="117">
        <f>'Preseason 1'!O45</f>
        <v>2</v>
      </c>
      <c r="P5" s="117">
        <f>'Preseason 1'!P45</f>
        <v>1</v>
      </c>
      <c r="Q5" s="117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2</v>
      </c>
      <c r="AR5" s="60"/>
      <c r="AS5" s="60"/>
      <c r="AT5" s="60"/>
    </row>
    <row r="6" spans="1:55" ht="14.25" customHeight="1" x14ac:dyDescent="0.45">
      <c r="B6" s="117" t="str">
        <f>'Preseason 2'!B45</f>
        <v>12-July</v>
      </c>
      <c r="C6" s="117">
        <f>'Preseason 2'!C45</f>
        <v>15</v>
      </c>
      <c r="D6" s="117">
        <f>'Preseason 2'!D45</f>
        <v>9</v>
      </c>
      <c r="E6" s="117">
        <f>'Preseason 2'!E45</f>
        <v>2</v>
      </c>
      <c r="F6" s="117">
        <f>'Preseason 2'!F45</f>
        <v>9</v>
      </c>
      <c r="G6" s="117">
        <f>'Preseason 2'!G45</f>
        <v>1</v>
      </c>
      <c r="H6" s="117">
        <f>'Preseason 2'!H45</f>
        <v>7</v>
      </c>
      <c r="I6" s="117">
        <f>'Preseason 2'!I45</f>
        <v>2</v>
      </c>
      <c r="J6" s="117">
        <f>'Preseason 2'!J45</f>
        <v>4</v>
      </c>
      <c r="K6" s="117">
        <f>'Preseason 2'!K45</f>
        <v>8</v>
      </c>
      <c r="L6" s="117">
        <f>'Preseason 2'!L45</f>
        <v>15</v>
      </c>
      <c r="M6" s="117">
        <f>'Preseason 2'!M45</f>
        <v>5</v>
      </c>
      <c r="N6" s="117">
        <f>'Preseason 2'!N45</f>
        <v>1</v>
      </c>
      <c r="O6" s="117">
        <f>'Preseason 2'!O45</f>
        <v>2</v>
      </c>
      <c r="P6" s="117">
        <f>'Preseason 2'!P45</f>
        <v>1</v>
      </c>
      <c r="Q6" s="117">
        <f>'Preseason 2'!Q45</f>
        <v>3</v>
      </c>
      <c r="S6" s="4">
        <f>SUM(C8:E40)/COUNT(C8:C40)</f>
        <v>15.428571428571429</v>
      </c>
      <c r="T6" s="118">
        <f>AVERAGE(C8:C40)</f>
        <v>9.7857142857142865</v>
      </c>
      <c r="U6" s="118">
        <f t="shared" ref="U6:V6" si="0">AVERAGE(D8:D40)</f>
        <v>3.8571428571428572</v>
      </c>
      <c r="V6" s="118">
        <f t="shared" si="0"/>
        <v>1.7857142857142858</v>
      </c>
      <c r="Z6" s="69" t="s">
        <v>166</v>
      </c>
      <c r="AA6" s="8">
        <f>AA47+AA67+AL27+AL47+AL67+AA87+AL87</f>
        <v>14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11</v>
      </c>
    </row>
    <row r="7" spans="1:55" ht="14.25" customHeight="1" x14ac:dyDescent="0.45">
      <c r="B7" s="117" t="str">
        <f>'Preseason 3'!B45</f>
        <v>13-July</v>
      </c>
      <c r="C7" s="117">
        <f>'Preseason 3'!C45</f>
        <v>8</v>
      </c>
      <c r="D7" s="117">
        <f>'Preseason 3'!D45</f>
        <v>4</v>
      </c>
      <c r="E7" s="117">
        <f>'Preseason 3'!E45</f>
        <v>1</v>
      </c>
      <c r="F7" s="117">
        <f>'Preseason 3'!F45</f>
        <v>8</v>
      </c>
      <c r="G7" s="117">
        <f>'Preseason 3'!G45</f>
        <v>2</v>
      </c>
      <c r="H7" s="117">
        <f>'Preseason 3'!H45</f>
        <v>0</v>
      </c>
      <c r="I7" s="117">
        <f>'Preseason 3'!I45</f>
        <v>4</v>
      </c>
      <c r="J7" s="117">
        <f>'Preseason 3'!J45</f>
        <v>4</v>
      </c>
      <c r="K7" s="117">
        <f>'Preseason 3'!K45</f>
        <v>1</v>
      </c>
      <c r="L7" s="117">
        <f>'Preseason 3'!L45</f>
        <v>1</v>
      </c>
      <c r="M7" s="117">
        <f>'Preseason 3'!M45</f>
        <v>4</v>
      </c>
      <c r="N7" s="117">
        <f>'Preseason 3'!N45</f>
        <v>2</v>
      </c>
      <c r="O7" s="117">
        <f>'Preseason 3'!O45</f>
        <v>3</v>
      </c>
      <c r="P7" s="117">
        <f>'Preseason 3'!P45</f>
        <v>2</v>
      </c>
      <c r="Q7" s="117">
        <f>'Preseason 3'!Q45</f>
        <v>1</v>
      </c>
      <c r="S7" s="3" t="s">
        <v>83</v>
      </c>
      <c r="T7" s="5">
        <f>T6/$S$6</f>
        <v>0.6342592592592593</v>
      </c>
      <c r="U7" s="5">
        <f>U6/$S$6</f>
        <v>0.25</v>
      </c>
      <c r="V7" s="5">
        <f>V6/$S$6</f>
        <v>0.11574074074074074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5"/>
      <c r="AR7" s="136" t="s">
        <v>231</v>
      </c>
      <c r="AS7" s="59" t="s">
        <v>232</v>
      </c>
      <c r="AT7" s="146" t="s">
        <v>260</v>
      </c>
      <c r="AU7" s="148" t="s">
        <v>261</v>
      </c>
      <c r="AW7" s="2" t="s">
        <v>4</v>
      </c>
      <c r="AX7" s="143" t="s">
        <v>245</v>
      </c>
      <c r="AY7" s="143" t="s">
        <v>246</v>
      </c>
      <c r="AZ7" s="143" t="s">
        <v>247</v>
      </c>
      <c r="BA7" s="143" t="s">
        <v>248</v>
      </c>
      <c r="BB7" s="143" t="s">
        <v>249</v>
      </c>
      <c r="BC7" s="143" t="s">
        <v>250</v>
      </c>
    </row>
    <row r="8" spans="1:55" ht="14.25" customHeight="1" x14ac:dyDescent="0.45">
      <c r="A8" s="73"/>
      <c r="B8" s="114" t="str">
        <f>'1707'!B45</f>
        <v>17-July</v>
      </c>
      <c r="C8" s="114">
        <f>'1707'!C45</f>
        <v>8</v>
      </c>
      <c r="D8" s="114">
        <f>'1707'!D45</f>
        <v>3</v>
      </c>
      <c r="E8" s="114">
        <f>'1707'!E45</f>
        <v>2</v>
      </c>
      <c r="F8" s="114">
        <f>'1707'!F45</f>
        <v>8</v>
      </c>
      <c r="G8" s="114">
        <f>'1707'!G45</f>
        <v>0</v>
      </c>
      <c r="H8" s="114">
        <f>'1707'!H45</f>
        <v>3</v>
      </c>
      <c r="I8" s="114">
        <f>'1707'!I45</f>
        <v>2</v>
      </c>
      <c r="J8" s="114">
        <f>'1707'!J45</f>
        <v>5</v>
      </c>
      <c r="K8" s="114">
        <f>'1707'!K45</f>
        <v>0</v>
      </c>
      <c r="L8" s="114">
        <f>'1707'!L45</f>
        <v>3</v>
      </c>
      <c r="M8" s="114">
        <f>'1707'!M45</f>
        <v>3</v>
      </c>
      <c r="N8" s="114">
        <f>'1707'!N45</f>
        <v>2</v>
      </c>
      <c r="O8" s="114">
        <f>'1707'!O45</f>
        <v>3</v>
      </c>
      <c r="P8" s="114">
        <f>'1707'!P45</f>
        <v>1</v>
      </c>
      <c r="Q8" s="114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0.21428571428571427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0.21428571428571427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25" t="s">
        <v>0</v>
      </c>
      <c r="AM8" s="124">
        <f>AVERAGE(Table1[Average])</f>
        <v>1.2290204893146068</v>
      </c>
      <c r="AN8" s="124">
        <f>MEDIAN(Table1[Average])</f>
        <v>0.92307692307692313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1">
        <f>AP8-Table1[[#This Row],[Points]]</f>
        <v>5</v>
      </c>
      <c r="AS8" s="137">
        <f>Table1[[#This Row],[Points]]/(20-AA$5-Table1[[#This Row],[Missed Games]])</f>
        <v>0.16666666666666666</v>
      </c>
      <c r="AT8" s="147">
        <f>Table1[[#This Row],[Average]]-'[1]Stats Global'!R8</f>
        <v>-0.19747899159663865</v>
      </c>
      <c r="AU8" s="27">
        <f>(Table1[[#This Row],[Average]]-'[1]Stats Global'!R8)/'[1]Stats Global'!R8</f>
        <v>-0.47959183673469385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0.27272727272727271</v>
      </c>
      <c r="BB8" s="16">
        <f>Table4[[#This Row],[Total A]]/$AX$6</f>
        <v>9.0909090909090912E-2</v>
      </c>
      <c r="BC8" s="16">
        <f>Table4[[#This Row],[Total S]]/$AX$6</f>
        <v>0.27272727272727271</v>
      </c>
    </row>
    <row r="9" spans="1:55" ht="14.25" customHeight="1" x14ac:dyDescent="0.45">
      <c r="A9" s="73"/>
      <c r="B9" s="114" t="str">
        <f>'1807'!B45</f>
        <v>18-July</v>
      </c>
      <c r="C9" s="114">
        <f>'1807'!C45</f>
        <v>12</v>
      </c>
      <c r="D9" s="114">
        <f>'1807'!D45</f>
        <v>1</v>
      </c>
      <c r="E9" s="114">
        <f>'1807'!E45</f>
        <v>1</v>
      </c>
      <c r="F9" s="114">
        <f>'1807'!F45</f>
        <v>12</v>
      </c>
      <c r="G9" s="114">
        <f>'1807'!G45</f>
        <v>1</v>
      </c>
      <c r="H9" s="114">
        <f>'1807'!H45</f>
        <v>0</v>
      </c>
      <c r="I9" s="114">
        <f>'1807'!I45</f>
        <v>1</v>
      </c>
      <c r="J9" s="114">
        <f>'1807'!J45</f>
        <v>6</v>
      </c>
      <c r="K9" s="114">
        <f>'1807'!K45</f>
        <v>1</v>
      </c>
      <c r="L9" s="114">
        <f>'1807'!L45</f>
        <v>1</v>
      </c>
      <c r="M9" s="114">
        <f>'1807'!M45</f>
        <v>6</v>
      </c>
      <c r="N9" s="114">
        <f>'1807'!N45</f>
        <v>0</v>
      </c>
      <c r="O9" s="114">
        <f>'1807'!O45</f>
        <v>3</v>
      </c>
      <c r="P9" s="114">
        <f>'1807'!P45</f>
        <v>1</v>
      </c>
      <c r="Q9" s="114">
        <f>'1807'!Q45</f>
        <v>2</v>
      </c>
      <c r="Z9" s="63" t="s">
        <v>49</v>
      </c>
      <c r="AA9" s="64">
        <f t="shared" si="1"/>
        <v>12</v>
      </c>
      <c r="AB9" s="65">
        <f>IF($AA$6-Table1[[#This Row],[Missed Games]]=0, 0,Table1[[#This Row],[Points]]/($AA$6-Table1[[#This Row],[Missed Games]]))</f>
        <v>0.92307692307692313</v>
      </c>
      <c r="AC9" s="66">
        <f t="shared" si="2"/>
        <v>12</v>
      </c>
      <c r="AD9" s="67">
        <f>IF($AA$6-Table1[[#This Row],[Missed Games]]=0, 0,Table1[[#This Row],[Finishes]]/($AA$6-Table1[[#This Row],[Missed Games]]))</f>
        <v>0.92307692307692313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25" t="s">
        <v>1</v>
      </c>
      <c r="AM9" s="124">
        <f>AVERAGE(Table1[Finishes])</f>
        <v>7.2352941176470589</v>
      </c>
      <c r="AN9" s="124">
        <f>MEDIAN(Table1[Finishes])</f>
        <v>6</v>
      </c>
      <c r="AO9" s="132"/>
      <c r="AP9" s="18">
        <f>_xlfn.CEILING.MATH('[1]Stats Global'!R9*(20-$AA$5-$AJ9))</f>
        <v>11</v>
      </c>
      <c r="AQ9" s="27">
        <f>Table1[[#This Row],[Points]]/AP9</f>
        <v>1.0909090909090908</v>
      </c>
      <c r="AR9" s="131">
        <f>AP9-Table1[[#This Row],[Points]]</f>
        <v>-1</v>
      </c>
      <c r="AS9" s="137">
        <f>Table1[[#This Row],[Points]]/(20-AA$5-Table1[[#This Row],[Missed Games]])</f>
        <v>0.70588235294117652</v>
      </c>
      <c r="AT9" s="147">
        <f>Table1[[#This Row],[Average]]-'[1]Stats Global'!R9</f>
        <v>0.32307692307692315</v>
      </c>
      <c r="AU9" s="27">
        <f>(Table1[[#This Row],[Average]]-'[1]Stats Global'!R9)/'[1]Stats Global'!R9</f>
        <v>0.53846153846153866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1.1818181818181819</v>
      </c>
      <c r="BB9" s="16">
        <f>Table4[[#This Row],[Total A]]/$AX$6</f>
        <v>0</v>
      </c>
      <c r="BC9" s="16">
        <f>Table4[[#This Row],[Total S]]/$AX$6</f>
        <v>0.27272727272727271</v>
      </c>
    </row>
    <row r="10" spans="1:55" ht="14.25" customHeight="1" x14ac:dyDescent="0.45">
      <c r="A10" s="73"/>
      <c r="B10" s="114" t="str">
        <f>'1907'!B45</f>
        <v>19-July</v>
      </c>
      <c r="C10" s="114">
        <f>'1907'!C45</f>
        <v>15</v>
      </c>
      <c r="D10" s="114">
        <f>'1907'!D45</f>
        <v>0</v>
      </c>
      <c r="E10" s="114">
        <f>'1907'!E45</f>
        <v>0</v>
      </c>
      <c r="F10" s="114">
        <f>'1907'!F45</f>
        <v>15</v>
      </c>
      <c r="G10" s="114">
        <f>'1907'!G45</f>
        <v>0</v>
      </c>
      <c r="H10" s="114">
        <f>'1907'!H45</f>
        <v>0</v>
      </c>
      <c r="I10" s="114">
        <f>'1907'!I45</f>
        <v>0</v>
      </c>
      <c r="J10" s="114">
        <f>'1907'!J45</f>
        <v>8</v>
      </c>
      <c r="K10" s="114">
        <f>'1907'!K45</f>
        <v>0</v>
      </c>
      <c r="L10" s="114">
        <f>'1907'!L45</f>
        <v>0</v>
      </c>
      <c r="M10" s="114">
        <f>'1907'!M45</f>
        <v>7</v>
      </c>
      <c r="N10" s="114">
        <f>'1907'!N45</f>
        <v>0</v>
      </c>
      <c r="O10" s="114">
        <f>'1907'!O45</f>
        <v>3</v>
      </c>
      <c r="P10" s="114">
        <f>'1907'!P45</f>
        <v>1</v>
      </c>
      <c r="Q10" s="114">
        <f>'1907'!Q45</f>
        <v>2</v>
      </c>
      <c r="Z10" s="63" t="s">
        <v>51</v>
      </c>
      <c r="AA10" s="64">
        <f t="shared" si="1"/>
        <v>24</v>
      </c>
      <c r="AB10" s="65">
        <f>IF($AA$6-Table1[[#This Row],[Missed Games]]=0, 0,Table1[[#This Row],[Points]]/($AA$6-Table1[[#This Row],[Missed Games]]))</f>
        <v>3.4285714285714284</v>
      </c>
      <c r="AC10" s="66">
        <f t="shared" si="2"/>
        <v>22</v>
      </c>
      <c r="AD10" s="67">
        <f>IF($AA$6-Table1[[#This Row],[Missed Games]]=0, 0,Table1[[#This Row],[Finishes]]/($AA$6-Table1[[#This Row],[Missed Games]]))</f>
        <v>3.1428571428571428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0.14285714285714285</v>
      </c>
      <c r="AI10" s="63" t="str">
        <f>SfW!C5</f>
        <v>5 Musketeers</v>
      </c>
      <c r="AJ10" s="68">
        <f t="shared" si="5"/>
        <v>7</v>
      </c>
      <c r="AK10" s="62"/>
      <c r="AL10" s="125" t="s">
        <v>219</v>
      </c>
      <c r="AM10" s="124">
        <f>AVERAGE(Table1[Midranges])</f>
        <v>4.0588235294117645</v>
      </c>
      <c r="AN10" s="124">
        <f>MEDIAN(Table1[Midranges])</f>
        <v>1</v>
      </c>
      <c r="AO10" s="36"/>
      <c r="AP10" s="18">
        <f>_xlfn.CEILING.MATH('[1]Stats Global'!R10*(20-$AA$5-$AJ10))</f>
        <v>35</v>
      </c>
      <c r="AQ10" s="27">
        <f>Table1[[#This Row],[Points]]/AP10</f>
        <v>0.68571428571428572</v>
      </c>
      <c r="AR10" s="131">
        <f>AP10-Table1[[#This Row],[Points]]</f>
        <v>11</v>
      </c>
      <c r="AS10" s="137">
        <f>Table1[[#This Row],[Points]]/(20-AA$5-Table1[[#This Row],[Missed Games]])</f>
        <v>2.1818181818181817</v>
      </c>
      <c r="AT10" s="147">
        <f>Table1[[#This Row],[Average]]-'[1]Stats Global'!R10</f>
        <v>0.28571428571428559</v>
      </c>
      <c r="AU10" s="27">
        <f>(Table1[[#This Row],[Average]]-'[1]Stats Global'!R10)/'[1]Stats Global'!R10</f>
        <v>9.090909090909087E-2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0.45454545454545453</v>
      </c>
      <c r="BB10" s="16">
        <f>Table4[[#This Row],[Total A]]/$AX$6</f>
        <v>0.27272727272727271</v>
      </c>
      <c r="BC10" s="16">
        <f>Table4[[#This Row],[Total S]]/$AX$6</f>
        <v>0.18181818181818182</v>
      </c>
    </row>
    <row r="11" spans="1:55" ht="14.25" customHeight="1" x14ac:dyDescent="0.45">
      <c r="A11" s="73"/>
      <c r="B11" s="114" t="str">
        <f>'2007'!B45</f>
        <v>20-July</v>
      </c>
      <c r="C11" s="114">
        <f>'2007'!C45</f>
        <v>6</v>
      </c>
      <c r="D11" s="114">
        <f>'2007'!D45</f>
        <v>3</v>
      </c>
      <c r="E11" s="114">
        <f>'2007'!E45</f>
        <v>2</v>
      </c>
      <c r="F11" s="114">
        <f>'2007'!F45</f>
        <v>3</v>
      </c>
      <c r="G11" s="114">
        <f>'2007'!G45</f>
        <v>3</v>
      </c>
      <c r="H11" s="114">
        <f>'2007'!H45</f>
        <v>1</v>
      </c>
      <c r="I11" s="114">
        <f>'2007'!I45</f>
        <v>6</v>
      </c>
      <c r="J11" s="114">
        <f>'2007'!J45</f>
        <v>2</v>
      </c>
      <c r="K11" s="114">
        <f>'2007'!K45</f>
        <v>1</v>
      </c>
      <c r="L11" s="114">
        <f>'2007'!L45</f>
        <v>2</v>
      </c>
      <c r="M11" s="114">
        <f>'2007'!M45</f>
        <v>1</v>
      </c>
      <c r="N11" s="114">
        <f>'2007'!N45</f>
        <v>3</v>
      </c>
      <c r="O11" s="114">
        <f>'2007'!O45</f>
        <v>2</v>
      </c>
      <c r="P11" s="114">
        <f>'2007'!P45</f>
        <v>3</v>
      </c>
      <c r="Q11" s="114">
        <f>'2007'!Q45</f>
        <v>1</v>
      </c>
      <c r="Z11" s="63" t="s">
        <v>54</v>
      </c>
      <c r="AA11" s="64">
        <f t="shared" si="1"/>
        <v>12</v>
      </c>
      <c r="AB11" s="65">
        <f>IF($AA$6-Table1[[#This Row],[Missed Games]]=0, 0,Table1[[#This Row],[Points]]/($AA$6-Table1[[#This Row],[Missed Games]]))</f>
        <v>1.2</v>
      </c>
      <c r="AC11" s="66">
        <f t="shared" si="2"/>
        <v>12</v>
      </c>
      <c r="AD11" s="67">
        <f>IF($AA$6-Table1[[#This Row],[Missed Games]]=0, 0,Table1[[#This Row],[Finishes]]/($AA$6-Table1[[#This Row],[Missed Games]]))</f>
        <v>1.2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5" t="s">
        <v>3</v>
      </c>
      <c r="AM11" s="124">
        <f>AVERAGE(Table1[Threes])</f>
        <v>1.3529411764705883</v>
      </c>
      <c r="AN11" s="124">
        <f>MEDIAN(Table1[Threes])</f>
        <v>0</v>
      </c>
      <c r="AO11" s="36"/>
      <c r="AP11" s="18">
        <f>_xlfn.CEILING.MATH('[1]Stats Global'!R11*(20-$AA$5-$AJ11))</f>
        <v>40</v>
      </c>
      <c r="AQ11" s="27">
        <f>Table1[[#This Row],[Points]]/AP11</f>
        <v>0.3</v>
      </c>
      <c r="AR11" s="131">
        <f>AP11-Table1[[#This Row],[Points]]</f>
        <v>28</v>
      </c>
      <c r="AS11" s="137">
        <f>Table1[[#This Row],[Points]]/(20-AA$5-Table1[[#This Row],[Missed Games]])</f>
        <v>0.8571428571428571</v>
      </c>
      <c r="AT11" s="147">
        <f>Table1[[#This Row],[Average]]-'[1]Stats Global'!R11</f>
        <v>-1.6125</v>
      </c>
      <c r="AU11" s="27">
        <f>(Table1[[#This Row],[Average]]-'[1]Stats Global'!R11)/'[1]Stats Global'!R11</f>
        <v>-0.57333333333333336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0.90909090909090906</v>
      </c>
      <c r="BB11" s="16">
        <f>Table4[[#This Row],[Total A]]/$AX$6</f>
        <v>9.0909090909090912E-2</v>
      </c>
      <c r="BC11" s="16">
        <f>Table4[[#This Row],[Total S]]/$AX$6</f>
        <v>0.18181818181818182</v>
      </c>
    </row>
    <row r="12" spans="1:55" ht="14.25" customHeight="1" x14ac:dyDescent="0.45">
      <c r="A12" s="73"/>
      <c r="B12" s="114" t="str">
        <f>'2407'!B45</f>
        <v>24-July</v>
      </c>
      <c r="C12" s="114">
        <f>'2407'!C45</f>
        <v>9</v>
      </c>
      <c r="D12" s="114">
        <f>'2407'!D45</f>
        <v>1</v>
      </c>
      <c r="E12" s="114">
        <f>'2407'!E45</f>
        <v>1</v>
      </c>
      <c r="F12" s="114">
        <f>'2407'!F45</f>
        <v>1</v>
      </c>
      <c r="G12" s="114">
        <f>'2407'!G45</f>
        <v>0</v>
      </c>
      <c r="H12" s="114">
        <f>'2407'!H45</f>
        <v>5</v>
      </c>
      <c r="I12" s="114">
        <f>'2407'!I45</f>
        <v>1</v>
      </c>
      <c r="J12" s="114">
        <f>'2407'!J45</f>
        <v>1</v>
      </c>
      <c r="K12" s="114">
        <f>'2407'!K45</f>
        <v>4</v>
      </c>
      <c r="L12" s="114">
        <f>'2407'!L45</f>
        <v>9</v>
      </c>
      <c r="M12" s="114">
        <f>'2407'!M45</f>
        <v>0</v>
      </c>
      <c r="N12" s="114">
        <f>'2407'!N45</f>
        <v>1</v>
      </c>
      <c r="O12" s="114">
        <f>'2407'!O45</f>
        <v>2</v>
      </c>
      <c r="P12" s="114">
        <f>'2407'!P45</f>
        <v>1</v>
      </c>
      <c r="Q12" s="114">
        <f>'2407'!Q45</f>
        <v>3</v>
      </c>
      <c r="Z12" s="63" t="s">
        <v>57</v>
      </c>
      <c r="AA12" s="64">
        <f t="shared" si="1"/>
        <v>15</v>
      </c>
      <c r="AB12" s="65">
        <f>IF($AA$6-Table1[[#This Row],[Missed Games]]=0, 0,Table1[[#This Row],[Points]]/($AA$6-Table1[[#This Row],[Missed Games]]))</f>
        <v>1.25</v>
      </c>
      <c r="AC12" s="66">
        <f t="shared" si="2"/>
        <v>6</v>
      </c>
      <c r="AD12" s="67">
        <f>IF($AA$6-Table1[[#This Row],[Missed Games]]=0, 0,Table1[[#This Row],[Finishes]]/($AA$6-Table1[[#This Row],[Missed Games]]))</f>
        <v>0.5</v>
      </c>
      <c r="AE12" s="66">
        <f t="shared" si="3"/>
        <v>5</v>
      </c>
      <c r="AF12" s="67">
        <f>IF($AA$6-Table1[[#This Row],[Missed Games]]=0, 0,Table1[[#This Row],[Midranges]]/($AA$6-Table1[[#This Row],[Missed Games]]))</f>
        <v>0.41666666666666669</v>
      </c>
      <c r="AG12" s="66">
        <f t="shared" si="4"/>
        <v>2</v>
      </c>
      <c r="AH12" s="67">
        <f>IF($AA$6-Table1[[#This Row],[Missed Games]]=0, 0,Table1[[#This Row],[Threes]]/($AA$6-Table1[[#This Row],[Missed Games]]))</f>
        <v>0.16666666666666666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0.45454545454545453</v>
      </c>
      <c r="AR12" s="131">
        <f>AP12-Table1[[#This Row],[Points]]</f>
        <v>18</v>
      </c>
      <c r="AS12" s="137">
        <f>Table1[[#This Row],[Points]]/(20-AA$5-Table1[[#This Row],[Missed Games]])</f>
        <v>0.9375</v>
      </c>
      <c r="AT12" s="147">
        <f>Table1[[#This Row],[Average]]-'[1]Stats Global'!R12</f>
        <v>-0.8088235294117645</v>
      </c>
      <c r="AU12" s="27">
        <f>(Table1[[#This Row],[Average]]-'[1]Stats Global'!R12)/'[1]Stats Global'!R12</f>
        <v>-0.39285714285714279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0.54545454545454541</v>
      </c>
      <c r="BB12" s="16">
        <f>Table4[[#This Row],[Total A]]/$AX$6</f>
        <v>9.0909090909090912E-2</v>
      </c>
      <c r="BC12" s="16">
        <f>Table4[[#This Row],[Total S]]/$AX$6</f>
        <v>9.0909090909090912E-2</v>
      </c>
    </row>
    <row r="13" spans="1:55" ht="14.25" customHeight="1" x14ac:dyDescent="0.45">
      <c r="A13" s="73"/>
      <c r="B13" s="114" t="str">
        <f>'2607'!B45</f>
        <v>26-July</v>
      </c>
      <c r="C13" s="114">
        <f>'2607'!C45</f>
        <v>8</v>
      </c>
      <c r="D13" s="114">
        <f>'2607'!D45</f>
        <v>6</v>
      </c>
      <c r="E13" s="114">
        <f>'2607'!E45</f>
        <v>3</v>
      </c>
      <c r="F13" s="114">
        <f>'2607'!F45</f>
        <v>6</v>
      </c>
      <c r="G13" s="114">
        <f>'2607'!G45</f>
        <v>2</v>
      </c>
      <c r="H13" s="114">
        <f>'2607'!H45</f>
        <v>3</v>
      </c>
      <c r="I13" s="114">
        <f>'2607'!I45</f>
        <v>3</v>
      </c>
      <c r="J13" s="114">
        <f>'2607'!J45</f>
        <v>2</v>
      </c>
      <c r="K13" s="114">
        <f>'2607'!K45</f>
        <v>5</v>
      </c>
      <c r="L13" s="114">
        <f>'2607'!L45</f>
        <v>8</v>
      </c>
      <c r="M13" s="114">
        <f>'2607'!M45</f>
        <v>4</v>
      </c>
      <c r="N13" s="114">
        <f>'2607'!N45</f>
        <v>1</v>
      </c>
      <c r="O13" s="114">
        <f>'2607'!O45</f>
        <v>2</v>
      </c>
      <c r="P13" s="114">
        <f>'2607'!P45</f>
        <v>1</v>
      </c>
      <c r="Q13" s="114">
        <f>'2607'!Q45</f>
        <v>3</v>
      </c>
      <c r="Z13" s="63" t="s">
        <v>60</v>
      </c>
      <c r="AA13" s="64">
        <f t="shared" si="1"/>
        <v>6</v>
      </c>
      <c r="AB13" s="65">
        <f>IF($AA$6-Table1[[#This Row],[Missed Games]]=0, 0,Table1[[#This Row],[Points]]/($AA$6-Table1[[#This Row],[Missed Games]]))</f>
        <v>0.54545454545454541</v>
      </c>
      <c r="AC13" s="66">
        <f t="shared" si="2"/>
        <v>5</v>
      </c>
      <c r="AD13" s="67">
        <f>IF($AA$6-Table1[[#This Row],[Missed Games]]=0, 0,Table1[[#This Row],[Finishes]]/($AA$6-Table1[[#This Row],[Missed Games]]))</f>
        <v>0.45454545454545453</v>
      </c>
      <c r="AE13" s="66">
        <f t="shared" si="3"/>
        <v>1</v>
      </c>
      <c r="AF13" s="67">
        <f>IF($AA$6-Table1[[#This Row],[Missed Games]]=0, 0,Table1[[#This Row],[Midranges]]/($AA$6-Table1[[#This Row],[Missed Games]]))</f>
        <v>9.0909090909090912E-2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18</v>
      </c>
      <c r="AQ13" s="27">
        <f>Table1[[#This Row],[Points]]/AP13</f>
        <v>0.33333333333333331</v>
      </c>
      <c r="AR13" s="131">
        <f>AP13-Table1[[#This Row],[Points]]</f>
        <v>12</v>
      </c>
      <c r="AS13" s="137">
        <f>Table1[[#This Row],[Points]]/(20-AA$5-Table1[[#This Row],[Missed Games]])</f>
        <v>0.4</v>
      </c>
      <c r="AT13" s="147">
        <f>Table1[[#This Row],[Average]]-'[1]Stats Global'!R13</f>
        <v>-0.59740259740259738</v>
      </c>
      <c r="AU13" s="27">
        <f>(Table1[[#This Row],[Average]]-'[1]Stats Global'!R13)/'[1]Stats Global'!R13</f>
        <v>-0.52272727272727271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0.54545454545454541</v>
      </c>
      <c r="BB13" s="16">
        <f>Table4[[#This Row],[Total A]]/$AX$6</f>
        <v>0.18181818181818182</v>
      </c>
      <c r="BC13" s="16">
        <f>Table4[[#This Row],[Total S]]/$AX$6</f>
        <v>9.0909090909090912E-2</v>
      </c>
    </row>
    <row r="14" spans="1:55" ht="14.25" customHeight="1" x14ac:dyDescent="0.45">
      <c r="A14" s="73"/>
      <c r="B14" s="114" t="str">
        <f>'2707'!B45</f>
        <v>27-July</v>
      </c>
      <c r="C14" s="114">
        <f>'2707'!C45</f>
        <v>8</v>
      </c>
      <c r="D14" s="114">
        <f>'2707'!D45</f>
        <v>3</v>
      </c>
      <c r="E14" s="114">
        <f>'2707'!E45</f>
        <v>3</v>
      </c>
      <c r="F14" s="114">
        <f>'2707'!F45</f>
        <v>3</v>
      </c>
      <c r="G14" s="114">
        <f>'2707'!G45</f>
        <v>1</v>
      </c>
      <c r="H14" s="114">
        <f>'2707'!H45</f>
        <v>4</v>
      </c>
      <c r="I14" s="114">
        <f>'2707'!I45</f>
        <v>3</v>
      </c>
      <c r="J14" s="114">
        <f>'2707'!J45</f>
        <v>2</v>
      </c>
      <c r="K14" s="114">
        <f>'2707'!K45</f>
        <v>4</v>
      </c>
      <c r="L14" s="114">
        <f>'2707'!L45</f>
        <v>8</v>
      </c>
      <c r="M14" s="114">
        <f>'2707'!M45</f>
        <v>1</v>
      </c>
      <c r="N14" s="114">
        <f>'2707'!N45</f>
        <v>2</v>
      </c>
      <c r="O14" s="114">
        <f>'2707'!O45</f>
        <v>2</v>
      </c>
      <c r="P14" s="114">
        <f>'2707'!P45</f>
        <v>1</v>
      </c>
      <c r="Q14" s="114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0.42857142857142855</v>
      </c>
      <c r="AC14" s="66">
        <f t="shared" si="2"/>
        <v>4</v>
      </c>
      <c r="AD14" s="67">
        <f>IF($AA$6-Table1[[#This Row],[Missed Games]]=0, 0,Table1[[#This Row],[Finishes]]/($AA$6-Table1[[#This Row],[Missed Games]]))</f>
        <v>0.2857142857142857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0.14285714285714285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1">
        <f>AP14-Table1[[#This Row],[Points]]</f>
        <v>0</v>
      </c>
      <c r="AS14" s="137">
        <f>Table1[[#This Row],[Points]]/(20-AA$5-Table1[[#This Row],[Missed Games]])</f>
        <v>0.33333333333333331</v>
      </c>
      <c r="AT14" s="147">
        <f>Table1[[#This Row],[Average]]-'[1]Stats Global'!R23</f>
        <v>0.11607142857142855</v>
      </c>
      <c r="AU14" s="27">
        <f>(Table1[[#This Row],[Average]]-'[1]Stats Global'!R23)/'[1]Stats Global'!R23</f>
        <v>0.37142857142857133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0.81818181818181823</v>
      </c>
      <c r="BB14" s="16">
        <f>Table4[[#This Row],[Total A]]/$AX$6</f>
        <v>0</v>
      </c>
      <c r="BC14" s="16">
        <f>Table4[[#This Row],[Total S]]/$AX$6</f>
        <v>0.18181818181818182</v>
      </c>
    </row>
    <row r="15" spans="1:55" ht="14.25" customHeight="1" x14ac:dyDescent="0.45">
      <c r="A15" s="73"/>
      <c r="B15" s="114" t="str">
        <f>'3107'!B45</f>
        <v>31-July</v>
      </c>
      <c r="C15" s="114">
        <f>'3107'!C45</f>
        <v>9</v>
      </c>
      <c r="D15" s="114">
        <f>'3107'!D45</f>
        <v>4</v>
      </c>
      <c r="E15" s="114">
        <f>'3107'!E45</f>
        <v>3</v>
      </c>
      <c r="F15" s="114">
        <f>'3107'!F45</f>
        <v>9</v>
      </c>
      <c r="G15" s="114">
        <f>'3107'!G45</f>
        <v>2</v>
      </c>
      <c r="H15" s="114">
        <f>'3107'!H45</f>
        <v>1</v>
      </c>
      <c r="I15" s="114">
        <f>'3107'!I45</f>
        <v>4</v>
      </c>
      <c r="J15" s="114">
        <f>'3107'!J45</f>
        <v>4</v>
      </c>
      <c r="K15" s="114">
        <f>'3107'!K45</f>
        <v>2</v>
      </c>
      <c r="L15" s="114">
        <f>'3107'!L45</f>
        <v>3</v>
      </c>
      <c r="M15" s="114">
        <f>'3107'!M45</f>
        <v>5</v>
      </c>
      <c r="N15" s="114">
        <f>'3107'!N45</f>
        <v>2</v>
      </c>
      <c r="O15" s="114">
        <f>'3107'!O45</f>
        <v>3</v>
      </c>
      <c r="P15" s="114">
        <f>'3107'!P45</f>
        <v>2</v>
      </c>
      <c r="Q15" s="114">
        <f>'3107'!Q45</f>
        <v>1</v>
      </c>
      <c r="Z15" s="72" t="s">
        <v>63</v>
      </c>
      <c r="AA15" s="64">
        <f t="shared" si="1"/>
        <v>11</v>
      </c>
      <c r="AB15" s="65">
        <f>IF($AA$6-Table1[[#This Row],[Missed Games]]=0, 0,Table1[[#This Row],[Points]]/($AA$6-Table1[[#This Row],[Missed Games]]))</f>
        <v>1.375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1</v>
      </c>
      <c r="AF15" s="67">
        <f>IF($AA$6-Table1[[#This Row],[Missed Games]]=0, 0,Table1[[#This Row],[Midranges]]/($AA$6-Table1[[#This Row],[Missed Games]]))</f>
        <v>0.125</v>
      </c>
      <c r="AG15" s="66">
        <f t="shared" si="4"/>
        <v>5</v>
      </c>
      <c r="AH15" s="67">
        <f>IF($AA$6-Table1[[#This Row],[Missed Games]]=0, 0,Table1[[#This Row],[Threes]]/($AA$6-Table1[[#This Row],[Missed Games]]))</f>
        <v>0.625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0.55000000000000004</v>
      </c>
      <c r="AR15" s="131">
        <f>AP15-Table1[[#This Row],[Points]]</f>
        <v>9</v>
      </c>
      <c r="AS15" s="137">
        <f>Table1[[#This Row],[Points]]/(20-AA$5-Table1[[#This Row],[Missed Games]])</f>
        <v>0.91666666666666663</v>
      </c>
      <c r="AT15" s="147">
        <f>Table1[[#This Row],[Average]]-'[1]Stats Global'!R14</f>
        <v>-0.21323529411764697</v>
      </c>
      <c r="AU15" s="27">
        <f>(Table1[[#This Row],[Average]]-'[1]Stats Global'!R14)/'[1]Stats Global'!R14</f>
        <v>-0.13425925925925922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4" t="str">
        <f>'0108'!B45</f>
        <v>1-August</v>
      </c>
      <c r="C16" s="114">
        <f>'0108'!C45</f>
        <v>6</v>
      </c>
      <c r="D16" s="114">
        <f>'0108'!D45</f>
        <v>6</v>
      </c>
      <c r="E16" s="114">
        <f>'0108'!E45</f>
        <v>3</v>
      </c>
      <c r="F16" s="114">
        <f>'0108'!F45</f>
        <v>3</v>
      </c>
      <c r="G16" s="114">
        <f>'0108'!G45</f>
        <v>3</v>
      </c>
      <c r="H16" s="114">
        <f>'0108'!H45</f>
        <v>3</v>
      </c>
      <c r="I16" s="114">
        <f>'0108'!I45</f>
        <v>6</v>
      </c>
      <c r="J16" s="114">
        <f>'0108'!J45</f>
        <v>1</v>
      </c>
      <c r="K16" s="114">
        <f>'0108'!K45</f>
        <v>3</v>
      </c>
      <c r="L16" s="114">
        <f>'0108'!L45</f>
        <v>6</v>
      </c>
      <c r="M16" s="114">
        <f>'0108'!M45</f>
        <v>2</v>
      </c>
      <c r="N16" s="114">
        <f>'0108'!N45</f>
        <v>3</v>
      </c>
      <c r="O16" s="114">
        <f>'0108'!O45</f>
        <v>1</v>
      </c>
      <c r="P16" s="114">
        <f>'0108'!P45</f>
        <v>3</v>
      </c>
      <c r="Q16" s="114">
        <f>'0108'!Q45</f>
        <v>2</v>
      </c>
      <c r="Z16" s="72" t="s">
        <v>66</v>
      </c>
      <c r="AA16" s="64">
        <f t="shared" si="1"/>
        <v>23</v>
      </c>
      <c r="AB16" s="65">
        <f>IF($AA$6-Table1[[#This Row],[Missed Games]]=0, 0,Table1[[#This Row],[Points]]/($AA$6-Table1[[#This Row],[Missed Games]]))</f>
        <v>1.9166666666666667</v>
      </c>
      <c r="AC16" s="66">
        <f t="shared" si="2"/>
        <v>9</v>
      </c>
      <c r="AD16" s="67">
        <f>IF($AA$6-Table1[[#This Row],[Missed Games]]=0, 0,Table1[[#This Row],[Finishes]]/($AA$6-Table1[[#This Row],[Missed Games]]))</f>
        <v>0.75</v>
      </c>
      <c r="AE16" s="66">
        <f t="shared" si="3"/>
        <v>8</v>
      </c>
      <c r="AF16" s="67">
        <f>IF($AA$6-Table1[[#This Row],[Missed Games]]=0, 0,Table1[[#This Row],[Midranges]]/($AA$6-Table1[[#This Row],[Missed Games]]))</f>
        <v>0.66666666666666663</v>
      </c>
      <c r="AG16" s="66">
        <f t="shared" si="4"/>
        <v>3</v>
      </c>
      <c r="AH16" s="67">
        <f>IF($AA$6-Table1[[#This Row],[Missed Games]]=0, 0,Table1[[#This Row],[Threes]]/($AA$6-Table1[[#This Row],[Missed Games]]))</f>
        <v>0.25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23</v>
      </c>
      <c r="AQ16" s="27">
        <f>Table1[[#This Row],[Points]]/AP16</f>
        <v>1</v>
      </c>
      <c r="AR16" s="131">
        <f>AP16-Table1[[#This Row],[Points]]</f>
        <v>0</v>
      </c>
      <c r="AS16" s="137">
        <f>Table1[[#This Row],[Points]]/(20-AA$5-Table1[[#This Row],[Missed Games]])</f>
        <v>1.4375</v>
      </c>
      <c r="AT16" s="147">
        <f>Table1[[#This Row],[Average]]-'[1]Stats Global'!R15</f>
        <v>0.50490196078431371</v>
      </c>
      <c r="AU16" s="27">
        <f>(Table1[[#This Row],[Average]]-'[1]Stats Global'!R15)/'[1]Stats Global'!R15</f>
        <v>0.35763888888888884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1.2727272727272727</v>
      </c>
      <c r="BB16" s="16">
        <f>Table4[[#This Row],[Total A]]/$AX$6</f>
        <v>0.27272727272727271</v>
      </c>
      <c r="BC16" s="16">
        <f>Table4[[#This Row],[Total S]]/$AX$6</f>
        <v>0.18181818181818182</v>
      </c>
    </row>
    <row r="17" spans="2:55" ht="14.25" customHeight="1" x14ac:dyDescent="0.45">
      <c r="B17" s="114" t="str">
        <f>'0208'!B45</f>
        <v>2-August</v>
      </c>
      <c r="C17" s="114">
        <f>'0208'!C45</f>
        <v>12</v>
      </c>
      <c r="D17" s="114">
        <f>'0208'!D45</f>
        <v>10</v>
      </c>
      <c r="E17" s="114">
        <f>'0208'!E45</f>
        <v>4</v>
      </c>
      <c r="F17" s="114">
        <f>'0208'!F45</f>
        <v>4</v>
      </c>
      <c r="G17" s="114">
        <f>'0208'!G45</f>
        <v>3</v>
      </c>
      <c r="H17" s="114">
        <f>'0208'!H45</f>
        <v>8</v>
      </c>
      <c r="I17" s="114">
        <f>'0208'!I45</f>
        <v>10</v>
      </c>
      <c r="J17" s="114">
        <f>'0208'!J45</f>
        <v>4</v>
      </c>
      <c r="K17" s="114">
        <f>'0208'!K45</f>
        <v>4</v>
      </c>
      <c r="L17" s="114">
        <f>'0208'!L45</f>
        <v>12</v>
      </c>
      <c r="M17" s="114">
        <f>'0208'!M45</f>
        <v>0</v>
      </c>
      <c r="N17" s="114">
        <f>'0208'!N45</f>
        <v>7</v>
      </c>
      <c r="O17" s="114">
        <f>'0208'!O45</f>
        <v>1</v>
      </c>
      <c r="P17" s="114">
        <f>'0208'!P45</f>
        <v>2</v>
      </c>
      <c r="Q17" s="114">
        <f>'0208'!Q45</f>
        <v>3</v>
      </c>
      <c r="Z17" s="72" t="s">
        <v>68</v>
      </c>
      <c r="AA17" s="64">
        <f t="shared" si="1"/>
        <v>45</v>
      </c>
      <c r="AB17" s="65">
        <f>IF($AA$6-Table1[[#This Row],[Missed Games]]=0, 0,Table1[[#This Row],[Points]]/($AA$6-Table1[[#This Row],[Missed Games]]))</f>
        <v>3.4615384615384617</v>
      </c>
      <c r="AC17" s="66">
        <f t="shared" si="2"/>
        <v>7</v>
      </c>
      <c r="AD17" s="67">
        <f>IF($AA$6-Table1[[#This Row],[Missed Games]]=0, 0,Table1[[#This Row],[Finishes]]/($AA$6-Table1[[#This Row],[Missed Games]]))</f>
        <v>0.53846153846153844</v>
      </c>
      <c r="AE17" s="66">
        <f t="shared" si="3"/>
        <v>28</v>
      </c>
      <c r="AF17" s="67">
        <f>IF($AA$6-Table1[[#This Row],[Missed Games]]=0, 0,Table1[[#This Row],[Midranges]]/($AA$6-Table1[[#This Row],[Missed Games]]))</f>
        <v>2.1538461538461537</v>
      </c>
      <c r="AG17" s="66">
        <f t="shared" si="4"/>
        <v>5</v>
      </c>
      <c r="AH17" s="67">
        <f>IF($AA$6-Table1[[#This Row],[Missed Games]]=0, 0,Table1[[#This Row],[Threes]]/($AA$6-Table1[[#This Row],[Missed Games]]))</f>
        <v>0.38461538461538464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44</v>
      </c>
      <c r="AQ17" s="27">
        <f>Table1[[#This Row],[Points]]/AP17</f>
        <v>1.0227272727272727</v>
      </c>
      <c r="AR17" s="131">
        <f>AP17-Table1[[#This Row],[Points]]</f>
        <v>-1</v>
      </c>
      <c r="AS17" s="137">
        <f>Table1[[#This Row],[Points]]/(20-AA$5-Table1[[#This Row],[Missed Games]])</f>
        <v>2.6470588235294117</v>
      </c>
      <c r="AT17" s="147">
        <f>Table1[[#This Row],[Average]]-'[1]Stats Global'!R16</f>
        <v>0.92820512820512846</v>
      </c>
      <c r="AU17" s="27">
        <f>(Table1[[#This Row],[Average]]-'[1]Stats Global'!R16)/'[1]Stats Global'!R16</f>
        <v>0.36639676113360337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1.2727272727272727</v>
      </c>
      <c r="BB17" s="16">
        <f>Table4[[#This Row],[Total A]]/$AX$6</f>
        <v>0.18181818181818182</v>
      </c>
      <c r="BC17" s="16">
        <f>Table4[[#This Row],[Total S]]/$AX$6</f>
        <v>0</v>
      </c>
    </row>
    <row r="18" spans="2:55" ht="14.25" customHeight="1" x14ac:dyDescent="0.45">
      <c r="B18" s="114" t="str">
        <f>'0308'!B45</f>
        <v>3-August</v>
      </c>
      <c r="C18" s="114">
        <f>'0308'!C45</f>
        <v>7</v>
      </c>
      <c r="D18" s="114">
        <f>'0308'!D45</f>
        <v>3</v>
      </c>
      <c r="E18" s="114">
        <f>'0308'!E45</f>
        <v>0</v>
      </c>
      <c r="F18" s="114">
        <f>'0308'!F45</f>
        <v>7</v>
      </c>
      <c r="G18" s="114">
        <f>'0308'!G45</f>
        <v>2</v>
      </c>
      <c r="H18" s="114">
        <f>'0308'!H45</f>
        <v>0</v>
      </c>
      <c r="I18" s="114">
        <f>'0308'!I45</f>
        <v>3</v>
      </c>
      <c r="J18" s="114">
        <f>'0308'!J45</f>
        <v>3</v>
      </c>
      <c r="K18" s="114">
        <f>'0308'!K45</f>
        <v>0</v>
      </c>
      <c r="L18" s="114">
        <f>'0308'!L45</f>
        <v>0</v>
      </c>
      <c r="M18" s="114">
        <f>'0308'!M45</f>
        <v>4</v>
      </c>
      <c r="N18" s="114">
        <f>'0308'!N45</f>
        <v>1</v>
      </c>
      <c r="O18" s="114">
        <f>'0308'!O45</f>
        <v>3</v>
      </c>
      <c r="P18" s="114">
        <f>'0308'!P45</f>
        <v>2</v>
      </c>
      <c r="Q18" s="114">
        <f>'0308'!Q45</f>
        <v>1</v>
      </c>
      <c r="Z18" s="72" t="s">
        <v>69</v>
      </c>
      <c r="AA18" s="64">
        <f t="shared" si="1"/>
        <v>8</v>
      </c>
      <c r="AB18" s="65">
        <f>IF($AA$6-Table1[[#This Row],[Missed Games]]=0, 0,Table1[[#This Row],[Points]]/($AA$6-Table1[[#This Row],[Missed Games]]))</f>
        <v>0.5714285714285714</v>
      </c>
      <c r="AC18" s="66">
        <f t="shared" si="2"/>
        <v>1</v>
      </c>
      <c r="AD18" s="67">
        <f>IF($AA$6-Table1[[#This Row],[Missed Games]]=0, 0,Table1[[#This Row],[Finishes]]/($AA$6-Table1[[#This Row],[Missed Games]]))</f>
        <v>7.1428571428571425E-2</v>
      </c>
      <c r="AE18" s="66">
        <f t="shared" si="3"/>
        <v>7</v>
      </c>
      <c r="AF18" s="67">
        <f>IF($AA$6-Table1[[#This Row],[Missed Games]]=0, 0,Table1[[#This Row],[Midranges]]/($AA$6-Table1[[#This Row],[Missed Games]]))</f>
        <v>0.5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0.5</v>
      </c>
      <c r="AR18" s="131">
        <f>AP18-Table1[[#This Row],[Points]]</f>
        <v>8</v>
      </c>
      <c r="AS18" s="137">
        <f>Table1[[#This Row],[Points]]/(20-AA$5-Table1[[#This Row],[Missed Games]])</f>
        <v>0.44444444444444442</v>
      </c>
      <c r="AT18" s="147">
        <f>Table1[[#This Row],[Average]]-'[1]Stats Global'!R17</f>
        <v>-0.3035714285714286</v>
      </c>
      <c r="AU18" s="27">
        <f>(Table1[[#This Row],[Average]]-'[1]Stats Global'!R17)/'[1]Stats Global'!R17</f>
        <v>-0.34693877551020413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9.0909090909090912E-2</v>
      </c>
      <c r="BB18" s="16">
        <f>Table4[[#This Row],[Total A]]/$AX$6</f>
        <v>0</v>
      </c>
      <c r="BC18" s="16">
        <f>Table4[[#This Row],[Total S]]/$AX$6</f>
        <v>0.45454545454545453</v>
      </c>
    </row>
    <row r="19" spans="2:55" ht="14.25" customHeight="1" x14ac:dyDescent="0.45">
      <c r="B19" s="150" t="str">
        <f>'0808'!B45</f>
        <v>8-August</v>
      </c>
      <c r="C19" s="150">
        <f>'0808'!C45</f>
        <v>17</v>
      </c>
      <c r="D19" s="150">
        <f>'0808'!D45</f>
        <v>1</v>
      </c>
      <c r="E19" s="150">
        <f>'0808'!E45</f>
        <v>1</v>
      </c>
      <c r="F19" s="150">
        <f>'0808'!F45</f>
        <v>1</v>
      </c>
      <c r="G19" s="150">
        <f>'0808'!G45</f>
        <v>1</v>
      </c>
      <c r="H19" s="150">
        <f>'0808'!H45</f>
        <v>8</v>
      </c>
      <c r="I19" s="150">
        <f>'0808'!I45</f>
        <v>1</v>
      </c>
      <c r="J19" s="150">
        <f>'0808'!J45</f>
        <v>0</v>
      </c>
      <c r="K19" s="150">
        <f>'0808'!K45</f>
        <v>9</v>
      </c>
      <c r="L19" s="150">
        <f>'0808'!L45</f>
        <v>17</v>
      </c>
      <c r="M19" s="150">
        <f>'0808'!M45</f>
        <v>1</v>
      </c>
      <c r="N19" s="150">
        <f>'0808'!N45</f>
        <v>0</v>
      </c>
      <c r="O19" s="150">
        <f>'0808'!O45</f>
        <v>1</v>
      </c>
      <c r="P19" s="150">
        <f>'0808'!P45</f>
        <v>2</v>
      </c>
      <c r="Q19" s="150">
        <f>'0808'!Q45</f>
        <v>3</v>
      </c>
      <c r="Z19" s="108" t="s">
        <v>200</v>
      </c>
      <c r="AA19" s="64">
        <f t="shared" si="1"/>
        <v>1</v>
      </c>
      <c r="AB19" s="65">
        <f>IF($AA$6-Table1[[#This Row],[Missed Games]]=0, 0,Table1[[#This Row],[Points]]/($AA$6-Table1[[#This Row],[Missed Games]]))</f>
        <v>0.16666666666666666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0.16666666666666666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8</v>
      </c>
      <c r="AK19" s="62"/>
      <c r="AL19" s="62"/>
      <c r="AM19" s="62"/>
      <c r="AO19" s="36"/>
      <c r="AP19" s="18">
        <v>0</v>
      </c>
      <c r="AQ19" s="27">
        <v>1</v>
      </c>
      <c r="AR19" s="131">
        <f>AP19-Table1[[#This Row],[Points]]</f>
        <v>-1</v>
      </c>
      <c r="AS19" s="137">
        <f>Table1[[#This Row],[Points]]/(20-AA$5-Table1[[#This Row],[Missed Games]])</f>
        <v>0.1</v>
      </c>
      <c r="AT19" s="147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0.27272727272727271</v>
      </c>
      <c r="BB19" s="16">
        <f>Table4[[#This Row],[Total A]]/$AX$6</f>
        <v>9.0909090909090912E-2</v>
      </c>
      <c r="BC19" s="16">
        <f>Table4[[#This Row],[Total S]]/$AX$6</f>
        <v>0</v>
      </c>
    </row>
    <row r="20" spans="2:55" ht="14.25" customHeight="1" x14ac:dyDescent="0.45">
      <c r="B20" s="150" t="str">
        <f>'0908'!B45</f>
        <v>9-August</v>
      </c>
      <c r="C20" s="150">
        <f>'0908'!C45</f>
        <v>8</v>
      </c>
      <c r="D20" s="150">
        <f>'0908'!D45</f>
        <v>3</v>
      </c>
      <c r="E20" s="150">
        <f>'0908'!E45</f>
        <v>2</v>
      </c>
      <c r="F20" s="150">
        <f>'0908'!F45</f>
        <v>3</v>
      </c>
      <c r="G20" s="150">
        <f>'0908'!G45</f>
        <v>1</v>
      </c>
      <c r="H20" s="150">
        <f>'0908'!H45</f>
        <v>4</v>
      </c>
      <c r="I20" s="150">
        <f>'0908'!I45</f>
        <v>2</v>
      </c>
      <c r="J20" s="150">
        <f>'0908'!J45</f>
        <v>1</v>
      </c>
      <c r="K20" s="150">
        <f>'0908'!K45</f>
        <v>4</v>
      </c>
      <c r="L20" s="150">
        <f>'0908'!L45</f>
        <v>8</v>
      </c>
      <c r="M20" s="150">
        <f>'0908'!M45</f>
        <v>2</v>
      </c>
      <c r="N20" s="150">
        <f>'0908'!N45</f>
        <v>1</v>
      </c>
      <c r="O20" s="150">
        <f>'0908'!O45</f>
        <v>2</v>
      </c>
      <c r="P20" s="150">
        <f>'0908'!P45</f>
        <v>1</v>
      </c>
      <c r="Q20" s="150">
        <f>'0908'!Q45</f>
        <v>3</v>
      </c>
      <c r="Z20" s="108" t="s">
        <v>128</v>
      </c>
      <c r="AA20" s="64">
        <f t="shared" si="1"/>
        <v>10</v>
      </c>
      <c r="AB20" s="65">
        <f>IF($AA$6-Table1[[#This Row],[Missed Games]]=0, 0,Table1[[#This Row],[Points]]/($AA$6-Table1[[#This Row],[Missed Games]]))</f>
        <v>0.76923076923076927</v>
      </c>
      <c r="AC20" s="66">
        <f t="shared" si="2"/>
        <v>9</v>
      </c>
      <c r="AD20" s="111">
        <f>IF($AA$6-Table1[[#This Row],[Missed Games]]=0, 0,Table1[[#This Row],[Finishes]]/($AA$6-Table1[[#This Row],[Missed Games]]))</f>
        <v>0.69230769230769229</v>
      </c>
      <c r="AE20" s="66">
        <f t="shared" si="3"/>
        <v>1</v>
      </c>
      <c r="AF20" s="111">
        <f>IF($AA$6-Table1[[#This Row],[Missed Games]]=0, 0,Table1[[#This Row],[Midranges]]/($AA$6-Table1[[#This Row],[Missed Games]]))</f>
        <v>7.6923076923076927E-2</v>
      </c>
      <c r="AG20" s="66">
        <f t="shared" si="4"/>
        <v>0</v>
      </c>
      <c r="AH20" s="111">
        <f>IF($AA$6-Table1[[#This Row],[Missed Games]]=0, 0,Table1[[#This Row],[Threes]]/($AA$6-Table1[[#This Row],[Missed Games]]))</f>
        <v>0</v>
      </c>
      <c r="AI20" s="108" t="str">
        <f>SfW!C15</f>
        <v>Wet Willies</v>
      </c>
      <c r="AJ20" s="68">
        <f t="shared" si="5"/>
        <v>1</v>
      </c>
      <c r="AK20" s="62"/>
      <c r="AL20" s="62"/>
      <c r="AM20" s="62"/>
      <c r="AO20" s="36"/>
      <c r="AP20" s="18">
        <f>_xlfn.CEILING.MATH('[1]Stats Global'!R18*(20-$AA$5-$AJ20))</f>
        <v>19</v>
      </c>
      <c r="AQ20" s="27">
        <f>Table1[[#This Row],[Points]]/AP20</f>
        <v>0.52631578947368418</v>
      </c>
      <c r="AR20" s="131">
        <f>AP20-Table1[[#This Row],[Points]]</f>
        <v>9</v>
      </c>
      <c r="AS20" s="137">
        <f>Table1[[#This Row],[Points]]/(20-AA$5-Table1[[#This Row],[Missed Games]])</f>
        <v>0.58823529411764708</v>
      </c>
      <c r="AT20" s="147">
        <f>Table1[[#This Row],[Average]]-'[1]Stats Global'!R18</f>
        <v>-0.29743589743589738</v>
      </c>
      <c r="AU20" s="27">
        <f>(Table1[[#This Row],[Average]]-'[1]Stats Global'!R18)/'[1]Stats Global'!R18</f>
        <v>-0.2788461538461538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0.72727272727272729</v>
      </c>
      <c r="BB20" s="16">
        <f>Table4[[#This Row],[Total A]]/$AX$6</f>
        <v>9.0909090909090912E-2</v>
      </c>
      <c r="BC20" s="16">
        <f>Table4[[#This Row],[Total S]]/$AX$6</f>
        <v>0.27272727272727271</v>
      </c>
    </row>
    <row r="21" spans="2:55" ht="14.25" customHeight="1" x14ac:dyDescent="0.45">
      <c r="B21" s="150" t="str">
        <f>'1008'!B45</f>
        <v>10-August</v>
      </c>
      <c r="C21" s="150">
        <f>'1008'!C45</f>
        <v>12</v>
      </c>
      <c r="D21" s="150">
        <f>'1008'!D45</f>
        <v>10</v>
      </c>
      <c r="E21" s="150">
        <f>'1008'!E45</f>
        <v>0</v>
      </c>
      <c r="F21" s="150">
        <f>'1008'!F45</f>
        <v>10</v>
      </c>
      <c r="G21" s="150">
        <f>'1008'!G45</f>
        <v>6</v>
      </c>
      <c r="H21" s="150">
        <f>'1008'!H45</f>
        <v>0</v>
      </c>
      <c r="I21" s="150">
        <f>'1008'!I45</f>
        <v>12</v>
      </c>
      <c r="J21" s="150">
        <f>'1008'!J45</f>
        <v>4</v>
      </c>
      <c r="K21" s="150">
        <f>'1008'!K45</f>
        <v>0</v>
      </c>
      <c r="L21" s="150">
        <f>'1008'!L45</f>
        <v>0</v>
      </c>
      <c r="M21" s="150">
        <f>'1008'!M45</f>
        <v>4</v>
      </c>
      <c r="N21" s="150">
        <f>'1008'!N45</f>
        <v>6</v>
      </c>
      <c r="O21" s="150">
        <f>'1008'!O45</f>
        <v>2</v>
      </c>
      <c r="P21" s="150">
        <f>'1008'!P45</f>
        <v>3</v>
      </c>
      <c r="Q21" s="150">
        <f>'1008'!Q45</f>
        <v>1</v>
      </c>
      <c r="Z21" s="108" t="s">
        <v>127</v>
      </c>
      <c r="AA21" s="64">
        <f t="shared" si="1"/>
        <v>16</v>
      </c>
      <c r="AB21" s="65">
        <f>IF($AA$6-Table1[[#This Row],[Missed Games]]=0, 0,Table1[[#This Row],[Points]]/($AA$6-Table1[[#This Row],[Missed Games]]))</f>
        <v>1.1428571428571428</v>
      </c>
      <c r="AC21" s="66">
        <f t="shared" si="2"/>
        <v>11</v>
      </c>
      <c r="AD21" s="111">
        <f>IF($AA$6-Table1[[#This Row],[Missed Games]]=0, 0,Table1[[#This Row],[Finishes]]/($AA$6-Table1[[#This Row],[Missed Games]]))</f>
        <v>0.7857142857142857</v>
      </c>
      <c r="AE21" s="66">
        <f t="shared" si="3"/>
        <v>3</v>
      </c>
      <c r="AF21" s="111">
        <f>IF($AA$6-Table1[[#This Row],[Missed Games]]=0, 0,Table1[[#This Row],[Midranges]]/($AA$6-Table1[[#This Row],[Missed Games]]))</f>
        <v>0.21428571428571427</v>
      </c>
      <c r="AG21" s="66">
        <f t="shared" si="4"/>
        <v>1</v>
      </c>
      <c r="AH21" s="111">
        <f>IF($AA$6-Table1[[#This Row],[Missed Games]]=0, 0,Table1[[#This Row],[Threes]]/($AA$6-Table1[[#This Row],[Missed Games]]))</f>
        <v>7.1428571428571425E-2</v>
      </c>
      <c r="AI21" s="108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0.8</v>
      </c>
      <c r="AR21" s="131">
        <f>AP21-Table1[[#This Row],[Points]]</f>
        <v>4</v>
      </c>
      <c r="AS21" s="137">
        <f>Table1[[#This Row],[Points]]/(20-AA$5-Table1[[#This Row],[Missed Games]])</f>
        <v>0.88888888888888884</v>
      </c>
      <c r="AT21" s="147">
        <f>Table1[[#This Row],[Average]]-'[1]Stats Global'!R19</f>
        <v>8.4033613445378075E-2</v>
      </c>
      <c r="AU21" s="27">
        <f>(Table1[[#This Row],[Average]]-'[1]Stats Global'!R19)/'[1]Stats Global'!R19</f>
        <v>7.9365079365079291E-2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1.0909090909090908</v>
      </c>
      <c r="BB21" s="16">
        <f>Table4[[#This Row],[Total A]]/$AX$6</f>
        <v>0.18181818181818182</v>
      </c>
      <c r="BC21" s="16">
        <f>Table4[[#This Row],[Total S]]/$AX$6</f>
        <v>0.18181818181818182</v>
      </c>
    </row>
    <row r="22" spans="2:55" ht="14.25" customHeight="1" x14ac:dyDescent="0.45"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Z22" s="108" t="s">
        <v>73</v>
      </c>
      <c r="AA22" s="64">
        <f t="shared" si="1"/>
        <v>41</v>
      </c>
      <c r="AB22" s="65">
        <f>IF($AA$6-Table1[[#This Row],[Missed Games]]=0, 0,Table1[[#This Row],[Points]]/($AA$6-Table1[[#This Row],[Missed Games]]))</f>
        <v>2.9285714285714284</v>
      </c>
      <c r="AC22" s="66">
        <f t="shared" si="2"/>
        <v>21</v>
      </c>
      <c r="AD22" s="111">
        <f>IF($AA$6-Table1[[#This Row],[Missed Games]]=0, 0,Table1[[#This Row],[Finishes]]/($AA$6-Table1[[#This Row],[Missed Games]]))</f>
        <v>1.5</v>
      </c>
      <c r="AE22" s="66">
        <f t="shared" si="3"/>
        <v>8</v>
      </c>
      <c r="AF22" s="111">
        <f>IF($AA$6-Table1[[#This Row],[Missed Games]]=0, 0,Table1[[#This Row],[Midranges]]/($AA$6-Table1[[#This Row],[Missed Games]]))</f>
        <v>0.5714285714285714</v>
      </c>
      <c r="AG22" s="66">
        <f t="shared" si="4"/>
        <v>6</v>
      </c>
      <c r="AH22" s="111">
        <f>IF($AA$6-Table1[[#This Row],[Missed Games]]=0, 0,Table1[[#This Row],[Threes]]/($AA$6-Table1[[#This Row],[Missed Games]]))</f>
        <v>0.42857142857142855</v>
      </c>
      <c r="AI22" s="108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44</v>
      </c>
      <c r="AQ22" s="27">
        <f>Table1[[#This Row],[Points]]/AP22</f>
        <v>0.93181818181818177</v>
      </c>
      <c r="AR22" s="131">
        <f>AP22-Table1[[#This Row],[Points]]</f>
        <v>3</v>
      </c>
      <c r="AS22" s="137">
        <f>Table1[[#This Row],[Points]]/(20-AA$5-Table1[[#This Row],[Missed Games]])</f>
        <v>2.2777777777777777</v>
      </c>
      <c r="AT22" s="147">
        <f>Table1[[#This Row],[Average]]-'[1]Stats Global'!R20</f>
        <v>0.5</v>
      </c>
      <c r="AU22" s="27">
        <f>(Table1[[#This Row],[Average]]-'[1]Stats Global'!R20)/'[1]Stats Global'!R20</f>
        <v>0.20588235294117649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</v>
      </c>
      <c r="BB22" s="16">
        <f>Table4[[#This Row],[Total A]]/$AX$6</f>
        <v>0.63636363636363635</v>
      </c>
      <c r="BC22" s="16">
        <f>Table4[[#This Row],[Total S]]/$AX$6</f>
        <v>0.27272727272727271</v>
      </c>
    </row>
    <row r="23" spans="2:55" ht="14.25" customHeight="1" x14ac:dyDescent="0.45"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Z23" s="109" t="s">
        <v>74</v>
      </c>
      <c r="AA23" s="64">
        <f t="shared" si="1"/>
        <v>1</v>
      </c>
      <c r="AB23" s="110">
        <f>IF($AA$6-Table1[[#This Row],[Missed Games]]=0, 0,Table1[[#This Row],[Points]]/($AA$6-Table1[[#This Row],[Missed Games]]))</f>
        <v>7.1428571428571425E-2</v>
      </c>
      <c r="AC23" s="66">
        <f t="shared" si="2"/>
        <v>0</v>
      </c>
      <c r="AD23" s="112">
        <f>IF($AA$6-Table1[[#This Row],[Missed Games]]=0, 0,Table1[[#This Row],[Finishes]]/($AA$6-Table1[[#This Row],[Missed Games]]))</f>
        <v>0</v>
      </c>
      <c r="AE23" s="66">
        <f t="shared" si="3"/>
        <v>1</v>
      </c>
      <c r="AF23" s="112">
        <f>IF($AA$6-Table1[[#This Row],[Missed Games]]=0, 0,Table1[[#This Row],[Midranges]]/($AA$6-Table1[[#This Row],[Missed Games]]))</f>
        <v>7.1428571428571425E-2</v>
      </c>
      <c r="AG23" s="66">
        <f t="shared" si="4"/>
        <v>0</v>
      </c>
      <c r="AH23" s="112">
        <f>IF($AA$6-Table1[[#This Row],[Missed Games]]=0, 0,Table1[[#This Row],[Threes]]/($AA$6-Table1[[#This Row],[Missed Games]]))</f>
        <v>0</v>
      </c>
      <c r="AI23" s="109" t="str">
        <f>SfW!C18</f>
        <v>5 Musketeers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1">
        <f>AP23-Table1[[#This Row],[Points]]</f>
        <v>2</v>
      </c>
      <c r="AS23" s="137">
        <f>Table1[[#This Row],[Points]]/(20-AA$5-Table1[[#This Row],[Missed Games]])</f>
        <v>5.5555555555555552E-2</v>
      </c>
      <c r="AT23" s="147">
        <f>Table1[[#This Row],[Average]]-'[1]Stats Global'!R21</f>
        <v>-4.6218487394957986E-2</v>
      </c>
      <c r="AU23" s="27">
        <f>(Table1[[#This Row],[Average]]-'[1]Stats Global'!R21)/'[1]Stats Global'!R21</f>
        <v>-0.3928571428571429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0.36363636363636365</v>
      </c>
      <c r="BB23" s="16">
        <f>Table4[[#This Row],[Total A]]/$AX$6</f>
        <v>9.0909090909090912E-2</v>
      </c>
      <c r="BC23" s="16">
        <f>Table4[[#This Row],[Total S]]/$AX$6</f>
        <v>0.18181818181818182</v>
      </c>
    </row>
    <row r="24" spans="2:55" ht="14.25" customHeight="1" x14ac:dyDescent="0.45"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Z24" s="63" t="s">
        <v>75</v>
      </c>
      <c r="AA24" s="64">
        <f t="shared" si="1"/>
        <v>4</v>
      </c>
      <c r="AB24" s="65">
        <f>IF($AA$6-Table1[[#This Row],[Missed Games]]=0, 0,Table1[[#This Row],[Points]]/($AA$6-Table1[[#This Row],[Missed Games]]))</f>
        <v>0.5</v>
      </c>
      <c r="AC24" s="66">
        <f t="shared" si="2"/>
        <v>4</v>
      </c>
      <c r="AD24" s="67">
        <f>IF($AA$6-Table1[[#This Row],[Missed Games]]=0, 0,Table1[[#This Row],[Finishes]]/($AA$6-Table1[[#This Row],[Missed Games]]))</f>
        <v>0.5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6</v>
      </c>
      <c r="AL24" s="43"/>
      <c r="AM24" s="44"/>
      <c r="AN24" s="4"/>
      <c r="AP24" s="18">
        <f>_xlfn.CEILING.MATH('[1]Stats Global'!R22*(20-$AA$5-$AJ24))</f>
        <v>8</v>
      </c>
      <c r="AQ24" s="27">
        <f>Table1[[#This Row],[Points]]/AP24</f>
        <v>0.5</v>
      </c>
      <c r="AR24" s="131">
        <f>AP24-Table1[[#This Row],[Points]]</f>
        <v>4</v>
      </c>
      <c r="AS24" s="137">
        <f>Table1[[#This Row],[Points]]/(20-AA$5-Table1[[#This Row],[Missed Games]])</f>
        <v>0.33333333333333331</v>
      </c>
      <c r="AT24" s="147">
        <f>Table1[[#This Row],[Average]]-'[1]Stats Global'!R22</f>
        <v>-0.1470588235294118</v>
      </c>
      <c r="AU24" s="27">
        <f>(Table1[[#This Row],[Average]]-'[1]Stats Global'!R22)/'[1]Stats Global'!R22</f>
        <v>-0.22727272727272732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9.0909090909090912E-2</v>
      </c>
    </row>
    <row r="25" spans="2:55" ht="14.25" customHeight="1" x14ac:dyDescent="0.45"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AB25" s="17"/>
      <c r="AP25" s="17"/>
      <c r="AQ25" s="27"/>
    </row>
    <row r="26" spans="2:55" ht="14.25" customHeight="1" x14ac:dyDescent="0.45"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3">
        <f>AB30/($AA$27-Table2[[#This Row],[Missed Games]])</f>
        <v>0.33333333333333331</v>
      </c>
      <c r="AG30" s="33">
        <f>AC30/($AA$27-Table2[[#This Row],[Missed Games]])</f>
        <v>0.33333333333333331</v>
      </c>
      <c r="AH30" s="123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3">
        <f>AB31/($AA$27-Table2[[#This Row],[Missed Games]])</f>
        <v>5</v>
      </c>
      <c r="AG31" s="33">
        <f>AC31/($AA$27-Table2[[#This Row],[Missed Games]])</f>
        <v>0</v>
      </c>
      <c r="AH31" s="123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3" t="e">
        <f>AB32/($AA$27-Table2[[#This Row],[Missed Games]])</f>
        <v>#DIV/0!</v>
      </c>
      <c r="AG32" s="33" t="e">
        <f>AC32/($AA$27-Table2[[#This Row],[Missed Games]])</f>
        <v>#DIV/0!</v>
      </c>
      <c r="AH32" s="123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3">
        <f>AB33/($AA$27-Table2[[#This Row],[Missed Games]])</f>
        <v>0</v>
      </c>
      <c r="AG33" s="33">
        <f>AC33/($AA$27-Table2[[#This Row],[Missed Games]])</f>
        <v>0.33333333333333331</v>
      </c>
      <c r="AH33" s="123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3">
        <f>AB34/($AA$27-Table2[[#This Row],[Missed Games]])</f>
        <v>0.33333333333333331</v>
      </c>
      <c r="AG34" s="33">
        <f>AC34/($AA$27-Table2[[#This Row],[Missed Games]])</f>
        <v>0</v>
      </c>
      <c r="AH34" s="123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3">
        <f>AB35/($AA$27-Table2[[#This Row],[Missed Games]])</f>
        <v>0.33333333333333331</v>
      </c>
      <c r="AG35" s="33">
        <f>AC35/($AA$27-Table2[[#This Row],[Missed Games]])</f>
        <v>0.33333333333333331</v>
      </c>
      <c r="AH35" s="123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3">
        <f>AB36/($AA$27-Table2[[#This Row],[Missed Games]])</f>
        <v>0</v>
      </c>
      <c r="AG36" s="33">
        <f>AC36/($AA$27-Table2[[#This Row],[Missed Games]])</f>
        <v>0</v>
      </c>
      <c r="AH36" s="123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3">
        <f>AB37/($AA$27-Table2[[#This Row],[Missed Games]])</f>
        <v>0.33333333333333331</v>
      </c>
      <c r="AG37" s="33">
        <f>AC37/($AA$27-Table2[[#This Row],[Missed Games]])</f>
        <v>0.66666666666666663</v>
      </c>
      <c r="AH37" s="123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3">
        <f>AB38/($AA$27-Table2[[#This Row],[Missed Games]])</f>
        <v>0.33333333333333331</v>
      </c>
      <c r="AG38" s="33">
        <f>AC38/($AA$27-Table2[[#This Row],[Missed Games]])</f>
        <v>3</v>
      </c>
      <c r="AH38" s="123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3">
        <f>AB39/($AA$27-Table2[[#This Row],[Missed Games]])</f>
        <v>0</v>
      </c>
      <c r="AG39" s="33">
        <f>AC39/($AA$27-Table2[[#This Row],[Missed Games]])</f>
        <v>0</v>
      </c>
      <c r="AH39" s="123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3">
        <f>AB40/($AA$27-Table2[[#This Row],[Missed Games]])</f>
        <v>0.5</v>
      </c>
      <c r="AG40" s="33">
        <f>AC40/($AA$27-Table2[[#This Row],[Missed Games]])</f>
        <v>0</v>
      </c>
      <c r="AH40" s="123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30</v>
      </c>
      <c r="T41" s="129">
        <f>S41/SUM(S41:S43)</f>
        <v>0.35714285714285715</v>
      </c>
      <c r="U41" s="133">
        <v>0.32188841201716739</v>
      </c>
      <c r="V41" s="43">
        <v>0.36899999999999999</v>
      </c>
      <c r="W41">
        <f>T41*(6*(20-AA$5))</f>
        <v>38.571428571428569</v>
      </c>
      <c r="X41" s="18">
        <f>((MAX(U41:U43)+MAX(V41:V43))/2)*6*(20-AA5)</f>
        <v>38.930291845493556</v>
      </c>
      <c r="Y41" s="134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3">
        <f>AB41/($AA$27-Table2[[#This Row],[Missed Games]])</f>
        <v>1</v>
      </c>
      <c r="AG41" s="33">
        <f>AC41/($AA$27-Table2[[#This Row],[Missed Games]])</f>
        <v>0</v>
      </c>
      <c r="AH41" s="123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24</v>
      </c>
      <c r="T42" s="133">
        <f>S42/SUM(S41:S43)</f>
        <v>0.2857142857142857</v>
      </c>
      <c r="U42" s="133">
        <v>0.35193133047210301</v>
      </c>
      <c r="V42" s="43">
        <v>0.26200000000000001</v>
      </c>
      <c r="W42" s="16">
        <f t="shared" ref="W42:W43" si="6">T42*(6*(20-AA$5))</f>
        <v>30.857142857142854</v>
      </c>
      <c r="X42" s="18">
        <f>6*(20-AA5)-X41-X43</f>
        <v>37.539733905579396</v>
      </c>
      <c r="Y42" s="134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3">
        <f>AB42/($AA$27-Table2[[#This Row],[Missed Games]])</f>
        <v>1</v>
      </c>
      <c r="AG42" s="33">
        <f>AC42/($AA$27-Table2[[#This Row],[Missed Games]])</f>
        <v>0.66666666666666663</v>
      </c>
      <c r="AH42" s="123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30</v>
      </c>
      <c r="T43" s="133">
        <f>S43/SUM(S41:S43)</f>
        <v>0.35714285714285715</v>
      </c>
      <c r="U43" s="133">
        <v>0.3261802575107296</v>
      </c>
      <c r="V43" s="43">
        <v>0.36899999999999999</v>
      </c>
      <c r="W43" s="16">
        <f t="shared" si="6"/>
        <v>38.571428571428569</v>
      </c>
      <c r="X43" s="18">
        <f>((MIN(U41:U43)+MIN(V41:V43))/2)*6*(20-AA5)</f>
        <v>31.529974248927044</v>
      </c>
      <c r="Y43" s="134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3">
        <f>AB43/($AA$27-Table2[[#This Row],[Missed Games]])</f>
        <v>2</v>
      </c>
      <c r="AG43" s="33">
        <f>AC43/($AA$27-Table2[[#This Row],[Missed Games]])</f>
        <v>0.66666666666666663</v>
      </c>
      <c r="AH43" s="123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3">
        <f>AB44/($AA$27-Table2[[#This Row],[Missed Games]])</f>
        <v>0</v>
      </c>
      <c r="AG44" s="33">
        <f>AC44/($AA$27-Table2[[#This Row],[Missed Games]])</f>
        <v>0</v>
      </c>
      <c r="AH44" s="123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8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3">
        <f>AB45/($AA$27-Table2[[#This Row],[Missed Games]])</f>
        <v>0</v>
      </c>
      <c r="AG45" s="33">
        <f>AC45/($AA$27-Table2[[#This Row],[Missed Games]])</f>
        <v>0</v>
      </c>
      <c r="AH45" s="123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1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123</v>
      </c>
      <c r="V49" s="17">
        <f>U49/AA6</f>
        <v>8.7857142857142865</v>
      </c>
      <c r="W49" s="27">
        <f>U49/SUM($U$49:$U$51)</f>
        <v>0.5720930232558139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42">
        <f>Table21123[[#This Row],[Points]]/($AA$47-Table21123[[#This Row],[Missed Games]])</f>
        <v>0.33333333333333331</v>
      </c>
      <c r="AF49" s="142">
        <f>Table21123[[#This Row],[Finishes]]/($AA$47-Table21123[[#This Row],[Missed Games]])</f>
        <v>0</v>
      </c>
      <c r="AG49" s="142">
        <f>Table21123[[#This Row],[Midranges]]/($AA$47-Table21123[[#This Row],[Missed Games]])</f>
        <v>0.33333333333333331</v>
      </c>
      <c r="AH49" s="142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69</v>
      </c>
      <c r="V50" s="17">
        <f>U50/AA6</f>
        <v>4.9285714285714288</v>
      </c>
      <c r="W50" s="27">
        <f>U50/SUM($U$49:$U$51)</f>
        <v>0.32093023255813952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42">
        <f>Table21123[[#This Row],[Points]]/($AA$47-Table21123[[#This Row],[Missed Games]])</f>
        <v>0.33333333333333331</v>
      </c>
      <c r="AF50" s="142">
        <f>Table21123[[#This Row],[Finishes]]/($AA$47-Table21123[[#This Row],[Missed Games]])</f>
        <v>0.33333333333333331</v>
      </c>
      <c r="AG50" s="142">
        <f>Table21123[[#This Row],[Midranges]]/($AA$47-Table21123[[#This Row],[Missed Games]])</f>
        <v>0</v>
      </c>
      <c r="AH50" s="142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23</v>
      </c>
      <c r="V51" s="17">
        <f>U51/AA6</f>
        <v>1.6428571428571428</v>
      </c>
      <c r="W51" s="27">
        <f>U51/SUM($U$49:$U$51)</f>
        <v>0.10697674418604651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42">
        <f>Table21123[[#This Row],[Points]]/($AA$47-Table21123[[#This Row],[Missed Games]])</f>
        <v>4</v>
      </c>
      <c r="AF51" s="142">
        <f>Table21123[[#This Row],[Finishes]]/($AA$47-Table21123[[#This Row],[Missed Games]])</f>
        <v>3.3333333333333335</v>
      </c>
      <c r="AG51" s="142">
        <f>Table21123[[#This Row],[Midranges]]/($AA$47-Table21123[[#This Row],[Missed Games]])</f>
        <v>0</v>
      </c>
      <c r="AH51" s="142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42">
        <f>Table21123[[#This Row],[Points]]/($AA$47-Table21123[[#This Row],[Missed Games]])</f>
        <v>0.66666666666666663</v>
      </c>
      <c r="AF52" s="142">
        <f>Table21123[[#This Row],[Finishes]]/($AA$47-Table21123[[#This Row],[Missed Games]])</f>
        <v>0.66666666666666663</v>
      </c>
      <c r="AG52" s="142">
        <f>Table21123[[#This Row],[Midranges]]/($AA$47-Table21123[[#This Row],[Missed Games]])</f>
        <v>0</v>
      </c>
      <c r="AH52" s="142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42">
        <f>Table21123[[#This Row],[Points]]/($AA$47-Table21123[[#This Row],[Missed Games]])</f>
        <v>1</v>
      </c>
      <c r="AF53" s="142">
        <f>Table21123[[#This Row],[Finishes]]/($AA$47-Table21123[[#This Row],[Missed Games]])</f>
        <v>0</v>
      </c>
      <c r="AG53" s="142">
        <f>Table21123[[#This Row],[Midranges]]/($AA$47-Table21123[[#This Row],[Missed Games]])</f>
        <v>1</v>
      </c>
      <c r="AH53" s="142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42">
        <f>Table21123[[#This Row],[Points]]/($AA$47-Table21123[[#This Row],[Missed Games]])</f>
        <v>0.33333333333333331</v>
      </c>
      <c r="AF54" s="142">
        <f>Table21123[[#This Row],[Finishes]]/($AA$47-Table21123[[#This Row],[Missed Games]])</f>
        <v>0.33333333333333331</v>
      </c>
      <c r="AG54" s="142">
        <f>Table21123[[#This Row],[Midranges]]/($AA$47-Table21123[[#This Row],[Missed Games]])</f>
        <v>0</v>
      </c>
      <c r="AH54" s="142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0.63235294117647056</v>
      </c>
      <c r="V55" s="38">
        <f>'Statistics LG'!O42</f>
        <v>0.5</v>
      </c>
      <c r="W55" s="38">
        <f>AVERAGE(U55:V55)</f>
        <v>0.56617647058823528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42">
        <f>Table21123[[#This Row],[Points]]/($AA$47-Table21123[[#This Row],[Missed Games]])</f>
        <v>1.3333333333333333</v>
      </c>
      <c r="AF55" s="142">
        <f>Table21123[[#This Row],[Finishes]]/($AA$47-Table21123[[#This Row],[Missed Games]])</f>
        <v>1</v>
      </c>
      <c r="AG55" s="142">
        <f>Table21123[[#This Row],[Midranges]]/($AA$47-Table21123[[#This Row],[Missed Games]])</f>
        <v>0.33333333333333331</v>
      </c>
      <c r="AH55" s="142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0.36764705882352944</v>
      </c>
      <c r="U56" s="40" t="s">
        <v>131</v>
      </c>
      <c r="V56" s="38">
        <f>'Statistics WW'!L42</f>
        <v>0.43939393939393939</v>
      </c>
      <c r="W56" s="38">
        <f>AVERAGE(T56:V56)</f>
        <v>0.40352049910873444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42">
        <f>Table21123[[#This Row],[Points]]/($AA$47-Table21123[[#This Row],[Missed Games]])</f>
        <v>0</v>
      </c>
      <c r="AF56" s="142">
        <f>Table21123[[#This Row],[Finishes]]/($AA$47-Table21123[[#This Row],[Missed Games]])</f>
        <v>0</v>
      </c>
      <c r="AG56" s="142">
        <f>Table21123[[#This Row],[Midranges]]/($AA$47-Table21123[[#This Row],[Missed Games]])</f>
        <v>0</v>
      </c>
      <c r="AH56" s="142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</v>
      </c>
      <c r="U57" s="38">
        <f>1-V56</f>
        <v>0.56060606060606055</v>
      </c>
      <c r="V57" s="40" t="s">
        <v>131</v>
      </c>
      <c r="W57" s="38">
        <f>AVERAGE(T57:V57)</f>
        <v>0.53030303030303028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42">
        <f>Table21123[[#This Row],[Points]]/($AA$47-Table21123[[#This Row],[Missed Games]])</f>
        <v>0.66666666666666663</v>
      </c>
      <c r="AF57" s="142">
        <f>Table21123[[#This Row],[Finishes]]/($AA$47-Table21123[[#This Row],[Missed Games]])</f>
        <v>0</v>
      </c>
      <c r="AG57" s="142">
        <f>Table21123[[#This Row],[Midranges]]/($AA$47-Table21123[[#This Row],[Missed Games]])</f>
        <v>0.66666666666666663</v>
      </c>
      <c r="AH57" s="142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5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42">
        <f>Table21123[[#This Row],[Points]]/($AA$47-Table21123[[#This Row],[Missed Games]])</f>
        <v>2.6666666666666665</v>
      </c>
      <c r="AF58" s="142">
        <f>Table21123[[#This Row],[Finishes]]/($AA$47-Table21123[[#This Row],[Missed Games]])</f>
        <v>0.66666666666666663</v>
      </c>
      <c r="AG58" s="142">
        <f>Table21123[[#This Row],[Midranges]]/($AA$47-Table21123[[#This Row],[Missed Games]])</f>
        <v>2</v>
      </c>
      <c r="AH58" s="142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42">
        <f>Table21123[[#This Row],[Points]]/($AA$47-Table21123[[#This Row],[Missed Games]])</f>
        <v>0.66666666666666663</v>
      </c>
      <c r="AF59" s="142">
        <f>Table21123[[#This Row],[Finishes]]/($AA$47-Table21123[[#This Row],[Missed Games]])</f>
        <v>0</v>
      </c>
      <c r="AG59" s="142">
        <f>Table21123[[#This Row],[Midranges]]/($AA$47-Table21123[[#This Row],[Missed Games]])</f>
        <v>0.66666666666666663</v>
      </c>
      <c r="AH59" s="142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42">
        <f>Table21123[[#This Row],[Points]]/($AA$47-Table21123[[#This Row],[Missed Games]])</f>
        <v>0</v>
      </c>
      <c r="AF60" s="142">
        <f>Table21123[[#This Row],[Finishes]]/($AA$47-Table21123[[#This Row],[Missed Games]])</f>
        <v>0</v>
      </c>
      <c r="AG60" s="142">
        <f>Table21123[[#This Row],[Midranges]]/($AA$47-Table21123[[#This Row],[Missed Games]])</f>
        <v>0</v>
      </c>
      <c r="AH60" s="142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42">
        <f>Table21123[[#This Row],[Points]]/($AA$47-Table21123[[#This Row],[Missed Games]])</f>
        <v>0.66666666666666663</v>
      </c>
      <c r="AF61" s="142">
        <f>Table21123[[#This Row],[Finishes]]/($AA$47-Table21123[[#This Row],[Missed Games]])</f>
        <v>0.33333333333333331</v>
      </c>
      <c r="AG61" s="142">
        <f>Table21123[[#This Row],[Midranges]]/($AA$47-Table21123[[#This Row],[Missed Games]])</f>
        <v>0.33333333333333331</v>
      </c>
      <c r="AH61" s="142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42">
        <f>Table21123[[#This Row],[Points]]/($AA$47-Table21123[[#This Row],[Missed Games]])</f>
        <v>0.33333333333333331</v>
      </c>
      <c r="AF62" s="142">
        <f>Table21123[[#This Row],[Finishes]]/($AA$47-Table21123[[#This Row],[Missed Games]])</f>
        <v>0.33333333333333331</v>
      </c>
      <c r="AG62" s="142">
        <f>Table21123[[#This Row],[Midranges]]/($AA$47-Table21123[[#This Row],[Missed Games]])</f>
        <v>0</v>
      </c>
      <c r="AH62" s="142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42">
        <f>Table21123[[#This Row],[Points]]/($AA$47-Table21123[[#This Row],[Missed Games]])</f>
        <v>1.6666666666666667</v>
      </c>
      <c r="AF63" s="142">
        <f>Table21123[[#This Row],[Finishes]]/($AA$47-Table21123[[#This Row],[Missed Games]])</f>
        <v>1</v>
      </c>
      <c r="AG63" s="142">
        <f>Table21123[[#This Row],[Midranges]]/($AA$47-Table21123[[#This Row],[Missed Games]])</f>
        <v>0.66666666666666663</v>
      </c>
      <c r="AH63" s="142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42">
        <f>Table21123[[#This Row],[Points]]/($AA$47-Table21123[[#This Row],[Missed Games]])</f>
        <v>0.33333333333333331</v>
      </c>
      <c r="AF64" s="142">
        <f>Table21123[[#This Row],[Finishes]]/($AA$47-Table21123[[#This Row],[Missed Games]])</f>
        <v>0</v>
      </c>
      <c r="AG64" s="142">
        <f>Table21123[[#This Row],[Midranges]]/($AA$47-Table21123[[#This Row],[Missed Games]])</f>
        <v>0.33333333333333331</v>
      </c>
      <c r="AH64" s="142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42">
        <f>Table21123[[#This Row],[Points]]/($AA$47-Table21123[[#This Row],[Missed Games]])</f>
        <v>0</v>
      </c>
      <c r="AF65" s="142">
        <f>Table21123[[#This Row],[Finishes]]/($AA$47-Table21123[[#This Row],[Missed Games]])</f>
        <v>0</v>
      </c>
      <c r="AG65" s="142">
        <f>Table21123[[#This Row],[Midranges]]/($AA$47-Table21123[[#This Row],[Missed Games]])</f>
        <v>0</v>
      </c>
      <c r="AH65" s="142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42">
        <f>Table21126[[#This Row],[Points]]/($AA$67-Table21126[[#This Row],[Missed Games]])</f>
        <v>0</v>
      </c>
      <c r="AF69" s="142">
        <f>Table21126[[#This Row],[Finishes]]/($AA$67-Table21126[[#This Row],[Missed Games]])</f>
        <v>0</v>
      </c>
      <c r="AG69" s="142">
        <f>Table21126[[#This Row],[Midranges]]/($AA$67-Table21126[[#This Row],[Missed Games]])</f>
        <v>0</v>
      </c>
      <c r="AH69" s="142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2" type="noConversion"/>
  <conditionalFormatting sqref="U109:U118 W103:W108">
    <cfRule type="cellIs" dxfId="11" priority="11" operator="greaterThan">
      <formula>0</formula>
    </cfRule>
  </conditionalFormatting>
  <conditionalFormatting sqref="U109:U118 W103:W108">
    <cfRule type="cellIs" dxfId="10" priority="10" operator="lessThan">
      <formula>0</formula>
    </cfRule>
  </conditionalFormatting>
  <conditionalFormatting sqref="AQ8:AQ24">
    <cfRule type="cellIs" dxfId="9" priority="5" operator="equal">
      <formula>$AA$4</formula>
    </cfRule>
    <cfRule type="cellIs" dxfId="8" priority="6" operator="lessThan">
      <formula>$AA$4</formula>
    </cfRule>
    <cfRule type="cellIs" dxfId="7" priority="7" operator="greaterThan">
      <formula>$AA$4</formula>
    </cfRule>
  </conditionalFormatting>
  <conditionalFormatting sqref="AT8:AT24">
    <cfRule type="cellIs" dxfId="6" priority="3" operator="lessThan">
      <formula>0</formula>
    </cfRule>
    <cfRule type="cellIs" dxfId="5" priority="4" operator="greaterThan">
      <formula>0</formula>
    </cfRule>
  </conditionalFormatting>
  <conditionalFormatting sqref="AU8:AU24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75" t="s">
        <v>218</v>
      </c>
      <c r="Y2" s="175"/>
      <c r="Z2" s="175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6" t="s">
        <v>221</v>
      </c>
      <c r="AD3" s="126" t="s">
        <v>222</v>
      </c>
      <c r="AE3" s="126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Table6[[#This Row],[Finishes]]+Table6[[#This Row],[Midranges]]+Table6[[#This Row],[Threes]]+Table6[[#This Row],[Threes]]</f>
        <v>0</v>
      </c>
      <c r="AD24" s="159">
        <f>COUNTIFS(D4:D35, "Loose Gooses", E$4:E$35,AB24,F$4:F$35,"Finish")</f>
        <v>0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Table6[[#This Row],[Finishes]]+Table6[[#This Row],[Midranges]]+Table6[[#This Row],[Threes]]+Table6[[#This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Table6[[#This Row],[Finishes]]+Table6[[#This Row],[Midranges]]+Table6[[#This Row],[Threes]]+Table6[[#This Row],[Threes]]</f>
        <v>0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Table6[[#This Row],[Finishes]]+Table6[[#This Row],[Midranges]]+Table6[[#This Row],[Threes]]+Table6[[#This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Table6[[#This Row],[Finishes]]+Table6[[#This Row],[Midranges]]+Table6[[#This Row],[Threes]]+Table6[[#This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Table6[[#This Row],[Finishes]]+Table6[[#This Row],[Midranges]]+Table6[[#This Row],[Threes]]+Table6[[#This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Table6[[#This Row],[Finishes]]+Table6[[#This Row],[Midranges]]+Table6[[#This Row],[Threes]]+Table6[[#This Row],[Threes]]</f>
        <v>3</v>
      </c>
      <c r="AD30" s="159">
        <f>COUNTIFS(D4:D35, "Loose Gooses", E$4:E$35,AB30,F$4:F$35,"Finish")</f>
        <v>0</v>
      </c>
      <c r="AE30" s="159">
        <f>COUNTIFS(D4:D35, "Loose Gooses", E$4:E$35,AB30,F$4:F$35,"Midrange")</f>
        <v>1</v>
      </c>
      <c r="AF30" s="159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Table6[[#This Row],[Finishes]]+Table6[[#This Row],[Midranges]]+Table6[[#This Row],[Threes]]+Table6[[#This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Table6[[#This Row],[Finishes]]+Table6[[#This Row],[Midranges]]+Table6[[#This Row],[Threes]]+Table6[[#This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Table6[[#This Row],[Finishes]]+Table6[[#This Row],[Midranges]]+Table6[[#This Row],[Threes]]+Table6[[#This Row],[Threes]]</f>
        <v>1</v>
      </c>
      <c r="AD33" s="160">
        <f>COUNTIFS(D4:D35, "Loose Gooses", E$4:E$35,AB33,F$4:F$35,"Finish")</f>
        <v>1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Table6[[#This Row],[Finishes]]+Table6[[#This Row],[Midranges]]+Table6[[#This Row],[Threes]]+Table6[[#This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Table6[[#This Row],[Finishes]]+Table6[[#This Row],[Midranges]]+Table6[[#This Row],[Threes]]+Table6[[#This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74" t="s">
        <v>119</v>
      </c>
      <c r="U41" s="174"/>
      <c r="V41" s="174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74" t="s">
        <v>119</v>
      </c>
      <c r="U41" s="174"/>
      <c r="V41" s="174"/>
    </row>
    <row r="42" spans="2:26" ht="14.25" customHeight="1" x14ac:dyDescent="0.9">
      <c r="R42" s="94"/>
      <c r="S42" s="94"/>
      <c r="T42" s="174"/>
      <c r="U42" s="174"/>
      <c r="V42" s="17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74" t="s">
        <v>119</v>
      </c>
      <c r="U41" s="174"/>
      <c r="V41" s="174"/>
    </row>
    <row r="42" spans="2:26" ht="14.25" customHeight="1" x14ac:dyDescent="0.9">
      <c r="R42" s="94"/>
      <c r="S42" s="94"/>
      <c r="T42" s="174"/>
      <c r="U42" s="174"/>
      <c r="V42" s="17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74" t="s">
        <v>119</v>
      </c>
      <c r="U41" s="174"/>
      <c r="V41" s="174"/>
    </row>
    <row r="42" spans="2:26" ht="14.25" customHeight="1" x14ac:dyDescent="0.9">
      <c r="R42" s="94"/>
      <c r="S42" s="94"/>
      <c r="T42" s="174"/>
      <c r="U42" s="174"/>
      <c r="V42" s="17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abSelected="1" topLeftCell="Y1" zoomScaleNormal="100" workbookViewId="0">
      <selection activeCell="AD3" sqref="AD3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7" t="s">
        <v>0</v>
      </c>
      <c r="AE2" s="157" t="s">
        <v>1</v>
      </c>
      <c r="AF2" s="157" t="s">
        <v>2</v>
      </c>
      <c r="AG2" s="157" t="s">
        <v>3</v>
      </c>
      <c r="AH2" s="157" t="s">
        <v>274</v>
      </c>
      <c r="AI2" s="157" t="s">
        <v>275</v>
      </c>
      <c r="AJ2" s="157" t="s">
        <v>276</v>
      </c>
      <c r="AK2" s="157" t="s">
        <v>277</v>
      </c>
      <c r="AL2" s="157" t="s">
        <v>278</v>
      </c>
      <c r="AM2" s="157" t="s">
        <v>281</v>
      </c>
      <c r="AN2" s="157" t="s">
        <v>279</v>
      </c>
      <c r="AO2" s="157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85</v>
      </c>
      <c r="I3" s="81">
        <f>SUM(C7:C40)</f>
        <v>65</v>
      </c>
      <c r="J3" s="78">
        <f>SUM(D7:D40)</f>
        <v>30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5" t="s">
        <v>30</v>
      </c>
      <c r="AD3" s="158">
        <f>'1707'!AC24+'1807'!AC24+'1907'!AC24+'2007'!AC24+'2407'!AC24+'2607'!AC24+'2707'!AC24+'3107'!AC24+'0108'!AC24+'0208'!AC24+'0308'!AC24+'0808'!AC24+'0908'!AC24+'1008'!AC24</f>
        <v>11</v>
      </c>
      <c r="AE3" s="158">
        <f>'1707'!AD24+'1807'!AD24+'1907'!AD24+'2007'!AD24+'2407'!AD24+'2607'!AD24+'2707'!AD24+'3107'!AD24+'0108'!AD24+'0208'!AD24+'0308'!AD24+'0808'!AD24+'0908'!AD24+'1008'!AD24</f>
        <v>11</v>
      </c>
      <c r="AF3" s="158">
        <f>'1707'!AE24+'1807'!AE24+'1907'!AE24+'2007'!AE24+'2407'!AE24+'2607'!AE24+'2707'!AE24+'3107'!AE24+'0108'!AE24+'0208'!AE24+'0308'!AE24+'0808'!AE24+'0908'!AE24+'1008'!AE24</f>
        <v>0</v>
      </c>
      <c r="AG3" s="158">
        <f>'1707'!AF24+'1807'!AF24+'1907'!AF24+'2007'!AF24+'2407'!AF24+'2607'!AF24+'2707'!AF24+'3107'!AF24+'0108'!AF24+'0208'!AF24+'0308'!AF24+'0808'!AF24+'0908'!AF24+'1008'!AF24</f>
        <v>0</v>
      </c>
      <c r="AH3" s="171">
        <f>Table3[[#This Row],[Points]]/('Stats Global'!$AA$6-'Stats Global'!$AJ$10)</f>
        <v>1.5714285714285714</v>
      </c>
      <c r="AI3" s="171">
        <f>Table3[[#This Row],[Finishes]]/('Stats Global'!$AA$6-'Stats Global'!$AJ$10)</f>
        <v>1.5714285714285714</v>
      </c>
      <c r="AJ3" s="171">
        <f>Table3[[#This Row],[Midranges]]/('Stats Global'!$AA$6-'Stats Global'!$AJ$10)</f>
        <v>0</v>
      </c>
      <c r="AK3" s="171">
        <f>Table3[[#This Row],[Threes]]/('Stats Global'!$AA$6-'Stats Global'!$AJ$10)</f>
        <v>0</v>
      </c>
      <c r="AL3" s="171">
        <f>'Stats Global'!AB10-Table3[[#This Row],[AVG P]]</f>
        <v>1.857142857142857</v>
      </c>
      <c r="AM3" s="171">
        <f>'Stats Global'!AD10-Table3[[#This Row],[AVG F]]</f>
        <v>1.5714285714285714</v>
      </c>
      <c r="AN3" s="171">
        <f>'Stats Global'!AF10-Table3[[#This Row],[AVG M]]</f>
        <v>0</v>
      </c>
      <c r="AO3" s="171">
        <f>'Stats Global'!AH10-Table3[[#This Row],[AVG T]]</f>
        <v>0.14285714285714285</v>
      </c>
    </row>
    <row r="4" spans="1:41" ht="14.35" customHeight="1" x14ac:dyDescent="0.45">
      <c r="A4" s="119" t="str">
        <f>'Stats Global'!B5</f>
        <v>11-July</v>
      </c>
      <c r="B4" s="120">
        <f>'Stats Global'!F5</f>
        <v>5</v>
      </c>
      <c r="C4" s="120">
        <f>'Stats Global'!G5+'Stats Global'!H5</f>
        <v>6</v>
      </c>
      <c r="D4" s="120">
        <f>'Stats Global'!O5</f>
        <v>2</v>
      </c>
      <c r="E4" s="121" t="s">
        <v>46</v>
      </c>
      <c r="F4" s="121" t="s">
        <v>206</v>
      </c>
      <c r="J4" s="83"/>
      <c r="L4" s="122">
        <f>'Stats Global'!J5</f>
        <v>2</v>
      </c>
      <c r="M4" s="122">
        <f>'Stats Global'!G5</f>
        <v>0</v>
      </c>
      <c r="N4" s="85"/>
      <c r="O4" s="122">
        <f>'Stats Global'!M5</f>
        <v>3</v>
      </c>
      <c r="P4" s="122">
        <f>'Stats Global'!H5</f>
        <v>6</v>
      </c>
      <c r="R4" s="103" t="s">
        <v>61</v>
      </c>
      <c r="S4" s="93">
        <f>'Stats Global'!AA22</f>
        <v>41</v>
      </c>
      <c r="T4" s="93">
        <f>'Stats Global'!AB22</f>
        <v>2.9285714285714284</v>
      </c>
      <c r="U4" s="93">
        <f>'Stats Global'!AC22</f>
        <v>21</v>
      </c>
      <c r="V4" s="93">
        <f>'Stats Global'!AD22</f>
        <v>1.5</v>
      </c>
      <c r="W4" s="93">
        <f>'Stats Global'!AE22</f>
        <v>8</v>
      </c>
      <c r="X4" s="93">
        <f>'Stats Global'!AF22</f>
        <v>0.5714285714285714</v>
      </c>
      <c r="Y4" s="93">
        <f>'Stats Global'!AG22</f>
        <v>6</v>
      </c>
      <c r="Z4" s="93">
        <f>'Stats Global'!AH22</f>
        <v>0.42857142857142855</v>
      </c>
      <c r="AA4" s="93">
        <f>'Stats Global'!AJ22</f>
        <v>0</v>
      </c>
      <c r="AC4" s="155" t="s">
        <v>35</v>
      </c>
      <c r="AD4" s="158">
        <f>'1707'!AC25+'1807'!AC25+'1907'!AC25+'2007'!AC25+'2407'!AC25+'2607'!AC25+'2707'!AC25+'3107'!AC25+'0108'!AC25+'0208'!AC25+'0308'!AC25+'0808'!AC25+'0908'!AC25+'1008'!AC25</f>
        <v>7</v>
      </c>
      <c r="AE4" s="158">
        <f>'1707'!AD25+'1807'!AD25+'1907'!AD25+'2007'!AD25+'2407'!AD25+'2607'!AD25+'2707'!AD25+'3107'!AD25+'0108'!AD25+'0208'!AD25+'0308'!AD25+'0808'!AD25+'0908'!AD25+'1008'!AD25</f>
        <v>7</v>
      </c>
      <c r="AF4" s="158">
        <f>'1707'!AE25+'1807'!AE25+'1907'!AE25+'2007'!AE25+'2407'!AE25+'2607'!AE25+'2707'!AE25+'3107'!AE25+'0108'!AE25+'0208'!AE25+'0308'!AE25+'0808'!AE25+'0908'!AE25+'1008'!AE25</f>
        <v>0</v>
      </c>
      <c r="AG4" s="158">
        <f>'1707'!AF25+'1807'!AF25+'1907'!AF25+'2007'!AF25+'2407'!AF25+'2607'!AF25+'2707'!AF25+'3107'!AF25+'0108'!AF25+'0208'!AF25+'0308'!AF25+'0808'!AF25+'0908'!AF25+'1008'!AF25</f>
        <v>0</v>
      </c>
      <c r="AH4" s="172">
        <f>Table3[[#This Row],[Points]]/('Stats Global'!$AA$6-'Stats Global'!$AJ$11)</f>
        <v>0.7</v>
      </c>
      <c r="AI4" s="172">
        <f>Table3[[#This Row],[Finishes]]/('Stats Global'!$AA$6-'Stats Global'!$AJ$11)</f>
        <v>0.7</v>
      </c>
      <c r="AJ4" s="172">
        <f>Table3[[#This Row],[Midranges]]/('Stats Global'!$AA$6-'Stats Global'!$AJ$11)</f>
        <v>0</v>
      </c>
      <c r="AK4" s="172">
        <f>Table3[[#This Row],[Threes]]/('Stats Global'!$AA$6-'Stats Global'!$AJ$11)</f>
        <v>0</v>
      </c>
      <c r="AL4" s="172">
        <f>'Stats Global'!AB11-Table3[[#This Row],[AVG P]]</f>
        <v>0.5</v>
      </c>
      <c r="AM4" s="172">
        <f>'Stats Global'!AD11-Table3[[#This Row],[AVG F]]</f>
        <v>0.5</v>
      </c>
      <c r="AN4" s="172">
        <f>'Stats Global'!AF11-Table3[[#This Row],[AVG M]]</f>
        <v>0</v>
      </c>
      <c r="AO4" s="172">
        <f>'Stats Global'!AH11-Table3[[#This Row],[AVG T]]</f>
        <v>0</v>
      </c>
    </row>
    <row r="5" spans="1:41" ht="14.35" customHeight="1" x14ac:dyDescent="0.45">
      <c r="A5" s="119" t="str">
        <f>'Stats Global'!B6</f>
        <v>12-July</v>
      </c>
      <c r="B5" s="120">
        <f>'Stats Global'!F6</f>
        <v>9</v>
      </c>
      <c r="C5" s="120">
        <f>'Stats Global'!G6+'Stats Global'!H6</f>
        <v>8</v>
      </c>
      <c r="D5" s="120">
        <f>'Stats Global'!O6</f>
        <v>2</v>
      </c>
      <c r="E5" s="121" t="s">
        <v>61</v>
      </c>
      <c r="F5" s="121" t="s">
        <v>209</v>
      </c>
      <c r="I5" s="81"/>
      <c r="J5" s="83"/>
      <c r="L5" s="122">
        <f>'Stats Global'!J6</f>
        <v>4</v>
      </c>
      <c r="M5" s="122">
        <f>'Stats Global'!G6</f>
        <v>1</v>
      </c>
      <c r="N5" s="85"/>
      <c r="O5" s="122">
        <f>'Stats Global'!M6</f>
        <v>5</v>
      </c>
      <c r="P5" s="122">
        <f>'Stats Global'!H6</f>
        <v>7</v>
      </c>
      <c r="R5" s="83" t="s">
        <v>46</v>
      </c>
      <c r="S5" s="93">
        <f>'Stats Global'!AA16</f>
        <v>23</v>
      </c>
      <c r="T5" s="93">
        <f>'Stats Global'!AB16</f>
        <v>1.9166666666666667</v>
      </c>
      <c r="U5" s="93">
        <f>'Stats Global'!AC16</f>
        <v>9</v>
      </c>
      <c r="V5" s="93">
        <f>'Stats Global'!AD16</f>
        <v>0.75</v>
      </c>
      <c r="W5" s="93">
        <f>'Stats Global'!AE16</f>
        <v>8</v>
      </c>
      <c r="X5" s="93">
        <f>'Stats Global'!AF16</f>
        <v>0.66666666666666663</v>
      </c>
      <c r="Y5" s="93">
        <f>'Stats Global'!AG16</f>
        <v>3</v>
      </c>
      <c r="Z5" s="93">
        <f>'Stats Global'!AH16</f>
        <v>0.25</v>
      </c>
      <c r="AA5" s="93">
        <f>'Stats Global'!AJ16</f>
        <v>2</v>
      </c>
      <c r="AC5" s="155" t="s">
        <v>37</v>
      </c>
      <c r="AD5" s="158">
        <f>'1707'!AC26+'1807'!AC26+'1907'!AC26+'2007'!AC26+'2407'!AC26+'2607'!AC26+'2707'!AC26+'3107'!AC26+'0108'!AC26+'0208'!AC26+'0308'!AC26+'0808'!AC26+'0908'!AC26+'1008'!AC26</f>
        <v>8</v>
      </c>
      <c r="AE5" s="158">
        <f>'1707'!AD26+'1807'!AD26+'1907'!AD26+'2007'!AD26+'2407'!AD26+'2607'!AD26+'2707'!AD26+'3107'!AD26+'0108'!AD26+'0208'!AD26+'0308'!AD26+'0808'!AD26+'0908'!AD26+'1008'!AD26</f>
        <v>3</v>
      </c>
      <c r="AF5" s="158">
        <f>'1707'!AE26+'1807'!AE26+'1907'!AE26+'2007'!AE26+'2407'!AE26+'2607'!AE26+'2707'!AE26+'3107'!AE26+'0108'!AE26+'0208'!AE26+'0308'!AE26+'0808'!AE26+'0908'!AE26+'1008'!AE26</f>
        <v>3</v>
      </c>
      <c r="AG5" s="158">
        <f>'1707'!AF26+'1807'!AF26+'1907'!AF26+'2007'!AF26+'2407'!AF26+'2607'!AF26+'2707'!AF26+'3107'!AF26+'0108'!AF26+'0208'!AF26+'0308'!AF26+'0808'!AF26+'0908'!AF26+'1008'!AF26</f>
        <v>1</v>
      </c>
      <c r="AH5" s="172">
        <f>Table3[[#This Row],[Points]]/('Stats Global'!$AA$6-'Stats Global'!$AJ$12)</f>
        <v>0.66666666666666663</v>
      </c>
      <c r="AI5" s="172">
        <f>Table3[[#This Row],[Finishes]]/('Stats Global'!$AA$6-'Stats Global'!$AJ$12)</f>
        <v>0.25</v>
      </c>
      <c r="AJ5" s="172">
        <f>Table3[[#This Row],[Midranges]]/('Stats Global'!$AA$6-'Stats Global'!$AJ$12)</f>
        <v>0.25</v>
      </c>
      <c r="AK5" s="172">
        <f>Table3[[#This Row],[Threes]]/('Stats Global'!$AA$6-'Stats Global'!$AJ$12)</f>
        <v>8.3333333333333329E-2</v>
      </c>
      <c r="AL5" s="172">
        <f>'Stats Global'!AB12-Table3[[#This Row],[AVG P]]</f>
        <v>0.58333333333333337</v>
      </c>
      <c r="AM5" s="172">
        <f>'Stats Global'!AD12-Table3[[#This Row],[AVG F]]</f>
        <v>0.25</v>
      </c>
      <c r="AN5" s="172">
        <f>'Stats Global'!AF12-Table3[[#This Row],[AVG M]]</f>
        <v>0.16666666666666669</v>
      </c>
      <c r="AO5" s="172">
        <f>'Stats Global'!AH12-Table3[[#This Row],[AVG T]]</f>
        <v>8.3333333333333329E-2</v>
      </c>
    </row>
    <row r="6" spans="1:41" ht="14.35" customHeight="1" x14ac:dyDescent="0.45">
      <c r="A6" s="119" t="str">
        <f>'Stats Global'!B7</f>
        <v>13-July</v>
      </c>
      <c r="B6" s="120">
        <f>'Stats Global'!F7</f>
        <v>8</v>
      </c>
      <c r="C6" s="120">
        <f>'Stats Global'!G7+'Stats Global'!H7</f>
        <v>2</v>
      </c>
      <c r="D6" s="120">
        <f>'Stats Global'!O7</f>
        <v>3</v>
      </c>
      <c r="E6" s="121" t="s">
        <v>61</v>
      </c>
      <c r="F6" s="121" t="s">
        <v>61</v>
      </c>
      <c r="I6" s="81"/>
      <c r="J6" s="83"/>
      <c r="L6" s="122">
        <f>'Stats Global'!J7</f>
        <v>4</v>
      </c>
      <c r="M6" s="122">
        <f>'Stats Global'!G7</f>
        <v>2</v>
      </c>
      <c r="N6" s="85"/>
      <c r="O6" s="122">
        <f>'Stats Global'!M7</f>
        <v>4</v>
      </c>
      <c r="P6" s="122">
        <f>'Stats Global'!H7</f>
        <v>0</v>
      </c>
      <c r="R6" s="83" t="s">
        <v>58</v>
      </c>
      <c r="S6" s="93">
        <f>'Stats Global'!AA21</f>
        <v>16</v>
      </c>
      <c r="T6" s="93">
        <f>'Stats Global'!AB21</f>
        <v>1.1428571428571428</v>
      </c>
      <c r="U6" s="93">
        <f>'Stats Global'!AC21</f>
        <v>11</v>
      </c>
      <c r="V6" s="93">
        <f>'Stats Global'!AD21</f>
        <v>0.7857142857142857</v>
      </c>
      <c r="W6" s="93">
        <f>'Stats Global'!AE21</f>
        <v>3</v>
      </c>
      <c r="X6" s="93">
        <f>'Stats Global'!AF21</f>
        <v>0.21428571428571427</v>
      </c>
      <c r="Y6" s="93">
        <f>'Stats Global'!AG21</f>
        <v>1</v>
      </c>
      <c r="Z6" s="93">
        <f>'Stats Global'!AH21</f>
        <v>7.1428571428571425E-2</v>
      </c>
      <c r="AA6" s="93">
        <f>'Stats Global'!AJ21</f>
        <v>0</v>
      </c>
      <c r="AC6" s="155" t="s">
        <v>42</v>
      </c>
      <c r="AD6" s="158">
        <f>'1707'!AC27+'1807'!AC27+'1907'!AC27+'2007'!AC27+'2407'!AC27+'2607'!AC27+'2707'!AC27+'3107'!AC27+'0108'!AC27+'0208'!AC27+'0308'!AC27+'0808'!AC27+'0908'!AC27+'1008'!AC27</f>
        <v>4</v>
      </c>
      <c r="AE6" s="158">
        <f>'1707'!AD27+'1807'!AD27+'1907'!AD27+'2007'!AD27+'2407'!AD27+'2607'!AD27+'2707'!AD27+'3107'!AD27+'0108'!AD27+'0208'!AD27+'0308'!AD27+'0808'!AD27+'0908'!AD27+'1008'!AD27</f>
        <v>4</v>
      </c>
      <c r="AF6" s="158">
        <f>'1707'!AE27+'1807'!AE27+'1907'!AE27+'2007'!AE27+'2407'!AE27+'2607'!AE27+'2707'!AE27+'3107'!AE27+'0108'!AE27+'0208'!AE27+'0308'!AE27+'0808'!AE27+'0908'!AE27+'1008'!AE27</f>
        <v>0</v>
      </c>
      <c r="AG6" s="158">
        <f>'1707'!AF27+'1807'!AF27+'1907'!AF27+'2007'!AF27+'2407'!AF27+'2607'!AF27+'2707'!AF27+'3107'!AF27+'0108'!AF27+'0208'!AF27+'0308'!AF27+'0808'!AF27+'0908'!AF27+'1008'!AF27</f>
        <v>0</v>
      </c>
      <c r="AH6" s="172">
        <f>Table3[[#This Row],[Points]]/('Stats Global'!$AA$6-'Stats Global'!$AJ$13)</f>
        <v>0.36363636363636365</v>
      </c>
      <c r="AI6" s="172">
        <f>Table3[[#This Row],[Finishes]]/('Stats Global'!$AA$6-'Stats Global'!$AJ$13)</f>
        <v>0.36363636363636365</v>
      </c>
      <c r="AJ6" s="172">
        <f>Table3[[#This Row],[Midranges]]/('Stats Global'!$AA$6-'Stats Global'!$AJ$13)</f>
        <v>0</v>
      </c>
      <c r="AK6" s="172">
        <f>Table3[[#This Row],[Threes]]/('Stats Global'!$AA$6-'Stats Global'!$AJ$13)</f>
        <v>0</v>
      </c>
      <c r="AL6" s="172">
        <f>'Stats Global'!AB13-Table3[[#This Row],[AVG P]]</f>
        <v>0.18181818181818177</v>
      </c>
      <c r="AM6" s="172">
        <f>'Stats Global'!AD13-Table3[[#This Row],[AVG F]]</f>
        <v>9.0909090909090884E-2</v>
      </c>
      <c r="AN6" s="172">
        <f>'Stats Global'!AF13-Table3[[#This Row],[AVG M]]</f>
        <v>9.0909090909090912E-2</v>
      </c>
      <c r="AO6" s="172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0.21428571428571427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0.21428571428571427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5" t="s">
        <v>115</v>
      </c>
      <c r="AD7" s="158">
        <f>'1707'!AC28+'1807'!AC28+'1907'!AC28+'2007'!AC28+'2407'!AC28+'2607'!AC28+'2707'!AC28+'3107'!AC28+'0108'!AC28+'0208'!AC28+'0308'!AC28+'0808'!AC28+'0908'!AC28+'1008'!AC28</f>
        <v>3</v>
      </c>
      <c r="AE7" s="158">
        <f>'1707'!AD28+'1807'!AD28+'1907'!AD28+'2007'!AD28+'2407'!AD28+'2607'!AD28+'2707'!AD28+'3107'!AD28+'0108'!AD28+'0208'!AD28+'0308'!AD28+'0808'!AD28+'0908'!AD28+'1008'!AD28</f>
        <v>2</v>
      </c>
      <c r="AF7" s="158">
        <f>'1707'!AE28+'1807'!AE28+'1907'!AE28+'2007'!AE28+'2407'!AE28+'2607'!AE28+'2707'!AE28+'3107'!AE28+'0108'!AE28+'0208'!AE28+'0308'!AE28+'0808'!AE28+'0908'!AE28+'1008'!AE28</f>
        <v>1</v>
      </c>
      <c r="AG7" s="158">
        <f>'1707'!AF28+'1807'!AF28+'1907'!AF28+'2007'!AF28+'2407'!AF28+'2607'!AF28+'2707'!AF28+'3107'!AF28+'0108'!AF28+'0208'!AF28+'0308'!AF28+'0808'!AF28+'0908'!AF28+'1008'!AF28</f>
        <v>0</v>
      </c>
      <c r="AH7" s="172">
        <f>Table3[[#This Row],[Points]]/('Stats Global'!$AA$6-'Stats Global'!$AJ$14)</f>
        <v>0.21428571428571427</v>
      </c>
      <c r="AI7" s="172">
        <f>Table3[[#This Row],[Finishes]]/('Stats Global'!$AA$6-'Stats Global'!$AJ$14)</f>
        <v>0.14285714285714285</v>
      </c>
      <c r="AJ7" s="172">
        <f>Table3[[#This Row],[Midranges]]/('Stats Global'!$AA$6-'Stats Global'!$AJ$14)</f>
        <v>7.1428571428571425E-2</v>
      </c>
      <c r="AK7" s="172">
        <f>Table3[[#This Row],[Threes]]/('Stats Global'!$AA$6-'Stats Global'!$AJ$14)</f>
        <v>0</v>
      </c>
      <c r="AL7" s="172">
        <f>'Stats Global'!AB14-Table3[[#This Row],[AVG P]]</f>
        <v>0.21428571428571427</v>
      </c>
      <c r="AM7" s="172">
        <f>'Stats Global'!AD14-Table3[[#This Row],[AVG F]]</f>
        <v>0.14285714285714285</v>
      </c>
      <c r="AN7" s="172">
        <f>'Stats Global'!AF14-Table3[[#This Row],[AVG M]]</f>
        <v>7.1428571428571425E-2</v>
      </c>
      <c r="AO7" s="172">
        <f>'Stats Global'!AH14-Table3[[#This Row],[AVG T]]</f>
        <v>0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12</v>
      </c>
      <c r="T8" s="93">
        <f>'Stats Global'!AB9</f>
        <v>0.92307692307692313</v>
      </c>
      <c r="U8" s="93">
        <f>'Stats Global'!AC9</f>
        <v>12</v>
      </c>
      <c r="V8" s="93">
        <f>'Stats Global'!AD9</f>
        <v>0.92307692307692313</v>
      </c>
      <c r="W8" s="93">
        <f>'Stats Global'!AE9</f>
        <v>0</v>
      </c>
      <c r="X8" s="93">
        <f>'Stats Global'!AF9</f>
        <v>0</v>
      </c>
      <c r="Y8" s="93">
        <f>'Stats Global'!AG9</f>
        <v>0</v>
      </c>
      <c r="Z8" s="93">
        <f>'Stats Global'!AH9</f>
        <v>0</v>
      </c>
      <c r="AA8" s="93">
        <f>'Stats Global'!AJ9</f>
        <v>1</v>
      </c>
      <c r="AC8" s="155" t="s">
        <v>44</v>
      </c>
      <c r="AD8" s="158">
        <f>'1707'!AC29+'1807'!AC29+'1907'!AC29+'2007'!AC29+'2407'!AC29+'2607'!AC29+'2707'!AC29+'3107'!AC29+'0108'!AC29+'0208'!AC29+'0308'!AC29+'0808'!AC29+'0908'!AC29+'1008'!AC29</f>
        <v>5</v>
      </c>
      <c r="AE8" s="158">
        <f>'1707'!AD29+'1807'!AD29+'1907'!AD29+'2007'!AD29+'2407'!AD29+'2607'!AD29+'2707'!AD29+'3107'!AD29+'0108'!AD29+'0208'!AD29+'0308'!AD29+'0808'!AD29+'0908'!AD29+'1008'!AD29</f>
        <v>0</v>
      </c>
      <c r="AF8" s="158">
        <f>'1707'!AE29+'1807'!AE29+'1907'!AE29+'2007'!AE29+'2407'!AE29+'2607'!AE29+'2707'!AE29+'3107'!AE29+'0108'!AE29+'0208'!AE29+'0308'!AE29+'0808'!AE29+'0908'!AE29+'1008'!AE29</f>
        <v>1</v>
      </c>
      <c r="AG8" s="158">
        <f>'1707'!AF29+'1807'!AF29+'1907'!AF29+'2007'!AF29+'2407'!AF29+'2607'!AF29+'2707'!AF29+'3107'!AF29+'0108'!AF29+'0208'!AF29+'0308'!AF29+'0808'!AF29+'0908'!AF29+'1008'!AF29</f>
        <v>2</v>
      </c>
      <c r="AH8" s="172">
        <f>Table3[[#This Row],[Points]]/('Stats Global'!$AA$6-'Stats Global'!$AJ$15)</f>
        <v>0.625</v>
      </c>
      <c r="AI8" s="172">
        <f>Table3[[#This Row],[Finishes]]/('Stats Global'!$AA$6-'Stats Global'!$AJ$15)</f>
        <v>0</v>
      </c>
      <c r="AJ8" s="172">
        <f>Table3[[#This Row],[Midranges]]/('Stats Global'!$AA$6-'Stats Global'!$AJ$15)</f>
        <v>0.125</v>
      </c>
      <c r="AK8" s="172">
        <f>Table3[[#This Row],[Threes]]/('Stats Global'!$AA$6-'Stats Global'!$AJ$15)</f>
        <v>0.25</v>
      </c>
      <c r="AL8" s="172">
        <f>'Stats Global'!AB15-Table3[[#This Row],[AVG P]]</f>
        <v>0.75</v>
      </c>
      <c r="AM8" s="172">
        <f>'Stats Global'!AD15-Table3[[#This Row],[AVG F]]</f>
        <v>0</v>
      </c>
      <c r="AN8" s="172">
        <f>'Stats Global'!AF15-Table3[[#This Row],[AVG M]]</f>
        <v>0</v>
      </c>
      <c r="AO8" s="172">
        <f>'Stats Global'!AH15-Table3[[#This Row],[AVG T]]</f>
        <v>0.375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5" t="s">
        <v>50</v>
      </c>
      <c r="AD9" s="158">
        <f>'1707'!AC30+'1807'!AC30+'1907'!AC30+'2007'!AC30+'2407'!AC30+'2607'!AC30+'2707'!AC30+'3107'!AC30+'0108'!AC30+'0208'!AC30+'0308'!AC30+'0808'!AC30+'0908'!AC30+'1008'!AC30</f>
        <v>23</v>
      </c>
      <c r="AE9" s="158">
        <f>'1707'!AD30+'1807'!AD30+'1907'!AD30+'2007'!AD30+'2407'!AD30+'2607'!AD30+'2707'!AD30+'3107'!AD30+'0108'!AD30+'0208'!AD30+'0308'!AD30+'0808'!AD30+'0908'!AD30+'1008'!AD30</f>
        <v>4</v>
      </c>
      <c r="AF9" s="158">
        <f>'1707'!AE30+'1807'!AE30+'1907'!AE30+'2007'!AE30+'2407'!AE30+'2607'!AE30+'2707'!AE30+'3107'!AE30+'0108'!AE30+'0208'!AE30+'0308'!AE30+'0808'!AE30+'0908'!AE30+'1008'!AE30</f>
        <v>13</v>
      </c>
      <c r="AG9" s="158">
        <f>'1707'!AF30+'1807'!AF30+'1907'!AF30+'2007'!AF30+'2407'!AF30+'2607'!AF30+'2707'!AF30+'3107'!AF30+'0108'!AF30+'0208'!AF30+'0308'!AF30+'0808'!AF30+'0908'!AF30+'1008'!AF30</f>
        <v>3</v>
      </c>
      <c r="AH9" s="172">
        <f>Table3[[#This Row],[Points]]/('Stats Global'!$AA$6-'Stats Global'!$AJ$17)</f>
        <v>1.7692307692307692</v>
      </c>
      <c r="AI9" s="172">
        <f>Table3[[#This Row],[Finishes]]/('Stats Global'!$AA$6-'Stats Global'!$AJ$17)</f>
        <v>0.30769230769230771</v>
      </c>
      <c r="AJ9" s="172">
        <f>Table3[[#This Row],[Midranges]]/('Stats Global'!$AA$6-'Stats Global'!$AJ$17)</f>
        <v>1</v>
      </c>
      <c r="AK9" s="172">
        <f>Table3[[#This Row],[Threes]]/('Stats Global'!$AA$6-'Stats Global'!$AJ$17)</f>
        <v>0.23076923076923078</v>
      </c>
      <c r="AL9" s="172">
        <f>'Stats Global'!AB17-Table3[[#This Row],[AVG P]]</f>
        <v>1.6923076923076925</v>
      </c>
      <c r="AM9" s="172">
        <f>'Stats Global'!AD17-Table3[[#This Row],[AVG F]]</f>
        <v>0.23076923076923073</v>
      </c>
      <c r="AN9" s="172">
        <f>'Stats Global'!AF17-Table3[[#This Row],[AVG M]]</f>
        <v>1.1538461538461537</v>
      </c>
      <c r="AO9" s="172">
        <f>'Stats Global'!AH17-Table3[[#This Row],[AVG T]]</f>
        <v>0.15384615384615385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5" t="s">
        <v>52</v>
      </c>
      <c r="AD10" s="158">
        <f>'1707'!AC31+'1807'!AC31+'1907'!AC31+'2007'!AC31+'2407'!AC31+'2607'!AC31+'2707'!AC31+'3107'!AC31+'0108'!AC31+'0208'!AC31+'0308'!AC31+'0808'!AC31+'0908'!AC31+'1008'!AC31</f>
        <v>2</v>
      </c>
      <c r="AE10" s="158">
        <f>'1707'!AD31+'1807'!AD31+'1907'!AD31+'2007'!AD31+'2407'!AD31+'2607'!AD31+'2707'!AD31+'3107'!AD31+'0108'!AD31+'0208'!AD31+'0308'!AD31+'0808'!AD31+'0908'!AD31+'1008'!AD31</f>
        <v>1</v>
      </c>
      <c r="AF10" s="158">
        <f>'1707'!AE31+'1807'!AE31+'1907'!AE31+'2007'!AE31+'2407'!AE31+'2607'!AE31+'2707'!AE31+'3107'!AE31+'0108'!AE31+'0208'!AE31+'0308'!AE31+'0808'!AE31+'0908'!AE31+'1008'!AE31</f>
        <v>1</v>
      </c>
      <c r="AG10" s="158">
        <f>'1707'!AF31+'1807'!AF31+'1907'!AF31+'2007'!AF31+'2407'!AF31+'2607'!AF31+'2707'!AF31+'3107'!AF31+'0108'!AF31+'0208'!AF31+'0308'!AF31+'0808'!AF31+'0908'!AF31+'1008'!AF31</f>
        <v>0</v>
      </c>
      <c r="AH10" s="172">
        <f>Table3[[#This Row],[Points]]/('Stats Global'!$AA$6-'Stats Global'!$AJ$18)</f>
        <v>0.14285714285714285</v>
      </c>
      <c r="AI10" s="172">
        <f>Table3[[#This Row],[Finishes]]/('Stats Global'!$AA$6-'Stats Global'!$AJ$18)</f>
        <v>7.1428571428571425E-2</v>
      </c>
      <c r="AJ10" s="172">
        <f>Table3[[#This Row],[Midranges]]/('Stats Global'!$AA$6-'Stats Global'!$AJ$18)</f>
        <v>7.1428571428571425E-2</v>
      </c>
      <c r="AK10" s="172">
        <f>Table3[[#This Row],[Threes]]/('Stats Global'!$AA$6-'Stats Global'!$AJ$18)</f>
        <v>0</v>
      </c>
      <c r="AL10" s="172">
        <f>'Stats Global'!AB18-Table3[[#This Row],[AVG P]]</f>
        <v>0.42857142857142855</v>
      </c>
      <c r="AM10" s="172">
        <f>'Stats Global'!AD18-Table3[[#This Row],[AVG F]]</f>
        <v>0</v>
      </c>
      <c r="AN10" s="172">
        <f>'Stats Global'!AF18-Table3[[#This Row],[AVG M]]</f>
        <v>0.4285714285714286</v>
      </c>
      <c r="AO10" s="172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5" t="s">
        <v>200</v>
      </c>
      <c r="AD11" s="158">
        <f>'1707'!AC32+'1807'!AC32+'1907'!AC32+'2007'!AC32+'2407'!AC32+'2607'!AC32+'2707'!AC32+'3107'!AC32+'0108'!AC32+'0208'!AC32+'0308'!AC32+'0808'!AC32+'0908'!AC32+'1008'!AC32</f>
        <v>1</v>
      </c>
      <c r="AE11" s="158">
        <f>'1707'!AD32+'1807'!AD32+'1907'!AD32+'2007'!AD32+'2407'!AD32+'2607'!AD32+'2707'!AD32+'3107'!AD32+'0108'!AD32+'0208'!AD32+'0308'!AD32+'0808'!AD32+'0908'!AD32+'1008'!AD32</f>
        <v>0</v>
      </c>
      <c r="AF11" s="158">
        <f>'1707'!AE32+'1807'!AE32+'1907'!AE32+'2007'!AE32+'2407'!AE32+'2607'!AE32+'2707'!AE32+'3107'!AE32+'0108'!AE32+'0208'!AE32+'0308'!AE32+'0808'!AE32+'0908'!AE32+'1008'!AE32</f>
        <v>1</v>
      </c>
      <c r="AG11" s="158">
        <f>'1707'!AF32+'1807'!AF32+'1907'!AF32+'2007'!AF32+'2407'!AF32+'2607'!AF32+'2707'!AF32+'3107'!AF32+'0108'!AF32+'0208'!AF32+'0308'!AF32+'0808'!AF32+'0908'!AF32+'1008'!AF32</f>
        <v>0</v>
      </c>
      <c r="AH11" s="172">
        <f>Table3[[#This Row],[Points]]/('Stats Global'!$AA$6-'Stats Global'!$AJ$19)</f>
        <v>0.16666666666666666</v>
      </c>
      <c r="AI11" s="172">
        <f>Table3[[#This Row],[Finishes]]/('Stats Global'!$AA$6-'Stats Global'!$AJ$19)</f>
        <v>0</v>
      </c>
      <c r="AJ11" s="172">
        <f>Table3[[#This Row],[Midranges]]/('Stats Global'!$AA$6-'Stats Global'!$AJ$19)</f>
        <v>0.16666666666666666</v>
      </c>
      <c r="AK11" s="172">
        <f>Table3[[#This Row],[Threes]]/('Stats Global'!$AA$6-'Stats Global'!$AJ$19)</f>
        <v>0</v>
      </c>
      <c r="AL11" s="172">
        <f>'Stats Global'!AB19-Table3[[#This Row],[AVG P]]</f>
        <v>0</v>
      </c>
      <c r="AM11" s="172">
        <f>'Stats Global'!AD19-Table3[[#This Row],[AVG F]]</f>
        <v>0</v>
      </c>
      <c r="AN11" s="172">
        <f>'Stats Global'!AF19-Table3[[#This Row],[AVG M]]</f>
        <v>0</v>
      </c>
      <c r="AO11" s="172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5" t="s">
        <v>55</v>
      </c>
      <c r="AD12" s="158">
        <f>'1707'!AC33+'1807'!AC33+'1907'!AC33+'2007'!AC33+'2407'!AC33+'2607'!AC33+'2707'!AC33+'3107'!AC33+'0108'!AC33+'0208'!AC33+'0308'!AC33+'0808'!AC33+'0908'!AC33+'1008'!AC33</f>
        <v>4</v>
      </c>
      <c r="AE12" s="158">
        <f>'1707'!AD33+'1807'!AD33+'1907'!AD33+'2007'!AD33+'2407'!AD33+'2607'!AD33+'2707'!AD33+'3107'!AD33+'0108'!AD33+'0208'!AD33+'0308'!AD33+'0808'!AD33+'0908'!AD33+'1008'!AD33</f>
        <v>3</v>
      </c>
      <c r="AF12" s="158">
        <f>'1707'!AE33+'1807'!AE33+'1907'!AE33+'2007'!AE33+'2407'!AE33+'2607'!AE33+'2707'!AE33+'3107'!AE33+'0108'!AE33+'0208'!AE33+'0308'!AE33+'0808'!AE33+'0908'!AE33+'1008'!AE33</f>
        <v>1</v>
      </c>
      <c r="AG12" s="158">
        <f>'1707'!AF33+'1807'!AF33+'1907'!AF33+'2007'!AF33+'2407'!AF33+'2607'!AF33+'2707'!AF33+'3107'!AF33+'0108'!AF33+'0208'!AF33+'0308'!AF33+'0808'!AF33+'0908'!AF33+'1008'!AF33</f>
        <v>0</v>
      </c>
      <c r="AH12" s="172">
        <f>Table3[[#This Row],[Points]]/('Stats Global'!$AA$6-'Stats Global'!$AJ$20)</f>
        <v>0.30769230769230771</v>
      </c>
      <c r="AI12" s="172">
        <f>Table3[[#This Row],[Finishes]]/('Stats Global'!$AA$6-'Stats Global'!$AJ$20)</f>
        <v>0.23076923076923078</v>
      </c>
      <c r="AJ12" s="172">
        <f>Table3[[#This Row],[Midranges]]/('Stats Global'!$AA$6-'Stats Global'!$AJ$20)</f>
        <v>7.6923076923076927E-2</v>
      </c>
      <c r="AK12" s="172">
        <f>Table3[[#This Row],[Threes]]/('Stats Global'!$AA$6-'Stats Global'!$AJ$20)</f>
        <v>0</v>
      </c>
      <c r="AL12" s="172">
        <f>'Stats Global'!AB20-Table3[[#This Row],[AVG P]]</f>
        <v>0.46153846153846156</v>
      </c>
      <c r="AM12" s="172">
        <f>'Stats Global'!AD20-Table3[[#This Row],[AVG F]]</f>
        <v>0.46153846153846151</v>
      </c>
      <c r="AN12" s="172">
        <f>'Stats Global'!AF20-Table3[[#This Row],[AVG M]]</f>
        <v>0</v>
      </c>
      <c r="AO12" s="172">
        <f>'Stats Global'!AH20-Table3[[#This Row],[AVG T]]</f>
        <v>0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5" t="s">
        <v>64</v>
      </c>
      <c r="AD13" s="158">
        <f>'1707'!AC34+'1807'!AC34+'1907'!AC34+'2007'!AC34+'2407'!AC34+'2607'!AC34+'2707'!AC34+'3107'!AC34+'0108'!AC34+'0208'!AC34+'0308'!AC34+'0808'!AC34+'0908'!AC34+'1008'!AC34</f>
        <v>0</v>
      </c>
      <c r="AE13" s="158">
        <f>'1707'!AD34+'1807'!AD34+'1907'!AD34+'2007'!AD34+'2407'!AD34+'2607'!AD34+'2707'!AD34+'3107'!AD34+'0108'!AD34+'0208'!AD34+'0308'!AD34+'0808'!AD34+'0908'!AD34+'1008'!AD34</f>
        <v>0</v>
      </c>
      <c r="AF13" s="158">
        <f>'1707'!AE34+'1807'!AE34+'1907'!AE34+'2007'!AE34+'2407'!AE34+'2607'!AE34+'2707'!AE34+'3107'!AE34+'0108'!AE34+'0208'!AE34+'0308'!AE34+'0808'!AE34+'0908'!AE34+'1008'!AE34</f>
        <v>0</v>
      </c>
      <c r="AG13" s="158">
        <f>'1707'!AF34+'1807'!AF34+'1907'!AF34+'2007'!AF34+'2407'!AF34+'2607'!AF34+'2707'!AF34+'3107'!AF34+'0108'!AF34+'0208'!AF34+'0308'!AF34+'0808'!AF34+'0908'!AF34+'1008'!AF34</f>
        <v>0</v>
      </c>
      <c r="AH13" s="172">
        <f>Table3[[#This Row],[Points]]/('Stats Global'!$AA$6-'Stats Global'!$AJ$23)</f>
        <v>0</v>
      </c>
      <c r="AI13" s="172">
        <f>Table3[[#This Row],[Finishes]]/('Stats Global'!$AA$6-'Stats Global'!$AJ$23)</f>
        <v>0</v>
      </c>
      <c r="AJ13" s="172">
        <f>Table3[[#This Row],[Midranges]]/('Stats Global'!$AA$6-'Stats Global'!$AJ$23)</f>
        <v>0</v>
      </c>
      <c r="AK13" s="172">
        <f>Table3[[#This Row],[Threes]]/('Stats Global'!$AA$6-'Stats Global'!$AJ$23)</f>
        <v>0</v>
      </c>
      <c r="AL13" s="172">
        <f>'Stats Global'!AB23-Table3[[#This Row],[AVG P]]</f>
        <v>7.1428571428571425E-2</v>
      </c>
      <c r="AM13" s="172">
        <f>'Stats Global'!AD23-Table3[[#This Row],[AVG F]]</f>
        <v>0</v>
      </c>
      <c r="AN13" s="172">
        <f>'Stats Global'!AF23-Table3[[#This Row],[AVG M]]</f>
        <v>7.1428571428571425E-2</v>
      </c>
      <c r="AO13" s="172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6" t="s">
        <v>67</v>
      </c>
      <c r="AD14" s="158">
        <f>'1707'!AC35+'1807'!AC35+'1907'!AC35+'2007'!AC35+'2407'!AC35+'2607'!AC35+'2707'!AC35+'3107'!AC35+'0108'!AC35+'0208'!AC35+'0308'!AC35+'0808'!AC35+'0908'!AC35+'1008'!AC35</f>
        <v>3</v>
      </c>
      <c r="AE14" s="158">
        <f>'1707'!AD35+'1807'!AD35+'1907'!AD35+'2007'!AD35+'2407'!AD35+'2607'!AD35+'2707'!AD35+'3107'!AD35+'0108'!AD35+'0208'!AD35+'0308'!AD35+'0808'!AD35+'0908'!AD35+'1008'!AD35</f>
        <v>3</v>
      </c>
      <c r="AF14" s="158">
        <f>'1707'!AE35+'1807'!AE35+'1907'!AE35+'2007'!AE35+'2407'!AE35+'2607'!AE35+'2707'!AE35+'3107'!AE35+'0108'!AE35+'0208'!AE35+'0308'!AE35+'0808'!AE35+'0908'!AE35+'1008'!AE35</f>
        <v>0</v>
      </c>
      <c r="AG14" s="158">
        <f>'1707'!AF35+'1807'!AF35+'1907'!AF35+'2007'!AF35+'2407'!AF35+'2607'!AF35+'2707'!AF35+'3107'!AF35+'0108'!AF35+'0208'!AF35+'0308'!AF35+'0808'!AF35+'0908'!AF35+'1008'!AF35</f>
        <v>0</v>
      </c>
      <c r="AH14" s="173">
        <f>Table3[[#This Row],[Points]]/('Stats Global'!$AA$6-'Stats Global'!$AJ$24)</f>
        <v>0.375</v>
      </c>
      <c r="AI14" s="173">
        <f>Table3[[#This Row],[Finishes]]/('Stats Global'!$AA$6-'Stats Global'!$AJ$24)</f>
        <v>0.375</v>
      </c>
      <c r="AJ14" s="173">
        <f>Table3[[#This Row],[Midranges]]/('Stats Global'!$AA$6-'Stats Global'!$AJ$24)</f>
        <v>0</v>
      </c>
      <c r="AK14" s="173">
        <f>Table3[[#This Row],[Threes]]/('Stats Global'!$AA$6-'Stats Global'!$AJ$24)</f>
        <v>0</v>
      </c>
      <c r="AL14" s="173">
        <f>'Stats Global'!AB24-Table3[[#This Row],[AVG P]]</f>
        <v>0.125</v>
      </c>
      <c r="AM14" s="173">
        <f>'Stats Global'!AD24-Table3[[#This Row],[AVG F]]</f>
        <v>0.125</v>
      </c>
      <c r="AN14" s="173">
        <f>'Stats Global'!AF24-Table3[[#This Row],[AVG M]]</f>
        <v>0</v>
      </c>
      <c r="AO14" s="173">
        <f>'Stats Global'!AH24-Table3[[#This Row],[AVG T]]</f>
        <v>0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9" t="s">
        <v>61</v>
      </c>
      <c r="F17" s="149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51" t="s">
        <v>207</v>
      </c>
      <c r="F18" s="151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4" t="s">
        <v>61</v>
      </c>
      <c r="F19" s="154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8" t="s">
        <v>61</v>
      </c>
      <c r="F20" s="178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>
        <f>'Stats Global'!B22</f>
        <v>0</v>
      </c>
      <c r="B21" s="82">
        <f>'Stats Global'!F22</f>
        <v>0</v>
      </c>
      <c r="C21" s="82">
        <f>'Stats Global'!G22+'Stats Global'!H22</f>
        <v>0</v>
      </c>
      <c r="D21" s="82">
        <f>'Stats Global'!O22</f>
        <v>0</v>
      </c>
      <c r="E21" s="80"/>
      <c r="F21" s="80"/>
      <c r="J21" s="83"/>
      <c r="L21" s="84">
        <f>'Stats Global'!J22</f>
        <v>0</v>
      </c>
      <c r="M21" s="84">
        <f>'Stats Global'!G22</f>
        <v>0</v>
      </c>
      <c r="N21" s="85"/>
      <c r="O21" s="84">
        <f>'Stats Global'!M22</f>
        <v>0</v>
      </c>
      <c r="P21" s="84">
        <f>'Stats Global'!H22</f>
        <v>0</v>
      </c>
    </row>
    <row r="22" spans="1:23" ht="14.35" customHeight="1" x14ac:dyDescent="0.45">
      <c r="A22" s="75">
        <f>'Stats Global'!B23</f>
        <v>0</v>
      </c>
      <c r="B22" s="82">
        <f>'Stats Global'!F23</f>
        <v>0</v>
      </c>
      <c r="C22" s="82">
        <f>'Stats Global'!G23+'Stats Global'!H23</f>
        <v>0</v>
      </c>
      <c r="D22" s="82">
        <f>'Stats Global'!O23</f>
        <v>0</v>
      </c>
      <c r="E22" s="80"/>
      <c r="F22" s="80"/>
      <c r="H22" s="87"/>
      <c r="J22" s="83"/>
      <c r="L22" s="84">
        <f>'Stats Global'!J23</f>
        <v>0</v>
      </c>
      <c r="M22" s="84">
        <f>'Stats Global'!G23</f>
        <v>0</v>
      </c>
      <c r="N22" s="85"/>
      <c r="O22" s="84">
        <f>'Stats Global'!M23</f>
        <v>0</v>
      </c>
      <c r="P22" s="84">
        <f>'Stats Global'!H23</f>
        <v>0</v>
      </c>
    </row>
    <row r="23" spans="1:23" ht="14.35" customHeight="1" x14ac:dyDescent="0.45">
      <c r="A23" s="75">
        <f>'Stats Global'!B24</f>
        <v>0</v>
      </c>
      <c r="B23" s="82">
        <f>'Stats Global'!F24</f>
        <v>0</v>
      </c>
      <c r="C23" s="82">
        <f>'Stats Global'!G24+'Stats Global'!H24</f>
        <v>0</v>
      </c>
      <c r="D23" s="82">
        <f>'Stats Global'!O24</f>
        <v>0</v>
      </c>
      <c r="E23" s="86"/>
      <c r="F23" s="80"/>
      <c r="H23" s="87"/>
      <c r="J23" s="83"/>
      <c r="L23" s="84">
        <f>'Stats Global'!J24</f>
        <v>0</v>
      </c>
      <c r="M23" s="84">
        <f>'Stats Global'!G24</f>
        <v>0</v>
      </c>
      <c r="N23" s="85"/>
      <c r="O23" s="84">
        <f>'Stats Global'!M24</f>
        <v>0</v>
      </c>
      <c r="P23" s="84">
        <f>'Stats Global'!H24</f>
        <v>0</v>
      </c>
    </row>
    <row r="24" spans="1:23" ht="14.35" customHeight="1" x14ac:dyDescent="0.45">
      <c r="A24" s="75">
        <f>'Stats Global'!B25</f>
        <v>0</v>
      </c>
      <c r="B24" s="82">
        <f>'Stats Global'!F25</f>
        <v>0</v>
      </c>
      <c r="C24" s="82">
        <f>'Stats Global'!G25+'Stats Global'!H25</f>
        <v>0</v>
      </c>
      <c r="D24" s="82">
        <f>'Stats Global'!O25</f>
        <v>0</v>
      </c>
      <c r="E24" s="86"/>
      <c r="F24" s="80"/>
      <c r="H24" s="87"/>
      <c r="J24" s="83"/>
      <c r="L24" s="84">
        <f>'Stats Global'!J25</f>
        <v>0</v>
      </c>
      <c r="M24" s="84">
        <f>'Stats Global'!G25</f>
        <v>0</v>
      </c>
      <c r="N24" s="85"/>
      <c r="O24" s="84">
        <f>'Stats Global'!M25</f>
        <v>0</v>
      </c>
      <c r="P24" s="84">
        <f>'Stats Global'!H25</f>
        <v>0</v>
      </c>
    </row>
    <row r="25" spans="1:23" ht="14.35" customHeight="1" x14ac:dyDescent="0.45">
      <c r="A25" s="75">
        <f>'Stats Global'!B26</f>
        <v>0</v>
      </c>
      <c r="B25" s="82">
        <f>'Stats Global'!F26</f>
        <v>0</v>
      </c>
      <c r="C25" s="82">
        <f>'Stats Global'!G26+'Stats Global'!H26</f>
        <v>0</v>
      </c>
      <c r="D25" s="82">
        <f>'Stats Global'!O26</f>
        <v>0</v>
      </c>
      <c r="E25" s="86"/>
      <c r="F25" s="80"/>
      <c r="J25" s="83"/>
      <c r="L25" s="84">
        <f>'Stats Global'!J26</f>
        <v>0</v>
      </c>
      <c r="M25" s="84">
        <f>'Stats Global'!G26</f>
        <v>0</v>
      </c>
      <c r="N25" s="85"/>
      <c r="O25" s="84">
        <f>'Stats Global'!M26</f>
        <v>0</v>
      </c>
      <c r="P25" s="84">
        <f>'Stats Global'!H26</f>
        <v>0</v>
      </c>
    </row>
    <row r="26" spans="1:23" ht="14.35" customHeight="1" x14ac:dyDescent="0.45">
      <c r="A26" s="75">
        <f>'Stats Global'!B27</f>
        <v>0</v>
      </c>
      <c r="B26" s="82">
        <f>'Stats Global'!F27</f>
        <v>0</v>
      </c>
      <c r="C26" s="82">
        <f>'Stats Global'!G27+'Stats Global'!H27</f>
        <v>0</v>
      </c>
      <c r="D26" s="82">
        <f>'Stats Global'!O27</f>
        <v>0</v>
      </c>
      <c r="E26" s="80"/>
      <c r="F26" s="80"/>
      <c r="J26" s="83"/>
      <c r="L26" s="84">
        <f>'Stats Global'!J27</f>
        <v>0</v>
      </c>
      <c r="M26" s="84">
        <f>'Stats Global'!G27</f>
        <v>0</v>
      </c>
      <c r="N26" s="85"/>
      <c r="O26" s="84">
        <f>'Stats Global'!M27</f>
        <v>0</v>
      </c>
      <c r="P26" s="84">
        <f>'Stats Global'!H27</f>
        <v>0</v>
      </c>
    </row>
    <row r="27" spans="1:23" ht="14.35" customHeight="1" x14ac:dyDescent="0.45">
      <c r="A27" s="75">
        <f>'Stats Global'!B28</f>
        <v>0</v>
      </c>
      <c r="B27" s="82">
        <f>'Stats Global'!F28</f>
        <v>0</v>
      </c>
      <c r="C27" s="82">
        <f>'Stats Global'!G28+'Stats Global'!H28</f>
        <v>0</v>
      </c>
      <c r="D27" s="82">
        <f>'Stats Global'!O28</f>
        <v>0</v>
      </c>
      <c r="E27" s="80"/>
      <c r="F27" s="80"/>
      <c r="J27" s="83"/>
      <c r="L27" s="84">
        <f>'Stats Global'!J28</f>
        <v>0</v>
      </c>
      <c r="M27" s="84">
        <f>'Stats Global'!G28</f>
        <v>0</v>
      </c>
      <c r="N27" s="85"/>
      <c r="O27" s="84">
        <f>'Stats Global'!M28</f>
        <v>0</v>
      </c>
      <c r="P27" s="84">
        <f>'Stats Global'!H28</f>
        <v>0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6">
        <f>SUM(B7:B40)/SUM(B7:C40)</f>
        <v>0.56666666666666665</v>
      </c>
      <c r="J41" s="83"/>
      <c r="K41" s="81" t="s">
        <v>94</v>
      </c>
      <c r="L41" s="97">
        <f>SUM(L7:L40)</f>
        <v>43</v>
      </c>
      <c r="M41" s="97">
        <f>SUM(M7:M40)</f>
        <v>25</v>
      </c>
      <c r="N41" s="83"/>
      <c r="O41" s="97">
        <f>SUM(O7:O40)</f>
        <v>40</v>
      </c>
      <c r="P41" s="97">
        <f>SUM(P7:P40)</f>
        <v>40</v>
      </c>
    </row>
    <row r="42" spans="1:16" ht="14.25" customHeight="1" x14ac:dyDescent="0.45">
      <c r="L42" s="88">
        <f>L41/(M41+L41)</f>
        <v>0.63235294117647056</v>
      </c>
      <c r="O42" s="88">
        <f>O41/(P41+O41)</f>
        <v>0.5</v>
      </c>
    </row>
    <row r="43" spans="1:16" ht="14.25" customHeight="1" x14ac:dyDescent="0.45">
      <c r="I43" s="89" t="str">
        <f>K43&amp;H3&amp;","&amp;I3&amp;","&amp;J3&amp;"],"</f>
        <v>"PartA":[85,65,30],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6.8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"PartB":[41,"Angus Walker",21,"Angus Walker",8,"Angus Walker",6,"Angus Walker"],</v>
      </c>
      <c r="K44" s="76" t="s">
        <v>136</v>
      </c>
      <c r="M44" s="91">
        <f>MAX(Table1114[Points])</f>
        <v>41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3.8</v>
      </c>
    </row>
    <row r="45" spans="1:16" ht="14.25" customHeight="1" x14ac:dyDescent="0.45">
      <c r="I45" s="76" t="str">
        <f>K45&amp;O43&amp;","&amp;O44&amp;","&amp;O45&amp;","&amp;O46&amp;","&amp;O47&amp;","&amp;O48&amp;"],"</f>
        <v>"PartC":[6.8,3.8,1.6,0.7,6.1,4.6],</v>
      </c>
      <c r="K45" s="76" t="s">
        <v>137</v>
      </c>
      <c r="M45" s="91">
        <f>MAX(Table1114[Finishes])</f>
        <v>21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1.6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"PartD":[43,25,63.2,40,40,50],</v>
      </c>
      <c r="K46" s="76" t="s">
        <v>138</v>
      </c>
      <c r="M46" s="91">
        <f>MAX(Table1114[Midranges])</f>
        <v>8</v>
      </c>
      <c r="N46" s="98" t="str">
        <f>IF(M46&lt;&gt;0,IF(M46=W4,R4,IF(M46=W5,R5,IF(W6=M46,R6,IF(W7=M46,R7,R8)))),"N/A")</f>
        <v>Angus Walker</v>
      </c>
      <c r="O46" s="90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1">
        <f>MAX(Table1114[Threes])</f>
        <v>6</v>
      </c>
      <c r="N47" s="76" t="str">
        <f>IF(M47&lt;&gt;0,IF(M47=Y4,R4,IF(M47=Y5,R5,IF(Y6=M47,R6,IF(Y7=M47,R7,R8)))),"N/A")</f>
        <v>Angus Walker</v>
      </c>
      <c r="O47" s="76">
        <f>ROUND(H3/'Stats Global'!AA6,1)</f>
        <v>6.1</v>
      </c>
    </row>
    <row r="48" spans="1:16" ht="14.25" customHeight="1" x14ac:dyDescent="0.45">
      <c r="O48" s="76">
        <f>ROUND(I3/'Stats Global'!AA6,1)</f>
        <v>4.5999999999999996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" priority="1" operator="equal">
      <formula>AH3</formula>
    </cfRule>
    <cfRule type="cellIs" dxfId="1" priority="2" operator="lessThan">
      <formula>AH3</formula>
    </cfRule>
    <cfRule type="cellIs" dxfId="0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54</v>
      </c>
      <c r="I3" s="81">
        <f>SUM(C7:C40)</f>
        <v>80</v>
      </c>
      <c r="J3" s="78">
        <f>SUM(D7:D40)</f>
        <v>24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9" t="str">
        <f>'Stats Global'!B5</f>
        <v>11-July</v>
      </c>
      <c r="B4" s="120">
        <f>'Stats Global'!I5</f>
        <v>0</v>
      </c>
      <c r="C4" s="120">
        <f>'Stats Global'!J5+'Stats Global'!K5</f>
        <v>8</v>
      </c>
      <c r="D4" s="120">
        <f>'Stats Global'!P5</f>
        <v>1</v>
      </c>
      <c r="E4" s="121" t="s">
        <v>207</v>
      </c>
      <c r="F4" s="121" t="s">
        <v>207</v>
      </c>
      <c r="L4" s="122">
        <f>'Stats Global'!N5</f>
        <v>0</v>
      </c>
      <c r="M4" s="122">
        <f>'Stats Global'!K5</f>
        <v>6</v>
      </c>
      <c r="N4" s="85"/>
      <c r="O4" s="83" t="s">
        <v>35</v>
      </c>
      <c r="P4" s="93">
        <f>'Stats Global'!AA11</f>
        <v>12</v>
      </c>
      <c r="Q4" s="93">
        <f>'Stats Global'!AB11</f>
        <v>1.2</v>
      </c>
      <c r="R4" s="93">
        <f>'Stats Global'!AC11</f>
        <v>12</v>
      </c>
      <c r="S4" s="93">
        <f>'Stats Global'!AD11</f>
        <v>1.2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4</v>
      </c>
    </row>
    <row r="5" spans="1:24" ht="14.25" customHeight="1" x14ac:dyDescent="0.45">
      <c r="A5" s="119" t="str">
        <f>'Stats Global'!B6</f>
        <v>12-July</v>
      </c>
      <c r="B5" s="120">
        <f>'Stats Global'!I6</f>
        <v>2</v>
      </c>
      <c r="C5" s="120">
        <f>'Stats Global'!J6+'Stats Global'!K6</f>
        <v>12</v>
      </c>
      <c r="D5" s="120">
        <f>'Stats Global'!P6</f>
        <v>1</v>
      </c>
      <c r="E5" s="121" t="s">
        <v>42</v>
      </c>
      <c r="F5" s="121" t="s">
        <v>52</v>
      </c>
      <c r="J5" s="83"/>
      <c r="L5" s="122">
        <f>'Stats Global'!N6</f>
        <v>1</v>
      </c>
      <c r="M5" s="122">
        <f>'Stats Global'!K6</f>
        <v>8</v>
      </c>
      <c r="N5" s="85"/>
      <c r="O5" s="83" t="s">
        <v>37</v>
      </c>
      <c r="P5" s="93">
        <f>'Stats Global'!AA12</f>
        <v>15</v>
      </c>
      <c r="Q5" s="93">
        <f>'Stats Global'!AB12</f>
        <v>1.25</v>
      </c>
      <c r="R5" s="93">
        <f>'Stats Global'!AC12</f>
        <v>6</v>
      </c>
      <c r="S5" s="93">
        <f>'Stats Global'!AD12</f>
        <v>0.5</v>
      </c>
      <c r="T5" s="93">
        <f>'Stats Global'!AE12</f>
        <v>5</v>
      </c>
      <c r="U5" s="93">
        <f>'Stats Global'!AF12</f>
        <v>0.41666666666666669</v>
      </c>
      <c r="V5" s="93">
        <f>'Stats Global'!AG12</f>
        <v>2</v>
      </c>
      <c r="W5" s="93">
        <f>'Stats Global'!AH12</f>
        <v>0.16666666666666666</v>
      </c>
      <c r="X5" s="93">
        <f>'Stats Global'!AJ12</f>
        <v>2</v>
      </c>
    </row>
    <row r="6" spans="1:24" ht="14.25" customHeight="1" x14ac:dyDescent="0.45">
      <c r="A6" s="119" t="str">
        <f>'Stats Global'!B7</f>
        <v>13-July</v>
      </c>
      <c r="B6" s="120">
        <f>'Stats Global'!I7</f>
        <v>4</v>
      </c>
      <c r="C6" s="120">
        <f>'Stats Global'!J7+'Stats Global'!K7</f>
        <v>5</v>
      </c>
      <c r="D6" s="120">
        <f>'Stats Global'!P7</f>
        <v>2</v>
      </c>
      <c r="E6" s="121" t="s">
        <v>214</v>
      </c>
      <c r="F6" s="121" t="s">
        <v>215</v>
      </c>
      <c r="I6" s="81"/>
      <c r="J6" s="83"/>
      <c r="L6" s="122">
        <f>'Stats Global'!N7</f>
        <v>2</v>
      </c>
      <c r="M6" s="122">
        <f>'Stats Global'!K7</f>
        <v>1</v>
      </c>
      <c r="N6" s="85"/>
      <c r="O6" s="83" t="s">
        <v>55</v>
      </c>
      <c r="P6" s="93">
        <f>'Stats Global'!AA20</f>
        <v>10</v>
      </c>
      <c r="Q6" s="93">
        <f>'Stats Global'!AB20</f>
        <v>0.76923076923076927</v>
      </c>
      <c r="R6" s="93">
        <f>'Stats Global'!AC20</f>
        <v>9</v>
      </c>
      <c r="S6" s="93">
        <f>'Stats Global'!AD20</f>
        <v>0.69230769230769229</v>
      </c>
      <c r="T6" s="93">
        <f>'Stats Global'!AE20</f>
        <v>1</v>
      </c>
      <c r="U6" s="93">
        <f>'Stats Global'!AF20</f>
        <v>7.6923076923076927E-2</v>
      </c>
      <c r="V6" s="93">
        <f>'Stats Global'!AG20</f>
        <v>0</v>
      </c>
      <c r="W6" s="93">
        <f>'Stats Global'!AH20</f>
        <v>0</v>
      </c>
      <c r="X6" s="93">
        <f>'Stats Global'!AJ20</f>
        <v>1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8</v>
      </c>
      <c r="Q7" s="93">
        <f>'Stats Global'!AB18</f>
        <v>0.5714285714285714</v>
      </c>
      <c r="R7" s="93">
        <f>'Stats Global'!AC18</f>
        <v>1</v>
      </c>
      <c r="S7" s="93">
        <f>'Stats Global'!AD18</f>
        <v>7.1428571428571425E-2</v>
      </c>
      <c r="T7" s="93">
        <f>'Stats Global'!AE18</f>
        <v>7</v>
      </c>
      <c r="U7" s="93">
        <f>'Stats Global'!AF18</f>
        <v>0.5</v>
      </c>
      <c r="V7" s="93">
        <f>'Stats Global'!AG18</f>
        <v>0</v>
      </c>
      <c r="W7" s="93">
        <f>'Stats Global'!AH18</f>
        <v>0</v>
      </c>
      <c r="X7" s="93">
        <f>'Stats Global'!AJ18</f>
        <v>0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3">
        <f>'Stats Global'!AA15</f>
        <v>11</v>
      </c>
      <c r="Q9" s="113">
        <f>'Stats Global'!AB15</f>
        <v>1.375</v>
      </c>
      <c r="R9" s="113">
        <f>'Stats Global'!AC15</f>
        <v>0</v>
      </c>
      <c r="S9" s="113">
        <f>'Stats Global'!AD15</f>
        <v>0</v>
      </c>
      <c r="T9" s="113">
        <f>'Stats Global'!AE15</f>
        <v>1</v>
      </c>
      <c r="U9" s="113">
        <f>'Stats Global'!AF15</f>
        <v>0.125</v>
      </c>
      <c r="V9" s="113">
        <f>'Stats Global'!AG15</f>
        <v>5</v>
      </c>
      <c r="W9" s="113">
        <f>'Stats Global'!AH15</f>
        <v>0.625</v>
      </c>
      <c r="X9" s="113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3">
        <f>'Stats Global'!AA24</f>
        <v>4</v>
      </c>
      <c r="Q10" s="113">
        <f>'Stats Global'!AB24</f>
        <v>0.5</v>
      </c>
      <c r="R10" s="113">
        <f>'Stats Global'!AC24</f>
        <v>4</v>
      </c>
      <c r="S10" s="113">
        <f>'Stats Global'!AD24</f>
        <v>0.5</v>
      </c>
      <c r="T10" s="113">
        <f>'Stats Global'!AE24</f>
        <v>0</v>
      </c>
      <c r="U10" s="113">
        <f>'Stats Global'!AF24</f>
        <v>0</v>
      </c>
      <c r="V10" s="113">
        <f>'Stats Global'!AG24</f>
        <v>0</v>
      </c>
      <c r="W10" s="113">
        <f>'Stats Global'!AH24</f>
        <v>0</v>
      </c>
      <c r="X10" s="113">
        <f>'Stats Global'!AJ24</f>
        <v>6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9" t="s">
        <v>266</v>
      </c>
      <c r="F17" s="149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51" t="s">
        <v>207</v>
      </c>
      <c r="F18" s="151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4" t="s">
        <v>37</v>
      </c>
      <c r="F19" s="154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8" t="s">
        <v>44</v>
      </c>
      <c r="F20" s="178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>
        <f>'Stats Global'!B22</f>
        <v>0</v>
      </c>
      <c r="B21" s="82">
        <f>'Stats Global'!I22</f>
        <v>0</v>
      </c>
      <c r="C21" s="82">
        <f>'Stats Global'!J22+'Stats Global'!K22</f>
        <v>0</v>
      </c>
      <c r="D21" s="82">
        <f>'Stats Global'!P22</f>
        <v>0</v>
      </c>
      <c r="E21" s="80"/>
      <c r="F21" s="80"/>
      <c r="J21" s="83"/>
      <c r="L21" s="84">
        <f>'Stats Global'!N22</f>
        <v>0</v>
      </c>
      <c r="M21" s="84">
        <f>'Stats Global'!K22</f>
        <v>0</v>
      </c>
      <c r="N21" s="83"/>
      <c r="O21" s="83"/>
      <c r="P21" s="56"/>
      <c r="W21" s="83"/>
      <c r="X21" s="83"/>
    </row>
    <row r="22" spans="1:24" ht="14.25" customHeight="1" x14ac:dyDescent="0.45">
      <c r="A22" s="75">
        <f>'Stats Global'!B23</f>
        <v>0</v>
      </c>
      <c r="B22" s="82">
        <f>'Stats Global'!I23</f>
        <v>0</v>
      </c>
      <c r="C22" s="82">
        <f>'Stats Global'!J23+'Stats Global'!K23</f>
        <v>0</v>
      </c>
      <c r="D22" s="82">
        <f>'Stats Global'!P23</f>
        <v>0</v>
      </c>
      <c r="E22" s="80"/>
      <c r="F22" s="80"/>
      <c r="J22" s="83"/>
      <c r="L22" s="84">
        <f>'Stats Global'!N23</f>
        <v>0</v>
      </c>
      <c r="M22" s="84">
        <f>'Stats Global'!K23</f>
        <v>0</v>
      </c>
      <c r="N22" s="83"/>
      <c r="O22" s="83"/>
      <c r="P22" s="56"/>
      <c r="W22" s="83"/>
      <c r="X22" s="83"/>
    </row>
    <row r="23" spans="1:24" ht="14.25" customHeight="1" x14ac:dyDescent="0.45">
      <c r="A23" s="75">
        <f>'Stats Global'!B24</f>
        <v>0</v>
      </c>
      <c r="B23" s="82">
        <f>'Stats Global'!I24</f>
        <v>0</v>
      </c>
      <c r="C23" s="82">
        <f>'Stats Global'!J24+'Stats Global'!K24</f>
        <v>0</v>
      </c>
      <c r="D23" s="82">
        <f>'Stats Global'!P24</f>
        <v>0</v>
      </c>
      <c r="E23" s="86"/>
      <c r="F23" s="80"/>
      <c r="H23" s="87"/>
      <c r="J23" s="83"/>
      <c r="L23" s="84">
        <f>'Stats Global'!N24</f>
        <v>0</v>
      </c>
      <c r="M23" s="84">
        <f>'Stats Global'!K24</f>
        <v>0</v>
      </c>
      <c r="N23" s="83"/>
      <c r="O23" s="83"/>
      <c r="P23" s="56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Global'!I25</f>
        <v>0</v>
      </c>
      <c r="C24" s="82">
        <f>'Stats Global'!J25+'Stats Global'!K25</f>
        <v>0</v>
      </c>
      <c r="D24" s="82">
        <f>'Stats Global'!P25</f>
        <v>0</v>
      </c>
      <c r="E24" s="86"/>
      <c r="F24" s="80"/>
      <c r="H24" s="87"/>
      <c r="J24" s="83"/>
      <c r="L24" s="84">
        <f>'Stats Global'!N25</f>
        <v>0</v>
      </c>
      <c r="M24" s="84">
        <f>'Stats Global'!K25</f>
        <v>0</v>
      </c>
      <c r="N24" s="83"/>
      <c r="O24" s="83"/>
      <c r="P24" s="56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Global'!I26</f>
        <v>0</v>
      </c>
      <c r="C25" s="82">
        <f>'Stats Global'!J26+'Stats Global'!K26</f>
        <v>0</v>
      </c>
      <c r="D25" s="82">
        <f>'Stats Global'!P26</f>
        <v>0</v>
      </c>
      <c r="E25" s="86"/>
      <c r="F25" s="80"/>
      <c r="H25" s="87"/>
      <c r="J25" s="83"/>
      <c r="L25" s="84">
        <f>'Stats Global'!N26</f>
        <v>0</v>
      </c>
      <c r="M25" s="84">
        <f>'Stats Global'!K26</f>
        <v>0</v>
      </c>
      <c r="N25" s="83"/>
      <c r="O25" s="83"/>
      <c r="P25" s="56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Global'!I27</f>
        <v>0</v>
      </c>
      <c r="C26" s="82">
        <f>'Stats Global'!J27+'Stats Global'!K27</f>
        <v>0</v>
      </c>
      <c r="D26" s="82">
        <f>'Stats Global'!P27</f>
        <v>0</v>
      </c>
      <c r="E26" s="80"/>
      <c r="F26" s="80"/>
      <c r="J26" s="83"/>
      <c r="L26" s="84">
        <f>'Stats Global'!N27</f>
        <v>0</v>
      </c>
      <c r="M26" s="84">
        <f>'Stats Global'!K27</f>
        <v>0</v>
      </c>
      <c r="N26" s="83"/>
      <c r="O26" s="83"/>
      <c r="P26" s="56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Global'!I28</f>
        <v>0</v>
      </c>
      <c r="C27" s="82">
        <f>'Stats Global'!J28+'Stats Global'!K28</f>
        <v>0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6">
        <f>SUM(B7:B40)/SUM(B7:C40)</f>
        <v>0.40298507462686567</v>
      </c>
      <c r="J41" s="83"/>
      <c r="K41" s="76" t="s">
        <v>94</v>
      </c>
      <c r="L41" s="97">
        <f>SUM(L7:L40)</f>
        <v>29</v>
      </c>
      <c r="M41" s="97">
        <f>SUM(M7:M40)</f>
        <v>37</v>
      </c>
      <c r="N41" s="83"/>
      <c r="O41" s="83"/>
      <c r="P41" s="56"/>
    </row>
    <row r="42" spans="1:16" ht="14.25" customHeight="1" x14ac:dyDescent="0.45">
      <c r="L42" s="88">
        <f>L41/(M41+L41)</f>
        <v>0.43939393939393939</v>
      </c>
      <c r="P42" s="56"/>
    </row>
    <row r="43" spans="1:16" ht="14.25" customHeight="1" x14ac:dyDescent="0.45">
      <c r="J43" s="89" t="str">
        <f>L43&amp;H3&amp;","&amp;I3&amp;","&amp;J3&amp;"],"</f>
        <v>"PartA":[54,80,24],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4.0999999999999996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"PartB":[15,"Michael Iffland",12,"Rudy Hoschke",7,"Ryan Pattemore",5,"Clarrie Jones"],</v>
      </c>
      <c r="L44" s="76" t="s">
        <v>136</v>
      </c>
      <c r="N44" s="91">
        <f>MAX(Table1113[Points])</f>
        <v>15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</v>
      </c>
    </row>
    <row r="45" spans="1:16" ht="14.25" customHeight="1" x14ac:dyDescent="0.45">
      <c r="J45" s="76" t="str">
        <f>L45&amp;P43&amp;","&amp;P44&amp;","&amp;P45&amp;","&amp;P46&amp;","&amp;P47&amp;","&amp;P48&amp;"],"</f>
        <v>"PartC":[4.1,2,1.1,0.5,3.9,5.7],</v>
      </c>
      <c r="L45" s="76" t="s">
        <v>137</v>
      </c>
      <c r="N45" s="91">
        <f>MAX(Table1113[Finishes])</f>
        <v>12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"PartD":[25,43,36.8,29,37,43.9],</v>
      </c>
      <c r="L46" s="76" t="s">
        <v>138</v>
      </c>
      <c r="N46" s="91">
        <f>MAX(Table1113[Midranges])</f>
        <v>7</v>
      </c>
      <c r="O46" s="76" t="str">
        <f>IF(N46&lt;&gt;0,IF(N46=T4,O4,IF(N46=T5,O5,IF(T6=N46,O6,IF(T7=N46,O7,IF(T8=N46,O8,IF(T9=N46,O9,O10)))))),"N/A")</f>
        <v>Ryan Pattemore</v>
      </c>
      <c r="P46" s="90">
        <f>ROUND(SUM('Stats Global'!AG11,'Stats Global'!AG12,'Stats Global'!AG20,'Stats Global'!AG15,'Stats Global'!AG19,'Stats Global'!AG18)/'Stats Global'!AA6,1)</f>
        <v>0.5</v>
      </c>
    </row>
    <row r="47" spans="1:16" ht="14.25" customHeight="1" x14ac:dyDescent="0.45">
      <c r="N47" s="91">
        <f>MAX(Table1113[Threes])</f>
        <v>5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3.9</v>
      </c>
    </row>
    <row r="48" spans="1:16" ht="14.25" customHeight="1" x14ac:dyDescent="0.45">
      <c r="P48" s="76">
        <f>ROUND(I3/'Stats Global'!AA6,1)</f>
        <v>5.7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20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77</v>
      </c>
      <c r="I3" s="81">
        <f>SUM(C7:C40)</f>
        <v>69</v>
      </c>
      <c r="J3" s="78">
        <f>SUM(D7:D40)</f>
        <v>30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9" t="str">
        <f>'Stats Global'!B5</f>
        <v>11-July</v>
      </c>
      <c r="B4" s="120">
        <f>'Stats Global'!L5</f>
        <v>12</v>
      </c>
      <c r="C4" s="120">
        <f>'Stats Global'!M5+'Stats Global'!N5</f>
        <v>3</v>
      </c>
      <c r="D4" s="120">
        <f>'Stats Global'!Q5</f>
        <v>3</v>
      </c>
      <c r="E4" s="121" t="s">
        <v>30</v>
      </c>
      <c r="F4" s="121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9" t="str">
        <f>'Stats Global'!B6</f>
        <v>12-July</v>
      </c>
      <c r="B5" s="120">
        <f>'Stats Global'!L6</f>
        <v>15</v>
      </c>
      <c r="C5" s="120">
        <f>'Stats Global'!M6+'Stats Global'!N6</f>
        <v>6</v>
      </c>
      <c r="D5" s="120">
        <f>'Stats Global'!Q6</f>
        <v>3</v>
      </c>
      <c r="E5" s="121" t="s">
        <v>30</v>
      </c>
      <c r="F5" s="121" t="s">
        <v>50</v>
      </c>
      <c r="K5" s="83"/>
      <c r="L5" s="83" t="s">
        <v>50</v>
      </c>
      <c r="M5" s="93">
        <f>'Stats Global'!AA17</f>
        <v>45</v>
      </c>
      <c r="N5" s="93">
        <f>'Stats Global'!AB17</f>
        <v>3.4615384615384617</v>
      </c>
      <c r="O5" s="93">
        <f>'Stats Global'!AC17</f>
        <v>7</v>
      </c>
      <c r="P5" s="93">
        <f>'Stats Global'!AD17</f>
        <v>0.53846153846153844</v>
      </c>
      <c r="Q5" s="93">
        <f>'Stats Global'!AE17</f>
        <v>28</v>
      </c>
      <c r="R5" s="93">
        <f>'Stats Global'!AF17</f>
        <v>2.1538461538461537</v>
      </c>
      <c r="S5" s="93">
        <f>'Stats Global'!AG17</f>
        <v>5</v>
      </c>
      <c r="T5" s="93">
        <f>'Stats Global'!AH17</f>
        <v>0.38461538461538464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9" t="str">
        <f>'Stats Global'!B7</f>
        <v>13-July</v>
      </c>
      <c r="B6" s="120">
        <f>'Stats Global'!L7</f>
        <v>1</v>
      </c>
      <c r="C6" s="120">
        <f>'Stats Global'!M7+'Stats Global'!N7</f>
        <v>6</v>
      </c>
      <c r="D6" s="120">
        <f>'Stats Global'!Q7</f>
        <v>1</v>
      </c>
      <c r="E6" s="121" t="s">
        <v>207</v>
      </c>
      <c r="F6" s="121" t="s">
        <v>55</v>
      </c>
      <c r="H6" s="81"/>
      <c r="I6" s="92"/>
      <c r="K6" s="83"/>
      <c r="L6" s="83" t="s">
        <v>30</v>
      </c>
      <c r="M6" s="93">
        <f>'Stats Global'!AA10</f>
        <v>24</v>
      </c>
      <c r="N6" s="93">
        <f>'Stats Global'!AB10</f>
        <v>3.4285714285714284</v>
      </c>
      <c r="O6" s="93">
        <f>'Stats Global'!AC10</f>
        <v>22</v>
      </c>
      <c r="P6" s="93">
        <f>'Stats Global'!AD10</f>
        <v>3.1428571428571428</v>
      </c>
      <c r="Q6" s="93">
        <f>'Stats Global'!AE10</f>
        <v>0</v>
      </c>
      <c r="R6" s="93">
        <f>'Stats Global'!AF10</f>
        <v>0</v>
      </c>
      <c r="S6" s="93">
        <f>'Stats Global'!AG10</f>
        <v>1</v>
      </c>
      <c r="T6" s="93">
        <f>'Stats Global'!AH10</f>
        <v>0.14285714285714285</v>
      </c>
      <c r="U6" s="93">
        <f>'Stats Global'!AJ10</f>
        <v>7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6</v>
      </c>
      <c r="N7" s="93">
        <f>'Stats Global'!AB13</f>
        <v>0.54545454545454541</v>
      </c>
      <c r="O7" s="93">
        <f>'Stats Global'!AC13</f>
        <v>5</v>
      </c>
      <c r="P7" s="93">
        <f>'Stats Global'!AD13</f>
        <v>0.45454545454545453</v>
      </c>
      <c r="Q7" s="93">
        <f>'Stats Global'!AE13</f>
        <v>1</v>
      </c>
      <c r="R7" s="93">
        <f>'Stats Global'!AF13</f>
        <v>9.0909090909090912E-2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6</v>
      </c>
      <c r="N8" s="93">
        <f>'Stats Global'!AB14</f>
        <v>0.42857142857142855</v>
      </c>
      <c r="O8" s="93">
        <f>'Stats Global'!AC14</f>
        <v>4</v>
      </c>
      <c r="P8" s="93">
        <f>'Stats Global'!AD14</f>
        <v>0.2857142857142857</v>
      </c>
      <c r="Q8" s="93">
        <f>'Stats Global'!AE14</f>
        <v>2</v>
      </c>
      <c r="R8" s="93">
        <f>'Stats Global'!AF14</f>
        <v>0.14285714285714285</v>
      </c>
      <c r="S8" s="93">
        <f>'Stats Global'!AG14</f>
        <v>0</v>
      </c>
      <c r="T8" s="93">
        <f>'Stats Global'!AH14</f>
        <v>0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0.16666666666666666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0.16666666666666666</v>
      </c>
      <c r="S9" s="93">
        <f>'Stats Global'!AG19</f>
        <v>0</v>
      </c>
      <c r="T9" s="93">
        <f>'Stats Global'!AH19</f>
        <v>0</v>
      </c>
      <c r="U9" s="93">
        <f>'Stats Global'!AJ19</f>
        <v>8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40" t="s">
        <v>202</v>
      </c>
      <c r="M10" s="113">
        <f>'Stats Global'!AA23</f>
        <v>1</v>
      </c>
      <c r="N10" s="113">
        <f>'Stats Global'!AB23</f>
        <v>7.1428571428571425E-2</v>
      </c>
      <c r="O10" s="113">
        <f>'Stats Global'!AC23</f>
        <v>0</v>
      </c>
      <c r="P10" s="113">
        <f>'Stats Global'!AD23</f>
        <v>0</v>
      </c>
      <c r="Q10" s="113">
        <f>'Stats Global'!AE23</f>
        <v>1</v>
      </c>
      <c r="R10" s="113">
        <f>'Stats Global'!AF23</f>
        <v>7.1428571428571425E-2</v>
      </c>
      <c r="S10" s="113">
        <f>'Stats Global'!AG23</f>
        <v>0</v>
      </c>
      <c r="T10" s="113">
        <f>'Stats Global'!AH23</f>
        <v>0</v>
      </c>
      <c r="U10" s="113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9" t="s">
        <v>207</v>
      </c>
      <c r="F17" s="149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51" t="s">
        <v>50</v>
      </c>
      <c r="F18" s="151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4" t="s">
        <v>50</v>
      </c>
      <c r="F19" s="154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8" t="s">
        <v>207</v>
      </c>
      <c r="F20" s="178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>
        <f>'Stats Global'!B22</f>
        <v>0</v>
      </c>
      <c r="B21" s="82">
        <f>'Stats Global'!L22</f>
        <v>0</v>
      </c>
      <c r="C21" s="82">
        <f>'Stats Global'!M22+'Stats Global'!N22</f>
        <v>0</v>
      </c>
      <c r="D21" s="82">
        <f>'Stats Global'!Q22</f>
        <v>0</v>
      </c>
      <c r="E21" s="80"/>
      <c r="F21" s="80"/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>
        <f>'Stats Global'!B23</f>
        <v>0</v>
      </c>
      <c r="B22" s="82">
        <f>'Stats Global'!L23</f>
        <v>0</v>
      </c>
      <c r="C22" s="82">
        <f>'Stats Global'!M23+'Stats Global'!N23</f>
        <v>0</v>
      </c>
      <c r="D22" s="82">
        <f>'Stats Global'!Q23</f>
        <v>0</v>
      </c>
      <c r="E22" s="80"/>
      <c r="F22" s="80"/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>
        <f>'Stats Global'!B24</f>
        <v>0</v>
      </c>
      <c r="B23" s="82">
        <f>'Stats Global'!L24</f>
        <v>0</v>
      </c>
      <c r="C23" s="82">
        <f>'Stats Global'!M24+'Stats Global'!N24</f>
        <v>0</v>
      </c>
      <c r="D23" s="82">
        <f>'Stats Global'!Q24</f>
        <v>0</v>
      </c>
      <c r="E23" s="86"/>
      <c r="F23" s="80"/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Global'!L25</f>
        <v>0</v>
      </c>
      <c r="C24" s="82">
        <f>'Stats Global'!M25+'Stats Global'!N25</f>
        <v>0</v>
      </c>
      <c r="D24" s="82">
        <f>'Stats Global'!Q25</f>
        <v>0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Global'!L26</f>
        <v>0</v>
      </c>
      <c r="C25" s="82">
        <f>'Stats Global'!M26+'Stats Global'!N26</f>
        <v>0</v>
      </c>
      <c r="D25" s="82">
        <f>'Stats Global'!Q26</f>
        <v>0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Global'!L27</f>
        <v>0</v>
      </c>
      <c r="C26" s="82">
        <f>'Stats Global'!M27+'Stats Global'!N27</f>
        <v>0</v>
      </c>
      <c r="D26" s="82">
        <f>'Stats Global'!Q27</f>
        <v>0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Global'!L28</f>
        <v>0</v>
      </c>
      <c r="C27" s="82">
        <f>'Stats Global'!M28+'Stats Global'!N28</f>
        <v>0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"PartA":[77,69,30],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6.1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"PartB":[45,"Samuel McConaghy",22,"Alexander Galt",28,"Samuel McConaghy",5,"Samuel McConaghy"],</v>
      </c>
      <c r="M33" s="76" t="s">
        <v>136</v>
      </c>
      <c r="O33" s="91">
        <f>MAX(Table11[Points])</f>
        <v>45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"PartC":[6.1,3,2.3,0.4,5.5,4.9],</v>
      </c>
      <c r="M34" s="76" t="s">
        <v>137</v>
      </c>
      <c r="O34" s="91">
        <f>MAX(Table11[Finishes])</f>
        <v>22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2.2999999999999998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"PartD":[40,40,50,37,29,56.1],</v>
      </c>
      <c r="M35" s="76" t="s">
        <v>138</v>
      </c>
      <c r="O35" s="91">
        <f>MAX(Table11[Midranges])</f>
        <v>28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5.5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4.9000000000000004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6">
        <f>SUM(B7:B40)/SUM(B7:C40)</f>
        <v>0.5273972602739726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61" t="s">
        <v>30</v>
      </c>
      <c r="AC24" s="168">
        <f>Table631[[#This Row],[Finishes]]+Table631[[#This Row],[Midranges]]+Table631[[#This Row],[Threes]]+Table631[[#This Row],[Threes]]</f>
        <v>0</v>
      </c>
      <c r="AD24" s="159">
        <f>COUNTIFS(D4:D35, "Loose Gooses", E$4:E$35,AB24,F$4:F$35,"Finish")</f>
        <v>0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62" t="s">
        <v>35</v>
      </c>
      <c r="AC25" s="169">
        <f>Table631[[#This Row],[Finishes]]+Table631[[#This Row],[Midranges]]+Table631[[#This Row],[Threes]]+Table631[[#This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61" t="s">
        <v>37</v>
      </c>
      <c r="AC26" s="168">
        <f>Table631[[#This Row],[Finishes]]+Table631[[#This Row],[Midranges]]+Table631[[#This Row],[Threes]]+Table631[[#This Row],[Threes]]</f>
        <v>0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62" t="s">
        <v>42</v>
      </c>
      <c r="AC27" s="169">
        <f>Table631[[#This Row],[Finishes]]+Table631[[#This Row],[Midranges]]+Table631[[#This Row],[Threes]]+Table631[[#This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61" t="s">
        <v>115</v>
      </c>
      <c r="AC28" s="168">
        <f>Table631[[#This Row],[Finishes]]+Table631[[#This Row],[Midranges]]+Table631[[#This Row],[Threes]]+Table631[[#This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62" t="s">
        <v>44</v>
      </c>
      <c r="AC29" s="169">
        <f>Table631[[#This Row],[Finishes]]+Table631[[#This Row],[Midranges]]+Table631[[#This Row],[Threes]]+Table631[[#This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61" t="s">
        <v>50</v>
      </c>
      <c r="AC30" s="168">
        <f>Table631[[#This Row],[Finishes]]+Table631[[#This Row],[Midranges]]+Table631[[#This Row],[Threes]]+Table631[[#This Row],[Threes]]</f>
        <v>0</v>
      </c>
      <c r="AD30" s="159">
        <f>COUNTIFS(D4:D35, "Loose Gooses", E$4:E$35,AB30,F$4:F$35,"Finish")</f>
        <v>0</v>
      </c>
      <c r="AE30" s="159">
        <f>COUNTIFS(D4:D35, "Loose Gooses", E$4:E$35,AB30,F$4:F$35,"Midrange")</f>
        <v>0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62" t="s">
        <v>52</v>
      </c>
      <c r="AC31" s="169">
        <f>Table631[[#This Row],[Finishes]]+Table631[[#This Row],[Midranges]]+Table631[[#This Row],[Threes]]+Table631[[#This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61" t="s">
        <v>200</v>
      </c>
      <c r="AC32" s="168">
        <f>Table631[[#This Row],[Finishes]]+Table631[[#This Row],[Midranges]]+Table631[[#This Row],[Threes]]+Table631[[#This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62" t="s">
        <v>55</v>
      </c>
      <c r="AC33" s="169">
        <f>Table631[[#This Row],[Finishes]]+Table631[[#This Row],[Midranges]]+Table631[[#This Row],[Threes]]+Table631[[#This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61" t="s">
        <v>64</v>
      </c>
      <c r="AC34" s="168">
        <f>Table631[[#This Row],[Finishes]]+Table631[[#This Row],[Midranges]]+Table631[[#This Row],[Threes]]+Table631[[#This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3" t="s">
        <v>67</v>
      </c>
      <c r="AC35" s="170">
        <f>Table631[[#This Row],[Finishes]]+Table631[[#This Row],[Midranges]]+Table631[[#This Row],[Threes]]+Table631[[#This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6">
        <v>1</v>
      </c>
      <c r="C4" s="176" t="s">
        <v>31</v>
      </c>
      <c r="D4" s="176" t="s">
        <v>26</v>
      </c>
      <c r="E4" s="176" t="s">
        <v>35</v>
      </c>
      <c r="F4" s="176" t="s">
        <v>204</v>
      </c>
      <c r="G4" s="176">
        <v>1</v>
      </c>
      <c r="H4" s="176">
        <v>1</v>
      </c>
      <c r="I4" s="176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6">
        <v>2</v>
      </c>
      <c r="C5" s="176" t="s">
        <v>31</v>
      </c>
      <c r="D5" s="176" t="s">
        <v>47</v>
      </c>
      <c r="E5" s="176" t="s">
        <v>44</v>
      </c>
      <c r="F5" s="176" t="s">
        <v>99</v>
      </c>
      <c r="G5" s="176">
        <v>2</v>
      </c>
      <c r="H5" s="176">
        <v>1</v>
      </c>
      <c r="I5" s="176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6">
        <v>3</v>
      </c>
      <c r="C6" s="176" t="s">
        <v>31</v>
      </c>
      <c r="D6" s="176" t="s">
        <v>26</v>
      </c>
      <c r="E6" s="176" t="s">
        <v>35</v>
      </c>
      <c r="F6" s="176" t="s">
        <v>204</v>
      </c>
      <c r="G6" s="176">
        <v>3</v>
      </c>
      <c r="H6" s="176">
        <v>2</v>
      </c>
      <c r="I6" s="176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6">
        <v>4</v>
      </c>
      <c r="C7" s="176" t="s">
        <v>47</v>
      </c>
      <c r="D7" s="176" t="s">
        <v>31</v>
      </c>
      <c r="E7" s="176" t="s">
        <v>61</v>
      </c>
      <c r="F7" s="176" t="s">
        <v>204</v>
      </c>
      <c r="G7" s="176">
        <v>1</v>
      </c>
      <c r="H7" s="176">
        <v>1</v>
      </c>
      <c r="I7" s="176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6">
        <v>5</v>
      </c>
      <c r="C8" s="176" t="s">
        <v>47</v>
      </c>
      <c r="D8" s="176" t="s">
        <v>26</v>
      </c>
      <c r="E8" s="176" t="s">
        <v>61</v>
      </c>
      <c r="F8" s="176" t="s">
        <v>204</v>
      </c>
      <c r="G8" s="176">
        <v>2</v>
      </c>
      <c r="H8" s="176">
        <v>3</v>
      </c>
      <c r="I8" s="176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7">
        <v>6</v>
      </c>
      <c r="C9" s="177" t="s">
        <v>47</v>
      </c>
      <c r="D9" s="177" t="s">
        <v>31</v>
      </c>
      <c r="E9" s="177" t="s">
        <v>58</v>
      </c>
      <c r="F9" s="177" t="s">
        <v>204</v>
      </c>
      <c r="G9" s="177">
        <v>3</v>
      </c>
      <c r="H9" s="177">
        <v>2</v>
      </c>
      <c r="I9" s="177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>IF(AND(C11="Loose Gooses",D11="Wet Willies"),"LG/WW", IF(AND(C11="Loose Gooses",D11="5 Musketeers"),"LG/5M", ""))</f>
        <v/>
      </c>
      <c r="Y9" s="52" t="str">
        <f>IF(AND(C11="Wet Willies",D11="Loose Gooses"),"WW/LG", IF(AND(C11="Wet Willies",D11="5 Musketeers"),"WW/5M", ""))</f>
        <v>WW/LG</v>
      </c>
      <c r="Z9" s="52" t="str">
        <f>IF(AND(C11="5 Musketeers",D11="Loose Gooses"),"5M/LG", IF(AND($C11="5 Musketeers",$D11="Wet Willies"),"5M/WW", ""))</f>
        <v/>
      </c>
    </row>
    <row r="10" spans="2:31" ht="14.25" customHeight="1" x14ac:dyDescent="0.5">
      <c r="B10" s="177">
        <v>7</v>
      </c>
      <c r="C10" s="177" t="s">
        <v>47</v>
      </c>
      <c r="D10" s="177" t="s">
        <v>26</v>
      </c>
      <c r="E10" s="177" t="s">
        <v>61</v>
      </c>
      <c r="F10" s="177" t="s">
        <v>204</v>
      </c>
      <c r="G10" s="177">
        <v>4</v>
      </c>
      <c r="H10" s="177">
        <v>4</v>
      </c>
      <c r="I10" s="177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>IF(AND(C12="Loose Gooses",D12="Wet Willies"),"LG/WW", IF(AND(C12="Loose Gooses",D12="5 Musketeers"),"LG/5M", ""))</f>
        <v/>
      </c>
      <c r="Y10" s="52" t="str">
        <f>IF(AND(C12="Wet Willies",D12="Loose Gooses"),"WW/LG", IF(AND(C12="Wet Willies",D12="5 Musketeers"),"WW/5M", ""))</f>
        <v>WW/5M</v>
      </c>
      <c r="Z10" s="52" t="str">
        <f>IF(AND(C12="5 Musketeers",D12="Loose Gooses"),"5M/LG", IF(AND($C12="5 Musketeers",$D12="Wet Willies"),"5M/WW", ""))</f>
        <v/>
      </c>
      <c r="AB10" s="2"/>
    </row>
    <row r="11" spans="2:31" ht="14.25" customHeight="1" x14ac:dyDescent="0.5">
      <c r="B11" s="177">
        <v>8</v>
      </c>
      <c r="C11" s="176" t="s">
        <v>31</v>
      </c>
      <c r="D11" s="176" t="s">
        <v>47</v>
      </c>
      <c r="E11" s="176" t="s">
        <v>35</v>
      </c>
      <c r="F11" s="176" t="s">
        <v>204</v>
      </c>
      <c r="G11" s="176">
        <v>1</v>
      </c>
      <c r="H11" s="176">
        <v>1</v>
      </c>
      <c r="I11" s="176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>IF(AND(C13="Loose Gooses",D13="Wet Willies"),"LG/WW", IF(AND(C13="Loose Gooses",D13="5 Musketeers"),"LG/5M", ""))</f>
        <v/>
      </c>
      <c r="Y11" s="52" t="str">
        <f>IF(AND(C13="Wet Willies",D13="Loose Gooses"),"WW/LG", IF(AND(C13="Wet Willies",D13="5 Musketeers"),"WW/5M", ""))</f>
        <v>WW/LG</v>
      </c>
      <c r="Z11" s="52" t="str">
        <f>IF(AND(C13="5 Musketeers",D13="Loose Gooses"),"5M/LG", IF(AND($C13="5 Musketeers",$D13="Wet Willies"),"5M/WW", ""))</f>
        <v/>
      </c>
      <c r="AB11" s="2"/>
    </row>
    <row r="12" spans="2:31" ht="14.25" customHeight="1" x14ac:dyDescent="0.5">
      <c r="B12" s="177">
        <v>9</v>
      </c>
      <c r="C12" s="176" t="s">
        <v>31</v>
      </c>
      <c r="D12" s="176" t="s">
        <v>26</v>
      </c>
      <c r="E12" s="176" t="s">
        <v>52</v>
      </c>
      <c r="F12" s="176" t="s">
        <v>99</v>
      </c>
      <c r="G12" s="176">
        <v>2</v>
      </c>
      <c r="H12" s="176">
        <v>5</v>
      </c>
      <c r="I12" s="176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>IF(AND(C14="Loose Gooses",D14="Wet Willies"),"LG/WW", IF(AND(C14="Loose Gooses",D14="5 Musketeers"),"LG/5M", ""))</f>
        <v/>
      </c>
      <c r="Y12" s="52" t="str">
        <f>IF(AND(C14="Wet Willies",D14="Loose Gooses"),"WW/LG", IF(AND(C14="Wet Willies",D14="5 Musketeers"),"WW/5M", ""))</f>
        <v>WW/5M</v>
      </c>
      <c r="Z12" s="52" t="str">
        <f>IF(AND(C14="5 Musketeers",D14="Loose Gooses"),"5M/LG", IF(AND($C14="5 Musketeers",$D14="Wet Willies"),"5M/WW", ""))</f>
        <v/>
      </c>
      <c r="AB12" s="2"/>
    </row>
    <row r="13" spans="2:31" ht="14.25" customHeight="1" x14ac:dyDescent="0.5">
      <c r="B13" s="177">
        <v>10</v>
      </c>
      <c r="C13" s="176" t="s">
        <v>31</v>
      </c>
      <c r="D13" s="176" t="s">
        <v>47</v>
      </c>
      <c r="E13" s="176" t="s">
        <v>44</v>
      </c>
      <c r="F13" s="176" t="s">
        <v>205</v>
      </c>
      <c r="G13" s="176">
        <v>3</v>
      </c>
      <c r="H13" s="176">
        <v>2</v>
      </c>
      <c r="I13" s="176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>IF(AND(C15="Loose Gooses",D15="Wet Willies"),"LG/WW", IF(AND(C15="Loose Gooses",D15="5 Musketeers"),"LG/5M", ""))</f>
        <v/>
      </c>
      <c r="Y13" s="52" t="str">
        <f>IF(AND(C15="Wet Willies",D15="Loose Gooses"),"WW/LG", IF(AND(C15="Wet Willies",D15="5 Musketeers"),"WW/5M", ""))</f>
        <v>WW/LG</v>
      </c>
      <c r="Z13" s="52" t="str">
        <f>IF(AND(C15="5 Musketeers",D15="Loose Gooses"),"5M/LG", IF(AND($C15="5 Musketeers",$D15="Wet Willies"),"5M/WW", ""))</f>
        <v/>
      </c>
      <c r="AB13" s="2"/>
    </row>
    <row r="14" spans="2:31" ht="14.25" customHeight="1" x14ac:dyDescent="0.5">
      <c r="B14" s="177">
        <v>11</v>
      </c>
      <c r="C14" s="176" t="s">
        <v>31</v>
      </c>
      <c r="D14" s="176" t="s">
        <v>26</v>
      </c>
      <c r="E14" s="176" t="s">
        <v>35</v>
      </c>
      <c r="F14" s="176" t="s">
        <v>204</v>
      </c>
      <c r="G14" s="176">
        <v>4</v>
      </c>
      <c r="H14" s="176">
        <v>6</v>
      </c>
      <c r="I14" s="176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>IF(AND(C16="Loose Gooses",D16="Wet Willies"),"LG/WW", IF(AND(C16="Loose Gooses",D16="5 Musketeers"),"LG/5M", ""))</f>
        <v/>
      </c>
      <c r="Y14" s="52" t="str">
        <f>IF(AND(C16="Wet Willies",D16="Loose Gooses"),"WW/LG", IF(AND(C16="Wet Willies",D16="5 Musketeers"),"WW/5M", ""))</f>
        <v>WW/5M</v>
      </c>
      <c r="Z14" s="52" t="str">
        <f>IF(AND(C16="5 Musketeers",D16="Loose Gooses"),"5M/LG", IF(AND($C16="5 Musketeers",$D16="Wet Willies"),"5M/WW", ""))</f>
        <v/>
      </c>
      <c r="AB14" s="2"/>
    </row>
    <row r="15" spans="2:31" ht="14.25" customHeight="1" x14ac:dyDescent="0.5">
      <c r="B15" s="177">
        <v>12</v>
      </c>
      <c r="C15" s="176" t="s">
        <v>31</v>
      </c>
      <c r="D15" s="176" t="s">
        <v>47</v>
      </c>
      <c r="E15" s="176" t="s">
        <v>35</v>
      </c>
      <c r="F15" s="176" t="s">
        <v>204</v>
      </c>
      <c r="G15" s="176">
        <v>5</v>
      </c>
      <c r="H15" s="176">
        <v>3</v>
      </c>
      <c r="I15" s="176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>IF(AND(C17="Loose Gooses",D17="Wet Willies"),"LG/WW", IF(AND(C17="Loose Gooses",D17="5 Musketeers"),"LG/5M", ""))</f>
        <v>LG/WW</v>
      </c>
      <c r="Y15" s="52" t="str">
        <f>IF(AND(C17="Wet Willies",D17="Loose Gooses"),"WW/LG", IF(AND(C17="Wet Willies",D17="5 Musketeers"),"WW/5M", ""))</f>
        <v/>
      </c>
      <c r="Z15" s="52" t="str">
        <f>IF(AND(C17="5 Musketeers",D17="Loose Gooses"),"5M/LG", IF(AND($C17="5 Musketeers",$D17="Wet Willies"),"5M/WW", ""))</f>
        <v/>
      </c>
      <c r="AB15" s="2"/>
    </row>
    <row r="16" spans="2:31" ht="14.25" customHeight="1" x14ac:dyDescent="0.5">
      <c r="B16" s="177">
        <v>13</v>
      </c>
      <c r="C16" s="176" t="s">
        <v>31</v>
      </c>
      <c r="D16" s="176" t="s">
        <v>26</v>
      </c>
      <c r="E16" s="176" t="s">
        <v>55</v>
      </c>
      <c r="F16" s="176" t="s">
        <v>204</v>
      </c>
      <c r="G16" s="176">
        <v>6</v>
      </c>
      <c r="H16" s="176">
        <v>7</v>
      </c>
      <c r="I16" s="176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>IF(AND(C18="Loose Gooses",D18="Wet Willies"),"LG/WW", IF(AND(C18="Loose Gooses",D18="5 Musketeers"),"LG/5M", ""))</f>
        <v>LG/5M</v>
      </c>
      <c r="Y16" s="52" t="str">
        <f>IF(AND(C18="Wet Willies",D18="Loose Gooses"),"WW/LG", IF(AND(C18="Wet Willies",D18="5 Musketeers"),"WW/5M", ""))</f>
        <v/>
      </c>
      <c r="Z16" s="52" t="str">
        <f>IF(AND(C18="5 Musketeers",D18="Loose Gooses"),"5M/LG", IF(AND($C18="5 Musketeers",$D18="Wet Willies"),"5M/WW", ""))</f>
        <v/>
      </c>
      <c r="AB16" s="2"/>
    </row>
    <row r="17" spans="2:32" ht="14.25" customHeight="1" x14ac:dyDescent="0.5">
      <c r="B17" s="177">
        <v>14</v>
      </c>
      <c r="C17" s="176" t="s">
        <v>47</v>
      </c>
      <c r="D17" s="176" t="s">
        <v>31</v>
      </c>
      <c r="E17" s="176" t="s">
        <v>46</v>
      </c>
      <c r="F17" s="176" t="s">
        <v>204</v>
      </c>
      <c r="G17" s="176">
        <v>1</v>
      </c>
      <c r="H17" s="176">
        <v>1</v>
      </c>
      <c r="I17" s="176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>IF(AND(C19="Loose Gooses",D19="Wet Willies"),"LG/WW", IF(AND(C19="Loose Gooses",D19="5 Musketeers"),"LG/5M", ""))</f>
        <v/>
      </c>
      <c r="Y17" s="52" t="str">
        <f>IF(AND(C19="Wet Willies",D19="Loose Gooses"),"WW/LG", IF(AND(C19="Wet Willies",D19="5 Musketeers"),"WW/5M", ""))</f>
        <v>WW/LG</v>
      </c>
      <c r="Z17" s="52" t="str">
        <f>IF(AND(C19="5 Musketeers",D19="Loose Gooses"),"5M/LG", IF(AND($C19="5 Musketeers",$D19="Wet Willies"),"5M/WW", ""))</f>
        <v/>
      </c>
      <c r="AB17" s="2"/>
    </row>
    <row r="18" spans="2:32" ht="14.25" customHeight="1" x14ac:dyDescent="0.5">
      <c r="B18" s="177">
        <v>15</v>
      </c>
      <c r="C18" s="176" t="s">
        <v>47</v>
      </c>
      <c r="D18" s="176" t="s">
        <v>26</v>
      </c>
      <c r="E18" s="176" t="s">
        <v>61</v>
      </c>
      <c r="F18" s="176" t="s">
        <v>204</v>
      </c>
      <c r="G18" s="176">
        <v>2</v>
      </c>
      <c r="H18" s="176">
        <v>8</v>
      </c>
      <c r="I18" s="176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>IF(AND(C20="Loose Gooses",D20="Wet Willies"),"LG/WW", IF(AND(C20="Loose Gooses",D20="5 Musketeers"),"LG/5M", ""))</f>
        <v/>
      </c>
      <c r="Y18" s="52" t="str">
        <f>IF(AND(C20="Wet Willies",D20="Loose Gooses"),"WW/LG", IF(AND(C20="Wet Willies",D20="5 Musketeers"),"WW/5M", ""))</f>
        <v>WW/5M</v>
      </c>
      <c r="Z18" s="52" t="str">
        <f>IF(AND(C20="5 Musketeers",D20="Loose Gooses"),"5M/LG", IF(AND($C20="5 Musketeers",$D20="Wet Willies"),"5M/WW", ""))</f>
        <v/>
      </c>
      <c r="AB18" s="2"/>
    </row>
    <row r="19" spans="2:32" ht="14.25" customHeight="1" x14ac:dyDescent="0.5">
      <c r="B19" s="177">
        <v>16</v>
      </c>
      <c r="C19" s="176" t="s">
        <v>31</v>
      </c>
      <c r="D19" s="176" t="s">
        <v>47</v>
      </c>
      <c r="E19" s="176" t="s">
        <v>35</v>
      </c>
      <c r="F19" s="176" t="s">
        <v>204</v>
      </c>
      <c r="G19" s="176">
        <v>1</v>
      </c>
      <c r="H19" s="176">
        <v>1</v>
      </c>
      <c r="I19" s="176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>IF(AND(C21="Loose Gooses",D21="Wet Willies"),"LG/WW", IF(AND(C21="Loose Gooses",D21="5 Musketeers"),"LG/5M", ""))</f>
        <v>LG/WW</v>
      </c>
      <c r="Y19" s="52" t="str">
        <f>IF(AND(C21="Wet Willies",D21="Loose Gooses"),"WW/LG", IF(AND(C21="Wet Willies",D21="5 Musketeers"),"WW/5M", ""))</f>
        <v/>
      </c>
      <c r="Z19" s="52" t="str">
        <f>IF(AND(C21="5 Musketeers",D21="Loose Gooses"),"5M/LG", IF(AND($C21="5 Musketeers",$D21="Wet Willies"),"5M/WW", ""))</f>
        <v/>
      </c>
    </row>
    <row r="20" spans="2:32" ht="14.25" customHeight="1" x14ac:dyDescent="0.5">
      <c r="B20" s="177">
        <v>17</v>
      </c>
      <c r="C20" s="176" t="s">
        <v>31</v>
      </c>
      <c r="D20" s="176" t="s">
        <v>26</v>
      </c>
      <c r="E20" s="176" t="s">
        <v>37</v>
      </c>
      <c r="F20" s="176" t="s">
        <v>205</v>
      </c>
      <c r="G20" s="176">
        <v>2</v>
      </c>
      <c r="H20" s="176">
        <v>9</v>
      </c>
      <c r="I20" s="176">
        <v>1</v>
      </c>
      <c r="X20" s="52" t="str">
        <f>IF(AND(C22="Loose Gooses",D22="Wet Willies"),"LG/WW", IF(AND(C22="Loose Gooses",D22="5 Musketeers"),"LG/5M", ""))</f>
        <v>LG/5M</v>
      </c>
      <c r="Y20" s="52" t="str">
        <f>IF(AND(C22="Wet Willies",D22="Loose Gooses"),"WW/LG", IF(AND(C22="Wet Willies",D22="5 Musketeers"),"WW/5M", ""))</f>
        <v/>
      </c>
      <c r="Z20" s="52" t="str">
        <f>IF(AND(C22="5 Musketeers",D22="Loose Gooses"),"5M/LG", IF(AND($C22="5 Musketeers",$D22="Wet Willies"),"5M/WW", ""))</f>
        <v/>
      </c>
    </row>
    <row r="21" spans="2:32" ht="14.25" customHeight="1" x14ac:dyDescent="0.5">
      <c r="B21" s="177">
        <v>18</v>
      </c>
      <c r="C21" s="176" t="s">
        <v>47</v>
      </c>
      <c r="D21" s="176" t="s">
        <v>31</v>
      </c>
      <c r="E21" s="176" t="s">
        <v>46</v>
      </c>
      <c r="F21" s="176" t="s">
        <v>99</v>
      </c>
      <c r="G21" s="176">
        <v>1</v>
      </c>
      <c r="H21" s="176">
        <v>1</v>
      </c>
      <c r="I21" s="176">
        <v>1</v>
      </c>
      <c r="X21" s="52" t="str">
        <f>IF(AND(C23="Loose Gooses",D23="Wet Willies"),"LG/WW", IF(AND(C23="Loose Gooses",D23="5 Musketeers"),"LG/5M", ""))</f>
        <v>LG/WW</v>
      </c>
      <c r="Y21" s="52" t="str">
        <f>IF(AND(C23="Wet Willies",D23="Loose Gooses"),"WW/LG", IF(AND(C23="Wet Willies",D23="5 Musketeers"),"WW/5M", ""))</f>
        <v/>
      </c>
      <c r="Z21" s="52" t="str">
        <f>IF(AND(C23="5 Musketeers",D23="Loose Gooses"),"5M/LG", IF(AND($C23="5 Musketeers",$D23="Wet Willies"),"5M/WW", ""))</f>
        <v/>
      </c>
    </row>
    <row r="22" spans="2:32" ht="14.25" customHeight="1" x14ac:dyDescent="0.5">
      <c r="B22" s="177">
        <v>19</v>
      </c>
      <c r="C22" s="176" t="s">
        <v>47</v>
      </c>
      <c r="D22" s="176" t="s">
        <v>26</v>
      </c>
      <c r="E22" s="176" t="s">
        <v>58</v>
      </c>
      <c r="F22" s="176" t="s">
        <v>204</v>
      </c>
      <c r="G22" s="176">
        <v>2</v>
      </c>
      <c r="H22" s="176">
        <v>10</v>
      </c>
      <c r="I22" s="176">
        <v>1</v>
      </c>
      <c r="X22" s="52" t="str">
        <f>IF(AND(C24="Loose Gooses",D24="Wet Willies"),"LG/WW", IF(AND(C24="Loose Gooses",D24="5 Musketeers"),"LG/5M", ""))</f>
        <v>LG/5M</v>
      </c>
      <c r="Y22" s="52" t="str">
        <f>IF(AND(C24="Wet Willies",D24="Loose Gooses"),"WW/LG", IF(AND(C24="Wet Willies",D24="5 Musketeers"),"WW/5M", ""))</f>
        <v/>
      </c>
      <c r="Z22" s="52" t="str">
        <f>IF(AND(C24="5 Musketeers",D24="Loose Gooses"),"5M/LG", IF(AND($C24="5 Musketeers",$D24="Wet Willies"),"5M/WW", ""))</f>
        <v/>
      </c>
      <c r="AB22" s="16" t="s">
        <v>282</v>
      </c>
    </row>
    <row r="23" spans="2:32" ht="14.25" customHeight="1" x14ac:dyDescent="0.5">
      <c r="B23" s="177">
        <v>20</v>
      </c>
      <c r="C23" s="176" t="s">
        <v>47</v>
      </c>
      <c r="D23" s="176" t="s">
        <v>31</v>
      </c>
      <c r="E23" s="176" t="s">
        <v>46</v>
      </c>
      <c r="F23" s="176" t="s">
        <v>205</v>
      </c>
      <c r="G23" s="176">
        <v>3</v>
      </c>
      <c r="H23" s="176">
        <v>2</v>
      </c>
      <c r="I23" s="176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>IF(AND(C25="Loose Gooses",D25="Wet Willies"),"LG/WW", IF(AND(C25="Loose Gooses",D25="5 Musketeers"),"LG/5M", ""))</f>
        <v/>
      </c>
      <c r="Y23" s="52" t="str">
        <f>IF(AND(C25="Wet Willies",D25="Loose Gooses"),"WW/LG", IF(AND(C25="Wet Willies",D25="5 Musketeers"),"WW/5M", ""))</f>
        <v>WW/LG</v>
      </c>
      <c r="Z23" s="52" t="str">
        <f>IF(AND(C25="5 Musketeers",D25="Loose Gooses"),"5M/LG", IF(AND($C25="5 Musketeers",$D25="Wet Willies"),"5M/WW", ""))</f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5">
      <c r="B24" s="177">
        <v>21</v>
      </c>
      <c r="C24" s="176" t="s">
        <v>47</v>
      </c>
      <c r="D24" s="176" t="s">
        <v>26</v>
      </c>
      <c r="E24" s="176" t="s">
        <v>46</v>
      </c>
      <c r="F24" s="176" t="s">
        <v>204</v>
      </c>
      <c r="G24" s="176">
        <v>4</v>
      </c>
      <c r="H24" s="176">
        <v>11</v>
      </c>
      <c r="I24" s="176">
        <v>2</v>
      </c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61" t="s">
        <v>30</v>
      </c>
      <c r="AC24" s="168">
        <f>Table630[[#This Row],[Finishes]]+Table630[[#This Row],[Midranges]]+Table630[[#This Row],[Threes]]+Table630[[#This Row],[Threes]]</f>
        <v>0</v>
      </c>
      <c r="AD24" s="159">
        <f>COUNTIFS(D4:D35, "Loose Gooses", E$4:E$35,AB24,F$4:F$35,"Finish")</f>
        <v>0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5">
      <c r="B25" s="177">
        <v>22</v>
      </c>
      <c r="C25" s="176" t="s">
        <v>31</v>
      </c>
      <c r="D25" s="176" t="s">
        <v>47</v>
      </c>
      <c r="E25" s="176" t="s">
        <v>37</v>
      </c>
      <c r="F25" s="176" t="s">
        <v>99</v>
      </c>
      <c r="G25" s="176">
        <v>1</v>
      </c>
      <c r="H25" s="176">
        <v>1</v>
      </c>
      <c r="I25" s="176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62" t="s">
        <v>35</v>
      </c>
      <c r="AC25" s="169">
        <f>Table630[[#This Row],[Finishes]]+Table630[[#This Row],[Midranges]]+Table630[[#This Row],[Threes]]+Table630[[#This Row],[Threes]]</f>
        <v>3</v>
      </c>
      <c r="AD25" s="160">
        <f>COUNTIFS(D4:D35, "Loose Gooses", E$4:E$35,AB25,F$4:F$35,"Finish")</f>
        <v>3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6,</v>
      </c>
      <c r="S26" s="16" t="str">
        <f t="shared" si="9"/>
        <v>6,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Table630[[#This Row],[Finishes]]+Table630[[#This Row],[Midranges]]+Table630[[#This Row],[Threes]]+Table630[[#This Row],[Threes]]</f>
        <v>1</v>
      </c>
      <c r="AD26" s="159">
        <f>COUNTIFS(D4:D35, "Loose Gooses", E$4:E$35,AB26,F$4:F$35,"Finish")</f>
        <v>0</v>
      </c>
      <c r="AE26" s="159">
        <f>COUNTIFS(D4:D35, "Loose Gooses", E$4:E$35,AB26,F$4:F$35,"Midrange")</f>
        <v>1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0,</v>
      </c>
      <c r="T27" s="16" t="str">
        <f t="shared" si="9"/>
        <v>1,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Table630[[#This Row],[Finishes]]+Table630[[#This Row],[Midranges]]+Table630[[#This Row],[Threes]]+Table630[[#This Row],[Threes]]</f>
        <v>0</v>
      </c>
      <c r="AD27" s="160">
        <f>COUNTIFS(D4:D35, "Loose Gooses", E$4:E$35,AB27,F$4:F$35,"Finish")</f>
        <v>0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Table630[[#This Row],[Finishes]]+Table630[[#This Row],[Midranges]]+Table630[[#This Row],[Threes]]+Table630[[#This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Table630[[#This Row],[Finishes]]+Table630[[#This Row],[Midranges]]+Table630[[#This Row],[Threes]]+Table630[[#This Row],[Threes]]</f>
        <v>3</v>
      </c>
      <c r="AD29" s="160">
        <f>COUNTIFS(D4:D35, "Loose Gooses", E$4:E$35,AB29,F$4:F$35,"Finish")</f>
        <v>0</v>
      </c>
      <c r="AE29" s="160">
        <f>COUNTIFS(D4:D35, "Loose Gooses", E$4:E$35,AB29,F$4:F$35,"Midrange")</f>
        <v>1</v>
      </c>
      <c r="AF29" s="160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0,</v>
      </c>
      <c r="T30" s="16" t="str">
        <f t="shared" si="9"/>
        <v>1,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Table630[[#This Row],[Finishes]]+Table630[[#This Row],[Midranges]]+Table630[[#This Row],[Threes]]+Table630[[#This Row],[Threes]]</f>
        <v>0</v>
      </c>
      <c r="AD30" s="159">
        <f>COUNTIFS(D4:D35, "Loose Gooses", E$4:E$35,AB30,F$4:F$35,"Finish")</f>
        <v>0</v>
      </c>
      <c r="AE30" s="159">
        <f>COUNTIFS(D4:D35, "Loose Gooses", E$4:E$35,AB30,F$4:F$35,"Midrange")</f>
        <v>0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5,</v>
      </c>
      <c r="S31" s="16" t="str">
        <f t="shared" si="9"/>
        <v>2,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Table630[[#This Row],[Finishes]]+Table630[[#This Row],[Midranges]]+Table630[[#This Row],[Threes]]+Table630[[#This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"Did not Play",</v>
      </c>
      <c r="S32" s="16" t="str">
        <f t="shared" si="9"/>
        <v>"Did not Play",</v>
      </c>
      <c r="T32" s="16" t="str">
        <f t="shared" si="9"/>
        <v>"Did not Play",</v>
      </c>
      <c r="U32" s="16" t="str">
        <f t="shared" si="9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Table630[[#This Row],[Finishes]]+Table630[[#This Row],[Midranges]]+Table630[[#This Row],[Threes]]+Table630[[#This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Table630[[#This Row],[Finishes]]+Table630[[#This Row],[Midranges]]+Table630[[#This Row],[Threes]]+Table630[[#This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Table630[[#This Row],[Finishes]]+Table630[[#This Row],[Midranges]]+Table630[[#This Row],[Threes]]+Table630[[#This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Table630[[#This Row],[Finishes]]+Table630[[#This Row],[Midranges]]+Table630[[#This Row],[Threes]]+Table630[[#This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2,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4,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7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3">
        <v>1</v>
      </c>
      <c r="C4" s="153" t="s">
        <v>26</v>
      </c>
      <c r="D4" s="153" t="s">
        <v>47</v>
      </c>
      <c r="E4" s="153" t="s">
        <v>30</v>
      </c>
      <c r="F4" s="153" t="s">
        <v>204</v>
      </c>
      <c r="G4" s="153">
        <v>1</v>
      </c>
      <c r="H4" s="153">
        <v>1</v>
      </c>
      <c r="I4" s="153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3">
        <v>2</v>
      </c>
      <c r="C5" s="153" t="s">
        <v>26</v>
      </c>
      <c r="D5" s="153" t="s">
        <v>31</v>
      </c>
      <c r="E5" s="153" t="s">
        <v>30</v>
      </c>
      <c r="F5" s="153" t="s">
        <v>204</v>
      </c>
      <c r="G5" s="153">
        <v>2</v>
      </c>
      <c r="H5" s="153">
        <v>1</v>
      </c>
      <c r="I5" s="153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3">
        <v>3</v>
      </c>
      <c r="C6" s="153" t="s">
        <v>26</v>
      </c>
      <c r="D6" s="153" t="s">
        <v>47</v>
      </c>
      <c r="E6" s="153" t="s">
        <v>50</v>
      </c>
      <c r="F6" s="153" t="s">
        <v>99</v>
      </c>
      <c r="G6" s="153">
        <v>3</v>
      </c>
      <c r="H6" s="153">
        <v>2</v>
      </c>
      <c r="I6" s="153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3">
        <v>4</v>
      </c>
      <c r="C7" s="153" t="s">
        <v>26</v>
      </c>
      <c r="D7" s="153" t="s">
        <v>31</v>
      </c>
      <c r="E7" s="153" t="s">
        <v>30</v>
      </c>
      <c r="F7" s="153" t="s">
        <v>204</v>
      </c>
      <c r="G7" s="153">
        <v>4</v>
      </c>
      <c r="H7" s="153">
        <v>2</v>
      </c>
      <c r="I7" s="153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3">
        <v>5</v>
      </c>
      <c r="C8" s="153" t="s">
        <v>26</v>
      </c>
      <c r="D8" s="153" t="s">
        <v>47</v>
      </c>
      <c r="E8" s="153" t="s">
        <v>42</v>
      </c>
      <c r="F8" s="153" t="s">
        <v>204</v>
      </c>
      <c r="G8" s="153">
        <v>5</v>
      </c>
      <c r="H8" s="153">
        <v>3</v>
      </c>
      <c r="I8" s="153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3">
        <v>6</v>
      </c>
      <c r="C9" s="153" t="s">
        <v>26</v>
      </c>
      <c r="D9" s="153" t="s">
        <v>31</v>
      </c>
      <c r="E9" s="153" t="s">
        <v>30</v>
      </c>
      <c r="F9" s="153" t="s">
        <v>204</v>
      </c>
      <c r="G9" s="153">
        <v>6</v>
      </c>
      <c r="H9" s="153">
        <v>3</v>
      </c>
      <c r="I9" s="153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3">
        <v>7</v>
      </c>
      <c r="C10" s="153" t="s">
        <v>26</v>
      </c>
      <c r="D10" s="153" t="s">
        <v>47</v>
      </c>
      <c r="E10" s="153" t="s">
        <v>50</v>
      </c>
      <c r="F10" s="153" t="s">
        <v>99</v>
      </c>
      <c r="G10" s="153">
        <v>7</v>
      </c>
      <c r="H10" s="153">
        <v>4</v>
      </c>
      <c r="I10" s="153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3">
        <v>8</v>
      </c>
      <c r="C11" s="153" t="s">
        <v>31</v>
      </c>
      <c r="D11" s="153" t="s">
        <v>26</v>
      </c>
      <c r="E11" s="153" t="s">
        <v>37</v>
      </c>
      <c r="F11" s="153" t="s">
        <v>204</v>
      </c>
      <c r="G11" s="153">
        <v>1</v>
      </c>
      <c r="H11" s="153">
        <v>1</v>
      </c>
      <c r="I11" s="153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3">
        <v>9</v>
      </c>
      <c r="C12" s="153" t="s">
        <v>31</v>
      </c>
      <c r="D12" s="153" t="s">
        <v>47</v>
      </c>
      <c r="E12" s="153" t="s">
        <v>37</v>
      </c>
      <c r="F12" s="153" t="s">
        <v>204</v>
      </c>
      <c r="G12" s="153">
        <v>2</v>
      </c>
      <c r="H12" s="153">
        <v>5</v>
      </c>
      <c r="I12" s="153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3">
        <v>10</v>
      </c>
      <c r="C13" s="153" t="s">
        <v>26</v>
      </c>
      <c r="D13" s="153" t="s">
        <v>31</v>
      </c>
      <c r="E13" s="153" t="s">
        <v>30</v>
      </c>
      <c r="F13" s="153" t="s">
        <v>204</v>
      </c>
      <c r="G13" s="153">
        <v>1</v>
      </c>
      <c r="H13" s="153">
        <v>1</v>
      </c>
      <c r="I13" s="153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3">
        <v>11</v>
      </c>
      <c r="C14" s="153" t="s">
        <v>47</v>
      </c>
      <c r="D14" s="153" t="s">
        <v>26</v>
      </c>
      <c r="E14" s="153" t="s">
        <v>46</v>
      </c>
      <c r="F14" s="153" t="s">
        <v>99</v>
      </c>
      <c r="G14" s="153">
        <v>1</v>
      </c>
      <c r="H14" s="153">
        <v>1</v>
      </c>
      <c r="I14" s="153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3">
        <v>12</v>
      </c>
      <c r="C15" s="153" t="s">
        <v>47</v>
      </c>
      <c r="D15" s="153" t="s">
        <v>31</v>
      </c>
      <c r="E15" s="153" t="s">
        <v>61</v>
      </c>
      <c r="F15" s="153" t="s">
        <v>99</v>
      </c>
      <c r="G15" s="153">
        <v>2</v>
      </c>
      <c r="H15" s="153">
        <v>2</v>
      </c>
      <c r="I15" s="153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3">
        <v>13</v>
      </c>
      <c r="C16" s="153" t="s">
        <v>47</v>
      </c>
      <c r="D16" s="153" t="s">
        <v>26</v>
      </c>
      <c r="E16" s="153" t="s">
        <v>61</v>
      </c>
      <c r="F16" s="153" t="s">
        <v>205</v>
      </c>
      <c r="G16" s="153">
        <v>3</v>
      </c>
      <c r="H16" s="153">
        <v>2</v>
      </c>
      <c r="I16" s="153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Table629[[#This Row],[Finishes]]+Table629[[#This Row],[Midranges]]+Table629[[#This Row],[Threes]]+Table629[[#This Row],[Threes]]</f>
        <v>1</v>
      </c>
      <c r="AD24" s="159">
        <f>COUNTIFS(D4:D35, "Loose Gooses", E$4:E$35,AB24,F$4:F$35,"Finish")</f>
        <v>1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Table629[[#This Row],[Finishes]]+Table629[[#This Row],[Midranges]]+Table629[[#This Row],[Threes]]+Table629[[#This Row],[Threes]]</f>
        <v>0</v>
      </c>
      <c r="AD25" s="160">
        <f>COUNTIFS(D4:D35, "Loose Gooses", E$4:E$35,AB25,F$4:F$35,"Finish")</f>
        <v>0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Table629[[#This Row],[Finishes]]+Table629[[#This Row],[Midranges]]+Table629[[#This Row],[Threes]]+Table629[[#This Row],[Threes]]</f>
        <v>1</v>
      </c>
      <c r="AD26" s="159">
        <f>COUNTIFS(D4:D35, "Loose Gooses", E$4:E$35,AB26,F$4:F$35,"Finish")</f>
        <v>1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Table629[[#This Row],[Finishes]]+Table629[[#This Row],[Midranges]]+Table629[[#This Row],[Threes]]+Table629[[#This Row],[Threes]]</f>
        <v>1</v>
      </c>
      <c r="AD27" s="160">
        <f>COUNTIFS(D4:D35, "Loose Gooses", E$4:E$35,AB27,F$4:F$35,"Finish")</f>
        <v>1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Table629[[#This Row],[Finishes]]+Table629[[#This Row],[Midranges]]+Table629[[#This Row],[Threes]]+Table629[[#This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Table629[[#This Row],[Finishes]]+Table629[[#This Row],[Midranges]]+Table629[[#This Row],[Threes]]+Table629[[#This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Table629[[#This Row],[Finishes]]+Table629[[#This Row],[Midranges]]+Table629[[#This Row],[Threes]]+Table629[[#This Row],[Threes]]</f>
        <v>2</v>
      </c>
      <c r="AD30" s="159">
        <f>COUNTIFS(D4:D35, "Loose Gooses", E$4:E$35,AB30,F$4:F$35,"Finish")</f>
        <v>0</v>
      </c>
      <c r="AE30" s="159">
        <f>COUNTIFS(D4:D35, "Loose Gooses", E$4:E$35,AB30,F$4:F$35,"Midrange")</f>
        <v>2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Table629[[#This Row],[Finishes]]+Table629[[#This Row],[Midranges]]+Table629[[#This Row],[Threes]]+Table629[[#This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Table629[[#This Row],[Finishes]]+Table629[[#This Row],[Midranges]]+Table629[[#This Row],[Threes]]+Table629[[#This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Table629[[#This Row],[Finishes]]+Table629[[#This Row],[Midranges]]+Table629[[#This Row],[Threes]]+Table629[[#This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Table629[[#This Row],[Finishes]]+Table629[[#This Row],[Midranges]]+Table629[[#This Row],[Threes]]+Table629[[#This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Table629[[#This Row],[Finishes]]+Table629[[#This Row],[Midranges]]+Table629[[#This Row],[Threes]]+Table629[[#This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topLeftCell="G1" zoomScale="70" zoomScaleNormal="70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5" t="s">
        <v>4</v>
      </c>
      <c r="AC23" s="166" t="s">
        <v>0</v>
      </c>
      <c r="AD23" s="167" t="s">
        <v>1</v>
      </c>
      <c r="AE23" s="167" t="s">
        <v>2</v>
      </c>
      <c r="AF23" s="167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61" t="s">
        <v>30</v>
      </c>
      <c r="AC24" s="168">
        <f>Table622[[#This Row],[Finishes]]+Table622[[#This Row],[Midranges]]+Table622[[#This Row],[Threes]]+Table622[[#This Row],[Threes]]</f>
        <v>1</v>
      </c>
      <c r="AD24" s="159">
        <f>COUNTIFS(D4:D35, "Loose Gooses", E$4:E$35,AB24,F$4:F$35,"Finish")</f>
        <v>1</v>
      </c>
      <c r="AE24" s="159">
        <f>COUNTIFS(D4:D35, "Loose Gooses", E$4:E$35,AB24,F$4:F$35,"Midrange")</f>
        <v>0</v>
      </c>
      <c r="AF24" s="159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62" t="s">
        <v>35</v>
      </c>
      <c r="AC25" s="169">
        <f>Table622[[#This Row],[Finishes]]+Table622[[#This Row],[Midranges]]+Table622[[#This Row],[Threes]]+Table622[[#This Row],[Threes]]</f>
        <v>1</v>
      </c>
      <c r="AD25" s="160">
        <f>COUNTIFS(D4:D35, "Loose Gooses", E$4:E$35,AB25,F$4:F$35,"Finish")</f>
        <v>1</v>
      </c>
      <c r="AE25" s="160">
        <f>COUNTIFS(D4:D35, "Loose Gooses", E$4:E$35,AB25,F$4:F$35,"Midrange")</f>
        <v>0</v>
      </c>
      <c r="AF25" s="160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61" t="s">
        <v>37</v>
      </c>
      <c r="AC26" s="168">
        <f>Table622[[#This Row],[Finishes]]+Table622[[#This Row],[Midranges]]+Table622[[#This Row],[Threes]]+Table622[[#This Row],[Threes]]</f>
        <v>0</v>
      </c>
      <c r="AD26" s="159">
        <f>COUNTIFS(D4:D35, "Loose Gooses", E$4:E$35,AB26,F$4:F$35,"Finish")</f>
        <v>0</v>
      </c>
      <c r="AE26" s="159">
        <f>COUNTIFS(D4:D35, "Loose Gooses", E$4:E$35,AB26,F$4:F$35,"Midrange")</f>
        <v>0</v>
      </c>
      <c r="AF26" s="159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62" t="s">
        <v>42</v>
      </c>
      <c r="AC27" s="169">
        <f>Table622[[#This Row],[Finishes]]+Table622[[#This Row],[Midranges]]+Table622[[#This Row],[Threes]]+Table622[[#This Row],[Threes]]</f>
        <v>1</v>
      </c>
      <c r="AD27" s="160">
        <f>COUNTIFS(D4:D35, "Loose Gooses", E$4:E$35,AB27,F$4:F$35,"Finish")</f>
        <v>1</v>
      </c>
      <c r="AE27" s="160">
        <f>COUNTIFS(D4:D35, "Loose Gooses", E$4:E$35,AB27,F$4:F$35,"Midrange")</f>
        <v>0</v>
      </c>
      <c r="AF27" s="160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61" t="s">
        <v>115</v>
      </c>
      <c r="AC28" s="168">
        <f>Table622[[#This Row],[Finishes]]+Table622[[#This Row],[Midranges]]+Table622[[#This Row],[Threes]]+Table622[[#This Row],[Threes]]</f>
        <v>0</v>
      </c>
      <c r="AD28" s="159">
        <f>COUNTIFS(D4:D35, "Loose Gooses", E$4:E$35,AB28,F$4:F$35,"Finish")</f>
        <v>0</v>
      </c>
      <c r="AE28" s="159">
        <f>COUNTIFS(D4:D35, "Loose Gooses", E$4:E$35,AB28,F$4:F$35,"Midrange")</f>
        <v>0</v>
      </c>
      <c r="AF28" s="159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62" t="s">
        <v>44</v>
      </c>
      <c r="AC29" s="169">
        <f>Table622[[#This Row],[Finishes]]+Table622[[#This Row],[Midranges]]+Table622[[#This Row],[Threes]]+Table622[[#This Row],[Threes]]</f>
        <v>0</v>
      </c>
      <c r="AD29" s="160">
        <f>COUNTIFS(D4:D35, "Loose Gooses", E$4:E$35,AB29,F$4:F$35,"Finish")</f>
        <v>0</v>
      </c>
      <c r="AE29" s="160">
        <f>COUNTIFS(D4:D35, "Loose Gooses", E$4:E$35,AB29,F$4:F$35,"Midrange")</f>
        <v>0</v>
      </c>
      <c r="AF29" s="160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61" t="s">
        <v>50</v>
      </c>
      <c r="AC30" s="168">
        <f>Table622[[#This Row],[Finishes]]+Table622[[#This Row],[Midranges]]+Table622[[#This Row],[Threes]]+Table622[[#This Row],[Threes]]</f>
        <v>6</v>
      </c>
      <c r="AD30" s="159">
        <f>COUNTIFS(D4:D35, "Loose Gooses", E$4:E$35,AB30,F$4:F$35,"Finish")</f>
        <v>2</v>
      </c>
      <c r="AE30" s="159">
        <f>COUNTIFS(D4:D35, "Loose Gooses", E$4:E$35,AB30,F$4:F$35,"Midrange")</f>
        <v>4</v>
      </c>
      <c r="AF30" s="159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62" t="s">
        <v>52</v>
      </c>
      <c r="AC31" s="169">
        <f>Table622[[#This Row],[Finishes]]+Table622[[#This Row],[Midranges]]+Table622[[#This Row],[Threes]]+Table622[[#This Row],[Threes]]</f>
        <v>0</v>
      </c>
      <c r="AD31" s="160">
        <f>COUNTIFS(D4:D35, "Loose Gooses", E$4:E$35,AB31,F$4:F$35,"Finish")</f>
        <v>0</v>
      </c>
      <c r="AE31" s="160">
        <f>COUNTIFS(D4:D35, "Loose Gooses", E$4:E$35,AB31,F$4:F$35,"Midrange")</f>
        <v>0</v>
      </c>
      <c r="AF31" s="160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61" t="s">
        <v>200</v>
      </c>
      <c r="AC32" s="168">
        <f>Table622[[#This Row],[Finishes]]+Table622[[#This Row],[Midranges]]+Table622[[#This Row],[Threes]]+Table622[[#This Row],[Threes]]</f>
        <v>0</v>
      </c>
      <c r="AD32" s="159">
        <f>COUNTIFS(D4:D35, "Loose Gooses", E$4:E$35,AB32,F$4:F$35,"Finish")</f>
        <v>0</v>
      </c>
      <c r="AE32" s="159">
        <f>COUNTIFS(D4:D35, "Loose Gooses", E$4:E$35,AB32,F$4:F$35,"Midrange")</f>
        <v>0</v>
      </c>
      <c r="AF32" s="159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62" t="s">
        <v>55</v>
      </c>
      <c r="AC33" s="169">
        <f>Table622[[#This Row],[Finishes]]+Table622[[#This Row],[Midranges]]+Table622[[#This Row],[Threes]]+Table622[[#This Row],[Threes]]</f>
        <v>0</v>
      </c>
      <c r="AD33" s="160">
        <f>COUNTIFS(D4:D35, "Loose Gooses", E$4:E$35,AB33,F$4:F$35,"Finish")</f>
        <v>0</v>
      </c>
      <c r="AE33" s="160">
        <f>COUNTIFS(D4:D35, "Loose Gooses", E$4:E$35,AB33,F$4:F$35,"Midrange")</f>
        <v>0</v>
      </c>
      <c r="AF33" s="160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61" t="s">
        <v>64</v>
      </c>
      <c r="AC34" s="168">
        <f>Table622[[#This Row],[Finishes]]+Table622[[#This Row],[Midranges]]+Table622[[#This Row],[Threes]]+Table622[[#This Row],[Threes]]</f>
        <v>0</v>
      </c>
      <c r="AD34" s="159">
        <f>COUNTIFS(D4:D35, "Loose Gooses", E$4:E$35,AB34,F$4:F$35,"Finish")</f>
        <v>0</v>
      </c>
      <c r="AE34" s="159">
        <f>COUNTIFS(D4:D35, "Loose Gooses", E$4:E$35,AB34,F$4:F$35,"Midrange")</f>
        <v>0</v>
      </c>
      <c r="AF34" s="159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3" t="s">
        <v>67</v>
      </c>
      <c r="AC35" s="170">
        <f>Table622[[#This Row],[Finishes]]+Table622[[#This Row],[Midranges]]+Table622[[#This Row],[Threes]]+Table622[[#This Row],[Threes]]</f>
        <v>0</v>
      </c>
      <c r="AD35" s="164">
        <f>COUNTIFS(D4:D35, "Loose Gooses", E$4:E$35,AB35,F$4:F$35,"Finish")</f>
        <v>0</v>
      </c>
      <c r="AE35" s="164">
        <f>COUNTIFS(D4:D35, "Loose Gooses", E$4:E$35,AB35,F$4:F$35,"Midrange")</f>
        <v>0</v>
      </c>
      <c r="AF35" s="164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74" t="s">
        <v>119</v>
      </c>
      <c r="U41" s="174"/>
      <c r="V41" s="174"/>
    </row>
    <row r="42" spans="2:32" ht="14.25" customHeight="1" x14ac:dyDescent="0.9">
      <c r="R42" s="94"/>
      <c r="S42" s="94"/>
      <c r="T42" s="174"/>
      <c r="U42" s="174"/>
      <c r="V42" s="17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SfW</vt:lpstr>
      <vt:lpstr>Stats Global</vt:lpstr>
      <vt:lpstr>Statistics LG</vt:lpstr>
      <vt:lpstr>Statistics WW</vt:lpstr>
      <vt:lpstr>Statistics 5M</vt:lpstr>
      <vt:lpstr>Template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2023-08-10T04:20:56Z</dcterms:modified>
</cp:coreProperties>
</file>