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D43A4F32-3B68-4748-9648-2D3258EB502F}" xr6:coauthVersionLast="47" xr6:coauthVersionMax="47" xr10:uidLastSave="{00000000-0000-0000-0000-000000000000}"/>
  <bookViews>
    <workbookView xWindow="-98" yWindow="-98" windowWidth="22695" windowHeight="14595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0808" sheetId="22" r:id="rId7"/>
    <sheet name="0308" sheetId="21" r:id="rId8"/>
    <sheet name="0208" sheetId="20" r:id="rId9"/>
    <sheet name="0108" sheetId="19" r:id="rId10"/>
    <sheet name="3107" sheetId="18" r:id="rId11"/>
    <sheet name="2707" sheetId="17" r:id="rId12"/>
    <sheet name="2607" sheetId="16" r:id="rId13"/>
    <sheet name="2407" sheetId="15" r:id="rId14"/>
    <sheet name="2007" sheetId="14" r:id="rId15"/>
    <sheet name="1907" sheetId="13" r:id="rId16"/>
    <sheet name="1807" sheetId="12" r:id="rId17"/>
    <sheet name="1707" sheetId="11" r:id="rId18"/>
    <sheet name="Preseason 3" sheetId="10" r:id="rId19"/>
    <sheet name="Preseason 2" sheetId="9" r:id="rId20"/>
    <sheet name="Preseason 1" sheetId="8" r:id="rId21"/>
  </sheets>
  <externalReferences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9" i="3" l="1"/>
  <c r="S80" i="3"/>
  <c r="S81" i="3"/>
  <c r="S82" i="3"/>
  <c r="S83" i="3"/>
  <c r="S84" i="3"/>
  <c r="S85" i="3"/>
  <c r="S86" i="3"/>
  <c r="S87" i="3"/>
  <c r="S88" i="3"/>
  <c r="S89" i="3"/>
  <c r="S78" i="3"/>
  <c r="B19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T46" i="22" l="1"/>
  <c r="R15" i="22"/>
  <c r="R35" i="22" s="1"/>
  <c r="R7" i="22"/>
  <c r="R27" i="22" s="1"/>
  <c r="R17" i="22"/>
  <c r="R37" i="22" s="1"/>
  <c r="G45" i="22"/>
  <c r="G19" i="3" s="1"/>
  <c r="AC69" i="3"/>
  <c r="AG69" i="3" s="1"/>
  <c r="AB84" i="3"/>
  <c r="AB82" i="3"/>
  <c r="AF82" i="3" s="1"/>
  <c r="AB80" i="3"/>
  <c r="AF80" i="3" s="1"/>
  <c r="AB78" i="3"/>
  <c r="AF78" i="3" s="1"/>
  <c r="AB76" i="3"/>
  <c r="AF76" i="3" s="1"/>
  <c r="AB74" i="3"/>
  <c r="AF74" i="3" s="1"/>
  <c r="AB72" i="3"/>
  <c r="AF72" i="3" s="1"/>
  <c r="AB70" i="3"/>
  <c r="AF70" i="3" s="1"/>
  <c r="K45" i="22"/>
  <c r="K19" i="3" s="1"/>
  <c r="AB69" i="3"/>
  <c r="AF69" i="3" s="1"/>
  <c r="O4" i="22"/>
  <c r="Q45" i="22" s="1"/>
  <c r="Q19" i="3" s="1"/>
  <c r="AD85" i="3"/>
  <c r="AH85" i="3" s="1"/>
  <c r="AD83" i="3"/>
  <c r="AH83" i="3" s="1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E45" i="22"/>
  <c r="E19" i="3" s="1"/>
  <c r="R4" i="22"/>
  <c r="R12" i="22"/>
  <c r="R18" i="22"/>
  <c r="AC85" i="3"/>
  <c r="AG85" i="3" s="1"/>
  <c r="AC83" i="3"/>
  <c r="AG83" i="3" s="1"/>
  <c r="AC81" i="3"/>
  <c r="AG81" i="3" s="1"/>
  <c r="AC79" i="3"/>
  <c r="AG79" i="3" s="1"/>
  <c r="AC77" i="3"/>
  <c r="AG77" i="3" s="1"/>
  <c r="AC75" i="3"/>
  <c r="AG75" i="3" s="1"/>
  <c r="AC73" i="3"/>
  <c r="AG73" i="3" s="1"/>
  <c r="AC71" i="3"/>
  <c r="AG71" i="3" s="1"/>
  <c r="AB85" i="3"/>
  <c r="AF85" i="3" s="1"/>
  <c r="AB83" i="3"/>
  <c r="AF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R3" i="22"/>
  <c r="R10" i="22"/>
  <c r="R16" i="22"/>
  <c r="AA83" i="3"/>
  <c r="AE83" i="3" s="1"/>
  <c r="AA81" i="3"/>
  <c r="AE81" i="3" s="1"/>
  <c r="AA77" i="3"/>
  <c r="AE77" i="3" s="1"/>
  <c r="AA75" i="3"/>
  <c r="AA73" i="3"/>
  <c r="AE73" i="3" s="1"/>
  <c r="AD84" i="3"/>
  <c r="AH84" i="3" s="1"/>
  <c r="AD82" i="3"/>
  <c r="AH82" i="3" s="1"/>
  <c r="AD80" i="3"/>
  <c r="AH80" i="3" s="1"/>
  <c r="AD78" i="3"/>
  <c r="AH78" i="3" s="1"/>
  <c r="AD76" i="3"/>
  <c r="AH76" i="3" s="1"/>
  <c r="AD74" i="3"/>
  <c r="AH74" i="3" s="1"/>
  <c r="AD72" i="3"/>
  <c r="AH72" i="3" s="1"/>
  <c r="AD70" i="3"/>
  <c r="R8" i="22"/>
  <c r="AD69" i="3"/>
  <c r="AH69" i="3" s="1"/>
  <c r="AC84" i="3"/>
  <c r="AG84" i="3" s="1"/>
  <c r="AC82" i="3"/>
  <c r="AG82" i="3" s="1"/>
  <c r="AC80" i="3"/>
  <c r="AG80" i="3" s="1"/>
  <c r="AC78" i="3"/>
  <c r="AG78" i="3" s="1"/>
  <c r="AC76" i="3"/>
  <c r="AC74" i="3"/>
  <c r="AG74" i="3" s="1"/>
  <c r="AC72" i="3"/>
  <c r="AG72" i="3" s="1"/>
  <c r="AC70" i="3"/>
  <c r="AG70" i="3" s="1"/>
  <c r="AH70" i="3"/>
  <c r="AE75" i="3"/>
  <c r="AF84" i="3"/>
  <c r="AG76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P9" i="3" s="1"/>
  <c r="AQ49" i="3"/>
  <c r="AJ8" i="3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R36" i="22" l="1"/>
  <c r="AA82" i="3"/>
  <c r="AE82" i="3" s="1"/>
  <c r="R38" i="22"/>
  <c r="AA84" i="3"/>
  <c r="AE84" i="3" s="1"/>
  <c r="R32" i="22"/>
  <c r="AA78" i="3"/>
  <c r="AE78" i="3" s="1"/>
  <c r="D45" i="22"/>
  <c r="D19" i="3" s="1"/>
  <c r="C19" i="3"/>
  <c r="R28" i="22"/>
  <c r="AA74" i="3"/>
  <c r="AE74" i="3" s="1"/>
  <c r="R23" i="22"/>
  <c r="AA69" i="3"/>
  <c r="AE69" i="3" s="1"/>
  <c r="P45" i="22"/>
  <c r="P19" i="3" s="1"/>
  <c r="R25" i="22"/>
  <c r="AA71" i="3"/>
  <c r="AE71" i="3" s="1"/>
  <c r="R24" i="22"/>
  <c r="AA70" i="3"/>
  <c r="AE70" i="3" s="1"/>
  <c r="R39" i="22"/>
  <c r="AA85" i="3"/>
  <c r="AE85" i="3" s="1"/>
  <c r="R30" i="22"/>
  <c r="AA76" i="3"/>
  <c r="AE76" i="3" s="1"/>
  <c r="R33" i="22"/>
  <c r="AA79" i="3"/>
  <c r="AE79" i="3" s="1"/>
  <c r="R34" i="22"/>
  <c r="AA80" i="3"/>
  <c r="AE80" i="3" s="1"/>
  <c r="R26" i="22"/>
  <c r="AA72" i="3"/>
  <c r="AE72" i="3" s="1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22" l="1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AP10" i="3" s="1"/>
  <c r="AJ11" i="3"/>
  <c r="AP11" i="3" s="1"/>
  <c r="AJ12" i="3"/>
  <c r="AP12" i="3" s="1"/>
  <c r="AJ13" i="3"/>
  <c r="AJ14" i="3"/>
  <c r="AP14" i="3" s="1"/>
  <c r="AJ15" i="3"/>
  <c r="AP15" i="3" s="1"/>
  <c r="AJ17" i="3"/>
  <c r="AP17" i="3" s="1"/>
  <c r="AJ19" i="3"/>
  <c r="U9" i="6" s="1"/>
  <c r="AJ20" i="3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AP13" i="3" l="1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AC8" i="3" l="1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AG23" i="3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B44" i="2" s="1"/>
  <c r="U16" i="2"/>
  <c r="U63" i="2" s="1"/>
  <c r="U17" i="2"/>
  <c r="U64" i="2" s="1"/>
  <c r="U18" i="2"/>
  <c r="U65" i="2" s="1"/>
  <c r="U19" i="2"/>
  <c r="U66" i="2" s="1"/>
  <c r="U3" i="2"/>
  <c r="U50" i="2" s="1"/>
  <c r="Q33" i="6" l="1"/>
  <c r="Q35" i="6"/>
  <c r="P44" i="5"/>
  <c r="Q34" i="6"/>
  <c r="P45" i="5"/>
  <c r="P46" i="5"/>
  <c r="B43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A16" i="3"/>
  <c r="AS16" i="3" s="1"/>
  <c r="AA10" i="3"/>
  <c r="AA19" i="3"/>
  <c r="AA14" i="3"/>
  <c r="AS14" i="3" s="1"/>
  <c r="AA22" i="3"/>
  <c r="AA23" i="3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P7" i="6" s="1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R7" i="6" s="1"/>
  <c r="X4" i="5"/>
  <c r="Q6" i="6"/>
  <c r="AF10" i="3"/>
  <c r="Q8" i="6"/>
  <c r="AF14" i="3"/>
  <c r="T5" i="5"/>
  <c r="AF12" i="3"/>
  <c r="AF24" i="3"/>
  <c r="Q5" i="6"/>
  <c r="AF17" i="3"/>
  <c r="U7" i="4"/>
  <c r="AD8" i="3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T7" i="6" s="1"/>
  <c r="J43" i="5" l="1"/>
  <c r="O47" i="4"/>
  <c r="I43" i="4"/>
  <c r="Q36" i="6"/>
  <c r="K32" i="6"/>
  <c r="AS10" i="3"/>
  <c r="Q32" i="6"/>
  <c r="AS11" i="3"/>
  <c r="P43" i="5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U17" i="3" s="1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S6" i="5" s="1"/>
  <c r="AF20" i="3"/>
  <c r="U6" i="5" s="1"/>
  <c r="O35" i="6"/>
  <c r="P35" i="6" s="1"/>
  <c r="AB20" i="3"/>
  <c r="AU20" i="3" s="1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AU15" i="3" s="1"/>
  <c r="S7" i="4"/>
  <c r="AB8" i="3"/>
  <c r="S4" i="4"/>
  <c r="AB22" i="3"/>
  <c r="AU22" i="3" s="1"/>
  <c r="AB24" i="3"/>
  <c r="AU24" i="3" s="1"/>
  <c r="P4" i="5"/>
  <c r="S8" i="4"/>
  <c r="AB9" i="3"/>
  <c r="P8" i="5"/>
  <c r="AB23" i="3"/>
  <c r="AU23" i="3" s="1"/>
  <c r="I18" i="2"/>
  <c r="O45" i="4"/>
  <c r="K15" i="2"/>
  <c r="K19" i="2"/>
  <c r="K18" i="2"/>
  <c r="K17" i="2"/>
  <c r="E16" i="2"/>
  <c r="G19" i="2"/>
  <c r="O46" i="4"/>
  <c r="Q6" i="5" l="1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B10" i="3"/>
  <c r="M6" i="6"/>
  <c r="AH11" i="3"/>
  <c r="O43" i="4"/>
  <c r="F15" i="2"/>
  <c r="D15" i="2"/>
  <c r="H15" i="2"/>
  <c r="AB13" i="3"/>
  <c r="AH20" i="3"/>
  <c r="W6" i="5" s="1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AU14" i="3" s="1"/>
  <c r="M5" i="6"/>
  <c r="S6" i="4"/>
  <c r="M44" i="4" s="1"/>
  <c r="N44" i="4" s="1"/>
  <c r="AB21" i="3"/>
  <c r="AU21" i="3" s="1"/>
  <c r="P7" i="5"/>
  <c r="AB18" i="3"/>
  <c r="AU18" i="3" s="1"/>
  <c r="D16" i="2" l="1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<sst xmlns="http://schemas.openxmlformats.org/spreadsheetml/2006/main" count="2772" uniqueCount="269">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</sst>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0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1" fillId="0" borderId="1" xfId="1" applyNumberForma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4" fillId="3" borderId="0" xfId="0" applyFont="1" applyFill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5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1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4" fillId="0" borderId="0" xfId="0" applyFont="1" applyAlignment="1"/>
    <xf numFmtId="0" fontId="14" fillId="0" borderId="0" xfId="0" applyFont="1"/>
    <xf numFmtId="0" fontId="23" fillId="4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3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1" fillId="0" borderId="0" xfId="0" applyNumberFormat="1" applyFont="1"/>
    <xf numFmtId="16" fontId="23" fillId="5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3" fillId="6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0" fontId="10" fillId="0" borderId="0" xfId="0" applyFont="1" applyAlignment="1"/>
    <xf numFmtId="0" fontId="9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3" fillId="3" borderId="2" xfId="0" applyNumberFormat="1" applyFont="1" applyFill="1" applyBorder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8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7" fillId="0" borderId="0" xfId="0" applyFont="1" applyAlignment="1"/>
    <xf numFmtId="0" fontId="7" fillId="0" borderId="0" xfId="0" applyFont="1"/>
    <xf numFmtId="0" fontId="23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3" fillId="0" borderId="0" xfId="0" applyFont="1" applyAlignment="1"/>
    <xf numFmtId="0" fontId="2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1" fillId="3" borderId="0" xfId="0" applyFont="1" applyFill="1" applyAlignment="1">
      <alignment vertical="center"/>
    </xf>
    <xf numFmtId="0" fontId="3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0.64640883977900554</c:v>
                </c:pt>
                <c:pt idx="1">
                  <c:v>0.22651933701657456</c:v>
                </c:pt>
                <c:pt idx="2">
                  <c:v>0.1270718232044199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Global'!$T$78:$T$89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Global'!$U$78:$U$89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Global'!$R$78:$R$89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'Stats Global'!$V$78:$V$89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41">
  <autoFilter ref="AW7:BC24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'3107'!R3+'0108'!R3+'0208'!R3+'0308'!R3</calculatedColumnFormula>
    </tableColumn>
    <tableColumn id="3" xr3:uid="{6CA15B41-F560-4B43-8836-163F5BB5689C}" name="Finishes" dataDxfId="97">
      <calculatedColumnFormula>'3107'!S3+'0108'!S3+'0208'!S3+'0308'!S3</calculatedColumnFormula>
    </tableColumn>
    <tableColumn id="4" xr3:uid="{8FF05262-0051-44F7-966E-8D405318BA69}" name="Midranges" dataDxfId="96">
      <calculatedColumnFormula>'3107'!T3+'0108'!T3+'0208'!T3+'0308'!T3</calculatedColumnFormula>
    </tableColumn>
    <tableColumn id="5" xr3:uid="{F0D843FC-7A93-4C9A-BCCF-E789F7811B3B}" name="Threes" dataDxfId="95">
      <calculatedColumnFormula>'3107'!U3+'0108'!U3+'0208'!U3+'0308'!U3</calculatedColumnFormula>
    </tableColumn>
    <tableColumn id="6" xr3:uid="{F0498F8A-F646-4C1F-A3CF-E89E73750FC1}" name="Avg P" dataDxfId="94">
      <calculatedColumnFormula>AL49/($AL$47-Table21124[[#This Row],[Missed Games]])</calculatedColumnFormula>
    </tableColumn>
    <tableColumn id="7" xr3:uid="{A387BC88-F45C-4386-8503-EFEA33BDAC38}" name="Avg F" dataDxfId="93">
      <calculatedColumnFormula>AM49/($AL$47-Table21124[[#This Row],[Missed Games]])</calculatedColumnFormula>
    </tableColumn>
    <tableColumn id="8" xr3:uid="{BEA82919-0828-4351-A01A-D72E13E63FAB}" name="Avg M" dataDxfId="92">
      <calculatedColumnFormula>AN49/($AL$47-Table21124[[#This Row],[Missed Games]])</calculatedColumnFormula>
    </tableColumn>
    <tableColumn id="9" xr3:uid="{ABEBCE01-BCA4-4342-966C-27301889B607}" name="Avg T" dataDxfId="91">
      <calculatedColumnFormula>AO49/($AL$47-Table21124[[#This Row],[Missed Games]])</calculatedColumnFormula>
    </tableColumn>
    <tableColumn id="10" xr3:uid="{65E7A8E7-4C51-42E4-AB0F-B7FF6099D70A}" name="Missed Games" dataDxfId="90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'0808'!R3</calculatedColumnFormula>
    </tableColumn>
    <tableColumn id="3" xr3:uid="{9537269D-8C1D-42B5-866F-D03CE61A8512}" name="Finishes" dataDxfId="73">
      <calculatedColumnFormula>'0808'!S3</calculatedColumnFormula>
    </tableColumn>
    <tableColumn id="4" xr3:uid="{AC590DDB-BE19-4A14-8B98-1E5E2430AA45}" name="Midranges" dataDxfId="72">
      <calculatedColumnFormula>'0808'!T3</calculatedColumnFormula>
    </tableColumn>
    <tableColumn id="5" xr3:uid="{C96D3ACD-F34D-477E-86DE-4650EE56BC94}" name="Threes" dataDxfId="71">
      <calculatedColumnFormula>'0808'!U3</calculatedColumnFormula>
    </tableColumn>
    <tableColumn id="6" xr3:uid="{A43DE5E9-BB01-49FA-A204-66EE7BAA2E9F}" name="Avg P" dataDxfId="70">
      <calculatedColumnFormula>Table21126[[#This Row],[Points]]/($AA$67-Table21126[[#This Row],[Missed Games]])</calculatedColumnFormula>
    </tableColumn>
    <tableColumn id="7" xr3:uid="{C75A19FF-6041-45C2-BACB-E347F06B6329}" name="Avg F" dataDxfId="69">
      <calculatedColumnFormula>Table21126[[#This Row],[Finishes]]/($AA$67-Table21126[[#This Row],[Missed Games]])</calculatedColumnFormula>
    </tableColumn>
    <tableColumn id="8" xr3:uid="{00D3FCFC-C9C5-4C96-BE0E-8E1FDC95D07C}" name="Avg M" dataDxfId="68">
      <calculatedColumnFormula>Table21126[[#This Row],[Midranges]]/($AA$67-Table21126[[#This Row],[Missed Games]])</calculatedColumnFormula>
    </tableColumn>
    <tableColumn id="9" xr3:uid="{0448FF4E-9D2D-47F6-89B7-F17D36B05E8A}" name="Avg T" dataDxfId="67">
      <calculatedColumnFormula>Table21126[[#This Row],[Threes]]/($AA$67-Table21126[[#This Row],[Missed Games]])</calculatedColumnFormula>
    </tableColumn>
    <tableColumn id="10" xr3:uid="{D5BDFA2D-095B-44F8-8567-15B3B1520E5A}" name="Missed Games" dataDxfId="66">
      <calculatedColumnFormula>COUNTIF('0808'!V3,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09" t="s">
        <v>47</v>
      </c>
      <c r="D3" s="7">
        <f>'Stats Global'!AB8</f>
        <v>0.25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0.25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T3" s="1" t="s">
        <v>196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09" t="s">
        <v>47</v>
      </c>
      <c r="D4" s="7">
        <f>'Stats Global'!AB9</f>
        <v>1.0909090909090908</v>
      </c>
      <c r="E4" s="11">
        <f>'Stats Global'!AA9</f>
        <v>12</v>
      </c>
      <c r="F4" s="7">
        <f>'Stats Global'!AD9</f>
        <v>1.0909090909090908</v>
      </c>
      <c r="G4" s="11">
        <f>'Stats Global'!AC9</f>
        <v>12</v>
      </c>
      <c r="H4" s="7">
        <f>'Stats Global'!AF9</f>
        <v>0</v>
      </c>
      <c r="I4" s="11">
        <f>'Stats Global'!AE9</f>
        <v>0</v>
      </c>
      <c r="J4" s="7">
        <f>'Stats Global'!AH9</f>
        <v>0</v>
      </c>
      <c r="K4" s="11">
        <f>'Stats Global'!AG9</f>
        <v>0</v>
      </c>
      <c r="T4" s="11" t="s">
        <v>196</v>
      </c>
      <c r="U4" s="11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08" t="s">
        <v>26</v>
      </c>
      <c r="D5" s="7">
        <f>'Stats Global'!AB10</f>
        <v>3.1666666666666665</v>
      </c>
      <c r="E5" s="11">
        <f>'Stats Global'!AA10</f>
        <v>19</v>
      </c>
      <c r="F5" s="7">
        <f>'Stats Global'!AD10</f>
        <v>2.8333333333333335</v>
      </c>
      <c r="G5" s="11">
        <f>'Stats Global'!AC10</f>
        <v>17</v>
      </c>
      <c r="H5" s="7">
        <f>'Stats Global'!AF10</f>
        <v>0</v>
      </c>
      <c r="I5" s="11">
        <f>'Stats Global'!AE10</f>
        <v>0</v>
      </c>
      <c r="J5" s="7">
        <f>'Stats Global'!AH10</f>
        <v>0.16666666666666666</v>
      </c>
      <c r="K5" s="11">
        <f>'Stats Global'!AG10</f>
        <v>1</v>
      </c>
      <c r="L5" s="2" t="s">
        <v>32</v>
      </c>
      <c r="M5" s="2" t="s">
        <v>33</v>
      </c>
      <c r="N5" s="16" t="s">
        <v>153</v>
      </c>
      <c r="O5" s="16" t="s">
        <v>154</v>
      </c>
      <c r="T5" s="1" t="s">
        <v>193</v>
      </c>
      <c r="U5" s="11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7">
        <f>'Stats Global'!AB11</f>
        <v>0.75</v>
      </c>
      <c r="E6" s="11">
        <f>'Stats Global'!AA11</f>
        <v>6</v>
      </c>
      <c r="F6" s="7">
        <f>'Stats Global'!AD11</f>
        <v>0.75</v>
      </c>
      <c r="G6" s="11">
        <f>'Stats Global'!AC11</f>
        <v>6</v>
      </c>
      <c r="H6" s="7">
        <f>'Stats Global'!AF11</f>
        <v>0</v>
      </c>
      <c r="I6" s="11">
        <f>'Stats Global'!AE11</f>
        <v>0</v>
      </c>
      <c r="J6" s="7">
        <f>'Stats Global'!AH11</f>
        <v>0</v>
      </c>
      <c r="K6" s="11">
        <f>'Stats Global'!AG11</f>
        <v>0</v>
      </c>
      <c r="L6" s="2" t="s">
        <v>36</v>
      </c>
      <c r="M6" s="2" t="s">
        <v>32</v>
      </c>
      <c r="N6" s="2" t="s">
        <v>33</v>
      </c>
      <c r="O6" s="16" t="s">
        <v>153</v>
      </c>
      <c r="P6" s="16" t="s">
        <v>154</v>
      </c>
      <c r="Q6" s="16" t="s">
        <v>157</v>
      </c>
      <c r="R6" s="16" t="s">
        <v>40</v>
      </c>
      <c r="T6" s="98" t="s">
        <v>189</v>
      </c>
      <c r="U6" s="11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08" t="s">
        <v>31</v>
      </c>
      <c r="D7" s="7">
        <f>'Stats Global'!AB12</f>
        <v>1</v>
      </c>
      <c r="E7" s="11">
        <f>'Stats Global'!AA12</f>
        <v>10</v>
      </c>
      <c r="F7" s="7">
        <f>'Stats Global'!AD12</f>
        <v>0.4</v>
      </c>
      <c r="G7" s="11">
        <f>'Stats Global'!AC12</f>
        <v>4</v>
      </c>
      <c r="H7" s="7">
        <f>'Stats Global'!AF12</f>
        <v>0.4</v>
      </c>
      <c r="I7" s="11">
        <f>'Stats Global'!AE12</f>
        <v>4</v>
      </c>
      <c r="J7" s="7">
        <f>'Stats Global'!AH12</f>
        <v>0.1</v>
      </c>
      <c r="K7" s="11">
        <f>'Stats Global'!AG12</f>
        <v>1</v>
      </c>
      <c r="L7" s="2" t="s">
        <v>38</v>
      </c>
      <c r="M7" s="2" t="s">
        <v>39</v>
      </c>
      <c r="N7" s="16" t="s">
        <v>153</v>
      </c>
      <c r="O7" s="16" t="s">
        <v>155</v>
      </c>
      <c r="T7" s="108" t="s">
        <v>194</v>
      </c>
      <c r="U7" s="11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50" t="s">
        <v>26</v>
      </c>
      <c r="D8" s="7">
        <f>'Stats Global'!AB13</f>
        <v>0.5</v>
      </c>
      <c r="E8" s="11">
        <f>'Stats Global'!AA13</f>
        <v>5</v>
      </c>
      <c r="F8" s="7">
        <f>'Stats Global'!AD13</f>
        <v>0.4</v>
      </c>
      <c r="G8" s="11">
        <f>'Stats Global'!AC13</f>
        <v>4</v>
      </c>
      <c r="H8" s="7">
        <f>'Stats Global'!AF13</f>
        <v>0.1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2" t="s">
        <v>43</v>
      </c>
      <c r="M8" s="2" t="s">
        <v>36</v>
      </c>
      <c r="N8" s="16" t="s">
        <v>156</v>
      </c>
      <c r="T8" s="150" t="s">
        <v>239</v>
      </c>
      <c r="U8" s="11" t="str">
        <f t="shared" si="1"/>
        <v>../Images/5M_Final.png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6" t="s">
        <v>115</v>
      </c>
      <c r="C9" s="109" t="s">
        <v>26</v>
      </c>
      <c r="D9" s="7">
        <f>'Stats Global'!AB14</f>
        <v>0.5</v>
      </c>
      <c r="E9" s="11">
        <f>'Stats Global'!AA14</f>
        <v>6</v>
      </c>
      <c r="F9" s="7">
        <f>'Stats Global'!AD14</f>
        <v>0.33333333333333331</v>
      </c>
      <c r="G9" s="11">
        <f>'Stats Global'!AC14</f>
        <v>4</v>
      </c>
      <c r="H9" s="7">
        <f>'Stats Global'!AF14</f>
        <v>0.16666666666666666</v>
      </c>
      <c r="I9" s="11">
        <f>'Stats Global'!AE14</f>
        <v>2</v>
      </c>
      <c r="J9" s="7">
        <f>'Stats Global'!AH14</f>
        <v>0</v>
      </c>
      <c r="K9" s="11">
        <f>'Stats Global'!AG14</f>
        <v>0</v>
      </c>
      <c r="L9" s="16" t="s">
        <v>212</v>
      </c>
      <c r="M9" s="16" t="s">
        <v>158</v>
      </c>
      <c r="T9" s="109" t="s">
        <v>199</v>
      </c>
      <c r="U9" s="11" t="str">
        <f t="shared" si="1"/>
        <v>../Images/5M_Final.png</v>
      </c>
      <c r="V9" s="11" t="str">
        <f t="shared" si="0"/>
        <v>../Images/Players/SamJ.png</v>
      </c>
    </row>
    <row r="10" spans="2:24" ht="14.25" customHeight="1" x14ac:dyDescent="0.45">
      <c r="B10" s="2" t="s">
        <v>44</v>
      </c>
      <c r="C10" s="109" t="s">
        <v>31</v>
      </c>
      <c r="D10" s="7">
        <f>'Stats Global'!AB15</f>
        <v>1.3333333333333333</v>
      </c>
      <c r="E10" s="11">
        <f>'Stats Global'!AA15</f>
        <v>8</v>
      </c>
      <c r="F10" s="7">
        <f>'Stats Global'!AD15</f>
        <v>0</v>
      </c>
      <c r="G10" s="11">
        <f>'Stats Global'!AC15</f>
        <v>0</v>
      </c>
      <c r="H10" s="7">
        <f>'Stats Global'!AF15</f>
        <v>0</v>
      </c>
      <c r="I10" s="11">
        <f>'Stats Global'!AE15</f>
        <v>0</v>
      </c>
      <c r="J10" s="7">
        <f>'Stats Global'!AH15</f>
        <v>0.66666666666666663</v>
      </c>
      <c r="K10" s="11">
        <f>'Stats Global'!AG15</f>
        <v>4</v>
      </c>
      <c r="L10" s="16" t="s">
        <v>161</v>
      </c>
      <c r="M10" s="2" t="s">
        <v>33</v>
      </c>
      <c r="N10" s="2" t="s">
        <v>160</v>
      </c>
      <c r="O10" s="16" t="s">
        <v>152</v>
      </c>
      <c r="P10" s="16" t="s">
        <v>156</v>
      </c>
      <c r="Q10" s="16" t="s">
        <v>155</v>
      </c>
      <c r="R10" s="16" t="s">
        <v>158</v>
      </c>
      <c r="T10" s="109" t="s">
        <v>198</v>
      </c>
      <c r="U10" s="11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08" t="s">
        <v>47</v>
      </c>
      <c r="D11" s="7">
        <f>'Stats Global'!AB16</f>
        <v>1.7</v>
      </c>
      <c r="E11" s="11">
        <f>'Stats Global'!AA16</f>
        <v>17</v>
      </c>
      <c r="F11" s="7">
        <f>'Stats Global'!AD16</f>
        <v>0.7</v>
      </c>
      <c r="G11" s="11">
        <f>'Stats Global'!AC16</f>
        <v>7</v>
      </c>
      <c r="H11" s="7">
        <f>'Stats Global'!AF16</f>
        <v>0.6</v>
      </c>
      <c r="I11" s="11">
        <f>'Stats Global'!AE16</f>
        <v>6</v>
      </c>
      <c r="J11" s="7">
        <f>'Stats Global'!AH16</f>
        <v>0.2</v>
      </c>
      <c r="K11" s="11">
        <f>'Stats Global'!AG16</f>
        <v>2</v>
      </c>
      <c r="L11" s="2" t="s">
        <v>48</v>
      </c>
      <c r="M11" s="2" t="s">
        <v>36</v>
      </c>
      <c r="N11" s="2" t="s">
        <v>32</v>
      </c>
      <c r="O11" s="16" t="s">
        <v>156</v>
      </c>
      <c r="P11" s="16" t="s">
        <v>154</v>
      </c>
      <c r="Q11" s="16" t="s">
        <v>158</v>
      </c>
      <c r="R11" s="16" t="s">
        <v>159</v>
      </c>
      <c r="T11" s="11" t="s">
        <v>195</v>
      </c>
      <c r="U11" s="11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7">
        <f>'Stats Global'!AB17</f>
        <v>3.5833333333333335</v>
      </c>
      <c r="E12" s="11">
        <f>'Stats Global'!AA17</f>
        <v>43</v>
      </c>
      <c r="F12" s="7">
        <f>'Stats Global'!AD17</f>
        <v>0.58333333333333337</v>
      </c>
      <c r="G12" s="11">
        <f>'Stats Global'!AC17</f>
        <v>7</v>
      </c>
      <c r="H12" s="7">
        <f>'Stats Global'!AF17</f>
        <v>2.1666666666666665</v>
      </c>
      <c r="I12" s="11">
        <f>'Stats Global'!AE17</f>
        <v>26</v>
      </c>
      <c r="J12" s="7">
        <f>'Stats Global'!AH17</f>
        <v>0.41666666666666669</v>
      </c>
      <c r="K12" s="11">
        <f>'Stats Global'!AG17</f>
        <v>5</v>
      </c>
      <c r="L12" s="2" t="s">
        <v>40</v>
      </c>
      <c r="M12" s="2" t="s">
        <v>36</v>
      </c>
      <c r="N12" s="2" t="s">
        <v>32</v>
      </c>
      <c r="O12" s="16" t="s">
        <v>153</v>
      </c>
      <c r="P12" s="16" t="s">
        <v>154</v>
      </c>
      <c r="T12" s="99" t="s">
        <v>190</v>
      </c>
      <c r="U12" s="11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09" t="s">
        <v>31</v>
      </c>
      <c r="D13" s="7">
        <f>'Stats Global'!AB18</f>
        <v>0.58333333333333337</v>
      </c>
      <c r="E13" s="11">
        <f>'Stats Global'!AA18</f>
        <v>7</v>
      </c>
      <c r="F13" s="7">
        <f>'Stats Global'!AD18</f>
        <v>8.3333333333333329E-2</v>
      </c>
      <c r="G13" s="11">
        <f>'Stats Global'!AC18</f>
        <v>1</v>
      </c>
      <c r="H13" s="7">
        <f>'Stats Global'!AF18</f>
        <v>0.5</v>
      </c>
      <c r="I13" s="11">
        <f>'Stats Global'!AE18</f>
        <v>6</v>
      </c>
      <c r="J13" s="7">
        <f>'Stats Global'!AH18</f>
        <v>0</v>
      </c>
      <c r="K13" s="11">
        <f>'Stats Global'!AG18</f>
        <v>0</v>
      </c>
      <c r="L13" s="2" t="s">
        <v>53</v>
      </c>
      <c r="M13" s="2" t="s">
        <v>33</v>
      </c>
      <c r="N13" s="16"/>
      <c r="T13" s="110" t="s">
        <v>197</v>
      </c>
      <c r="U13" s="11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200</v>
      </c>
      <c r="C14" s="144" t="s">
        <v>26</v>
      </c>
      <c r="D14" s="7">
        <f>'Stats Global'!AB19</f>
        <v>0.16666666666666666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0.16666666666666666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6" t="s">
        <v>211</v>
      </c>
      <c r="M14" s="2"/>
      <c r="N14" s="16"/>
      <c r="O14" s="16"/>
      <c r="P14" s="16"/>
      <c r="Q14" s="16"/>
      <c r="R14" s="16"/>
      <c r="S14" s="16"/>
      <c r="T14" s="145" t="s">
        <v>239</v>
      </c>
      <c r="U14" s="11" t="str">
        <f t="shared" ref="U14:U19" si="2">IF(C14="5 Musketeers", $X$3, IF(C14="Loose Gooses", $X$4, IF(C14="Wet Willies", $X$5, $X$6)))</f>
        <v>../Images/5M_Final.png</v>
      </c>
      <c r="V14" s="11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50" t="s">
        <v>31</v>
      </c>
      <c r="D15" s="7">
        <f>'Stats Global'!AB20</f>
        <v>0.81818181818181823</v>
      </c>
      <c r="E15" s="11">
        <f>'Stats Global'!AA20</f>
        <v>9</v>
      </c>
      <c r="F15" s="7">
        <f>'Stats Global'!AD20</f>
        <v>0.72727272727272729</v>
      </c>
      <c r="G15" s="11">
        <f>'Stats Global'!AC20</f>
        <v>8</v>
      </c>
      <c r="H15" s="7">
        <f>'Stats Global'!AF20</f>
        <v>9.0909090909090912E-2</v>
      </c>
      <c r="I15" s="11">
        <f>'Stats Global'!AE20</f>
        <v>1</v>
      </c>
      <c r="J15" s="7">
        <f>'Stats Global'!AH20</f>
        <v>0</v>
      </c>
      <c r="K15" s="11">
        <f>'Stats Global'!AG20</f>
        <v>0</v>
      </c>
      <c r="L15" s="2" t="s">
        <v>56</v>
      </c>
      <c r="M15" s="2" t="s">
        <v>33</v>
      </c>
      <c r="N15" s="16" t="s">
        <v>150</v>
      </c>
      <c r="O15" s="16" t="s">
        <v>151</v>
      </c>
      <c r="P15" s="16" t="s">
        <v>156</v>
      </c>
      <c r="Q15" s="16" t="s">
        <v>155</v>
      </c>
      <c r="T15" s="151" t="s">
        <v>238</v>
      </c>
      <c r="U15" s="11" t="str">
        <f t="shared" si="2"/>
        <v>../Images/WW_Final.png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09" t="s">
        <v>47</v>
      </c>
      <c r="D16" s="7">
        <f>'Stats Global'!AB21</f>
        <v>1.1666666666666667</v>
      </c>
      <c r="E16" s="11">
        <f>'Stats Global'!AA21</f>
        <v>14</v>
      </c>
      <c r="F16" s="7">
        <f>'Stats Global'!AD21</f>
        <v>0.75</v>
      </c>
      <c r="G16" s="11">
        <f>'Stats Global'!AC21</f>
        <v>9</v>
      </c>
      <c r="H16" s="7">
        <f>'Stats Global'!AF21</f>
        <v>0.25</v>
      </c>
      <c r="I16" s="11">
        <f>'Stats Global'!AE21</f>
        <v>3</v>
      </c>
      <c r="J16" s="7">
        <f>'Stats Global'!AH21</f>
        <v>8.3333333333333329E-2</v>
      </c>
      <c r="K16" s="11">
        <f>'Stats Global'!AG21</f>
        <v>1</v>
      </c>
      <c r="L16" s="2" t="s">
        <v>59</v>
      </c>
      <c r="M16" s="16" t="s">
        <v>147</v>
      </c>
      <c r="N16" s="16" t="s">
        <v>148</v>
      </c>
      <c r="O16" s="16" t="s">
        <v>156</v>
      </c>
      <c r="P16" s="16" t="s">
        <v>155</v>
      </c>
      <c r="Q16" s="16" t="s">
        <v>158</v>
      </c>
      <c r="T16" s="110" t="s">
        <v>196</v>
      </c>
      <c r="U16" s="11" t="str">
        <f t="shared" si="2"/>
        <v>../Images/LG_Final.png</v>
      </c>
      <c r="V16" s="1" t="str">
        <f t="shared" si="3"/>
        <v>../Images/Players/Chris.png</v>
      </c>
      <c r="X16" s="16" t="s">
        <v>93</v>
      </c>
    </row>
    <row r="17" spans="2:24" ht="14.25" customHeight="1" x14ac:dyDescent="0.45">
      <c r="B17" s="2" t="s">
        <v>61</v>
      </c>
      <c r="C17" s="2" t="s">
        <v>47</v>
      </c>
      <c r="D17" s="7">
        <f>'Stats Global'!AB22</f>
        <v>2.8333333333333335</v>
      </c>
      <c r="E17" s="11">
        <f>'Stats Global'!AA22</f>
        <v>34</v>
      </c>
      <c r="F17" s="7">
        <f>'Stats Global'!AD22</f>
        <v>1.4166666666666667</v>
      </c>
      <c r="G17" s="11">
        <f>'Stats Global'!AC22</f>
        <v>17</v>
      </c>
      <c r="H17" s="7">
        <f>'Stats Global'!AF22</f>
        <v>0.58333333333333337</v>
      </c>
      <c r="I17" s="11">
        <f>'Stats Global'!AE22</f>
        <v>7</v>
      </c>
      <c r="J17" s="7">
        <f>'Stats Global'!AH22</f>
        <v>0.41666666666666669</v>
      </c>
      <c r="K17" s="11">
        <f>'Stats Global'!AG22</f>
        <v>5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6" t="s">
        <v>153</v>
      </c>
      <c r="R17" s="16" t="s">
        <v>154</v>
      </c>
      <c r="S17" s="16" t="s">
        <v>158</v>
      </c>
      <c r="T17" s="98" t="s">
        <v>191</v>
      </c>
      <c r="U17" s="11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09" t="s">
        <v>31</v>
      </c>
      <c r="D18" s="7">
        <f>'Stats Global'!AB23</f>
        <v>8.3333333333333329E-2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8.3333333333333329E-2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2" t="s">
        <v>65</v>
      </c>
      <c r="M18" s="2" t="s">
        <v>33</v>
      </c>
      <c r="N18" s="16" t="s">
        <v>149</v>
      </c>
      <c r="T18" s="109" t="s">
        <v>197</v>
      </c>
      <c r="U18" s="11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44" t="s">
        <v>31</v>
      </c>
      <c r="D19" s="7">
        <f>'Stats Global'!AB24</f>
        <v>0.5714285714285714</v>
      </c>
      <c r="E19" s="11">
        <f>'Stats Global'!AA24</f>
        <v>4</v>
      </c>
      <c r="F19" s="7">
        <f>'Stats Global'!AD24</f>
        <v>0.5714285714285714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0</v>
      </c>
      <c r="K19" s="11">
        <f>'Stats Global'!AG24</f>
        <v>0</v>
      </c>
      <c r="L19" s="16" t="s">
        <v>155</v>
      </c>
      <c r="M19" s="16" t="s">
        <v>158</v>
      </c>
      <c r="T19" s="144" t="s">
        <v>238</v>
      </c>
      <c r="U19" s="11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7"/>
      <c r="F20" s="17"/>
      <c r="H20" s="17"/>
      <c r="I20" s="15"/>
      <c r="J20" s="17"/>
      <c r="K20" s="15"/>
      <c r="X20" s="2" t="s">
        <v>69</v>
      </c>
    </row>
    <row r="21" spans="2:24" ht="14.25" customHeight="1" x14ac:dyDescent="0.45">
      <c r="X21" s="16" t="s">
        <v>210</v>
      </c>
    </row>
    <row r="22" spans="2:24" ht="14.25" customHeight="1" x14ac:dyDescent="0.9">
      <c r="B22" s="158" t="s">
        <v>119</v>
      </c>
      <c r="C22" s="158"/>
      <c r="D22" s="97"/>
      <c r="X22" s="2" t="s">
        <v>70</v>
      </c>
    </row>
    <row r="23" spans="2:24" ht="14.25" customHeight="1" x14ac:dyDescent="0.9">
      <c r="B23" s="158"/>
      <c r="C23" s="158"/>
      <c r="D23" s="97"/>
      <c r="X23" s="2" t="s">
        <v>71</v>
      </c>
    </row>
    <row r="24" spans="2:24" ht="14.25" customHeight="1" x14ac:dyDescent="0.9">
      <c r="B24" s="16"/>
      <c r="C24" s="49"/>
      <c r="D24" s="49"/>
      <c r="W24" s="16"/>
      <c r="X24" s="2" t="s">
        <v>73</v>
      </c>
    </row>
    <row r="25" spans="2:24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" t="s">
        <v>74</v>
      </c>
    </row>
    <row r="26" spans="2:24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Gooses","Wet Willies","Wet Willies"],</v>
      </c>
      <c r="C26" s="16"/>
      <c r="D26" s="16"/>
      <c r="F26" s="49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2" t="s">
        <v>75</v>
      </c>
    </row>
    <row r="27" spans="2:24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"PPG":[0.25,1.09,3.17,0.75,1,0.5,0.5,1.33,1.7,3.58,0.58,0.17,0.82,1.17,2.83,0.08,0.57],</v>
      </c>
      <c r="C27" s="16"/>
      <c r="D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2:24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"TP":[3,12,19,6,10,5,6,8,17,43,7,1,9,14,34,1,4],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4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"FPG":[0,1.09,2.83,0.75,0.4,0.4,0.33,0,0.7,0.58,0.08,0,0.73,0.75,1.42,0,0.57],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4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"TF":[0,12,17,6,4,4,4,0,7,7,1,0,8,9,17,0,4],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4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"MPG":[0.25,0,0,0,0.4,0.1,0.17,0,0.6,2.17,0.5,0.17,0.09,0.25,0.58,0.08,0],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4" ht="14.25" customHeight="1" x14ac:dyDescent="0.45">
      <c r="B32" s="16" t="str">
        <f>I49&amp;":["&amp;I50&amp;I51&amp;I52&amp;I53&amp;I54&amp;I55&amp;I56&amp;I57&amp;I58&amp;I59&amp;I60&amp;I61&amp;I62&amp;I63&amp;I64&amp;I65&amp;I66&amp;"],"</f>
        <v>"TM":[3,0,0,0,4,1,2,0,6,26,6,1,1,3,7,1,0],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"TPG":[0,0,0.17,0,0.1,0,0,0.67,0.2,0.42,0,0,0,0.08,0.42,0,0],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"TT":[0,0,1,0,1,0,0,4,2,5,0,0,0,1,5,0,0],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Willies","Drafted by 5 Musketeers. Traded to Wet Willies"],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WW_Final.png","../Images/WW_Final.png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 t="shared" ref="L49:V49" si="4">CHAR(34)&amp;L2&amp;CHAR(34)</f>
        <v>"AccoladesOne"</v>
      </c>
      <c r="M49" s="17" t="str">
        <f t="shared" si="4"/>
        <v>"AccoladesTwo"</v>
      </c>
      <c r="N49" s="17" t="str">
        <f t="shared" si="4"/>
        <v>"AccoladesThree"</v>
      </c>
      <c r="O49" s="17" t="str">
        <f t="shared" si="4"/>
        <v>"AccoladesFour"</v>
      </c>
      <c r="P49" s="17" t="str">
        <f t="shared" si="4"/>
        <v>"AccoladesFive"</v>
      </c>
      <c r="Q49" s="17" t="str">
        <f t="shared" si="4"/>
        <v>"AccoladesSix"</v>
      </c>
      <c r="R49" s="17" t="str">
        <f t="shared" si="4"/>
        <v>"AccoladesSeven"</v>
      </c>
      <c r="S49" s="17" t="str">
        <f t="shared" si="4"/>
        <v>"AccoladesEight"</v>
      </c>
      <c r="T49" s="17" t="str">
        <f t="shared" si="4"/>
        <v>"History"</v>
      </c>
      <c r="U49" s="17" t="str">
        <f t="shared" si="4"/>
        <v>"TeamImage"</v>
      </c>
      <c r="V49" s="17" t="str">
        <f t="shared" si="4"/>
        <v>"PlayerImage"</v>
      </c>
      <c r="W49" s="16"/>
    </row>
    <row r="50" spans="2:23" ht="14.25" customHeight="1" x14ac:dyDescent="0.45">
      <c r="B50" s="17" t="str">
        <f t="shared" ref="B50:C65" si="5">CHAR(34)&amp;B3&amp;CHAR(34)&amp;","</f>
        <v>"Jasper Collier",</v>
      </c>
      <c r="C50" s="17" t="str">
        <f t="shared" si="5"/>
        <v>"Loose Gooses",</v>
      </c>
      <c r="D50" s="17" t="str">
        <f t="shared" ref="D50:D65" si="6">ROUND(D3,2)&amp;","</f>
        <v>0.25,</v>
      </c>
      <c r="E50" s="17" t="str">
        <f t="shared" ref="E50:E65" si="7">E3&amp;","</f>
        <v>3,</v>
      </c>
      <c r="F50" s="17" t="str">
        <f t="shared" ref="F50:F65" si="8">ROUND(F3,2)&amp;","</f>
        <v>0,</v>
      </c>
      <c r="G50" s="17" t="str">
        <f t="shared" ref="G50:G65" si="9">G3&amp;","</f>
        <v>0,</v>
      </c>
      <c r="H50" s="17" t="str">
        <f t="shared" ref="H50:H65" si="10">ROUND(H3,2)&amp;","</f>
        <v>0.25,</v>
      </c>
      <c r="I50" s="17" t="str">
        <f t="shared" ref="I50:I65" si="11">I3&amp;","</f>
        <v>3,</v>
      </c>
      <c r="J50" s="17" t="str">
        <f t="shared" ref="J50:J65" si="12">ROUND(J3,2)&amp;","</f>
        <v>0,</v>
      </c>
      <c r="K50" s="17" t="str">
        <f t="shared" ref="K50:K65" si="13">K3&amp;","</f>
        <v>0,</v>
      </c>
      <c r="L50" s="17" t="str">
        <f t="shared" ref="L50:V50" si="14">CHAR(34)&amp;L3&amp;CHAR(34)&amp;","</f>
        <v>"",</v>
      </c>
      <c r="M50" s="17" t="str">
        <f t="shared" si="14"/>
        <v>"",</v>
      </c>
      <c r="N50" s="17" t="str">
        <f t="shared" si="14"/>
        <v>"",</v>
      </c>
      <c r="O50" s="17" t="str">
        <f t="shared" si="14"/>
        <v>"",</v>
      </c>
      <c r="P50" s="17" t="str">
        <f t="shared" si="14"/>
        <v>"",</v>
      </c>
      <c r="Q50" s="17" t="str">
        <f t="shared" si="14"/>
        <v>"",</v>
      </c>
      <c r="R50" s="17" t="str">
        <f t="shared" si="14"/>
        <v>"",</v>
      </c>
      <c r="S50" s="17" t="str">
        <f t="shared" si="14"/>
        <v>"",</v>
      </c>
      <c r="T50" s="17" t="str">
        <f t="shared" si="14"/>
        <v>"Drafted by Loose Gooses",</v>
      </c>
      <c r="U50" s="17" t="str">
        <f t="shared" si="14"/>
        <v>"../Images/LG_Final.png",</v>
      </c>
      <c r="V50" s="17" t="str">
        <f t="shared" si="14"/>
        <v>"../Images/Players/Jasper.png",</v>
      </c>
    </row>
    <row r="51" spans="2:23" ht="14.25" customHeight="1" x14ac:dyDescent="0.45">
      <c r="B51" s="17" t="str">
        <f t="shared" si="5"/>
        <v>"Conor Farrington",</v>
      </c>
      <c r="C51" s="17" t="str">
        <f t="shared" si="5"/>
        <v>"Loose Gooses",</v>
      </c>
      <c r="D51" s="17" t="str">
        <f t="shared" si="6"/>
        <v>1.09,</v>
      </c>
      <c r="E51" s="17" t="str">
        <f t="shared" si="7"/>
        <v>12,</v>
      </c>
      <c r="F51" s="17" t="str">
        <f t="shared" si="8"/>
        <v>1.09,</v>
      </c>
      <c r="G51" s="17" t="str">
        <f t="shared" si="9"/>
        <v>12,</v>
      </c>
      <c r="H51" s="17" t="str">
        <f t="shared" si="10"/>
        <v>0,</v>
      </c>
      <c r="I51" s="17" t="str">
        <f t="shared" si="11"/>
        <v>0,</v>
      </c>
      <c r="J51" s="17" t="str">
        <f t="shared" si="12"/>
        <v>0,</v>
      </c>
      <c r="K51" s="17" t="str">
        <f t="shared" si="13"/>
        <v>0,</v>
      </c>
      <c r="L51" s="17" t="str">
        <f t="shared" ref="L51:V51" si="15">CHAR(34)&amp;L4&amp;CHAR(34)&amp;","</f>
        <v>"",</v>
      </c>
      <c r="M51" s="17" t="str">
        <f t="shared" si="15"/>
        <v>"",</v>
      </c>
      <c r="N51" s="17" t="str">
        <f t="shared" si="15"/>
        <v>"",</v>
      </c>
      <c r="O51" s="17" t="str">
        <f t="shared" si="15"/>
        <v>"",</v>
      </c>
      <c r="P51" s="17" t="str">
        <f t="shared" si="15"/>
        <v>"",</v>
      </c>
      <c r="Q51" s="17" t="str">
        <f t="shared" si="15"/>
        <v>"",</v>
      </c>
      <c r="R51" s="17" t="str">
        <f t="shared" si="15"/>
        <v>"",</v>
      </c>
      <c r="S51" s="17" t="str">
        <f t="shared" si="15"/>
        <v>"",</v>
      </c>
      <c r="T51" s="17" t="str">
        <f t="shared" si="15"/>
        <v>"Drafted by Loose Gooses",</v>
      </c>
      <c r="U51" s="17" t="str">
        <f t="shared" si="15"/>
        <v>"../Images/LG_Final.png",</v>
      </c>
      <c r="V51" s="17" t="str">
        <f t="shared" si="15"/>
        <v>"../Images/Players/Conor.png",</v>
      </c>
    </row>
    <row r="52" spans="2:23" ht="14.25" customHeight="1" x14ac:dyDescent="0.45">
      <c r="B52" s="17" t="str">
        <f t="shared" si="5"/>
        <v>"Alexander Galt",</v>
      </c>
      <c r="C52" s="17" t="str">
        <f t="shared" si="5"/>
        <v>"5 Musketeers",</v>
      </c>
      <c r="D52" s="17" t="str">
        <f t="shared" si="6"/>
        <v>3.17,</v>
      </c>
      <c r="E52" s="17" t="str">
        <f t="shared" si="7"/>
        <v>19,</v>
      </c>
      <c r="F52" s="17" t="str">
        <f t="shared" si="8"/>
        <v>2.83,</v>
      </c>
      <c r="G52" s="17" t="str">
        <f t="shared" si="9"/>
        <v>17,</v>
      </c>
      <c r="H52" s="17" t="str">
        <f t="shared" si="10"/>
        <v>0,</v>
      </c>
      <c r="I52" s="17" t="str">
        <f t="shared" si="11"/>
        <v>0,</v>
      </c>
      <c r="J52" s="17" t="str">
        <f t="shared" si="12"/>
        <v>0.17,</v>
      </c>
      <c r="K52" s="17" t="str">
        <f t="shared" si="13"/>
        <v>1,</v>
      </c>
      <c r="L52" s="17" t="str">
        <f t="shared" ref="L52:V52" si="16">CHAR(34)&amp;L5&amp;CHAR(34)&amp;","</f>
        <v>"All-Defence Team T1",</v>
      </c>
      <c r="M52" s="17" t="str">
        <f t="shared" si="16"/>
        <v>"Champion T1",</v>
      </c>
      <c r="N52" s="17" t="str">
        <f t="shared" si="16"/>
        <v>"All-Offence Team T2",</v>
      </c>
      <c r="O52" s="17" t="str">
        <f t="shared" si="16"/>
        <v>"All-Defence Team T2",</v>
      </c>
      <c r="P52" s="17" t="str">
        <f t="shared" si="16"/>
        <v>"",</v>
      </c>
      <c r="Q52" s="17" t="str">
        <f t="shared" si="16"/>
        <v>"",</v>
      </c>
      <c r="R52" s="17" t="str">
        <f t="shared" si="16"/>
        <v>"",</v>
      </c>
      <c r="S52" s="17" t="str">
        <f t="shared" si="16"/>
        <v>"",</v>
      </c>
      <c r="T52" s="17" t="str">
        <f t="shared" si="16"/>
        <v>"Retained by 5 Musketeers",</v>
      </c>
      <c r="U52" s="17" t="str">
        <f t="shared" si="16"/>
        <v>"../Images/5M_Final.png",</v>
      </c>
      <c r="V52" s="17" t="str">
        <f t="shared" si="16"/>
        <v>"../Images/Players/Alex.png",</v>
      </c>
    </row>
    <row r="53" spans="2:23" ht="14.25" customHeight="1" x14ac:dyDescent="0.45">
      <c r="B53" s="17" t="str">
        <f t="shared" si="5"/>
        <v>"Rudy Hoschke",</v>
      </c>
      <c r="C53" s="17" t="str">
        <f t="shared" si="5"/>
        <v>"Wet Willies",</v>
      </c>
      <c r="D53" s="17" t="str">
        <f t="shared" si="6"/>
        <v>0.75,</v>
      </c>
      <c r="E53" s="17" t="str">
        <f t="shared" si="7"/>
        <v>6,</v>
      </c>
      <c r="F53" s="17" t="str">
        <f t="shared" si="8"/>
        <v>0.75,</v>
      </c>
      <c r="G53" s="17" t="str">
        <f t="shared" si="9"/>
        <v>6,</v>
      </c>
      <c r="H53" s="17" t="str">
        <f t="shared" si="10"/>
        <v>0,</v>
      </c>
      <c r="I53" s="17" t="str">
        <f t="shared" si="11"/>
        <v>0,</v>
      </c>
      <c r="J53" s="17" t="str">
        <f t="shared" si="12"/>
        <v>0,</v>
      </c>
      <c r="K53" s="17" t="str">
        <f t="shared" si="13"/>
        <v>0,</v>
      </c>
      <c r="L53" s="17" t="str">
        <f t="shared" ref="L53:V53" si="17">CHAR(34)&amp;L6&amp;CHAR(34)&amp;","</f>
        <v>"All-Offence Team T1",</v>
      </c>
      <c r="M53" s="17" t="str">
        <f t="shared" si="17"/>
        <v>"All-Defence Team T1",</v>
      </c>
      <c r="N53" s="17" t="str">
        <f t="shared" si="17"/>
        <v>"Champion T1",</v>
      </c>
      <c r="O53" s="17" t="str">
        <f t="shared" si="17"/>
        <v>"All-Offence Team T2",</v>
      </c>
      <c r="P53" s="17" t="str">
        <f t="shared" si="17"/>
        <v>"All-Defence Team T2",</v>
      </c>
      <c r="Q53" s="17" t="str">
        <f t="shared" si="17"/>
        <v>"Scoring Champ T2",</v>
      </c>
      <c r="R53" s="17" t="str">
        <f t="shared" si="17"/>
        <v>"GM",</v>
      </c>
      <c r="S53" s="17" t="str">
        <f t="shared" si="17"/>
        <v>"",</v>
      </c>
      <c r="T53" s="17" t="str">
        <f t="shared" si="17"/>
        <v>"GM of Wet Willies",</v>
      </c>
      <c r="U53" s="17" t="str">
        <f t="shared" si="17"/>
        <v>"../Images/WW_Final.png",</v>
      </c>
      <c r="V53" s="17" t="str">
        <f t="shared" si="17"/>
        <v>"../Images/Players/Rudy.png",</v>
      </c>
    </row>
    <row r="54" spans="2:23" ht="14.25" customHeight="1" x14ac:dyDescent="0.45">
      <c r="B54" s="17" t="str">
        <f t="shared" si="5"/>
        <v>"Michael Iffland",</v>
      </c>
      <c r="C54" s="17" t="str">
        <f t="shared" si="5"/>
        <v>"Wet Willies",</v>
      </c>
      <c r="D54" s="17" t="str">
        <f t="shared" si="6"/>
        <v>1,</v>
      </c>
      <c r="E54" s="17" t="str">
        <f t="shared" si="7"/>
        <v>10,</v>
      </c>
      <c r="F54" s="17" t="str">
        <f t="shared" si="8"/>
        <v>0.4,</v>
      </c>
      <c r="G54" s="17" t="str">
        <f t="shared" si="9"/>
        <v>4,</v>
      </c>
      <c r="H54" s="17" t="str">
        <f t="shared" si="10"/>
        <v>0.4,</v>
      </c>
      <c r="I54" s="17" t="str">
        <f t="shared" si="11"/>
        <v>4,</v>
      </c>
      <c r="J54" s="17" t="str">
        <f t="shared" si="12"/>
        <v>0.1,</v>
      </c>
      <c r="K54" s="17" t="str">
        <f t="shared" si="13"/>
        <v>1,</v>
      </c>
      <c r="L54" s="17" t="str">
        <f t="shared" ref="L54:V54" si="18">CHAR(34)&amp;L7&amp;CHAR(34)&amp;","</f>
        <v>"Playmaker T1",</v>
      </c>
      <c r="M54" s="17" t="str">
        <f t="shared" si="18"/>
        <v>"Thirdman T1",</v>
      </c>
      <c r="N54" s="17" t="str">
        <f t="shared" si="18"/>
        <v>"All-Offence Team T2",</v>
      </c>
      <c r="O54" s="17" t="str">
        <f t="shared" si="18"/>
        <v>"All-2nd-Defence Team T2",</v>
      </c>
      <c r="P54" s="17" t="str">
        <f t="shared" si="18"/>
        <v>"",</v>
      </c>
      <c r="Q54" s="17" t="str">
        <f t="shared" si="18"/>
        <v>"",</v>
      </c>
      <c r="R54" s="17" t="str">
        <f t="shared" si="18"/>
        <v>"",</v>
      </c>
      <c r="S54" s="17" t="str">
        <f t="shared" si="18"/>
        <v>"",</v>
      </c>
      <c r="T54" s="17" t="str">
        <f t="shared" si="18"/>
        <v>"Retained by Wet Willies",</v>
      </c>
      <c r="U54" s="17" t="str">
        <f t="shared" si="18"/>
        <v>"../Images/WW_Final.png",</v>
      </c>
      <c r="V54" s="17" t="str">
        <f t="shared" si="18"/>
        <v>"../Images/Players/Michael.png",</v>
      </c>
    </row>
    <row r="55" spans="2:23" ht="14.25" customHeight="1" x14ac:dyDescent="0.45">
      <c r="B55" s="17" t="str">
        <f t="shared" si="5"/>
        <v>"Lukas Johnston",</v>
      </c>
      <c r="C55" s="17" t="str">
        <f t="shared" si="5"/>
        <v>"5 Musketeers",</v>
      </c>
      <c r="D55" s="17" t="str">
        <f t="shared" si="6"/>
        <v>0.5,</v>
      </c>
      <c r="E55" s="17" t="str">
        <f t="shared" si="7"/>
        <v>5,</v>
      </c>
      <c r="F55" s="17" t="str">
        <f t="shared" si="8"/>
        <v>0.4,</v>
      </c>
      <c r="G55" s="17" t="str">
        <f t="shared" si="9"/>
        <v>4,</v>
      </c>
      <c r="H55" s="17" t="str">
        <f t="shared" si="10"/>
        <v>0.1,</v>
      </c>
      <c r="I55" s="17" t="str">
        <f t="shared" si="11"/>
        <v>1,</v>
      </c>
      <c r="J55" s="17" t="str">
        <f t="shared" si="12"/>
        <v>0,</v>
      </c>
      <c r="K55" s="17" t="str">
        <f t="shared" si="13"/>
        <v>0,</v>
      </c>
      <c r="L55" s="17" t="str">
        <f t="shared" ref="L55:V55" si="19">CHAR(34)&amp;L8&amp;CHAR(34)&amp;","</f>
        <v>"MVP Runner Up T1",</v>
      </c>
      <c r="M55" s="17" t="str">
        <f t="shared" si="19"/>
        <v>"All-Offence Team T1",</v>
      </c>
      <c r="N55" s="17" t="str">
        <f t="shared" si="19"/>
        <v>"All-2nd-Offence Team T2",</v>
      </c>
      <c r="O55" s="17" t="str">
        <f t="shared" si="19"/>
        <v>"",</v>
      </c>
      <c r="P55" s="17" t="str">
        <f t="shared" si="19"/>
        <v>"",</v>
      </c>
      <c r="Q55" s="17" t="str">
        <f t="shared" si="19"/>
        <v>"",</v>
      </c>
      <c r="R55" s="17" t="str">
        <f t="shared" si="19"/>
        <v>"",</v>
      </c>
      <c r="S55" s="17" t="str">
        <f t="shared" si="19"/>
        <v>"",</v>
      </c>
      <c r="T55" s="17" t="str">
        <f t="shared" si="19"/>
        <v>"Drafted by Wet Willies. Traded to 5 Musketeers",</v>
      </c>
      <c r="U55" s="17" t="str">
        <f t="shared" si="19"/>
        <v>"../Images/5M_Final.png",</v>
      </c>
      <c r="V55" s="17" t="str">
        <f t="shared" si="19"/>
        <v>"../Images/Players/Lukas.png",</v>
      </c>
    </row>
    <row r="56" spans="2:23" ht="14.25" customHeight="1" x14ac:dyDescent="0.45">
      <c r="B56" s="17" t="str">
        <f t="shared" si="5"/>
        <v>"Sam James",</v>
      </c>
      <c r="C56" s="17" t="str">
        <f t="shared" si="5"/>
        <v>"5 Musketeers",</v>
      </c>
      <c r="D56" s="17" t="str">
        <f t="shared" si="6"/>
        <v>0.5,</v>
      </c>
      <c r="E56" s="17" t="str">
        <f t="shared" si="7"/>
        <v>6,</v>
      </c>
      <c r="F56" s="17" t="str">
        <f t="shared" si="8"/>
        <v>0.33,</v>
      </c>
      <c r="G56" s="17" t="str">
        <f t="shared" si="9"/>
        <v>4,</v>
      </c>
      <c r="H56" s="17" t="str">
        <f t="shared" si="10"/>
        <v>0.17,</v>
      </c>
      <c r="I56" s="17" t="str">
        <f t="shared" si="11"/>
        <v>2,</v>
      </c>
      <c r="J56" s="17" t="str">
        <f t="shared" si="12"/>
        <v>0,</v>
      </c>
      <c r="K56" s="17" t="str">
        <f t="shared" si="13"/>
        <v>0,</v>
      </c>
      <c r="L56" s="17" t="str">
        <f t="shared" ref="L56:V56" si="20">CHAR(34)&amp;L9&amp;CHAR(34)&amp;","</f>
        <v>"Miles Morales",</v>
      </c>
      <c r="M56" s="17" t="str">
        <f t="shared" si="20"/>
        <v>"Champion T2",</v>
      </c>
      <c r="N56" s="17" t="str">
        <f t="shared" si="20"/>
        <v>"",</v>
      </c>
      <c r="O56" s="17" t="str">
        <f t="shared" si="20"/>
        <v>"",</v>
      </c>
      <c r="P56" s="17" t="str">
        <f t="shared" si="20"/>
        <v>"",</v>
      </c>
      <c r="Q56" s="17" t="str">
        <f t="shared" si="20"/>
        <v>"",</v>
      </c>
      <c r="R56" s="17" t="str">
        <f t="shared" si="20"/>
        <v>"",</v>
      </c>
      <c r="S56" s="17" t="str">
        <f t="shared" si="20"/>
        <v>"",</v>
      </c>
      <c r="T56" s="17" t="str">
        <f t="shared" si="20"/>
        <v>"Drafted by 5 Musketeers",</v>
      </c>
      <c r="U56" s="17" t="str">
        <f t="shared" si="20"/>
        <v>"../Images/5M_Final.png",</v>
      </c>
      <c r="V56" s="17" t="str">
        <f t="shared" si="20"/>
        <v>"../Images/Players/SamJ.png",</v>
      </c>
    </row>
    <row r="57" spans="2:23" ht="14.25" customHeight="1" x14ac:dyDescent="0.45">
      <c r="B57" s="17" t="str">
        <f t="shared" si="5"/>
        <v>"Clarrie Jones",</v>
      </c>
      <c r="C57" s="17" t="str">
        <f t="shared" si="5"/>
        <v>"Wet Willies",</v>
      </c>
      <c r="D57" s="17" t="str">
        <f t="shared" si="6"/>
        <v>1.33,</v>
      </c>
      <c r="E57" s="17" t="str">
        <f t="shared" si="7"/>
        <v>8,</v>
      </c>
      <c r="F57" s="17" t="str">
        <f t="shared" si="8"/>
        <v>0,</v>
      </c>
      <c r="G57" s="17" t="str">
        <f t="shared" si="9"/>
        <v>0,</v>
      </c>
      <c r="H57" s="17" t="str">
        <f t="shared" si="10"/>
        <v>0,</v>
      </c>
      <c r="I57" s="17" t="str">
        <f t="shared" si="11"/>
        <v>0,</v>
      </c>
      <c r="J57" s="17" t="str">
        <f t="shared" si="12"/>
        <v>0.67,</v>
      </c>
      <c r="K57" s="17" t="str">
        <f t="shared" si="13"/>
        <v>4,</v>
      </c>
      <c r="L57" s="17" t="str">
        <f t="shared" ref="L57:V57" si="21">CHAR(34)&amp;L10&amp;CHAR(34)&amp;","</f>
        <v>"LTBO Manager",</v>
      </c>
      <c r="M57" s="17" t="str">
        <f t="shared" si="21"/>
        <v>"Champion T1",</v>
      </c>
      <c r="N57" s="17" t="str">
        <f t="shared" si="21"/>
        <v>"Finals MVP T1",</v>
      </c>
      <c r="O57" s="17" t="str">
        <f t="shared" si="21"/>
        <v>"Fifthman T2",</v>
      </c>
      <c r="P57" s="17" t="str">
        <f t="shared" si="21"/>
        <v>"All-2nd-Offence Team T2",</v>
      </c>
      <c r="Q57" s="17" t="str">
        <f t="shared" si="21"/>
        <v>"All-2nd-Defence Team T2",</v>
      </c>
      <c r="R57" s="17" t="str">
        <f t="shared" si="21"/>
        <v>"Champion T2",</v>
      </c>
      <c r="S57" s="17" t="str">
        <f t="shared" si="21"/>
        <v>"",</v>
      </c>
      <c r="T57" s="17" t="str">
        <f t="shared" si="21"/>
        <v>"Out due to injury. Signed by Wet Willies",</v>
      </c>
      <c r="U57" s="17" t="str">
        <f t="shared" si="21"/>
        <v>"../Images/WW_Final.png",</v>
      </c>
      <c r="V57" s="17" t="str">
        <f t="shared" si="21"/>
        <v>"../Images/Players/Clarrie.png",</v>
      </c>
    </row>
    <row r="58" spans="2:23" ht="14.25" customHeight="1" x14ac:dyDescent="0.45">
      <c r="B58" s="17" t="str">
        <f t="shared" si="5"/>
        <v>"William Kim",</v>
      </c>
      <c r="C58" s="17" t="str">
        <f t="shared" si="5"/>
        <v>"Loose Gooses",</v>
      </c>
      <c r="D58" s="17" t="str">
        <f t="shared" si="6"/>
        <v>1.7,</v>
      </c>
      <c r="E58" s="17" t="str">
        <f t="shared" si="7"/>
        <v>17,</v>
      </c>
      <c r="F58" s="17" t="str">
        <f t="shared" si="8"/>
        <v>0.7,</v>
      </c>
      <c r="G58" s="17" t="str">
        <f t="shared" si="9"/>
        <v>7,</v>
      </c>
      <c r="H58" s="17" t="str">
        <f t="shared" si="10"/>
        <v>0.6,</v>
      </c>
      <c r="I58" s="17" t="str">
        <f t="shared" si="11"/>
        <v>6,</v>
      </c>
      <c r="J58" s="17" t="str">
        <f t="shared" si="12"/>
        <v>0.2,</v>
      </c>
      <c r="K58" s="17" t="str">
        <f t="shared" si="13"/>
        <v>2,</v>
      </c>
      <c r="L58" s="17" t="str">
        <f t="shared" ref="L58:V58" si="22">CHAR(34)&amp;L11&amp;CHAR(34)&amp;","</f>
        <v>"MVP T1",</v>
      </c>
      <c r="M58" s="17" t="str">
        <f t="shared" si="22"/>
        <v>"All-Offence Team T1",</v>
      </c>
      <c r="N58" s="17" t="str">
        <f t="shared" si="22"/>
        <v>"All-Defence Team T1",</v>
      </c>
      <c r="O58" s="17" t="str">
        <f t="shared" si="22"/>
        <v>"All-2nd-Offence Team T2",</v>
      </c>
      <c r="P58" s="17" t="str">
        <f t="shared" si="22"/>
        <v>"All-Defence Team T2",</v>
      </c>
      <c r="Q58" s="17" t="str">
        <f t="shared" si="22"/>
        <v>"Champion T2",</v>
      </c>
      <c r="R58" s="17" t="str">
        <f t="shared" si="22"/>
        <v>"Finals MVP T2",</v>
      </c>
      <c r="S58" s="17" t="str">
        <f t="shared" si="22"/>
        <v>"",</v>
      </c>
      <c r="T58" s="17" t="str">
        <f t="shared" si="22"/>
        <v>"Retained by Loose Gooses",</v>
      </c>
      <c r="U58" s="17" t="str">
        <f t="shared" si="22"/>
        <v>"../Images/LG_Final.png",</v>
      </c>
      <c r="V58" s="17" t="str">
        <f t="shared" si="22"/>
        <v>"../Images/Players/Kimmy.png",</v>
      </c>
    </row>
    <row r="59" spans="2:23" ht="14.25" customHeight="1" x14ac:dyDescent="0.45">
      <c r="B59" s="17" t="str">
        <f t="shared" si="5"/>
        <v>"Samuel McConaghy",</v>
      </c>
      <c r="C59" s="17" t="str">
        <f t="shared" si="5"/>
        <v>"5 Musketeers",</v>
      </c>
      <c r="D59" s="17" t="str">
        <f t="shared" si="6"/>
        <v>3.58,</v>
      </c>
      <c r="E59" s="17" t="str">
        <f t="shared" si="7"/>
        <v>43,</v>
      </c>
      <c r="F59" s="17" t="str">
        <f t="shared" si="8"/>
        <v>0.58,</v>
      </c>
      <c r="G59" s="17" t="str">
        <f t="shared" si="9"/>
        <v>7,</v>
      </c>
      <c r="H59" s="17" t="str">
        <f t="shared" si="10"/>
        <v>2.17,</v>
      </c>
      <c r="I59" s="17" t="str">
        <f t="shared" si="11"/>
        <v>26,</v>
      </c>
      <c r="J59" s="17" t="str">
        <f t="shared" si="12"/>
        <v>0.42,</v>
      </c>
      <c r="K59" s="17" t="str">
        <f t="shared" si="13"/>
        <v>5,</v>
      </c>
      <c r="L59" s="17" t="str">
        <f t="shared" ref="L59:V59" si="23">CHAR(34)&amp;L12&amp;CHAR(34)&amp;","</f>
        <v>"GM",</v>
      </c>
      <c r="M59" s="17" t="str">
        <f t="shared" si="23"/>
        <v>"All-Offence Team T1",</v>
      </c>
      <c r="N59" s="17" t="str">
        <f t="shared" si="23"/>
        <v>"All-Defence Team T1",</v>
      </c>
      <c r="O59" s="17" t="str">
        <f t="shared" si="23"/>
        <v>"All-Offence Team T2",</v>
      </c>
      <c r="P59" s="17" t="str">
        <f t="shared" si="23"/>
        <v>"All-Defence Team T2",</v>
      </c>
      <c r="Q59" s="17" t="str">
        <f t="shared" si="23"/>
        <v>"",</v>
      </c>
      <c r="R59" s="17" t="str">
        <f t="shared" si="23"/>
        <v>"",</v>
      </c>
      <c r="S59" s="17" t="str">
        <f t="shared" si="23"/>
        <v>"",</v>
      </c>
      <c r="T59" s="17" t="str">
        <f t="shared" si="23"/>
        <v>"GM of 5 Musketeers",</v>
      </c>
      <c r="U59" s="17" t="str">
        <f t="shared" si="23"/>
        <v>"../Images/5M_Final.png",</v>
      </c>
      <c r="V59" s="17" t="str">
        <f t="shared" si="23"/>
        <v>"../Images/Players/SamM.png",</v>
      </c>
    </row>
    <row r="60" spans="2:23" ht="14.25" customHeight="1" x14ac:dyDescent="0.45">
      <c r="B60" s="17" t="str">
        <f t="shared" si="5"/>
        <v>"Ryan Pattemore",</v>
      </c>
      <c r="C60" s="17" t="str">
        <f t="shared" si="5"/>
        <v>"Wet Willies",</v>
      </c>
      <c r="D60" s="17" t="str">
        <f t="shared" si="6"/>
        <v>0.58,</v>
      </c>
      <c r="E60" s="17" t="str">
        <f t="shared" si="7"/>
        <v>7,</v>
      </c>
      <c r="F60" s="17" t="str">
        <f t="shared" si="8"/>
        <v>0.08,</v>
      </c>
      <c r="G60" s="17" t="str">
        <f t="shared" si="9"/>
        <v>1,</v>
      </c>
      <c r="H60" s="17" t="str">
        <f t="shared" si="10"/>
        <v>0.5,</v>
      </c>
      <c r="I60" s="17" t="str">
        <f t="shared" si="11"/>
        <v>6,</v>
      </c>
      <c r="J60" s="17" t="str">
        <f t="shared" si="12"/>
        <v>0,</v>
      </c>
      <c r="K60" s="17" t="str">
        <f t="shared" si="13"/>
        <v>0,</v>
      </c>
      <c r="L60" s="17" t="str">
        <f t="shared" ref="L60:V60" si="24">CHAR(34)&amp;L13&amp;CHAR(34)&amp;","</f>
        <v>"Perimeter T1",</v>
      </c>
      <c r="M60" s="17" t="str">
        <f t="shared" si="24"/>
        <v>"Champion T1",</v>
      </c>
      <c r="N60" s="17" t="str">
        <f t="shared" si="24"/>
        <v>"",</v>
      </c>
      <c r="O60" s="17" t="str">
        <f t="shared" si="24"/>
        <v>"",</v>
      </c>
      <c r="P60" s="17" t="str">
        <f t="shared" si="24"/>
        <v>"",</v>
      </c>
      <c r="Q60" s="17" t="str">
        <f t="shared" si="24"/>
        <v>"",</v>
      </c>
      <c r="R60" s="17" t="str">
        <f t="shared" si="24"/>
        <v>"",</v>
      </c>
      <c r="S60" s="17" t="str">
        <f t="shared" si="24"/>
        <v>"",</v>
      </c>
      <c r="T60" s="17" t="str">
        <f t="shared" si="24"/>
        <v>"Drafted by Wet Willies",</v>
      </c>
      <c r="U60" s="17" t="str">
        <f t="shared" si="24"/>
        <v>"../Images/WW_Final.png",</v>
      </c>
      <c r="V60" s="17" t="str">
        <f t="shared" si="24"/>
        <v>"../Images/Players/Ryan.png",</v>
      </c>
    </row>
    <row r="61" spans="2:23" ht="14.25" customHeight="1" x14ac:dyDescent="0.45">
      <c r="B61" s="17" t="str">
        <f t="shared" si="5"/>
        <v>"William Scott",</v>
      </c>
      <c r="C61" s="17" t="str">
        <f t="shared" si="5"/>
        <v>"5 Musketeers",</v>
      </c>
      <c r="D61" s="17" t="str">
        <f t="shared" si="6"/>
        <v>0.17,</v>
      </c>
      <c r="E61" s="17" t="str">
        <f t="shared" si="7"/>
        <v>1,</v>
      </c>
      <c r="F61" s="17" t="str">
        <f t="shared" si="8"/>
        <v>0,</v>
      </c>
      <c r="G61" s="17" t="str">
        <f t="shared" si="9"/>
        <v>0,</v>
      </c>
      <c r="H61" s="17" t="str">
        <f t="shared" si="10"/>
        <v>0.17,</v>
      </c>
      <c r="I61" s="17" t="str">
        <f t="shared" si="11"/>
        <v>1,</v>
      </c>
      <c r="J61" s="17" t="str">
        <f t="shared" si="12"/>
        <v>0,</v>
      </c>
      <c r="K61" s="17" t="str">
        <f t="shared" si="13"/>
        <v>0,</v>
      </c>
      <c r="L61" s="17" t="str">
        <f t="shared" ref="L61:V61" si="25">CHAR(34)&amp;L14&amp;CHAR(34)&amp;","</f>
        <v>"LTBO Photographer",</v>
      </c>
      <c r="M61" s="17" t="str">
        <f t="shared" si="25"/>
        <v>"",</v>
      </c>
      <c r="N61" s="17" t="str">
        <f t="shared" si="25"/>
        <v>"",</v>
      </c>
      <c r="O61" s="17" t="str">
        <f t="shared" si="25"/>
        <v>"",</v>
      </c>
      <c r="P61" s="17" t="str">
        <f t="shared" si="25"/>
        <v>"",</v>
      </c>
      <c r="Q61" s="17" t="str">
        <f t="shared" si="25"/>
        <v>"",</v>
      </c>
      <c r="R61" s="17" t="str">
        <f t="shared" si="25"/>
        <v>"",</v>
      </c>
      <c r="S61" s="17" t="str">
        <f t="shared" si="25"/>
        <v>"",</v>
      </c>
      <c r="T61" s="17" t="str">
        <f t="shared" si="25"/>
        <v>"Drafted by Wet Willies. Traded to 5 Musketeers",</v>
      </c>
      <c r="U61" s="17" t="str">
        <f t="shared" si="25"/>
        <v>"../Images/5M_Final.png",</v>
      </c>
      <c r="V61" s="17" t="str">
        <f t="shared" si="25"/>
        <v>"../Images/Players/Will.png",</v>
      </c>
    </row>
    <row r="62" spans="2:23" ht="14.25" customHeight="1" x14ac:dyDescent="0.45">
      <c r="B62" s="17" t="str">
        <f t="shared" si="5"/>
        <v>"Nicholas Szogi",</v>
      </c>
      <c r="C62" s="17" t="str">
        <f t="shared" si="5"/>
        <v>"Wet Willies",</v>
      </c>
      <c r="D62" s="17" t="str">
        <f t="shared" si="6"/>
        <v>0.82,</v>
      </c>
      <c r="E62" s="17" t="str">
        <f t="shared" si="7"/>
        <v>9,</v>
      </c>
      <c r="F62" s="17" t="str">
        <f t="shared" si="8"/>
        <v>0.73,</v>
      </c>
      <c r="G62" s="17" t="str">
        <f t="shared" si="9"/>
        <v>8,</v>
      </c>
      <c r="H62" s="17" t="str">
        <f t="shared" si="10"/>
        <v>0.09,</v>
      </c>
      <c r="I62" s="17" t="str">
        <f t="shared" si="11"/>
        <v>1,</v>
      </c>
      <c r="J62" s="17" t="str">
        <f t="shared" si="12"/>
        <v>0,</v>
      </c>
      <c r="K62" s="17" t="str">
        <f t="shared" si="13"/>
        <v>0,</v>
      </c>
      <c r="L62" s="17" t="str">
        <f t="shared" ref="L62:V62" si="26">CHAR(34)&amp;L15&amp;CHAR(34)&amp;","</f>
        <v>"The Biggest Bird",</v>
      </c>
      <c r="M62" s="17" t="str">
        <f t="shared" si="26"/>
        <v>"Champion T1",</v>
      </c>
      <c r="N62" s="17" t="str">
        <f t="shared" si="26"/>
        <v>"MVP Runner Up T2",</v>
      </c>
      <c r="O62" s="17" t="str">
        <f t="shared" si="26"/>
        <v>"X-Factor T2",</v>
      </c>
      <c r="P62" s="17" t="str">
        <f t="shared" si="26"/>
        <v>"All-2nd-Offence Team T2",</v>
      </c>
      <c r="Q62" s="17" t="str">
        <f t="shared" si="26"/>
        <v>"All-2nd-Defence Team T2",</v>
      </c>
      <c r="R62" s="17" t="str">
        <f t="shared" si="26"/>
        <v>"",</v>
      </c>
      <c r="S62" s="17" t="str">
        <f t="shared" si="26"/>
        <v>"",</v>
      </c>
      <c r="T62" s="17" t="str">
        <f t="shared" si="26"/>
        <v>"Drafted by 5 Musketeers. Traded to Wet Willies",</v>
      </c>
      <c r="U62" s="17" t="str">
        <f t="shared" si="26"/>
        <v>"../Images/WW_Final.png",</v>
      </c>
      <c r="V62" s="17" t="str">
        <f t="shared" si="26"/>
        <v>"../Images/Players/Nick.png",</v>
      </c>
    </row>
    <row r="63" spans="2:23" ht="14.25" customHeight="1" x14ac:dyDescent="0.45">
      <c r="B63" s="17" t="str">
        <f t="shared" si="5"/>
        <v>"Christopher Tomkinson",</v>
      </c>
      <c r="C63" s="17" t="str">
        <f t="shared" si="5"/>
        <v>"Loose Gooses",</v>
      </c>
      <c r="D63" s="17" t="str">
        <f t="shared" si="6"/>
        <v>1.17,</v>
      </c>
      <c r="E63" s="17" t="str">
        <f t="shared" si="7"/>
        <v>14,</v>
      </c>
      <c r="F63" s="17" t="str">
        <f t="shared" si="8"/>
        <v>0.75,</v>
      </c>
      <c r="G63" s="17" t="str">
        <f t="shared" si="9"/>
        <v>9,</v>
      </c>
      <c r="H63" s="17" t="str">
        <f t="shared" si="10"/>
        <v>0.25,</v>
      </c>
      <c r="I63" s="17" t="str">
        <f t="shared" si="11"/>
        <v>3,</v>
      </c>
      <c r="J63" s="17" t="str">
        <f t="shared" si="12"/>
        <v>0.08,</v>
      </c>
      <c r="K63" s="17" t="str">
        <f t="shared" si="13"/>
        <v>1,</v>
      </c>
      <c r="L63" s="17" t="str">
        <f t="shared" ref="L63:V63" si="27">CHAR(34)&amp;L16&amp;CHAR(34)&amp;","</f>
        <v>"MIP T1",</v>
      </c>
      <c r="M63" s="17" t="str">
        <f t="shared" si="27"/>
        <v>"MIP T2",</v>
      </c>
      <c r="N63" s="17" t="str">
        <f t="shared" si="27"/>
        <v>"MVP T2",</v>
      </c>
      <c r="O63" s="17" t="str">
        <f t="shared" si="27"/>
        <v>"All-2nd-Offence Team T2",</v>
      </c>
      <c r="P63" s="17" t="str">
        <f t="shared" si="27"/>
        <v>"All-2nd-Defence Team T2",</v>
      </c>
      <c r="Q63" s="17" t="str">
        <f t="shared" si="27"/>
        <v>"Champion T2",</v>
      </c>
      <c r="R63" s="17" t="str">
        <f t="shared" si="27"/>
        <v>"",</v>
      </c>
      <c r="S63" s="17" t="str">
        <f t="shared" si="27"/>
        <v>"",</v>
      </c>
      <c r="T63" s="17" t="str">
        <f t="shared" si="27"/>
        <v>"Drafted by Loose Gooses",</v>
      </c>
      <c r="U63" s="17" t="str">
        <f t="shared" si="27"/>
        <v>"../Images/LG_Final.png",</v>
      </c>
      <c r="V63" s="17" t="str">
        <f t="shared" si="27"/>
        <v>"../Images/Players/Chris.png",</v>
      </c>
    </row>
    <row r="64" spans="2:23" ht="14.25" customHeight="1" x14ac:dyDescent="0.45">
      <c r="B64" s="17" t="str">
        <f t="shared" si="5"/>
        <v>"Angus Walker",</v>
      </c>
      <c r="C64" s="17" t="str">
        <f t="shared" si="5"/>
        <v>"Loose Gooses",</v>
      </c>
      <c r="D64" s="17" t="str">
        <f t="shared" si="6"/>
        <v>2.83,</v>
      </c>
      <c r="E64" s="17" t="str">
        <f t="shared" si="7"/>
        <v>34,</v>
      </c>
      <c r="F64" s="17" t="str">
        <f t="shared" si="8"/>
        <v>1.42,</v>
      </c>
      <c r="G64" s="17" t="str">
        <f t="shared" si="9"/>
        <v>17,</v>
      </c>
      <c r="H64" s="17" t="str">
        <f t="shared" si="10"/>
        <v>0.58,</v>
      </c>
      <c r="I64" s="17" t="str">
        <f t="shared" si="11"/>
        <v>7,</v>
      </c>
      <c r="J64" s="17" t="str">
        <f t="shared" si="12"/>
        <v>0.42,</v>
      </c>
      <c r="K64" s="17" t="str">
        <f t="shared" si="13"/>
        <v>5,</v>
      </c>
      <c r="L64" s="17" t="str">
        <f t="shared" ref="L64:V64" si="28">CHAR(34)&amp;L17&amp;CHAR(34)&amp;","</f>
        <v>"LTBO CEO",</v>
      </c>
      <c r="M64" s="17" t="str">
        <f t="shared" si="28"/>
        <v>"GM",</v>
      </c>
      <c r="N64" s="17" t="str">
        <f t="shared" si="28"/>
        <v>"All-Offence Team T1",</v>
      </c>
      <c r="O64" s="17" t="str">
        <f t="shared" si="28"/>
        <v>"All-Defence Team T1",</v>
      </c>
      <c r="P64" s="17" t="str">
        <f t="shared" si="28"/>
        <v>"Scoring Champ T1",</v>
      </c>
      <c r="Q64" s="17" t="str">
        <f t="shared" si="28"/>
        <v>"All-Offence Team T2",</v>
      </c>
      <c r="R64" s="17" t="str">
        <f t="shared" si="28"/>
        <v>"All-Defence Team T2",</v>
      </c>
      <c r="S64" s="17" t="str">
        <f t="shared" si="28"/>
        <v>"Champion T2",</v>
      </c>
      <c r="T64" s="17" t="str">
        <f t="shared" si="28"/>
        <v>"GM of Loose Gooses",</v>
      </c>
      <c r="U64" s="17" t="str">
        <f t="shared" si="28"/>
        <v>"../Images/LG_Final.png",</v>
      </c>
      <c r="V64" s="17" t="str">
        <f t="shared" si="28"/>
        <v>"../Images/Players/Angus.png",</v>
      </c>
    </row>
    <row r="65" spans="2:22" ht="14.25" customHeight="1" x14ac:dyDescent="0.45">
      <c r="B65" s="17" t="str">
        <f t="shared" si="5"/>
        <v>"Willie Weekes",</v>
      </c>
      <c r="C65" s="17" t="str">
        <f t="shared" si="5"/>
        <v>"Wet Willies",</v>
      </c>
      <c r="D65" s="17" t="str">
        <f t="shared" si="6"/>
        <v>0.08,</v>
      </c>
      <c r="E65" s="17" t="str">
        <f t="shared" si="7"/>
        <v>1,</v>
      </c>
      <c r="F65" s="17" t="str">
        <f t="shared" si="8"/>
        <v>0,</v>
      </c>
      <c r="G65" s="17" t="str">
        <f t="shared" si="9"/>
        <v>0,</v>
      </c>
      <c r="H65" s="17" t="str">
        <f t="shared" si="10"/>
        <v>0.08,</v>
      </c>
      <c r="I65" s="17" t="str">
        <f t="shared" si="11"/>
        <v>1,</v>
      </c>
      <c r="J65" s="17" t="str">
        <f t="shared" si="12"/>
        <v>0,</v>
      </c>
      <c r="K65" s="17" t="str">
        <f t="shared" si="13"/>
        <v>0,</v>
      </c>
      <c r="L65" s="17" t="str">
        <f t="shared" ref="L65:V65" si="29">CHAR(34)&amp;L18&amp;CHAR(34)&amp;","</f>
        <v>"Teammate T1",</v>
      </c>
      <c r="M65" s="17" t="str">
        <f t="shared" si="29"/>
        <v>"Champion T1",</v>
      </c>
      <c r="N65" s="17" t="str">
        <f t="shared" si="29"/>
        <v>"Teammate T2",</v>
      </c>
      <c r="O65" s="17" t="str">
        <f t="shared" si="29"/>
        <v>"",</v>
      </c>
      <c r="P65" s="17" t="str">
        <f t="shared" si="29"/>
        <v>"",</v>
      </c>
      <c r="Q65" s="17" t="str">
        <f t="shared" si="29"/>
        <v>"",</v>
      </c>
      <c r="R65" s="17" t="str">
        <f t="shared" si="29"/>
        <v>"",</v>
      </c>
      <c r="S65" s="17" t="str">
        <f t="shared" si="29"/>
        <v>"",</v>
      </c>
      <c r="T65" s="17" t="str">
        <f t="shared" si="29"/>
        <v>"Drafted by Wet Willies",</v>
      </c>
      <c r="U65" s="17" t="str">
        <f t="shared" si="29"/>
        <v>"../Images/WW_Final.png",</v>
      </c>
      <c r="V65" s="17" t="str">
        <f t="shared" si="29"/>
        <v>"../Images/Players/Willie.png",</v>
      </c>
    </row>
    <row r="66" spans="2:22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0.56999999999999995</v>
      </c>
      <c r="E66" s="17">
        <f>E19</f>
        <v>4</v>
      </c>
      <c r="F66" s="17">
        <f>ROUND(F19,2)</f>
        <v>0.56999999999999995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0</v>
      </c>
      <c r="K66" s="17">
        <f>K19</f>
        <v>0</v>
      </c>
      <c r="L66" s="17" t="str">
        <f t="shared" ref="L66:V66" si="30">CHAR(34)&amp;L19&amp;CHAR(34)</f>
        <v>"All-2nd-Defence Team T2"</v>
      </c>
      <c r="M66" s="17" t="str">
        <f t="shared" si="30"/>
        <v>"Champion T2"</v>
      </c>
      <c r="N66" s="17" t="str">
        <f t="shared" si="30"/>
        <v>""</v>
      </c>
      <c r="O66" s="17" t="str">
        <f t="shared" si="30"/>
        <v>""</v>
      </c>
      <c r="P66" s="17" t="str">
        <f t="shared" si="30"/>
        <v>""</v>
      </c>
      <c r="Q66" s="17" t="str">
        <f t="shared" si="30"/>
        <v>""</v>
      </c>
      <c r="R66" s="17" t="str">
        <f t="shared" si="30"/>
        <v>""</v>
      </c>
      <c r="S66" s="17" t="str">
        <f t="shared" si="30"/>
        <v>""</v>
      </c>
      <c r="T66" s="17" t="str">
        <f t="shared" si="30"/>
        <v>"Drafted by 5 Musketeers. Traded to Wet Willies"</v>
      </c>
      <c r="U66" s="17" t="str">
        <f t="shared" si="30"/>
        <v>"../Images/WW_Final.png"</v>
      </c>
      <c r="V66" s="17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E1000"/>
  <sheetViews>
    <sheetView zoomScale="79" workbookViewId="0">
      <selection activeCell="C15" activeCellId="1" sqref="C11:E12 C15:E1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26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E1000"/>
  <sheetViews>
    <sheetView zoomScale="79" workbookViewId="0">
      <selection activeCell="C5" activeCellId="1" sqref="C9:F15 C5:F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26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1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1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1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47"/>
      <c r="AC23" s="147"/>
      <c r="AD23" s="147"/>
      <c r="AE23" s="147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1"/>
      <c r="AC24" s="147"/>
      <c r="AD24" s="147"/>
      <c r="AE24" s="147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1"/>
      <c r="AC25" s="147"/>
      <c r="AD25" s="147"/>
      <c r="AE25" s="147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1"/>
      <c r="AC26" s="147"/>
      <c r="AD26" s="147"/>
      <c r="AE26" s="147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1"/>
      <c r="AC27" s="147"/>
      <c r="AD27" s="147"/>
      <c r="AE27" s="147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1"/>
      <c r="AC28" s="147"/>
      <c r="AD28" s="147"/>
      <c r="AE28" s="147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2"/>
      <c r="AC29" s="147"/>
      <c r="AD29" s="147"/>
      <c r="AE29" s="147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2"/>
      <c r="AC30" s="147"/>
      <c r="AD30" s="147"/>
      <c r="AE30" s="147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2"/>
      <c r="AC31" s="147"/>
      <c r="AD31" s="147"/>
      <c r="AE31" s="147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2"/>
      <c r="AC32" s="147"/>
      <c r="AD32" s="147"/>
      <c r="AE32" s="147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2"/>
      <c r="AC33" s="147"/>
      <c r="AD33" s="147"/>
      <c r="AE33" s="147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3"/>
      <c r="AC34" s="147"/>
      <c r="AD34" s="147"/>
      <c r="AE34" s="147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3"/>
      <c r="AC35" s="147"/>
      <c r="AD35" s="147"/>
      <c r="AE35" s="147"/>
    </row>
    <row r="36" spans="2:31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3"/>
      <c r="AC36" s="147"/>
      <c r="AD36" s="147"/>
      <c r="AE36" s="147"/>
    </row>
    <row r="37" spans="2:31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3"/>
      <c r="AC37" s="147"/>
      <c r="AD37" s="147"/>
      <c r="AE37" s="147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3"/>
      <c r="AC38" s="147"/>
      <c r="AD38" s="147"/>
      <c r="AE38" s="147"/>
    </row>
    <row r="39" spans="2:31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33"/>
      <c r="AC39" s="147"/>
      <c r="AD39" s="147"/>
      <c r="AE39" s="147"/>
    </row>
    <row r="40" spans="2:31" ht="14.25" customHeight="1" x14ac:dyDescent="0.45">
      <c r="B40" s="73"/>
      <c r="S40" s="8"/>
      <c r="T40" s="8"/>
      <c r="U40" s="8"/>
      <c r="AB40" s="133"/>
      <c r="AC40" s="147"/>
      <c r="AD40" s="147"/>
      <c r="AE40" s="147"/>
    </row>
    <row r="41" spans="2:31" ht="14.25" customHeight="1" x14ac:dyDescent="0.9">
      <c r="R41" s="97"/>
      <c r="S41" s="97"/>
      <c r="T41" s="158" t="s">
        <v>119</v>
      </c>
      <c r="U41" s="158"/>
      <c r="V41" s="158"/>
    </row>
    <row r="42" spans="2:31" ht="14.25" customHeight="1" x14ac:dyDescent="0.9">
      <c r="R42" s="97"/>
      <c r="S42" s="97"/>
      <c r="T42" s="158"/>
      <c r="U42" s="158"/>
      <c r="V42" s="158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1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30"/>
      <c r="AC21" s="130"/>
      <c r="AD21" s="130"/>
      <c r="AE21" s="130"/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31"/>
      <c r="AC22" s="130"/>
      <c r="AD22" s="130"/>
      <c r="AE22" s="130"/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31"/>
      <c r="AC23" s="130"/>
      <c r="AD23" s="130"/>
      <c r="AE23" s="130"/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31"/>
      <c r="AC24" s="130"/>
      <c r="AD24" s="130"/>
      <c r="AE24" s="130"/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31"/>
      <c r="AC25" s="130"/>
      <c r="AD25" s="130"/>
      <c r="AE25" s="130"/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31"/>
      <c r="AC26" s="130"/>
      <c r="AD26" s="130"/>
      <c r="AE26" s="130"/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32"/>
      <c r="AC27" s="130"/>
      <c r="AD27" s="130"/>
      <c r="AE27" s="130"/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32"/>
      <c r="AC28" s="130"/>
      <c r="AD28" s="130"/>
      <c r="AE28" s="130"/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32"/>
      <c r="AC29" s="130"/>
      <c r="AD29" s="130"/>
      <c r="AE29" s="130"/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32"/>
      <c r="AC30" s="130"/>
      <c r="AD30" s="130"/>
      <c r="AE30" s="130"/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32"/>
      <c r="AC31" s="130"/>
      <c r="AD31" s="130"/>
      <c r="AE31" s="130"/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33"/>
      <c r="AC32" s="130"/>
      <c r="AD32" s="130"/>
      <c r="AE32" s="130"/>
    </row>
    <row r="33" spans="2:31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33"/>
      <c r="AC33" s="130"/>
      <c r="AD33" s="130"/>
      <c r="AE33" s="130"/>
    </row>
    <row r="34" spans="2:31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33"/>
      <c r="AC34" s="130"/>
      <c r="AD34" s="130"/>
      <c r="AE34" s="130"/>
    </row>
    <row r="35" spans="2:31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33"/>
      <c r="AC35" s="130"/>
      <c r="AD35" s="130"/>
      <c r="AE35" s="130"/>
    </row>
    <row r="36" spans="2:31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33"/>
      <c r="AC36" s="130"/>
      <c r="AD36" s="130"/>
      <c r="AE36" s="130"/>
    </row>
    <row r="37" spans="2:31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33"/>
      <c r="AC37" s="130"/>
      <c r="AD37" s="130"/>
      <c r="AE37" s="130"/>
    </row>
    <row r="38" spans="2:31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33"/>
      <c r="AC38" s="130"/>
      <c r="AD38" s="130"/>
      <c r="AE38" s="130"/>
    </row>
    <row r="39" spans="2:31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1" ht="14.25" customHeight="1" x14ac:dyDescent="0.45">
      <c r="B40" s="73"/>
      <c r="S40" s="8"/>
      <c r="T40" s="8"/>
      <c r="U40" s="8"/>
    </row>
    <row r="41" spans="2:31" ht="14.25" customHeight="1" x14ac:dyDescent="0.9">
      <c r="R41" s="97"/>
      <c r="S41" s="97"/>
      <c r="T41" s="158" t="s">
        <v>119</v>
      </c>
      <c r="U41" s="158"/>
      <c r="V41" s="158"/>
    </row>
    <row r="42" spans="2:31" ht="14.25" customHeight="1" x14ac:dyDescent="0.9">
      <c r="R42" s="97"/>
      <c r="S42" s="97"/>
      <c r="T42" s="158"/>
      <c r="U42" s="158"/>
      <c r="V42" s="158"/>
    </row>
    <row r="43" spans="2:31" ht="14.25" customHeight="1" x14ac:dyDescent="0.45">
      <c r="B43" s="16" t="s">
        <v>169</v>
      </c>
      <c r="T43" s="69" t="s">
        <v>167</v>
      </c>
    </row>
    <row r="44" spans="2:31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59" t="s">
        <v>218</v>
      </c>
      <c r="Y2" s="159"/>
      <c r="Z2" s="159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9" t="s">
        <v>221</v>
      </c>
      <c r="AD3" s="129" t="s">
        <v>222</v>
      </c>
      <c r="AE3" s="129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1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1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1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1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1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1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31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31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31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31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31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31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31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31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31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31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26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7"/>
      <c r="S41" s="97"/>
      <c r="T41" s="158" t="s">
        <v>119</v>
      </c>
      <c r="U41" s="158"/>
      <c r="V41" s="158"/>
    </row>
    <row r="42" spans="2:26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H7" zoomScale="55" zoomScaleNormal="55" workbookViewId="0">
      <selection activeCell="AB17" sqref="AB1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7" t="s">
        <v>72</v>
      </c>
      <c r="C4" s="107" t="s">
        <v>77</v>
      </c>
      <c r="D4" s="107" t="s">
        <v>78</v>
      </c>
      <c r="E4" s="107" t="s">
        <v>79</v>
      </c>
      <c r="F4" s="107" t="s">
        <v>170</v>
      </c>
      <c r="G4" s="107" t="s">
        <v>176</v>
      </c>
      <c r="H4" s="107" t="s">
        <v>177</v>
      </c>
      <c r="I4" s="107" t="s">
        <v>171</v>
      </c>
      <c r="J4" s="107" t="s">
        <v>178</v>
      </c>
      <c r="K4" s="107" t="s">
        <v>179</v>
      </c>
      <c r="L4" s="107" t="s">
        <v>172</v>
      </c>
      <c r="M4" s="107" t="s">
        <v>180</v>
      </c>
      <c r="N4" s="107" t="s">
        <v>181</v>
      </c>
      <c r="O4" s="107" t="s">
        <v>173</v>
      </c>
      <c r="P4" s="107" t="s">
        <v>174</v>
      </c>
      <c r="Q4" s="107" t="s">
        <v>175</v>
      </c>
      <c r="S4" s="3" t="s">
        <v>80</v>
      </c>
      <c r="Z4" t="s">
        <v>144</v>
      </c>
      <c r="AA4" s="134">
        <f>AA6/(20-AA5)</f>
        <v>0.66666666666666663</v>
      </c>
    </row>
    <row r="5" spans="1:55" ht="14.25" customHeight="1" x14ac:dyDescent="0.45">
      <c r="B5" s="120" t="str">
        <f>'Preseason 1'!B45</f>
        <v>11-July</v>
      </c>
      <c r="C5" s="120">
        <f>'Preseason 1'!C45</f>
        <v>12</v>
      </c>
      <c r="D5" s="120">
        <f>'Preseason 1'!D45</f>
        <v>5</v>
      </c>
      <c r="E5" s="120">
        <f>'Preseason 1'!E45</f>
        <v>0</v>
      </c>
      <c r="F5" s="120">
        <f>'Preseason 1'!F45</f>
        <v>5</v>
      </c>
      <c r="G5" s="120">
        <f>'Preseason 1'!G45</f>
        <v>0</v>
      </c>
      <c r="H5" s="120">
        <f>'Preseason 1'!H45</f>
        <v>6</v>
      </c>
      <c r="I5" s="120">
        <f>'Preseason 1'!I45</f>
        <v>0</v>
      </c>
      <c r="J5" s="120">
        <f>'Preseason 1'!J45</f>
        <v>2</v>
      </c>
      <c r="K5" s="120">
        <f>'Preseason 1'!K45</f>
        <v>6</v>
      </c>
      <c r="L5" s="120">
        <f>'Preseason 1'!L45</f>
        <v>12</v>
      </c>
      <c r="M5" s="120">
        <f>'Preseason 1'!M45</f>
        <v>3</v>
      </c>
      <c r="N5" s="120">
        <f>'Preseason 1'!N45</f>
        <v>0</v>
      </c>
      <c r="O5" s="120">
        <f>'Preseason 1'!O45</f>
        <v>2</v>
      </c>
      <c r="P5" s="120">
        <f>'Preseason 1'!P45</f>
        <v>1</v>
      </c>
      <c r="Q5" s="120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2</v>
      </c>
      <c r="AR5" s="60"/>
      <c r="AS5" s="60"/>
      <c r="AT5" s="60"/>
    </row>
    <row r="6" spans="1:55" ht="14.25" customHeight="1" x14ac:dyDescent="0.45">
      <c r="B6" s="120" t="str">
        <f>'Preseason 2'!B45</f>
        <v>12-July</v>
      </c>
      <c r="C6" s="120">
        <f>'Preseason 2'!C45</f>
        <v>15</v>
      </c>
      <c r="D6" s="120">
        <f>'Preseason 2'!D45</f>
        <v>9</v>
      </c>
      <c r="E6" s="120">
        <f>'Preseason 2'!E45</f>
        <v>2</v>
      </c>
      <c r="F6" s="120">
        <f>'Preseason 2'!F45</f>
        <v>9</v>
      </c>
      <c r="G6" s="120">
        <f>'Preseason 2'!G45</f>
        <v>1</v>
      </c>
      <c r="H6" s="120">
        <f>'Preseason 2'!H45</f>
        <v>7</v>
      </c>
      <c r="I6" s="120">
        <f>'Preseason 2'!I45</f>
        <v>2</v>
      </c>
      <c r="J6" s="120">
        <f>'Preseason 2'!J45</f>
        <v>4</v>
      </c>
      <c r="K6" s="120">
        <f>'Preseason 2'!K45</f>
        <v>8</v>
      </c>
      <c r="L6" s="120">
        <f>'Preseason 2'!L45</f>
        <v>15</v>
      </c>
      <c r="M6" s="120">
        <f>'Preseason 2'!M45</f>
        <v>5</v>
      </c>
      <c r="N6" s="120">
        <f>'Preseason 2'!N45</f>
        <v>1</v>
      </c>
      <c r="O6" s="120">
        <f>'Preseason 2'!O45</f>
        <v>2</v>
      </c>
      <c r="P6" s="120">
        <f>'Preseason 2'!P45</f>
        <v>1</v>
      </c>
      <c r="Q6" s="120">
        <f>'Preseason 2'!Q45</f>
        <v>3</v>
      </c>
      <c r="S6" s="4">
        <f>SUM(C8:E40)/COUNT(C8:C40)</f>
        <v>15.083333333333334</v>
      </c>
      <c r="T6" s="121">
        <f>AVERAGE(C8:C40)</f>
        <v>9.75</v>
      </c>
      <c r="U6" s="121">
        <f t="shared" ref="U6:V6" si="0">AVERAGE(D8:D40)</f>
        <v>3.4166666666666665</v>
      </c>
      <c r="V6" s="121">
        <f t="shared" si="0"/>
        <v>1.9166666666666667</v>
      </c>
      <c r="Z6" s="69" t="s">
        <v>166</v>
      </c>
      <c r="AA6" s="8">
        <f>AA47+AA67+AL27+AL47+AL67+AA87+AL87</f>
        <v>12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9</v>
      </c>
    </row>
    <row r="7" spans="1:55" ht="14.25" customHeight="1" x14ac:dyDescent="0.45">
      <c r="B7" s="120" t="str">
        <f>'Preseason 3'!B45</f>
        <v>13-July</v>
      </c>
      <c r="C7" s="120">
        <f>'Preseason 3'!C45</f>
        <v>8</v>
      </c>
      <c r="D7" s="120">
        <f>'Preseason 3'!D45</f>
        <v>4</v>
      </c>
      <c r="E7" s="120">
        <f>'Preseason 3'!E45</f>
        <v>1</v>
      </c>
      <c r="F7" s="120">
        <f>'Preseason 3'!F45</f>
        <v>8</v>
      </c>
      <c r="G7" s="120">
        <f>'Preseason 3'!G45</f>
        <v>2</v>
      </c>
      <c r="H7" s="120">
        <f>'Preseason 3'!H45</f>
        <v>0</v>
      </c>
      <c r="I7" s="120">
        <f>'Preseason 3'!I45</f>
        <v>4</v>
      </c>
      <c r="J7" s="120">
        <f>'Preseason 3'!J45</f>
        <v>4</v>
      </c>
      <c r="K7" s="120">
        <f>'Preseason 3'!K45</f>
        <v>1</v>
      </c>
      <c r="L7" s="120">
        <f>'Preseason 3'!L45</f>
        <v>1</v>
      </c>
      <c r="M7" s="120">
        <f>'Preseason 3'!M45</f>
        <v>4</v>
      </c>
      <c r="N7" s="120">
        <f>'Preseason 3'!N45</f>
        <v>2</v>
      </c>
      <c r="O7" s="120">
        <f>'Preseason 3'!O45</f>
        <v>3</v>
      </c>
      <c r="P7" s="120">
        <f>'Preseason 3'!P45</f>
        <v>2</v>
      </c>
      <c r="Q7" s="120">
        <f>'Preseason 3'!Q45</f>
        <v>1</v>
      </c>
      <c r="S7" s="3" t="s">
        <v>83</v>
      </c>
      <c r="T7" s="5">
        <f>T6/$S$6</f>
        <v>0.64640883977900554</v>
      </c>
      <c r="U7" s="5">
        <f>U6/$S$6</f>
        <v>0.22651933701657456</v>
      </c>
      <c r="V7" s="5">
        <f>V6/$S$6</f>
        <v>0.1270718232044199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41"/>
      <c r="AR7" s="142" t="s">
        <v>231</v>
      </c>
      <c r="AS7" s="59" t="s">
        <v>232</v>
      </c>
      <c r="AT7" s="152" t="s">
        <v>260</v>
      </c>
      <c r="AU7" s="154" t="s">
        <v>261</v>
      </c>
      <c r="AW7" s="2" t="s">
        <v>4</v>
      </c>
      <c r="AX7" s="149" t="s">
        <v>245</v>
      </c>
      <c r="AY7" s="149" t="s">
        <v>246</v>
      </c>
      <c r="AZ7" s="149" t="s">
        <v>247</v>
      </c>
      <c r="BA7" s="149" t="s">
        <v>248</v>
      </c>
      <c r="BB7" s="149" t="s">
        <v>249</v>
      </c>
      <c r="BC7" s="149" t="s">
        <v>250</v>
      </c>
    </row>
    <row r="8" spans="1:55" ht="14.25" customHeight="1" x14ac:dyDescent="0.45">
      <c r="A8" s="73"/>
      <c r="B8" s="117" t="str">
        <f>'1707'!B45</f>
        <v>17-July</v>
      </c>
      <c r="C8" s="117">
        <f>'1707'!C45</f>
        <v>8</v>
      </c>
      <c r="D8" s="117">
        <f>'1707'!D45</f>
        <v>3</v>
      </c>
      <c r="E8" s="117">
        <f>'1707'!E45</f>
        <v>2</v>
      </c>
      <c r="F8" s="117">
        <f>'1707'!F45</f>
        <v>8</v>
      </c>
      <c r="G8" s="117">
        <f>'1707'!G45</f>
        <v>0</v>
      </c>
      <c r="H8" s="117">
        <f>'1707'!H45</f>
        <v>3</v>
      </c>
      <c r="I8" s="117">
        <f>'1707'!I45</f>
        <v>2</v>
      </c>
      <c r="J8" s="117">
        <f>'1707'!J45</f>
        <v>5</v>
      </c>
      <c r="K8" s="117">
        <f>'1707'!K45</f>
        <v>0</v>
      </c>
      <c r="L8" s="117">
        <f>'1707'!L45</f>
        <v>3</v>
      </c>
      <c r="M8" s="117">
        <f>'1707'!M45</f>
        <v>3</v>
      </c>
      <c r="N8" s="117">
        <f>'1707'!N45</f>
        <v>2</v>
      </c>
      <c r="O8" s="117">
        <f>'1707'!O45</f>
        <v>3</v>
      </c>
      <c r="P8" s="117">
        <f>'1707'!P45</f>
        <v>1</v>
      </c>
      <c r="Q8" s="117">
        <f>'1707'!Q45</f>
        <v>2</v>
      </c>
      <c r="Z8" s="63" t="s">
        <v>45</v>
      </c>
      <c r="AA8" s="64">
        <f t="shared" ref="AA8:AA24" si="1">SUM(AL29,AA49,AL49,AA69,AL69,AA89,AL89)</f>
        <v>3</v>
      </c>
      <c r="AB8" s="65">
        <f>IF($AA$6-Table1[[#This Row],[Missed Games]]=0, 0,Table1[[#This Row],[Points]]/($AA$6-Table1[[#This Row],[Missed Games]]))</f>
        <v>0.25</v>
      </c>
      <c r="AC8" s="66">
        <f t="shared" ref="AC8:AC24" si="2">SUM(AM29,AB49,AM49,AB69,AM69,AB89,AM89)</f>
        <v>0</v>
      </c>
      <c r="AD8" s="67">
        <f>IF($AA$6-Table1[[#This Row],[Missed Games]]=0, 0,Table1[[#This Row],[Finishes]]/($AA$6-Table1[[#This Row],[Missed Games]]))</f>
        <v>0</v>
      </c>
      <c r="AE8" s="66">
        <f t="shared" ref="AE8:AE24" si="3">SUM(AN29,AC49,AN49,AC69,AN69,AC89,AN89)</f>
        <v>3</v>
      </c>
      <c r="AF8" s="67">
        <f>IF($AA$6-Table1[[#This Row],[Missed Games]]=0, 0,Table1[[#This Row],[Midranges]]/($AA$6-Table1[[#This Row],[Missed Games]]))</f>
        <v>0.25</v>
      </c>
      <c r="AG8" s="66">
        <f t="shared" ref="AG8:AG24" si="4">SUM(AO29,AD49,AO49,AD69,AO69,AD89,AO89)</f>
        <v>0</v>
      </c>
      <c r="AH8" s="67">
        <f>IF($AA$6-Table1[[#This Row],[Missed Games]]=0, 0,Table1[[#This Row],[Threes]]/($AA$6-Table1[[#This Row],[Missed Games]]))</f>
        <v>0</v>
      </c>
      <c r="AI8" s="63" t="str">
        <f>SfW!C3</f>
        <v>Loose Gooses</v>
      </c>
      <c r="AJ8" s="68">
        <f t="shared" ref="AJ8:AJ24" si="5">SUM(AT29,AI49,AT49,AI69,AT69,AI89,AT89)</f>
        <v>0</v>
      </c>
      <c r="AK8" s="62"/>
      <c r="AL8" s="128" t="s">
        <v>0</v>
      </c>
      <c r="AM8" s="127">
        <f>AVERAGE(Table1[Average])</f>
        <v>1.1821874204227145</v>
      </c>
      <c r="AN8" s="127">
        <f>MEDIAN(Table1[Average])</f>
        <v>0.81818181818181823</v>
      </c>
      <c r="AO8" s="36"/>
      <c r="AP8" s="18">
        <f>_xlfn.CEILING.MATH('[1]Stats Global'!R8*(20-$AA$5-$AJ8))</f>
        <v>8</v>
      </c>
      <c r="AQ8" s="27">
        <f>Table1[[#This Row],[Points]]/AP8</f>
        <v>0.375</v>
      </c>
      <c r="AR8" s="137">
        <f>AP8-Table1[[#This Row],[Points]]</f>
        <v>5</v>
      </c>
      <c r="AS8" s="143">
        <f>Table1[[#This Row],[Points]]/(20-AA$5-Table1[[#This Row],[Missed Games]])</f>
        <v>0.16666666666666666</v>
      </c>
      <c r="AT8" s="153">
        <f>Table1[[#This Row],[Average]]-'[1]Stats Global'!R8</f>
        <v>-0.16176470588235292</v>
      </c>
      <c r="AU8" s="27">
        <f>(Table1[[#This Row],[Average]]-'[1]Stats Global'!R8)/'[1]Stats Global'!R8</f>
        <v>-0.39285714285714285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0.33333333333333331</v>
      </c>
      <c r="BB8" s="16">
        <f>Table4[[#This Row],[Total A]]/$AX$6</f>
        <v>0.1111111111111111</v>
      </c>
      <c r="BC8" s="16">
        <f>Table4[[#This Row],[Total S]]/$AX$6</f>
        <v>0.33333333333333331</v>
      </c>
    </row>
    <row r="9" spans="1:55" ht="14.25" customHeight="1" x14ac:dyDescent="0.45">
      <c r="A9" s="73"/>
      <c r="B9" s="117" t="str">
        <f>'1807'!B45</f>
        <v>18-July</v>
      </c>
      <c r="C9" s="117">
        <f>'1807'!C45</f>
        <v>12</v>
      </c>
      <c r="D9" s="117">
        <f>'1807'!D45</f>
        <v>1</v>
      </c>
      <c r="E9" s="117">
        <f>'1807'!E45</f>
        <v>1</v>
      </c>
      <c r="F9" s="117">
        <f>'1807'!F45</f>
        <v>12</v>
      </c>
      <c r="G9" s="117">
        <f>'1807'!G45</f>
        <v>1</v>
      </c>
      <c r="H9" s="117">
        <f>'1807'!H45</f>
        <v>0</v>
      </c>
      <c r="I9" s="117">
        <f>'1807'!I45</f>
        <v>1</v>
      </c>
      <c r="J9" s="117">
        <f>'1807'!J45</f>
        <v>6</v>
      </c>
      <c r="K9" s="117">
        <f>'1807'!K45</f>
        <v>1</v>
      </c>
      <c r="L9" s="117">
        <f>'1807'!L45</f>
        <v>1</v>
      </c>
      <c r="M9" s="117">
        <f>'1807'!M45</f>
        <v>6</v>
      </c>
      <c r="N9" s="117">
        <f>'1807'!N45</f>
        <v>0</v>
      </c>
      <c r="O9" s="117">
        <f>'1807'!O45</f>
        <v>3</v>
      </c>
      <c r="P9" s="117">
        <f>'1807'!P45</f>
        <v>1</v>
      </c>
      <c r="Q9" s="117">
        <f>'1807'!Q45</f>
        <v>2</v>
      </c>
      <c r="Z9" s="63" t="s">
        <v>49</v>
      </c>
      <c r="AA9" s="64">
        <f t="shared" si="1"/>
        <v>12</v>
      </c>
      <c r="AB9" s="65">
        <f>IF($AA$6-Table1[[#This Row],[Missed Games]]=0, 0,Table1[[#This Row],[Points]]/($AA$6-Table1[[#This Row],[Missed Games]]))</f>
        <v>1.0909090909090908</v>
      </c>
      <c r="AC9" s="66">
        <f t="shared" si="2"/>
        <v>12</v>
      </c>
      <c r="AD9" s="67">
        <f>IF($AA$6-Table1[[#This Row],[Missed Games]]=0, 0,Table1[[#This Row],[Finishes]]/($AA$6-Table1[[#This Row],[Missed Games]]))</f>
        <v>1.0909090909090908</v>
      </c>
      <c r="AE9" s="66">
        <f t="shared" si="3"/>
        <v>0</v>
      </c>
      <c r="AF9" s="67">
        <f>IF($AA$6-Table1[[#This Row],[Missed Games]]=0, 0,Table1[[#This Row],[Midranges]]/($AA$6-Table1[[#This Row],[Missed Games]]))</f>
        <v>0</v>
      </c>
      <c r="AG9" s="66">
        <f t="shared" si="4"/>
        <v>0</v>
      </c>
      <c r="AH9" s="67">
        <f>IF($AA$6-Table1[[#This Row],[Missed Games]]=0, 0,Table1[[#This Row],[Threes]]/($AA$6-Table1[[#This Row],[Missed Games]]))</f>
        <v>0</v>
      </c>
      <c r="AI9" s="63" t="str">
        <f>SfW!C4</f>
        <v>Loose Gooses</v>
      </c>
      <c r="AJ9" s="68">
        <f t="shared" si="5"/>
        <v>1</v>
      </c>
      <c r="AK9" s="62"/>
      <c r="AL9" s="128" t="s">
        <v>1</v>
      </c>
      <c r="AM9" s="127">
        <f>AVERAGE(Table1[Finishes])</f>
        <v>5.882352941176471</v>
      </c>
      <c r="AN9" s="127">
        <f>MEDIAN(Table1[Finishes])</f>
        <v>4</v>
      </c>
      <c r="AO9" s="138"/>
      <c r="AP9" s="18">
        <f>_xlfn.CEILING.MATH('[1]Stats Global'!R9*(20-$AA$5-$AJ9))</f>
        <v>11</v>
      </c>
      <c r="AQ9" s="27">
        <f>Table1[[#This Row],[Points]]/AP9</f>
        <v>1.0909090909090908</v>
      </c>
      <c r="AR9" s="137">
        <f>AP9-Table1[[#This Row],[Points]]</f>
        <v>-1</v>
      </c>
      <c r="AS9" s="143">
        <f>Table1[[#This Row],[Points]]/(20-AA$5-Table1[[#This Row],[Missed Games]])</f>
        <v>0.70588235294117652</v>
      </c>
      <c r="AT9" s="153">
        <f>Table1[[#This Row],[Average]]-'[1]Stats Global'!R9</f>
        <v>0.49090909090909085</v>
      </c>
      <c r="AU9" s="27">
        <f>(Table1[[#This Row],[Average]]-'[1]Stats Global'!R9)/'[1]Stats Global'!R9</f>
        <v>0.81818181818181812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1.4444444444444444</v>
      </c>
      <c r="BB9" s="16">
        <f>Table4[[#This Row],[Total A]]/$AX$6</f>
        <v>0</v>
      </c>
      <c r="BC9" s="16">
        <f>Table4[[#This Row],[Total S]]/$AX$6</f>
        <v>0.33333333333333331</v>
      </c>
    </row>
    <row r="10" spans="1:55" ht="14.25" customHeight="1" x14ac:dyDescent="0.45">
      <c r="A10" s="73"/>
      <c r="B10" s="117" t="str">
        <f>'1907'!B45</f>
        <v>19-July</v>
      </c>
      <c r="C10" s="117">
        <f>'1907'!C45</f>
        <v>15</v>
      </c>
      <c r="D10" s="117">
        <f>'1907'!D45</f>
        <v>0</v>
      </c>
      <c r="E10" s="117">
        <f>'1907'!E45</f>
        <v>0</v>
      </c>
      <c r="F10" s="117">
        <f>'1907'!F45</f>
        <v>15</v>
      </c>
      <c r="G10" s="117">
        <f>'1907'!G45</f>
        <v>0</v>
      </c>
      <c r="H10" s="117">
        <f>'1907'!H45</f>
        <v>0</v>
      </c>
      <c r="I10" s="117">
        <f>'1907'!I45</f>
        <v>0</v>
      </c>
      <c r="J10" s="117">
        <f>'1907'!J45</f>
        <v>8</v>
      </c>
      <c r="K10" s="117">
        <f>'1907'!K45</f>
        <v>0</v>
      </c>
      <c r="L10" s="117">
        <f>'1907'!L45</f>
        <v>0</v>
      </c>
      <c r="M10" s="117">
        <f>'1907'!M45</f>
        <v>7</v>
      </c>
      <c r="N10" s="117">
        <f>'1907'!N45</f>
        <v>0</v>
      </c>
      <c r="O10" s="117">
        <f>'1907'!O45</f>
        <v>3</v>
      </c>
      <c r="P10" s="117">
        <f>'1907'!P45</f>
        <v>1</v>
      </c>
      <c r="Q10" s="117">
        <f>'1907'!Q45</f>
        <v>2</v>
      </c>
      <c r="Z10" s="63" t="s">
        <v>51</v>
      </c>
      <c r="AA10" s="64">
        <f t="shared" si="1"/>
        <v>19</v>
      </c>
      <c r="AB10" s="65">
        <f>IF($AA$6-Table1[[#This Row],[Missed Games]]=0, 0,Table1[[#This Row],[Points]]/($AA$6-Table1[[#This Row],[Missed Games]]))</f>
        <v>3.1666666666666665</v>
      </c>
      <c r="AC10" s="66">
        <f t="shared" si="2"/>
        <v>17</v>
      </c>
      <c r="AD10" s="67">
        <f>IF($AA$6-Table1[[#This Row],[Missed Games]]=0, 0,Table1[[#This Row],[Finishes]]/($AA$6-Table1[[#This Row],[Missed Games]]))</f>
        <v>2.8333333333333335</v>
      </c>
      <c r="AE10" s="66">
        <f t="shared" si="3"/>
        <v>0</v>
      </c>
      <c r="AF10" s="67">
        <f>IF($AA$6-Table1[[#This Row],[Missed Games]]=0, 0,Table1[[#This Row],[Midranges]]/($AA$6-Table1[[#This Row],[Missed Games]]))</f>
        <v>0</v>
      </c>
      <c r="AG10" s="66">
        <f t="shared" si="4"/>
        <v>1</v>
      </c>
      <c r="AH10" s="67">
        <f>IF($AA$6-Table1[[#This Row],[Missed Games]]=0, 0,Table1[[#This Row],[Threes]]/($AA$6-Table1[[#This Row],[Missed Games]]))</f>
        <v>0.16666666666666666</v>
      </c>
      <c r="AI10" s="63" t="str">
        <f>SfW!C5</f>
        <v>5 Musketeers</v>
      </c>
      <c r="AJ10" s="68">
        <f t="shared" si="5"/>
        <v>6</v>
      </c>
      <c r="AK10" s="62"/>
      <c r="AL10" s="128" t="s">
        <v>219</v>
      </c>
      <c r="AM10" s="127">
        <f>AVERAGE(Table1[Midranges])</f>
        <v>3.5882352941176472</v>
      </c>
      <c r="AN10" s="127">
        <f>MEDIAN(Table1[Midranges])</f>
        <v>1</v>
      </c>
      <c r="AO10" s="36"/>
      <c r="AP10" s="18">
        <f>_xlfn.CEILING.MATH('[1]Stats Global'!R10*(20-$AA$5-$AJ10))</f>
        <v>38</v>
      </c>
      <c r="AQ10" s="27">
        <f>Table1[[#This Row],[Points]]/AP10</f>
        <v>0.5</v>
      </c>
      <c r="AR10" s="137">
        <f>AP10-Table1[[#This Row],[Points]]</f>
        <v>19</v>
      </c>
      <c r="AS10" s="143">
        <f>Table1[[#This Row],[Points]]/(20-AA$5-Table1[[#This Row],[Missed Games]])</f>
        <v>1.5833333333333333</v>
      </c>
      <c r="AT10" s="153">
        <f>Table1[[#This Row],[Average]]-'[1]Stats Global'!R10</f>
        <v>2.3809523809523725E-2</v>
      </c>
      <c r="AU10" s="27">
        <f>(Table1[[#This Row],[Average]]-'[1]Stats Global'!R10)/'[1]Stats Global'!R10</f>
        <v>7.5757575757575491E-3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0.55555555555555558</v>
      </c>
      <c r="BB10" s="16">
        <f>Table4[[#This Row],[Total A]]/$AX$6</f>
        <v>0.33333333333333331</v>
      </c>
      <c r="BC10" s="16">
        <f>Table4[[#This Row],[Total S]]/$AX$6</f>
        <v>0.22222222222222221</v>
      </c>
    </row>
    <row r="11" spans="1:55" ht="14.25" customHeight="1" x14ac:dyDescent="0.45">
      <c r="A11" s="73"/>
      <c r="B11" s="117" t="str">
        <f>'2007'!B45</f>
        <v>20-July</v>
      </c>
      <c r="C11" s="117">
        <f>'2007'!C45</f>
        <v>6</v>
      </c>
      <c r="D11" s="117">
        <f>'2007'!D45</f>
        <v>3</v>
      </c>
      <c r="E11" s="117">
        <f>'2007'!E45</f>
        <v>2</v>
      </c>
      <c r="F11" s="117">
        <f>'2007'!F45</f>
        <v>3</v>
      </c>
      <c r="G11" s="117">
        <f>'2007'!G45</f>
        <v>3</v>
      </c>
      <c r="H11" s="117">
        <f>'2007'!H45</f>
        <v>1</v>
      </c>
      <c r="I11" s="117">
        <f>'2007'!I45</f>
        <v>6</v>
      </c>
      <c r="J11" s="117">
        <f>'2007'!J45</f>
        <v>2</v>
      </c>
      <c r="K11" s="117">
        <f>'2007'!K45</f>
        <v>1</v>
      </c>
      <c r="L11" s="117">
        <f>'2007'!L45</f>
        <v>2</v>
      </c>
      <c r="M11" s="117">
        <f>'2007'!M45</f>
        <v>1</v>
      </c>
      <c r="N11" s="117">
        <f>'2007'!N45</f>
        <v>3</v>
      </c>
      <c r="O11" s="117">
        <f>'2007'!O45</f>
        <v>2</v>
      </c>
      <c r="P11" s="117">
        <f>'2007'!P45</f>
        <v>3</v>
      </c>
      <c r="Q11" s="117">
        <f>'2007'!Q45</f>
        <v>1</v>
      </c>
      <c r="Z11" s="63" t="s">
        <v>54</v>
      </c>
      <c r="AA11" s="64">
        <f t="shared" si="1"/>
        <v>6</v>
      </c>
      <c r="AB11" s="65">
        <f>IF($AA$6-Table1[[#This Row],[Missed Games]]=0, 0,Table1[[#This Row],[Points]]/($AA$6-Table1[[#This Row],[Missed Games]]))</f>
        <v>0.75</v>
      </c>
      <c r="AC11" s="66">
        <f t="shared" si="2"/>
        <v>6</v>
      </c>
      <c r="AD11" s="67">
        <f>IF($AA$6-Table1[[#This Row],[Missed Games]]=0, 0,Table1[[#This Row],[Finishes]]/($AA$6-Table1[[#This Row],[Missed Games]]))</f>
        <v>0.75</v>
      </c>
      <c r="AE11" s="66">
        <f t="shared" si="3"/>
        <v>0</v>
      </c>
      <c r="AF11" s="67">
        <f>IF($AA$6-Table1[[#This Row],[Missed Games]]=0, 0,Table1[[#This Row],[Midranges]]/($AA$6-Table1[[#This Row],[Missed Games]]))</f>
        <v>0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4</v>
      </c>
      <c r="AK11" s="62"/>
      <c r="AL11" s="128" t="s">
        <v>3</v>
      </c>
      <c r="AM11" s="127">
        <f>AVERAGE(Table1[Threes])</f>
        <v>1.1176470588235294</v>
      </c>
      <c r="AN11" s="127">
        <f>MEDIAN(Table1[Threes])</f>
        <v>0</v>
      </c>
      <c r="AO11" s="36"/>
      <c r="AP11" s="18">
        <f>_xlfn.CEILING.MATH('[1]Stats Global'!R11*(20-$AA$5-$AJ11))</f>
        <v>40</v>
      </c>
      <c r="AQ11" s="27">
        <f>Table1[[#This Row],[Points]]/AP11</f>
        <v>0.15</v>
      </c>
      <c r="AR11" s="137">
        <f>AP11-Table1[[#This Row],[Points]]</f>
        <v>34</v>
      </c>
      <c r="AS11" s="143">
        <f>Table1[[#This Row],[Points]]/(20-AA$5-Table1[[#This Row],[Missed Games]])</f>
        <v>0.42857142857142855</v>
      </c>
      <c r="AT11" s="153">
        <f>Table1[[#This Row],[Average]]-'[1]Stats Global'!R11</f>
        <v>-2.0625</v>
      </c>
      <c r="AU11" s="27">
        <f>(Table1[[#This Row],[Average]]-'[1]Stats Global'!R11)/'[1]Stats Global'!R11</f>
        <v>-0.73333333333333328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1.1111111111111112</v>
      </c>
      <c r="BB11" s="16">
        <f>Table4[[#This Row],[Total A]]/$AX$6</f>
        <v>0.1111111111111111</v>
      </c>
      <c r="BC11" s="16">
        <f>Table4[[#This Row],[Total S]]/$AX$6</f>
        <v>0.22222222222222221</v>
      </c>
    </row>
    <row r="12" spans="1:55" ht="14.25" customHeight="1" x14ac:dyDescent="0.45">
      <c r="A12" s="73"/>
      <c r="B12" s="117" t="str">
        <f>'2407'!B45</f>
        <v>24-July</v>
      </c>
      <c r="C12" s="117">
        <f>'2407'!C45</f>
        <v>9</v>
      </c>
      <c r="D12" s="117">
        <f>'2407'!D45</f>
        <v>1</v>
      </c>
      <c r="E12" s="117">
        <f>'2407'!E45</f>
        <v>1</v>
      </c>
      <c r="F12" s="117">
        <f>'2407'!F45</f>
        <v>1</v>
      </c>
      <c r="G12" s="117">
        <f>'2407'!G45</f>
        <v>0</v>
      </c>
      <c r="H12" s="117">
        <f>'2407'!H45</f>
        <v>5</v>
      </c>
      <c r="I12" s="117">
        <f>'2407'!I45</f>
        <v>1</v>
      </c>
      <c r="J12" s="117">
        <f>'2407'!J45</f>
        <v>1</v>
      </c>
      <c r="K12" s="117">
        <f>'2407'!K45</f>
        <v>4</v>
      </c>
      <c r="L12" s="117">
        <f>'2407'!L45</f>
        <v>9</v>
      </c>
      <c r="M12" s="117">
        <f>'2407'!M45</f>
        <v>0</v>
      </c>
      <c r="N12" s="117">
        <f>'2407'!N45</f>
        <v>1</v>
      </c>
      <c r="O12" s="117">
        <f>'2407'!O45</f>
        <v>2</v>
      </c>
      <c r="P12" s="117">
        <f>'2407'!P45</f>
        <v>1</v>
      </c>
      <c r="Q12" s="117">
        <f>'2407'!Q45</f>
        <v>3</v>
      </c>
      <c r="Z12" s="63" t="s">
        <v>57</v>
      </c>
      <c r="AA12" s="64">
        <f t="shared" si="1"/>
        <v>10</v>
      </c>
      <c r="AB12" s="65">
        <f>IF($AA$6-Table1[[#This Row],[Missed Games]]=0, 0,Table1[[#This Row],[Points]]/($AA$6-Table1[[#This Row],[Missed Games]]))</f>
        <v>1</v>
      </c>
      <c r="AC12" s="66">
        <f t="shared" si="2"/>
        <v>4</v>
      </c>
      <c r="AD12" s="67">
        <f>IF($AA$6-Table1[[#This Row],[Missed Games]]=0, 0,Table1[[#This Row],[Finishes]]/($AA$6-Table1[[#This Row],[Missed Games]]))</f>
        <v>0.4</v>
      </c>
      <c r="AE12" s="66">
        <f t="shared" si="3"/>
        <v>4</v>
      </c>
      <c r="AF12" s="67">
        <f>IF($AA$6-Table1[[#This Row],[Missed Games]]=0, 0,Table1[[#This Row],[Midranges]]/($AA$6-Table1[[#This Row],[Missed Games]]))</f>
        <v>0.4</v>
      </c>
      <c r="AG12" s="66">
        <f t="shared" si="4"/>
        <v>1</v>
      </c>
      <c r="AH12" s="67">
        <f>IF($AA$6-Table1[[#This Row],[Missed Games]]=0, 0,Table1[[#This Row],[Threes]]/($AA$6-Table1[[#This Row],[Missed Games]]))</f>
        <v>0.1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33</v>
      </c>
      <c r="AQ12" s="27">
        <f>Table1[[#This Row],[Points]]/AP12</f>
        <v>0.30303030303030304</v>
      </c>
      <c r="AR12" s="137">
        <f>AP12-Table1[[#This Row],[Points]]</f>
        <v>23</v>
      </c>
      <c r="AS12" s="143">
        <f>Table1[[#This Row],[Points]]/(20-AA$5-Table1[[#This Row],[Missed Games]])</f>
        <v>0.625</v>
      </c>
      <c r="AT12" s="153">
        <f>Table1[[#This Row],[Average]]-'[1]Stats Global'!R12</f>
        <v>-1.0588235294117645</v>
      </c>
      <c r="AU12" s="27">
        <f>(Table1[[#This Row],[Average]]-'[1]Stats Global'!R12)/'[1]Stats Global'!R12</f>
        <v>-0.51428571428571423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0.66666666666666663</v>
      </c>
      <c r="BB12" s="16">
        <f>Table4[[#This Row],[Total A]]/$AX$6</f>
        <v>0.1111111111111111</v>
      </c>
      <c r="BC12" s="16">
        <f>Table4[[#This Row],[Total S]]/$AX$6</f>
        <v>0.1111111111111111</v>
      </c>
    </row>
    <row r="13" spans="1:55" ht="14.25" customHeight="1" x14ac:dyDescent="0.45">
      <c r="A13" s="73"/>
      <c r="B13" s="117" t="str">
        <f>'2607'!B45</f>
        <v>26-July</v>
      </c>
      <c r="C13" s="117">
        <f>'2607'!C45</f>
        <v>8</v>
      </c>
      <c r="D13" s="117">
        <f>'2607'!D45</f>
        <v>6</v>
      </c>
      <c r="E13" s="117">
        <f>'2607'!E45</f>
        <v>3</v>
      </c>
      <c r="F13" s="117">
        <f>'2607'!F45</f>
        <v>6</v>
      </c>
      <c r="G13" s="117">
        <f>'2607'!G45</f>
        <v>2</v>
      </c>
      <c r="H13" s="117">
        <f>'2607'!H45</f>
        <v>3</v>
      </c>
      <c r="I13" s="117">
        <f>'2607'!I45</f>
        <v>3</v>
      </c>
      <c r="J13" s="117">
        <f>'2607'!J45</f>
        <v>2</v>
      </c>
      <c r="K13" s="117">
        <f>'2607'!K45</f>
        <v>5</v>
      </c>
      <c r="L13" s="117">
        <f>'2607'!L45</f>
        <v>8</v>
      </c>
      <c r="M13" s="117">
        <f>'2607'!M45</f>
        <v>4</v>
      </c>
      <c r="N13" s="117">
        <f>'2607'!N45</f>
        <v>1</v>
      </c>
      <c r="O13" s="117">
        <f>'2607'!O45</f>
        <v>2</v>
      </c>
      <c r="P13" s="117">
        <f>'2607'!P45</f>
        <v>1</v>
      </c>
      <c r="Q13" s="117">
        <f>'2607'!Q45</f>
        <v>3</v>
      </c>
      <c r="Z13" s="63" t="s">
        <v>60</v>
      </c>
      <c r="AA13" s="64">
        <f t="shared" si="1"/>
        <v>5</v>
      </c>
      <c r="AB13" s="65">
        <f>IF($AA$6-Table1[[#This Row],[Missed Games]]=0, 0,Table1[[#This Row],[Points]]/($AA$6-Table1[[#This Row],[Missed Games]]))</f>
        <v>0.5</v>
      </c>
      <c r="AC13" s="66">
        <f t="shared" si="2"/>
        <v>4</v>
      </c>
      <c r="AD13" s="67">
        <f>IF($AA$6-Table1[[#This Row],[Missed Games]]=0, 0,Table1[[#This Row],[Finishes]]/($AA$6-Table1[[#This Row],[Missed Games]]))</f>
        <v>0.4</v>
      </c>
      <c r="AE13" s="66">
        <f t="shared" si="3"/>
        <v>1</v>
      </c>
      <c r="AF13" s="67">
        <f>IF($AA$6-Table1[[#This Row],[Missed Games]]=0, 0,Table1[[#This Row],[Midranges]]/($AA$6-Table1[[#This Row],[Missed Games]]))</f>
        <v>0.1</v>
      </c>
      <c r="AG13" s="66">
        <f t="shared" si="4"/>
        <v>0</v>
      </c>
      <c r="AH13" s="67">
        <f>IF($AA$6-Table1[[#This Row],[Missed Games]]=0, 0,Table1[[#This Row],[Threes]]/($AA$6-Table1[[#This Row],[Missed Games]]))</f>
        <v>0</v>
      </c>
      <c r="AI13" s="63" t="str">
        <f>SfW!C8</f>
        <v>5 Musketeers</v>
      </c>
      <c r="AJ13" s="68">
        <f t="shared" si="5"/>
        <v>2</v>
      </c>
      <c r="AK13" s="62"/>
      <c r="AL13" s="62"/>
      <c r="AM13" s="62"/>
      <c r="AO13" s="36"/>
      <c r="AP13" s="18">
        <f>_xlfn.CEILING.MATH('[1]Stats Global'!R13*(20-$AA$5-$AJ13))</f>
        <v>19</v>
      </c>
      <c r="AQ13" s="27">
        <f>Table1[[#This Row],[Points]]/AP13</f>
        <v>0.26315789473684209</v>
      </c>
      <c r="AR13" s="137">
        <f>AP13-Table1[[#This Row],[Points]]</f>
        <v>14</v>
      </c>
      <c r="AS13" s="143">
        <f>Table1[[#This Row],[Points]]/(20-AA$5-Table1[[#This Row],[Missed Games]])</f>
        <v>0.3125</v>
      </c>
      <c r="AT13" s="153">
        <f>Table1[[#This Row],[Average]]-'[1]Stats Global'!R13</f>
        <v>-0.64285714285714279</v>
      </c>
      <c r="AU13" s="27">
        <f>(Table1[[#This Row],[Average]]-'[1]Stats Global'!R13)/'[1]Stats Global'!R13</f>
        <v>-0.5625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0.66666666666666663</v>
      </c>
      <c r="BB13" s="16">
        <f>Table4[[#This Row],[Total A]]/$AX$6</f>
        <v>0.22222222222222221</v>
      </c>
      <c r="BC13" s="16">
        <f>Table4[[#This Row],[Total S]]/$AX$6</f>
        <v>0.1111111111111111</v>
      </c>
    </row>
    <row r="14" spans="1:55" ht="14.25" customHeight="1" x14ac:dyDescent="0.45">
      <c r="A14" s="73"/>
      <c r="B14" s="117" t="str">
        <f>'2707'!B45</f>
        <v>27-July</v>
      </c>
      <c r="C14" s="117">
        <f>'2707'!C45</f>
        <v>8</v>
      </c>
      <c r="D14" s="117">
        <f>'2707'!D45</f>
        <v>3</v>
      </c>
      <c r="E14" s="117">
        <f>'2707'!E45</f>
        <v>3</v>
      </c>
      <c r="F14" s="117">
        <f>'2707'!F45</f>
        <v>3</v>
      </c>
      <c r="G14" s="117">
        <f>'2707'!G45</f>
        <v>1</v>
      </c>
      <c r="H14" s="117">
        <f>'2707'!H45</f>
        <v>4</v>
      </c>
      <c r="I14" s="117">
        <f>'2707'!I45</f>
        <v>3</v>
      </c>
      <c r="J14" s="117">
        <f>'2707'!J45</f>
        <v>2</v>
      </c>
      <c r="K14" s="117">
        <f>'2707'!K45</f>
        <v>4</v>
      </c>
      <c r="L14" s="117">
        <f>'2707'!L45</f>
        <v>8</v>
      </c>
      <c r="M14" s="117">
        <f>'2707'!M45</f>
        <v>1</v>
      </c>
      <c r="N14" s="117">
        <f>'2707'!N45</f>
        <v>2</v>
      </c>
      <c r="O14" s="117">
        <f>'2707'!O45</f>
        <v>2</v>
      </c>
      <c r="P14" s="117">
        <f>'2707'!P45</f>
        <v>1</v>
      </c>
      <c r="Q14" s="117">
        <f>'2707'!Q45</f>
        <v>3</v>
      </c>
      <c r="Z14" s="72" t="s">
        <v>93</v>
      </c>
      <c r="AA14" s="64">
        <f t="shared" si="1"/>
        <v>6</v>
      </c>
      <c r="AB14" s="65">
        <f>IF($AA$6-Table1[[#This Row],[Missed Games]]=0, 0,Table1[[#This Row],[Points]]/($AA$6-Table1[[#This Row],[Missed Games]]))</f>
        <v>0.5</v>
      </c>
      <c r="AC14" s="66">
        <f t="shared" si="2"/>
        <v>4</v>
      </c>
      <c r="AD14" s="67">
        <f>IF($AA$6-Table1[[#This Row],[Missed Games]]=0, 0,Table1[[#This Row],[Finishes]]/($AA$6-Table1[[#This Row],[Missed Games]]))</f>
        <v>0.33333333333333331</v>
      </c>
      <c r="AE14" s="66">
        <f t="shared" si="3"/>
        <v>2</v>
      </c>
      <c r="AF14" s="67">
        <f>IF($AA$6-Table1[[#This Row],[Missed Games]]=0, 0,Table1[[#This Row],[Midranges]]/($AA$6-Table1[[#This Row],[Missed Games]]))</f>
        <v>0.16666666666666666</v>
      </c>
      <c r="AG14" s="66">
        <f t="shared" si="4"/>
        <v>0</v>
      </c>
      <c r="AH14" s="67">
        <f>IF($AA$6-Table1[[#This Row],[Missed Games]]=0, 0,Table1[[#This Row],[Threes]]/($AA$6-Table1[[#This Row],[Missed Games]]))</f>
        <v>0</v>
      </c>
      <c r="AI14" s="63" t="str">
        <f>SfW!C9</f>
        <v>5 Musketeers</v>
      </c>
      <c r="AJ14" s="68">
        <f t="shared" si="5"/>
        <v>0</v>
      </c>
      <c r="AK14" s="62"/>
      <c r="AL14" s="62"/>
      <c r="AM14" s="62"/>
      <c r="AO14" s="36"/>
      <c r="AP14" s="18">
        <f>_xlfn.CEILING.MATH('[1]Stats Global'!R23*(20-$AA$5-$AJ14))</f>
        <v>6</v>
      </c>
      <c r="AQ14" s="27">
        <f>Table1[[#This Row],[Points]]/AP14</f>
        <v>1</v>
      </c>
      <c r="AR14" s="137">
        <f>AP14-Table1[[#This Row],[Points]]</f>
        <v>0</v>
      </c>
      <c r="AS14" s="143">
        <f>Table1[[#This Row],[Points]]/(20-AA$5-Table1[[#This Row],[Missed Games]])</f>
        <v>0.33333333333333331</v>
      </c>
      <c r="AT14" s="153">
        <f>Table1[[#This Row],[Average]]-'[1]Stats Global'!R23</f>
        <v>0.1875</v>
      </c>
      <c r="AU14" s="27">
        <f>(Table1[[#This Row],[Average]]-'[1]Stats Global'!R23)/'[1]Stats Global'!R23</f>
        <v>0.6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1</v>
      </c>
      <c r="BB14" s="16">
        <f>Table4[[#This Row],[Total A]]/$AX$6</f>
        <v>0</v>
      </c>
      <c r="BC14" s="16">
        <f>Table4[[#This Row],[Total S]]/$AX$6</f>
        <v>0.22222222222222221</v>
      </c>
    </row>
    <row r="15" spans="1:55" ht="14.25" customHeight="1" x14ac:dyDescent="0.45">
      <c r="A15" s="73"/>
      <c r="B15" s="117" t="str">
        <f>'3107'!B45</f>
        <v>31-July</v>
      </c>
      <c r="C15" s="117">
        <f>'3107'!C45</f>
        <v>9</v>
      </c>
      <c r="D15" s="117">
        <f>'3107'!D45</f>
        <v>4</v>
      </c>
      <c r="E15" s="117">
        <f>'3107'!E45</f>
        <v>3</v>
      </c>
      <c r="F15" s="117">
        <f>'3107'!F45</f>
        <v>9</v>
      </c>
      <c r="G15" s="117">
        <f>'3107'!G45</f>
        <v>2</v>
      </c>
      <c r="H15" s="117">
        <f>'3107'!H45</f>
        <v>1</v>
      </c>
      <c r="I15" s="117">
        <f>'3107'!I45</f>
        <v>4</v>
      </c>
      <c r="J15" s="117">
        <f>'3107'!J45</f>
        <v>4</v>
      </c>
      <c r="K15" s="117">
        <f>'3107'!K45</f>
        <v>2</v>
      </c>
      <c r="L15" s="117">
        <f>'3107'!L45</f>
        <v>3</v>
      </c>
      <c r="M15" s="117">
        <f>'3107'!M45</f>
        <v>5</v>
      </c>
      <c r="N15" s="117">
        <f>'3107'!N45</f>
        <v>2</v>
      </c>
      <c r="O15" s="117">
        <f>'3107'!O45</f>
        <v>3</v>
      </c>
      <c r="P15" s="117">
        <f>'3107'!P45</f>
        <v>2</v>
      </c>
      <c r="Q15" s="117">
        <f>'3107'!Q45</f>
        <v>1</v>
      </c>
      <c r="Z15" s="72" t="s">
        <v>63</v>
      </c>
      <c r="AA15" s="64">
        <f t="shared" si="1"/>
        <v>8</v>
      </c>
      <c r="AB15" s="65">
        <f>IF($AA$6-Table1[[#This Row],[Missed Games]]=0, 0,Table1[[#This Row],[Points]]/($AA$6-Table1[[#This Row],[Missed Games]]))</f>
        <v>1.3333333333333333</v>
      </c>
      <c r="AC15" s="66">
        <f t="shared" si="2"/>
        <v>0</v>
      </c>
      <c r="AD15" s="67">
        <f>IF($AA$6-Table1[[#This Row],[Missed Games]]=0, 0,Table1[[#This Row],[Finishes]]/($AA$6-Table1[[#This Row],[Missed Games]]))</f>
        <v>0</v>
      </c>
      <c r="AE15" s="66">
        <f t="shared" si="3"/>
        <v>0</v>
      </c>
      <c r="AF15" s="67">
        <f>IF($AA$6-Table1[[#This Row],[Missed Games]]=0, 0,Table1[[#This Row],[Midranges]]/($AA$6-Table1[[#This Row],[Missed Games]]))</f>
        <v>0</v>
      </c>
      <c r="AG15" s="66">
        <f t="shared" si="4"/>
        <v>4</v>
      </c>
      <c r="AH15" s="67">
        <f>IF($AA$6-Table1[[#This Row],[Missed Games]]=0, 0,Table1[[#This Row],[Threes]]/($AA$6-Table1[[#This Row],[Missed Games]]))</f>
        <v>0.66666666666666663</v>
      </c>
      <c r="AI15" s="63" t="str">
        <f>SfW!C10</f>
        <v>Wet Willies</v>
      </c>
      <c r="AJ15" s="68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20</v>
      </c>
      <c r="AQ15" s="27">
        <f>Table1[[#This Row],[Points]]/AP15</f>
        <v>0.4</v>
      </c>
      <c r="AR15" s="137">
        <f>AP15-Table1[[#This Row],[Points]]</f>
        <v>12</v>
      </c>
      <c r="AS15" s="143">
        <f>Table1[[#This Row],[Points]]/(20-AA$5-Table1[[#This Row],[Missed Games]])</f>
        <v>0.66666666666666663</v>
      </c>
      <c r="AT15" s="153">
        <f>Table1[[#This Row],[Average]]-'[1]Stats Global'!R14</f>
        <v>-0.25490196078431371</v>
      </c>
      <c r="AU15" s="27">
        <f>(Table1[[#This Row],[Average]]-'[1]Stats Global'!R14)/'[1]Stats Global'!R14</f>
        <v>-0.16049382716049382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7" t="str">
        <f>'0108'!B45</f>
        <v>1-August</v>
      </c>
      <c r="C16" s="117">
        <f>'0108'!C45</f>
        <v>6</v>
      </c>
      <c r="D16" s="117">
        <f>'0108'!D45</f>
        <v>6</v>
      </c>
      <c r="E16" s="117">
        <f>'0108'!E45</f>
        <v>3</v>
      </c>
      <c r="F16" s="117">
        <f>'0108'!F45</f>
        <v>3</v>
      </c>
      <c r="G16" s="117">
        <f>'0108'!G45</f>
        <v>3</v>
      </c>
      <c r="H16" s="117">
        <f>'0108'!H45</f>
        <v>3</v>
      </c>
      <c r="I16" s="117">
        <f>'0108'!I45</f>
        <v>6</v>
      </c>
      <c r="J16" s="117">
        <f>'0108'!J45</f>
        <v>1</v>
      </c>
      <c r="K16" s="117">
        <f>'0108'!K45</f>
        <v>3</v>
      </c>
      <c r="L16" s="117">
        <f>'0108'!L45</f>
        <v>6</v>
      </c>
      <c r="M16" s="117">
        <f>'0108'!M45</f>
        <v>2</v>
      </c>
      <c r="N16" s="117">
        <f>'0108'!N45</f>
        <v>3</v>
      </c>
      <c r="O16" s="117">
        <f>'0108'!O45</f>
        <v>1</v>
      </c>
      <c r="P16" s="117">
        <f>'0108'!P45</f>
        <v>3</v>
      </c>
      <c r="Q16" s="117">
        <f>'0108'!Q45</f>
        <v>2</v>
      </c>
      <c r="Z16" s="72" t="s">
        <v>66</v>
      </c>
      <c r="AA16" s="64">
        <f t="shared" si="1"/>
        <v>17</v>
      </c>
      <c r="AB16" s="65">
        <f>IF($AA$6-Table1[[#This Row],[Missed Games]]=0, 0,Table1[[#This Row],[Points]]/($AA$6-Table1[[#This Row],[Missed Games]]))</f>
        <v>1.7</v>
      </c>
      <c r="AC16" s="66">
        <f t="shared" si="2"/>
        <v>7</v>
      </c>
      <c r="AD16" s="67">
        <f>IF($AA$6-Table1[[#This Row],[Missed Games]]=0, 0,Table1[[#This Row],[Finishes]]/($AA$6-Table1[[#This Row],[Missed Games]]))</f>
        <v>0.7</v>
      </c>
      <c r="AE16" s="66">
        <f t="shared" si="3"/>
        <v>6</v>
      </c>
      <c r="AF16" s="67">
        <f>IF($AA$6-Table1[[#This Row],[Missed Games]]=0, 0,Table1[[#This Row],[Midranges]]/($AA$6-Table1[[#This Row],[Missed Games]]))</f>
        <v>0.6</v>
      </c>
      <c r="AG16" s="66">
        <f t="shared" si="4"/>
        <v>2</v>
      </c>
      <c r="AH16" s="67">
        <f>IF($AA$6-Table1[[#This Row],[Missed Games]]=0, 0,Table1[[#This Row],[Threes]]/($AA$6-Table1[[#This Row],[Missed Games]]))</f>
        <v>0.2</v>
      </c>
      <c r="AI16" s="63" t="str">
        <f>SfW!C11</f>
        <v>Loose Gooses</v>
      </c>
      <c r="AJ16" s="68">
        <f t="shared" si="5"/>
        <v>2</v>
      </c>
      <c r="AK16" s="62"/>
      <c r="AL16" s="62"/>
      <c r="AM16" s="62"/>
      <c r="AO16" s="36"/>
      <c r="AP16" s="18">
        <f>_xlfn.CEILING.MATH('[1]Stats Global'!R15*(20-$AA$5-$AJ16))</f>
        <v>23</v>
      </c>
      <c r="AQ16" s="27">
        <f>Table1[[#This Row],[Points]]/AP16</f>
        <v>0.73913043478260865</v>
      </c>
      <c r="AR16" s="137">
        <f>AP16-Table1[[#This Row],[Points]]</f>
        <v>6</v>
      </c>
      <c r="AS16" s="143">
        <f>Table1[[#This Row],[Points]]/(20-AA$5-Table1[[#This Row],[Missed Games]])</f>
        <v>1.0625</v>
      </c>
      <c r="AT16" s="153">
        <f>Table1[[#This Row],[Average]]-'[1]Stats Global'!R15</f>
        <v>0.28823529411764692</v>
      </c>
      <c r="AU16" s="27">
        <f>(Table1[[#This Row],[Average]]-'[1]Stats Global'!R15)/'[1]Stats Global'!R15</f>
        <v>0.20416666666666655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1.5555555555555556</v>
      </c>
      <c r="BB16" s="16">
        <f>Table4[[#This Row],[Total A]]/$AX$6</f>
        <v>0.33333333333333331</v>
      </c>
      <c r="BC16" s="16">
        <f>Table4[[#This Row],[Total S]]/$AX$6</f>
        <v>0.22222222222222221</v>
      </c>
    </row>
    <row r="17" spans="2:55" ht="14.25" customHeight="1" x14ac:dyDescent="0.45">
      <c r="B17" s="117" t="str">
        <f>'0208'!B45</f>
        <v>2-August</v>
      </c>
      <c r="C17" s="117">
        <f>'0208'!C45</f>
        <v>12</v>
      </c>
      <c r="D17" s="117">
        <f>'0208'!D45</f>
        <v>10</v>
      </c>
      <c r="E17" s="117">
        <f>'0208'!E45</f>
        <v>4</v>
      </c>
      <c r="F17" s="117">
        <f>'0208'!F45</f>
        <v>4</v>
      </c>
      <c r="G17" s="117">
        <f>'0208'!G45</f>
        <v>3</v>
      </c>
      <c r="H17" s="117">
        <f>'0208'!H45</f>
        <v>8</v>
      </c>
      <c r="I17" s="117">
        <f>'0208'!I45</f>
        <v>10</v>
      </c>
      <c r="J17" s="117">
        <f>'0208'!J45</f>
        <v>4</v>
      </c>
      <c r="K17" s="117">
        <f>'0208'!K45</f>
        <v>4</v>
      </c>
      <c r="L17" s="117">
        <f>'0208'!L45</f>
        <v>12</v>
      </c>
      <c r="M17" s="117">
        <f>'0208'!M45</f>
        <v>0</v>
      </c>
      <c r="N17" s="117">
        <f>'0208'!N45</f>
        <v>7</v>
      </c>
      <c r="O17" s="117">
        <f>'0208'!O45</f>
        <v>1</v>
      </c>
      <c r="P17" s="117">
        <f>'0208'!P45</f>
        <v>2</v>
      </c>
      <c r="Q17" s="117">
        <f>'0208'!Q45</f>
        <v>3</v>
      </c>
      <c r="Z17" s="72" t="s">
        <v>68</v>
      </c>
      <c r="AA17" s="64">
        <f t="shared" si="1"/>
        <v>43</v>
      </c>
      <c r="AB17" s="65">
        <f>IF($AA$6-Table1[[#This Row],[Missed Games]]=0, 0,Table1[[#This Row],[Points]]/($AA$6-Table1[[#This Row],[Missed Games]]))</f>
        <v>3.5833333333333335</v>
      </c>
      <c r="AC17" s="66">
        <f t="shared" si="2"/>
        <v>7</v>
      </c>
      <c r="AD17" s="67">
        <f>IF($AA$6-Table1[[#This Row],[Missed Games]]=0, 0,Table1[[#This Row],[Finishes]]/($AA$6-Table1[[#This Row],[Missed Games]]))</f>
        <v>0.58333333333333337</v>
      </c>
      <c r="AE17" s="66">
        <f t="shared" si="3"/>
        <v>26</v>
      </c>
      <c r="AF17" s="67">
        <f>IF($AA$6-Table1[[#This Row],[Missed Games]]=0, 0,Table1[[#This Row],[Midranges]]/($AA$6-Table1[[#This Row],[Missed Games]]))</f>
        <v>2.1666666666666665</v>
      </c>
      <c r="AG17" s="66">
        <f t="shared" si="4"/>
        <v>5</v>
      </c>
      <c r="AH17" s="67">
        <f>IF($AA$6-Table1[[#This Row],[Missed Games]]=0, 0,Table1[[#This Row],[Threes]]/($AA$6-Table1[[#This Row],[Missed Games]]))</f>
        <v>0.41666666666666669</v>
      </c>
      <c r="AI17" s="63" t="str">
        <f>SfW!C12</f>
        <v>5 Musketeers</v>
      </c>
      <c r="AJ17" s="68">
        <f t="shared" si="5"/>
        <v>0</v>
      </c>
      <c r="AK17" s="62"/>
      <c r="AL17" s="62"/>
      <c r="AM17" s="62"/>
      <c r="AO17" s="36"/>
      <c r="AP17" s="18">
        <f>_xlfn.CEILING.MATH('[1]Stats Global'!R16*(20-$AA$5-$AJ17))</f>
        <v>46</v>
      </c>
      <c r="AQ17" s="27">
        <f>Table1[[#This Row],[Points]]/AP17</f>
        <v>0.93478260869565222</v>
      </c>
      <c r="AR17" s="137">
        <f>AP17-Table1[[#This Row],[Points]]</f>
        <v>3</v>
      </c>
      <c r="AS17" s="143">
        <f>Table1[[#This Row],[Points]]/(20-AA$5-Table1[[#This Row],[Missed Games]])</f>
        <v>2.3888888888888888</v>
      </c>
      <c r="AT17" s="153">
        <f>Table1[[#This Row],[Average]]-'[1]Stats Global'!R16</f>
        <v>1.0500000000000003</v>
      </c>
      <c r="AU17" s="27">
        <f>(Table1[[#This Row],[Average]]-'[1]Stats Global'!R16)/'[1]Stats Global'!R16</f>
        <v>0.41447368421052644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1.5555555555555556</v>
      </c>
      <c r="BB17" s="16">
        <f>Table4[[#This Row],[Total A]]/$AX$6</f>
        <v>0.22222222222222221</v>
      </c>
      <c r="BC17" s="16">
        <f>Table4[[#This Row],[Total S]]/$AX$6</f>
        <v>0</v>
      </c>
    </row>
    <row r="18" spans="2:55" ht="14.25" customHeight="1" x14ac:dyDescent="0.45">
      <c r="B18" s="117" t="str">
        <f>'0308'!B45</f>
        <v>3-August</v>
      </c>
      <c r="C18" s="117">
        <f>'0308'!C45</f>
        <v>7</v>
      </c>
      <c r="D18" s="117">
        <f>'0308'!D45</f>
        <v>3</v>
      </c>
      <c r="E18" s="117">
        <f>'0308'!E45</f>
        <v>0</v>
      </c>
      <c r="F18" s="117">
        <f>'0308'!F45</f>
        <v>7</v>
      </c>
      <c r="G18" s="117">
        <f>'0308'!G45</f>
        <v>2</v>
      </c>
      <c r="H18" s="117">
        <f>'0308'!H45</f>
        <v>0</v>
      </c>
      <c r="I18" s="117">
        <f>'0308'!I45</f>
        <v>3</v>
      </c>
      <c r="J18" s="117">
        <f>'0308'!J45</f>
        <v>3</v>
      </c>
      <c r="K18" s="117">
        <f>'0308'!K45</f>
        <v>0</v>
      </c>
      <c r="L18" s="117">
        <f>'0308'!L45</f>
        <v>0</v>
      </c>
      <c r="M18" s="117">
        <f>'0308'!M45</f>
        <v>4</v>
      </c>
      <c r="N18" s="117">
        <f>'0308'!N45</f>
        <v>1</v>
      </c>
      <c r="O18" s="117">
        <f>'0308'!O45</f>
        <v>3</v>
      </c>
      <c r="P18" s="117">
        <f>'0308'!P45</f>
        <v>2</v>
      </c>
      <c r="Q18" s="117">
        <f>'0308'!Q45</f>
        <v>1</v>
      </c>
      <c r="Z18" s="72" t="s">
        <v>69</v>
      </c>
      <c r="AA18" s="64">
        <f t="shared" si="1"/>
        <v>7</v>
      </c>
      <c r="AB18" s="65">
        <f>IF($AA$6-Table1[[#This Row],[Missed Games]]=0, 0,Table1[[#This Row],[Points]]/($AA$6-Table1[[#This Row],[Missed Games]]))</f>
        <v>0.58333333333333337</v>
      </c>
      <c r="AC18" s="66">
        <f t="shared" si="2"/>
        <v>1</v>
      </c>
      <c r="AD18" s="67">
        <f>IF($AA$6-Table1[[#This Row],[Missed Games]]=0, 0,Table1[[#This Row],[Finishes]]/($AA$6-Table1[[#This Row],[Missed Games]]))</f>
        <v>8.3333333333333329E-2</v>
      </c>
      <c r="AE18" s="66">
        <f t="shared" si="3"/>
        <v>6</v>
      </c>
      <c r="AF18" s="67">
        <f>IF($AA$6-Table1[[#This Row],[Missed Games]]=0, 0,Table1[[#This Row],[Midranges]]/($AA$6-Table1[[#This Row],[Missed Games]]))</f>
        <v>0.5</v>
      </c>
      <c r="AG18" s="66">
        <f t="shared" si="4"/>
        <v>0</v>
      </c>
      <c r="AH18" s="67">
        <f>IF($AA$6-Table1[[#This Row],[Missed Games]]=0, 0,Table1[[#This Row],[Threes]]/($AA$6-Table1[[#This Row],[Missed Games]]))</f>
        <v>0</v>
      </c>
      <c r="AI18" s="63" t="str">
        <f>SfW!C13</f>
        <v>Wet Willies</v>
      </c>
      <c r="AJ18" s="68">
        <f t="shared" si="5"/>
        <v>0</v>
      </c>
      <c r="AK18" s="62"/>
      <c r="AL18" s="62"/>
      <c r="AM18" s="62"/>
      <c r="AO18" s="36"/>
      <c r="AP18" s="18">
        <f>_xlfn.CEILING.MATH('[1]Stats Global'!R17*(20-$AA$5-$AJ18))</f>
        <v>16</v>
      </c>
      <c r="AQ18" s="27">
        <f>Table1[[#This Row],[Points]]/AP18</f>
        <v>0.4375</v>
      </c>
      <c r="AR18" s="137">
        <f>AP18-Table1[[#This Row],[Points]]</f>
        <v>9</v>
      </c>
      <c r="AS18" s="143">
        <f>Table1[[#This Row],[Points]]/(20-AA$5-Table1[[#This Row],[Missed Games]])</f>
        <v>0.3888888888888889</v>
      </c>
      <c r="AT18" s="153">
        <f>Table1[[#This Row],[Average]]-'[1]Stats Global'!R17</f>
        <v>-0.29166666666666663</v>
      </c>
      <c r="AU18" s="27">
        <f>(Table1[[#This Row],[Average]]-'[1]Stats Global'!R17)/'[1]Stats Global'!R17</f>
        <v>-0.33333333333333331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0.1111111111111111</v>
      </c>
      <c r="BB18" s="16">
        <f>Table4[[#This Row],[Total A]]/$AX$6</f>
        <v>0</v>
      </c>
      <c r="BC18" s="16">
        <f>Table4[[#This Row],[Total S]]/$AX$6</f>
        <v>0.55555555555555558</v>
      </c>
    </row>
    <row r="19" spans="2:55" ht="14.25" customHeight="1" x14ac:dyDescent="0.45">
      <c r="B19" s="156" t="str">
        <f>'0808'!B45</f>
        <v>8-August</v>
      </c>
      <c r="C19" s="156">
        <f>'0808'!C45</f>
        <v>17</v>
      </c>
      <c r="D19" s="156">
        <f>'0808'!D45</f>
        <v>1</v>
      </c>
      <c r="E19" s="156">
        <f>'0808'!E45</f>
        <v>1</v>
      </c>
      <c r="F19" s="156">
        <f>'0808'!F45</f>
        <v>1</v>
      </c>
      <c r="G19" s="156">
        <f>'0808'!G45</f>
        <v>1</v>
      </c>
      <c r="H19" s="156">
        <f>'0808'!H45</f>
        <v>8</v>
      </c>
      <c r="I19" s="156">
        <f>'0808'!I45</f>
        <v>1</v>
      </c>
      <c r="J19" s="156">
        <f>'0808'!J45</f>
        <v>0</v>
      </c>
      <c r="K19" s="156">
        <f>'0808'!K45</f>
        <v>9</v>
      </c>
      <c r="L19" s="156">
        <f>'0808'!L45</f>
        <v>17</v>
      </c>
      <c r="M19" s="156">
        <f>'0808'!M45</f>
        <v>1</v>
      </c>
      <c r="N19" s="156">
        <f>'0808'!N45</f>
        <v>0</v>
      </c>
      <c r="O19" s="156">
        <f>'0808'!O45</f>
        <v>1</v>
      </c>
      <c r="P19" s="156">
        <f>'0808'!P45</f>
        <v>2</v>
      </c>
      <c r="Q19" s="156">
        <f>'0808'!Q45</f>
        <v>3</v>
      </c>
      <c r="Z19" s="111" t="s">
        <v>200</v>
      </c>
      <c r="AA19" s="64">
        <f t="shared" si="1"/>
        <v>1</v>
      </c>
      <c r="AB19" s="65">
        <f>IF($AA$6-Table1[[#This Row],[Missed Games]]=0, 0,Table1[[#This Row],[Points]]/($AA$6-Table1[[#This Row],[Missed Games]]))</f>
        <v>0.16666666666666666</v>
      </c>
      <c r="AC19" s="66">
        <f t="shared" si="2"/>
        <v>0</v>
      </c>
      <c r="AD19" s="67">
        <f>IF($AA$6-Table1[[#This Row],[Missed Games]]=0, 0,Table1[[#This Row],[Finishes]]/($AA$6-Table1[[#This Row],[Missed Games]]))</f>
        <v>0</v>
      </c>
      <c r="AE19" s="66">
        <f t="shared" si="3"/>
        <v>1</v>
      </c>
      <c r="AF19" s="67">
        <f>IF($AA$6-Table1[[#This Row],[Missed Games]]=0, 0,Table1[[#This Row],[Midranges]]/($AA$6-Table1[[#This Row],[Missed Games]]))</f>
        <v>0.16666666666666666</v>
      </c>
      <c r="AG19" s="66">
        <f t="shared" si="4"/>
        <v>0</v>
      </c>
      <c r="AH19" s="67">
        <f>IF($AA$6-Table1[[#This Row],[Missed Games]]=0, 0,Table1[[#This Row],[Threes]]/($AA$6-Table1[[#This Row],[Missed Games]]))</f>
        <v>0</v>
      </c>
      <c r="AI19" s="63" t="s">
        <v>31</v>
      </c>
      <c r="AJ19" s="68">
        <f t="shared" si="5"/>
        <v>6</v>
      </c>
      <c r="AK19" s="62"/>
      <c r="AL19" s="62"/>
      <c r="AM19" s="62"/>
      <c r="AO19" s="36"/>
      <c r="AP19" s="18">
        <v>0</v>
      </c>
      <c r="AQ19" s="27">
        <v>1</v>
      </c>
      <c r="AR19" s="137">
        <f>AP19-Table1[[#This Row],[Points]]</f>
        <v>-1</v>
      </c>
      <c r="AS19" s="143">
        <f>Table1[[#This Row],[Points]]/(20-AA$5-Table1[[#This Row],[Missed Games]])</f>
        <v>8.3333333333333329E-2</v>
      </c>
      <c r="AT19" s="153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0.33333333333333331</v>
      </c>
      <c r="BB19" s="16">
        <f>Table4[[#This Row],[Total A]]/$AX$6</f>
        <v>0.1111111111111111</v>
      </c>
      <c r="BC19" s="16">
        <f>Table4[[#This Row],[Total S]]/$AX$6</f>
        <v>0</v>
      </c>
    </row>
    <row r="20" spans="2:55" ht="14.25" customHeight="1" x14ac:dyDescent="0.45">
      <c r="B20" s="136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Z20" s="111" t="s">
        <v>128</v>
      </c>
      <c r="AA20" s="64">
        <f t="shared" si="1"/>
        <v>9</v>
      </c>
      <c r="AB20" s="65">
        <f>IF($AA$6-Table1[[#This Row],[Missed Games]]=0, 0,Table1[[#This Row],[Points]]/($AA$6-Table1[[#This Row],[Missed Games]]))</f>
        <v>0.81818181818181823</v>
      </c>
      <c r="AC20" s="66">
        <f t="shared" si="2"/>
        <v>8</v>
      </c>
      <c r="AD20" s="114">
        <f>IF($AA$6-Table1[[#This Row],[Missed Games]]=0, 0,Table1[[#This Row],[Finishes]]/($AA$6-Table1[[#This Row],[Missed Games]]))</f>
        <v>0.72727272727272729</v>
      </c>
      <c r="AE20" s="66">
        <f t="shared" si="3"/>
        <v>1</v>
      </c>
      <c r="AF20" s="114">
        <f>IF($AA$6-Table1[[#This Row],[Missed Games]]=0, 0,Table1[[#This Row],[Midranges]]/($AA$6-Table1[[#This Row],[Missed Games]]))</f>
        <v>9.0909090909090912E-2</v>
      </c>
      <c r="AG20" s="66">
        <f t="shared" si="4"/>
        <v>0</v>
      </c>
      <c r="AH20" s="114">
        <f>IF($AA$6-Table1[[#This Row],[Missed Games]]=0, 0,Table1[[#This Row],[Threes]]/($AA$6-Table1[[#This Row],[Missed Games]]))</f>
        <v>0</v>
      </c>
      <c r="AI20" s="111" t="str">
        <f>SfW!C15</f>
        <v>Wet Willies</v>
      </c>
      <c r="AJ20" s="68">
        <f t="shared" si="5"/>
        <v>1</v>
      </c>
      <c r="AK20" s="62"/>
      <c r="AL20" s="62"/>
      <c r="AM20" s="62"/>
      <c r="AO20" s="36"/>
      <c r="AP20" s="18">
        <f>_xlfn.CEILING.MATH('[1]Stats Global'!R18*(20-$AA$5-$AJ20))</f>
        <v>19</v>
      </c>
      <c r="AQ20" s="27">
        <f>Table1[[#This Row],[Points]]/AP20</f>
        <v>0.47368421052631576</v>
      </c>
      <c r="AR20" s="137">
        <f>AP20-Table1[[#This Row],[Points]]</f>
        <v>10</v>
      </c>
      <c r="AS20" s="143">
        <f>Table1[[#This Row],[Points]]/(20-AA$5-Table1[[#This Row],[Missed Games]])</f>
        <v>0.52941176470588236</v>
      </c>
      <c r="AT20" s="153">
        <f>Table1[[#This Row],[Average]]-'[1]Stats Global'!R18</f>
        <v>-0.24848484848484842</v>
      </c>
      <c r="AU20" s="27">
        <f>(Table1[[#This Row],[Average]]-'[1]Stats Global'!R18)/'[1]Stats Global'!R18</f>
        <v>-0.23295454545454539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0.88888888888888884</v>
      </c>
      <c r="BB20" s="16">
        <f>Table4[[#This Row],[Total A]]/$AX$6</f>
        <v>0.1111111111111111</v>
      </c>
      <c r="BC20" s="16">
        <f>Table4[[#This Row],[Total S]]/$AX$6</f>
        <v>0.33333333333333331</v>
      </c>
    </row>
    <row r="21" spans="2:55" ht="14.25" customHeight="1" x14ac:dyDescent="0.45">
      <c r="B21" s="136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Z21" s="111" t="s">
        <v>127</v>
      </c>
      <c r="AA21" s="64">
        <f t="shared" si="1"/>
        <v>14</v>
      </c>
      <c r="AB21" s="65">
        <f>IF($AA$6-Table1[[#This Row],[Missed Games]]=0, 0,Table1[[#This Row],[Points]]/($AA$6-Table1[[#This Row],[Missed Games]]))</f>
        <v>1.1666666666666667</v>
      </c>
      <c r="AC21" s="66">
        <f t="shared" si="2"/>
        <v>9</v>
      </c>
      <c r="AD21" s="114">
        <f>IF($AA$6-Table1[[#This Row],[Missed Games]]=0, 0,Table1[[#This Row],[Finishes]]/($AA$6-Table1[[#This Row],[Missed Games]]))</f>
        <v>0.75</v>
      </c>
      <c r="AE21" s="66">
        <f t="shared" si="3"/>
        <v>3</v>
      </c>
      <c r="AF21" s="114">
        <f>IF($AA$6-Table1[[#This Row],[Missed Games]]=0, 0,Table1[[#This Row],[Midranges]]/($AA$6-Table1[[#This Row],[Missed Games]]))</f>
        <v>0.25</v>
      </c>
      <c r="AG21" s="66">
        <f t="shared" si="4"/>
        <v>1</v>
      </c>
      <c r="AH21" s="114">
        <f>IF($AA$6-Table1[[#This Row],[Missed Games]]=0, 0,Table1[[#This Row],[Threes]]/($AA$6-Table1[[#This Row],[Missed Games]]))</f>
        <v>8.3333333333333329E-2</v>
      </c>
      <c r="AI21" s="111" t="str">
        <f>SfW!C16</f>
        <v>Loose Gooses</v>
      </c>
      <c r="AJ21" s="68">
        <f t="shared" si="5"/>
        <v>0</v>
      </c>
      <c r="AK21" s="62"/>
      <c r="AL21" s="62"/>
      <c r="AM21" s="62"/>
      <c r="AO21" s="36"/>
      <c r="AP21" s="18">
        <f>_xlfn.CEILING.MATH('[1]Stats Global'!R19*(20-$AA$5-$AJ21))</f>
        <v>20</v>
      </c>
      <c r="AQ21" s="27">
        <f>Table1[[#This Row],[Points]]/AP21</f>
        <v>0.7</v>
      </c>
      <c r="AR21" s="137">
        <f>AP21-Table1[[#This Row],[Points]]</f>
        <v>6</v>
      </c>
      <c r="AS21" s="143">
        <f>Table1[[#This Row],[Points]]/(20-AA$5-Table1[[#This Row],[Missed Games]])</f>
        <v>0.77777777777777779</v>
      </c>
      <c r="AT21" s="153">
        <f>Table1[[#This Row],[Average]]-'[1]Stats Global'!R19</f>
        <v>0.10784313725490202</v>
      </c>
      <c r="AU21" s="27">
        <f>(Table1[[#This Row],[Average]]-'[1]Stats Global'!R19)/'[1]Stats Global'!R19</f>
        <v>0.1018518518518519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1.3333333333333333</v>
      </c>
      <c r="BB21" s="16">
        <f>Table4[[#This Row],[Total A]]/$AX$6</f>
        <v>0.22222222222222221</v>
      </c>
      <c r="BC21" s="16">
        <f>Table4[[#This Row],[Total S]]/$AX$6</f>
        <v>0.22222222222222221</v>
      </c>
    </row>
    <row r="22" spans="2:55" ht="14.25" customHeight="1" x14ac:dyDescent="0.45"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Z22" s="111" t="s">
        <v>73</v>
      </c>
      <c r="AA22" s="64">
        <f t="shared" si="1"/>
        <v>34</v>
      </c>
      <c r="AB22" s="65">
        <f>IF($AA$6-Table1[[#This Row],[Missed Games]]=0, 0,Table1[[#This Row],[Points]]/($AA$6-Table1[[#This Row],[Missed Games]]))</f>
        <v>2.8333333333333335</v>
      </c>
      <c r="AC22" s="66">
        <f t="shared" si="2"/>
        <v>17</v>
      </c>
      <c r="AD22" s="114">
        <f>IF($AA$6-Table1[[#This Row],[Missed Games]]=0, 0,Table1[[#This Row],[Finishes]]/($AA$6-Table1[[#This Row],[Missed Games]]))</f>
        <v>1.4166666666666667</v>
      </c>
      <c r="AE22" s="66">
        <f t="shared" si="3"/>
        <v>7</v>
      </c>
      <c r="AF22" s="114">
        <f>IF($AA$6-Table1[[#This Row],[Missed Games]]=0, 0,Table1[[#This Row],[Midranges]]/($AA$6-Table1[[#This Row],[Missed Games]]))</f>
        <v>0.58333333333333337</v>
      </c>
      <c r="AG22" s="66">
        <f t="shared" si="4"/>
        <v>5</v>
      </c>
      <c r="AH22" s="114">
        <f>IF($AA$6-Table1[[#This Row],[Missed Games]]=0, 0,Table1[[#This Row],[Threes]]/($AA$6-Table1[[#This Row],[Missed Games]]))</f>
        <v>0.41666666666666669</v>
      </c>
      <c r="AI22" s="111" t="str">
        <f>SfW!C17</f>
        <v>Loose Gooses</v>
      </c>
      <c r="AJ22" s="68">
        <f t="shared" si="5"/>
        <v>0</v>
      </c>
      <c r="AK22" s="62"/>
      <c r="AL22" s="62"/>
      <c r="AM22" s="62"/>
      <c r="AO22" s="36"/>
      <c r="AP22" s="18">
        <f>_xlfn.CEILING.MATH('[1]Stats Global'!R20*(20-$AA$5-$AJ22))</f>
        <v>44</v>
      </c>
      <c r="AQ22" s="27">
        <f>Table1[[#This Row],[Points]]/AP22</f>
        <v>0.77272727272727271</v>
      </c>
      <c r="AR22" s="137">
        <f>AP22-Table1[[#This Row],[Points]]</f>
        <v>10</v>
      </c>
      <c r="AS22" s="143">
        <f>Table1[[#This Row],[Points]]/(20-AA$5-Table1[[#This Row],[Missed Games]])</f>
        <v>1.8888888888888888</v>
      </c>
      <c r="AT22" s="153">
        <f>Table1[[#This Row],[Average]]-'[1]Stats Global'!R20</f>
        <v>0.4047619047619051</v>
      </c>
      <c r="AU22" s="27">
        <f>(Table1[[#This Row],[Average]]-'[1]Stats Global'!R20)/'[1]Stats Global'!R20</f>
        <v>0.16666666666666682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1.2222222222222223</v>
      </c>
      <c r="BB22" s="16">
        <f>Table4[[#This Row],[Total A]]/$AX$6</f>
        <v>0.77777777777777779</v>
      </c>
      <c r="BC22" s="16">
        <f>Table4[[#This Row],[Total S]]/$AX$6</f>
        <v>0.33333333333333331</v>
      </c>
    </row>
    <row r="23" spans="2:55" ht="14.25" customHeight="1" x14ac:dyDescent="0.45"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Z23" s="112" t="s">
        <v>74</v>
      </c>
      <c r="AA23" s="64">
        <f t="shared" si="1"/>
        <v>1</v>
      </c>
      <c r="AB23" s="113">
        <f>IF($AA$6-Table1[[#This Row],[Missed Games]]=0, 0,Table1[[#This Row],[Points]]/($AA$6-Table1[[#This Row],[Missed Games]]))</f>
        <v>8.3333333333333329E-2</v>
      </c>
      <c r="AC23" s="66">
        <f t="shared" si="2"/>
        <v>0</v>
      </c>
      <c r="AD23" s="115">
        <f>IF($AA$6-Table1[[#This Row],[Missed Games]]=0, 0,Table1[[#This Row],[Finishes]]/($AA$6-Table1[[#This Row],[Missed Games]]))</f>
        <v>0</v>
      </c>
      <c r="AE23" s="66">
        <f t="shared" si="3"/>
        <v>1</v>
      </c>
      <c r="AF23" s="115">
        <f>IF($AA$6-Table1[[#This Row],[Missed Games]]=0, 0,Table1[[#This Row],[Midranges]]/($AA$6-Table1[[#This Row],[Missed Games]]))</f>
        <v>8.3333333333333329E-2</v>
      </c>
      <c r="AG23" s="66">
        <f t="shared" si="4"/>
        <v>0</v>
      </c>
      <c r="AH23" s="115">
        <f>IF($AA$6-Table1[[#This Row],[Missed Games]]=0, 0,Table1[[#This Row],[Threes]]/($AA$6-Table1[[#This Row],[Missed Games]]))</f>
        <v>0</v>
      </c>
      <c r="AI23" s="112" t="str">
        <f>SfW!C18</f>
        <v>Wet Willies</v>
      </c>
      <c r="AJ23" s="68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3</v>
      </c>
      <c r="AQ23" s="27">
        <f>Table1[[#This Row],[Points]]/AP23</f>
        <v>0.33333333333333331</v>
      </c>
      <c r="AR23" s="137">
        <f>AP23-Table1[[#This Row],[Points]]</f>
        <v>2</v>
      </c>
      <c r="AS23" s="143">
        <f>Table1[[#This Row],[Points]]/(20-AA$5-Table1[[#This Row],[Missed Games]])</f>
        <v>5.5555555555555552E-2</v>
      </c>
      <c r="AT23" s="153">
        <f>Table1[[#This Row],[Average]]-'[1]Stats Global'!R21</f>
        <v>-3.4313725490196081E-2</v>
      </c>
      <c r="AU23" s="27">
        <f>(Table1[[#This Row],[Average]]-'[1]Stats Global'!R21)/'[1]Stats Global'!R21</f>
        <v>-0.29166666666666669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0.44444444444444442</v>
      </c>
      <c r="BB23" s="16">
        <f>Table4[[#This Row],[Total A]]/$AX$6</f>
        <v>0.1111111111111111</v>
      </c>
      <c r="BC23" s="16">
        <f>Table4[[#This Row],[Total S]]/$AX$6</f>
        <v>0.22222222222222221</v>
      </c>
    </row>
    <row r="24" spans="2:55" ht="14.25" customHeight="1" x14ac:dyDescent="0.45"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Z24" s="63" t="s">
        <v>75</v>
      </c>
      <c r="AA24" s="64">
        <f t="shared" si="1"/>
        <v>4</v>
      </c>
      <c r="AB24" s="65">
        <f>IF($AA$6-Table1[[#This Row],[Missed Games]]=0, 0,Table1[[#This Row],[Points]]/($AA$6-Table1[[#This Row],[Missed Games]]))</f>
        <v>0.5714285714285714</v>
      </c>
      <c r="AC24" s="66">
        <f t="shared" si="2"/>
        <v>4</v>
      </c>
      <c r="AD24" s="67">
        <f>IF($AA$6-Table1[[#This Row],[Missed Games]]=0, 0,Table1[[#This Row],[Finishes]]/($AA$6-Table1[[#This Row],[Missed Games]]))</f>
        <v>0.5714285714285714</v>
      </c>
      <c r="AE24" s="66">
        <f t="shared" si="3"/>
        <v>0</v>
      </c>
      <c r="AF24" s="67">
        <f>IF($AA$6-Table1[[#This Row],[Missed Games]]=0, 0,Table1[[#This Row],[Midranges]]/($AA$6-Table1[[#This Row],[Missed Games]]))</f>
        <v>0</v>
      </c>
      <c r="AG24" s="66">
        <f t="shared" si="4"/>
        <v>0</v>
      </c>
      <c r="AH24" s="67">
        <f>IF($AA$6-Table1[[#This Row],[Missed Games]]=0, 0,Table1[[#This Row],[Threes]]/($AA$6-Table1[[#This Row],[Missed Games]]))</f>
        <v>0</v>
      </c>
      <c r="AI24" s="63" t="str">
        <f>SfW!C19</f>
        <v>Wet Willies</v>
      </c>
      <c r="AJ24" s="68">
        <f t="shared" si="5"/>
        <v>5</v>
      </c>
      <c r="AL24" s="43"/>
      <c r="AM24" s="44"/>
      <c r="AN24" s="4"/>
      <c r="AP24" s="18">
        <f>_xlfn.CEILING.MATH('[1]Stats Global'!R22*(20-$AA$5-$AJ24))</f>
        <v>9</v>
      </c>
      <c r="AQ24" s="27">
        <f>Table1[[#This Row],[Points]]/AP24</f>
        <v>0.44444444444444442</v>
      </c>
      <c r="AR24" s="137">
        <f>AP24-Table1[[#This Row],[Points]]</f>
        <v>5</v>
      </c>
      <c r="AS24" s="143">
        <f>Table1[[#This Row],[Points]]/(20-AA$5-Table1[[#This Row],[Missed Games]])</f>
        <v>0.30769230769230771</v>
      </c>
      <c r="AT24" s="153">
        <f>Table1[[#This Row],[Average]]-'[1]Stats Global'!R22</f>
        <v>-7.5630252100840401E-2</v>
      </c>
      <c r="AU24" s="27">
        <f>(Table1[[#This Row],[Average]]-'[1]Stats Global'!R22)/'[1]Stats Global'!R22</f>
        <v>-0.11688311688311698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0.1111111111111111</v>
      </c>
    </row>
    <row r="25" spans="2:55" ht="14.25" customHeight="1" x14ac:dyDescent="0.45"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AB25" s="17"/>
      <c r="AP25" s="17"/>
      <c r="AQ25" s="27"/>
    </row>
    <row r="26" spans="2:55" ht="14.25" customHeight="1" x14ac:dyDescent="0.45"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3"/>
      <c r="S30" s="98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6">
        <f>AB30/($AA$27-Table2[[#This Row],[Missed Games]])</f>
        <v>0.33333333333333331</v>
      </c>
      <c r="AG30" s="33">
        <f>AC30/($AA$27-Table2[[#This Row],[Missed Games]])</f>
        <v>0.33333333333333331</v>
      </c>
      <c r="AH30" s="126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3"/>
      <c r="S31" s="98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6">
        <f>AB31/($AA$27-Table2[[#This Row],[Missed Games]])</f>
        <v>5</v>
      </c>
      <c r="AG31" s="33">
        <f>AC31/($AA$27-Table2[[#This Row],[Missed Games]])</f>
        <v>0</v>
      </c>
      <c r="AH31" s="126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S32" s="98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6" t="e">
        <f>AB32/($AA$27-Table2[[#This Row],[Missed Games]])</f>
        <v>#DIV/0!</v>
      </c>
      <c r="AG32" s="33" t="e">
        <f>AC32/($AA$27-Table2[[#This Row],[Missed Games]])</f>
        <v>#DIV/0!</v>
      </c>
      <c r="AH32" s="126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S33" s="98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6">
        <f>AB33/($AA$27-Table2[[#This Row],[Missed Games]])</f>
        <v>0</v>
      </c>
      <c r="AG33" s="33">
        <f>AC33/($AA$27-Table2[[#This Row],[Missed Games]])</f>
        <v>0.33333333333333331</v>
      </c>
      <c r="AH33" s="126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S34" s="98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6">
        <f>AB34/($AA$27-Table2[[#This Row],[Missed Games]])</f>
        <v>0.33333333333333331</v>
      </c>
      <c r="AG34" s="33">
        <f>AC34/($AA$27-Table2[[#This Row],[Missed Games]])</f>
        <v>0</v>
      </c>
      <c r="AH34" s="126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S35" s="98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6">
        <f>AB35/($AA$27-Table2[[#This Row],[Missed Games]])</f>
        <v>0.33333333333333331</v>
      </c>
      <c r="AG35" s="33">
        <f>AC35/($AA$27-Table2[[#This Row],[Missed Games]])</f>
        <v>0.33333333333333331</v>
      </c>
      <c r="AH35" s="126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S36" s="98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6">
        <f>AB36/($AA$27-Table2[[#This Row],[Missed Games]])</f>
        <v>0</v>
      </c>
      <c r="AG36" s="33">
        <f>AC36/($AA$27-Table2[[#This Row],[Missed Games]])</f>
        <v>0</v>
      </c>
      <c r="AH36" s="126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6">
        <f>AB37/($AA$27-Table2[[#This Row],[Missed Games]])</f>
        <v>0.33333333333333331</v>
      </c>
      <c r="AG37" s="33">
        <f>AC37/($AA$27-Table2[[#This Row],[Missed Games]])</f>
        <v>0.66666666666666663</v>
      </c>
      <c r="AH37" s="126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6">
        <f>AB38/($AA$27-Table2[[#This Row],[Missed Games]])</f>
        <v>0.33333333333333331</v>
      </c>
      <c r="AG38" s="33">
        <f>AC38/($AA$27-Table2[[#This Row],[Missed Games]])</f>
        <v>3</v>
      </c>
      <c r="AH38" s="126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6">
        <f>AB39/($AA$27-Table2[[#This Row],[Missed Games]])</f>
        <v>0</v>
      </c>
      <c r="AG39" s="33">
        <f>AC39/($AA$27-Table2[[#This Row],[Missed Games]])</f>
        <v>0</v>
      </c>
      <c r="AH39" s="126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6">
        <f>AB40/($AA$27-Table2[[#This Row],[Missed Games]])</f>
        <v>0.5</v>
      </c>
      <c r="AG40" s="33">
        <f>AC40/($AA$27-Table2[[#This Row],[Missed Games]])</f>
        <v>0</v>
      </c>
      <c r="AH40" s="126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26</v>
      </c>
      <c r="T41" s="134">
        <f>S41/SUM(S41:S43)</f>
        <v>0.3611111111111111</v>
      </c>
      <c r="U41" s="139">
        <v>0.32188841201716739</v>
      </c>
      <c r="V41" s="43">
        <v>0.36899999999999999</v>
      </c>
      <c r="W41">
        <f>T41*(6*(20-AA$5))</f>
        <v>39</v>
      </c>
      <c r="X41" s="18">
        <f>((MAX(U41:U43)+MAX(V41:V43))/2)*6*(20-AA5)</f>
        <v>38.930291845493556</v>
      </c>
      <c r="Y41" s="140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6">
        <f>AB41/($AA$27-Table2[[#This Row],[Missed Games]])</f>
        <v>1</v>
      </c>
      <c r="AG41" s="33">
        <f>AC41/($AA$27-Table2[[#This Row],[Missed Games]])</f>
        <v>0</v>
      </c>
      <c r="AH41" s="126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20</v>
      </c>
      <c r="T42" s="139">
        <f>S42/SUM(S41:S43)</f>
        <v>0.27777777777777779</v>
      </c>
      <c r="U42" s="139">
        <v>0.35193133047210301</v>
      </c>
      <c r="V42" s="43">
        <v>0.26200000000000001</v>
      </c>
      <c r="W42" s="16">
        <f t="shared" ref="W42:W43" si="6">T42*(6*(20-AA$5))</f>
        <v>30</v>
      </c>
      <c r="X42" s="18">
        <f>6*(20-AA5)-X41-X43</f>
        <v>37.539733905579396</v>
      </c>
      <c r="Y42" s="140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6">
        <f>AB42/($AA$27-Table2[[#This Row],[Missed Games]])</f>
        <v>1</v>
      </c>
      <c r="AG42" s="33">
        <f>AC42/($AA$27-Table2[[#This Row],[Missed Games]])</f>
        <v>0.66666666666666663</v>
      </c>
      <c r="AH42" s="126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26</v>
      </c>
      <c r="T43" s="139">
        <f>S43/SUM(S41:S43)</f>
        <v>0.3611111111111111</v>
      </c>
      <c r="U43" s="139">
        <v>0.3261802575107296</v>
      </c>
      <c r="V43" s="43">
        <v>0.36899999999999999</v>
      </c>
      <c r="W43" s="16">
        <f t="shared" si="6"/>
        <v>39</v>
      </c>
      <c r="X43" s="18">
        <f>((MIN(U41:U43)+MIN(V41:V43))/2)*6*(20-AA5)</f>
        <v>31.529974248927044</v>
      </c>
      <c r="Y43" s="140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6">
        <f>AB43/($AA$27-Table2[[#This Row],[Missed Games]])</f>
        <v>2</v>
      </c>
      <c r="AG43" s="33">
        <f>AC43/($AA$27-Table2[[#This Row],[Missed Games]])</f>
        <v>0.66666666666666663</v>
      </c>
      <c r="AH43" s="126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6">
        <f>AB44/($AA$27-Table2[[#This Row],[Missed Games]])</f>
        <v>0</v>
      </c>
      <c r="AG44" s="33">
        <f>AC44/($AA$27-Table2[[#This Row],[Missed Games]])</f>
        <v>0</v>
      </c>
      <c r="AH44" s="126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12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6">
        <f>AB45/($AA$27-Table2[[#This Row],[Missed Games]])</f>
        <v>0</v>
      </c>
      <c r="AG45" s="33">
        <f>AC45/($AA$27-Table2[[#This Row],[Missed Games]])</f>
        <v>0</v>
      </c>
      <c r="AH45" s="126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3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100</v>
      </c>
      <c r="V49" s="17">
        <f>U49/AA6</f>
        <v>8.3333333333333339</v>
      </c>
      <c r="W49" s="27">
        <f>U49/SUM($U$49:$U$51)</f>
        <v>0.55555555555555558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48">
        <f>Table21123[[#This Row],[Points]]/($AA$47-Table21123[[#This Row],[Missed Games]])</f>
        <v>0.33333333333333331</v>
      </c>
      <c r="AF49" s="148">
        <f>Table21123[[#This Row],[Finishes]]/($AA$47-Table21123[[#This Row],[Missed Games]])</f>
        <v>0</v>
      </c>
      <c r="AG49" s="148">
        <f>Table21123[[#This Row],[Midranges]]/($AA$47-Table21123[[#This Row],[Missed Games]])</f>
        <v>0.33333333333333331</v>
      </c>
      <c r="AH49" s="148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61</v>
      </c>
      <c r="V50" s="17">
        <f>U50/AA6</f>
        <v>5.083333333333333</v>
      </c>
      <c r="W50" s="27">
        <f>U50/SUM($U$49:$U$51)</f>
        <v>0.33888888888888891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48">
        <f>Table21123[[#This Row],[Points]]/($AA$47-Table21123[[#This Row],[Missed Games]])</f>
        <v>0.33333333333333331</v>
      </c>
      <c r="AF50" s="148">
        <f>Table21123[[#This Row],[Finishes]]/($AA$47-Table21123[[#This Row],[Missed Games]])</f>
        <v>0.33333333333333331</v>
      </c>
      <c r="AG50" s="148">
        <f>Table21123[[#This Row],[Midranges]]/($AA$47-Table21123[[#This Row],[Missed Games]])</f>
        <v>0</v>
      </c>
      <c r="AH50" s="148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19</v>
      </c>
      <c r="V51" s="17">
        <f>U51/AA6</f>
        <v>1.5833333333333333</v>
      </c>
      <c r="W51" s="27">
        <f>U51/SUM($U$49:$U$51)</f>
        <v>0.10555555555555556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48">
        <f>Table21123[[#This Row],[Points]]/($AA$47-Table21123[[#This Row],[Missed Games]])</f>
        <v>4</v>
      </c>
      <c r="AF51" s="148">
        <f>Table21123[[#This Row],[Finishes]]/($AA$47-Table21123[[#This Row],[Missed Games]])</f>
        <v>3.3333333333333335</v>
      </c>
      <c r="AG51" s="148">
        <f>Table21123[[#This Row],[Midranges]]/($AA$47-Table21123[[#This Row],[Missed Games]])</f>
        <v>0</v>
      </c>
      <c r="AH51" s="148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48">
        <f>Table21123[[#This Row],[Points]]/($AA$47-Table21123[[#This Row],[Missed Games]])</f>
        <v>0.66666666666666663</v>
      </c>
      <c r="AF52" s="148">
        <f>Table21123[[#This Row],[Finishes]]/($AA$47-Table21123[[#This Row],[Missed Games]])</f>
        <v>0.66666666666666663</v>
      </c>
      <c r="AG52" s="148">
        <f>Table21123[[#This Row],[Midranges]]/($AA$47-Table21123[[#This Row],[Missed Games]])</f>
        <v>0</v>
      </c>
      <c r="AH52" s="148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48">
        <f>Table21123[[#This Row],[Points]]/($AA$47-Table21123[[#This Row],[Missed Games]])</f>
        <v>1</v>
      </c>
      <c r="AF53" s="148">
        <f>Table21123[[#This Row],[Finishes]]/($AA$47-Table21123[[#This Row],[Missed Games]])</f>
        <v>0</v>
      </c>
      <c r="AG53" s="148">
        <f>Table21123[[#This Row],[Midranges]]/($AA$47-Table21123[[#This Row],[Missed Games]])</f>
        <v>1</v>
      </c>
      <c r="AH53" s="148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48">
        <f>Table21123[[#This Row],[Points]]/($AA$47-Table21123[[#This Row],[Missed Games]])</f>
        <v>0.33333333333333331</v>
      </c>
      <c r="AF54" s="148">
        <f>Table21123[[#This Row],[Finishes]]/($AA$47-Table21123[[#This Row],[Missed Games]])</f>
        <v>0.33333333333333331</v>
      </c>
      <c r="AG54" s="148">
        <f>Table21123[[#This Row],[Midranges]]/($AA$47-Table21123[[#This Row],[Missed Games]])</f>
        <v>0</v>
      </c>
      <c r="AH54" s="148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0.6785714285714286</v>
      </c>
      <c r="V55" s="38">
        <f>'Statistics LG'!O42</f>
        <v>0.48571428571428571</v>
      </c>
      <c r="W55" s="38">
        <f>AVERAGE(U55:V55)</f>
        <v>0.58214285714285718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48">
        <f>Table21123[[#This Row],[Points]]/($AA$47-Table21123[[#This Row],[Missed Games]])</f>
        <v>1.3333333333333333</v>
      </c>
      <c r="AF55" s="148">
        <f>Table21123[[#This Row],[Finishes]]/($AA$47-Table21123[[#This Row],[Missed Games]])</f>
        <v>1</v>
      </c>
      <c r="AG55" s="148">
        <f>Table21123[[#This Row],[Midranges]]/($AA$47-Table21123[[#This Row],[Missed Games]])</f>
        <v>0.33333333333333331</v>
      </c>
      <c r="AH55" s="148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0.3214285714285714</v>
      </c>
      <c r="U56" s="40" t="s">
        <v>131</v>
      </c>
      <c r="V56" s="38">
        <f>'Statistics WW'!L42</f>
        <v>0.4</v>
      </c>
      <c r="W56" s="38">
        <f>AVERAGE(T56:V56)</f>
        <v>0.36071428571428571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48">
        <f>Table21123[[#This Row],[Points]]/($AA$47-Table21123[[#This Row],[Missed Games]])</f>
        <v>0</v>
      </c>
      <c r="AF56" s="148">
        <f>Table21123[[#This Row],[Finishes]]/($AA$47-Table21123[[#This Row],[Missed Games]])</f>
        <v>0</v>
      </c>
      <c r="AG56" s="148">
        <f>Table21123[[#This Row],[Midranges]]/($AA$47-Table21123[[#This Row],[Missed Games]])</f>
        <v>0</v>
      </c>
      <c r="AH56" s="148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0.51428571428571423</v>
      </c>
      <c r="U57" s="38">
        <f>1-V56</f>
        <v>0.6</v>
      </c>
      <c r="V57" s="40" t="s">
        <v>131</v>
      </c>
      <c r="W57" s="38">
        <f>AVERAGE(T57:V57)</f>
        <v>0.55714285714285716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48">
        <f>Table21123[[#This Row],[Points]]/($AA$47-Table21123[[#This Row],[Missed Games]])</f>
        <v>0.66666666666666663</v>
      </c>
      <c r="AF57" s="148">
        <f>Table21123[[#This Row],[Finishes]]/($AA$47-Table21123[[#This Row],[Missed Games]])</f>
        <v>0</v>
      </c>
      <c r="AG57" s="148">
        <f>Table21123[[#This Row],[Midranges]]/($AA$47-Table21123[[#This Row],[Missed Games]])</f>
        <v>0.66666666666666663</v>
      </c>
      <c r="AH57" s="148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8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48">
        <f>Table21123[[#This Row],[Points]]/($AA$47-Table21123[[#This Row],[Missed Games]])</f>
        <v>2.6666666666666665</v>
      </c>
      <c r="AF58" s="148">
        <f>Table21123[[#This Row],[Finishes]]/($AA$47-Table21123[[#This Row],[Missed Games]])</f>
        <v>0.66666666666666663</v>
      </c>
      <c r="AG58" s="148">
        <f>Table21123[[#This Row],[Midranges]]/($AA$47-Table21123[[#This Row],[Missed Games]])</f>
        <v>2</v>
      </c>
      <c r="AH58" s="148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48">
        <f>Table21123[[#This Row],[Points]]/($AA$47-Table21123[[#This Row],[Missed Games]])</f>
        <v>0.66666666666666663</v>
      </c>
      <c r="AF59" s="148">
        <f>Table21123[[#This Row],[Finishes]]/($AA$47-Table21123[[#This Row],[Missed Games]])</f>
        <v>0</v>
      </c>
      <c r="AG59" s="148">
        <f>Table21123[[#This Row],[Midranges]]/($AA$47-Table21123[[#This Row],[Missed Games]])</f>
        <v>0.66666666666666663</v>
      </c>
      <c r="AH59" s="148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48">
        <f>Table21123[[#This Row],[Points]]/($AA$47-Table21123[[#This Row],[Missed Games]])</f>
        <v>0</v>
      </c>
      <c r="AF60" s="148">
        <f>Table21123[[#This Row],[Finishes]]/($AA$47-Table21123[[#This Row],[Missed Games]])</f>
        <v>0</v>
      </c>
      <c r="AG60" s="148">
        <f>Table21123[[#This Row],[Midranges]]/($AA$47-Table21123[[#This Row],[Missed Games]])</f>
        <v>0</v>
      </c>
      <c r="AH60" s="148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48">
        <f>Table21123[[#This Row],[Points]]/($AA$47-Table21123[[#This Row],[Missed Games]])</f>
        <v>0.66666666666666663</v>
      </c>
      <c r="AF61" s="148">
        <f>Table21123[[#This Row],[Finishes]]/($AA$47-Table21123[[#This Row],[Missed Games]])</f>
        <v>0.33333333333333331</v>
      </c>
      <c r="AG61" s="148">
        <f>Table21123[[#This Row],[Midranges]]/($AA$47-Table21123[[#This Row],[Missed Games]])</f>
        <v>0.33333333333333331</v>
      </c>
      <c r="AH61" s="148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48">
        <f>Table21123[[#This Row],[Points]]/($AA$47-Table21123[[#This Row],[Missed Games]])</f>
        <v>0.33333333333333331</v>
      </c>
      <c r="AF62" s="148">
        <f>Table21123[[#This Row],[Finishes]]/($AA$47-Table21123[[#This Row],[Missed Games]])</f>
        <v>0.33333333333333331</v>
      </c>
      <c r="AG62" s="148">
        <f>Table21123[[#This Row],[Midranges]]/($AA$47-Table21123[[#This Row],[Missed Games]])</f>
        <v>0</v>
      </c>
      <c r="AH62" s="148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48">
        <f>Table21123[[#This Row],[Points]]/($AA$47-Table21123[[#This Row],[Missed Games]])</f>
        <v>1.6666666666666667</v>
      </c>
      <c r="AF63" s="148">
        <f>Table21123[[#This Row],[Finishes]]/($AA$47-Table21123[[#This Row],[Missed Games]])</f>
        <v>1</v>
      </c>
      <c r="AG63" s="148">
        <f>Table21123[[#This Row],[Midranges]]/($AA$47-Table21123[[#This Row],[Missed Games]])</f>
        <v>0.66666666666666663</v>
      </c>
      <c r="AH63" s="148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48">
        <f>Table21123[[#This Row],[Points]]/($AA$47-Table21123[[#This Row],[Missed Games]])</f>
        <v>0.33333333333333331</v>
      </c>
      <c r="AF64" s="148">
        <f>Table21123[[#This Row],[Finishes]]/($AA$47-Table21123[[#This Row],[Missed Games]])</f>
        <v>0</v>
      </c>
      <c r="AG64" s="148">
        <f>Table21123[[#This Row],[Midranges]]/($AA$47-Table21123[[#This Row],[Missed Games]])</f>
        <v>0.33333333333333331</v>
      </c>
      <c r="AH64" s="148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48">
        <f>Table21123[[#This Row],[Points]]/($AA$47-Table21123[[#This Row],[Missed Games]])</f>
        <v>0</v>
      </c>
      <c r="AF65" s="148">
        <f>Table21123[[#This Row],[Finishes]]/($AA$47-Table21123[[#This Row],[Missed Games]])</f>
        <v>0</v>
      </c>
      <c r="AG65" s="148">
        <f>Table21123[[#This Row],[Midranges]]/($AA$47-Table21123[[#This Row],[Missed Games]])</f>
        <v>0</v>
      </c>
      <c r="AH65" s="148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1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</f>
        <v>0</v>
      </c>
      <c r="AB69" s="31">
        <f>'0808'!S3</f>
        <v>0</v>
      </c>
      <c r="AC69" s="31">
        <f>'0808'!T3</f>
        <v>0</v>
      </c>
      <c r="AD69" s="31">
        <f>'0808'!U3</f>
        <v>0</v>
      </c>
      <c r="AE69" s="148">
        <f>Table21126[[#This Row],[Points]]/($AA$67-Table21126[[#This Row],[Missed Games]])</f>
        <v>0</v>
      </c>
      <c r="AF69" s="148">
        <f>Table21126[[#This Row],[Finishes]]/($AA$67-Table21126[[#This Row],[Missed Games]])</f>
        <v>0</v>
      </c>
      <c r="AG69" s="148">
        <f>Table21126[[#This Row],[Midranges]]/($AA$67-Table21126[[#This Row],[Missed Games]])</f>
        <v>0</v>
      </c>
      <c r="AH69" s="148">
        <f>Table21126[[#This Row],[Threes]]/($AA$67-Table21126[[#This Row],[Missed Games]])</f>
        <v>0</v>
      </c>
      <c r="AI69" s="31">
        <f>COUNTIF('0808'!V3, TRUE)</f>
        <v>0</v>
      </c>
      <c r="AJ69" s="35"/>
      <c r="AK69" s="47" t="s">
        <v>45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49</v>
      </c>
      <c r="AA70" s="31">
        <f>'0808'!R4</f>
        <v>0</v>
      </c>
      <c r="AB70" s="31">
        <f>'0808'!S4</f>
        <v>0</v>
      </c>
      <c r="AC70" s="31">
        <f>'0808'!T4</f>
        <v>0</v>
      </c>
      <c r="AD70" s="31">
        <f>'0808'!U4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</f>
        <v>0</v>
      </c>
      <c r="AJ70" s="35"/>
      <c r="AK70" s="47" t="s">
        <v>49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51</v>
      </c>
      <c r="AA71" s="31">
        <f>'0808'!R5</f>
        <v>4</v>
      </c>
      <c r="AB71" s="31">
        <f>'0808'!S5</f>
        <v>4</v>
      </c>
      <c r="AC71" s="31">
        <f>'0808'!T5</f>
        <v>0</v>
      </c>
      <c r="AD71" s="31">
        <f>'0808'!U5</f>
        <v>0</v>
      </c>
      <c r="AE71" s="31">
        <f>Table21126[[#This Row],[Points]]/($AA$67-Table21126[[#This Row],[Missed Games]])</f>
        <v>4</v>
      </c>
      <c r="AF71" s="31">
        <f>Table21126[[#This Row],[Finishes]]/($AA$67-Table21126[[#This Row],[Missed Games]])</f>
        <v>4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</f>
        <v>0</v>
      </c>
      <c r="AJ71" s="35"/>
      <c r="AK71" s="47" t="s">
        <v>51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</f>
        <v>1</v>
      </c>
      <c r="AB72" s="31">
        <f>'0808'!S6</f>
        <v>1</v>
      </c>
      <c r="AC72" s="31">
        <f>'0808'!T6</f>
        <v>0</v>
      </c>
      <c r="AD72" s="31">
        <f>'0808'!U6</f>
        <v>0</v>
      </c>
      <c r="AE72" s="31">
        <f>Table21126[[#This Row],[Points]]/($AA$67-Table21126[[#This Row],[Missed Games]])</f>
        <v>1</v>
      </c>
      <c r="AF72" s="31">
        <f>Table21126[[#This Row],[Finishes]]/($AA$67-Table21126[[#This Row],[Missed Games]])</f>
        <v>1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</f>
        <v>0</v>
      </c>
      <c r="AJ72" s="35"/>
      <c r="AK72" s="47" t="s">
        <v>54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57</v>
      </c>
      <c r="AA73" s="31">
        <f>'0808'!R7</f>
        <v>0</v>
      </c>
      <c r="AB73" s="31">
        <f>'0808'!S7</f>
        <v>0</v>
      </c>
      <c r="AC73" s="31">
        <f>'0808'!T7</f>
        <v>0</v>
      </c>
      <c r="AD73" s="31">
        <f>'0808'!U7</f>
        <v>0</v>
      </c>
      <c r="AE73" s="31">
        <f>Table21126[[#This Row],[Points]]/($AA$67-Table21126[[#This Row],[Missed Games]])</f>
        <v>0</v>
      </c>
      <c r="AF73" s="31">
        <f>Table21126[[#This Row],[Finishes]]/($AA$67-Table21126[[#This Row],[Missed Games]])</f>
        <v>0</v>
      </c>
      <c r="AG73" s="31">
        <f>Table21126[[#This Row],[Midranges]]/($AA$67-Table21126[[#This Row],[Missed Games]])</f>
        <v>0</v>
      </c>
      <c r="AH73" s="31">
        <f>Table21126[[#This Row],[Threes]]/($AA$67-Table21126[[#This Row],[Missed Games]])</f>
        <v>0</v>
      </c>
      <c r="AI73" s="31">
        <f>COUNTIF('0808'!V7, TRUE)</f>
        <v>0</v>
      </c>
      <c r="AJ73" s="35"/>
      <c r="AK73" s="47" t="s">
        <v>57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60</v>
      </c>
      <c r="AA74" s="31">
        <f>'0808'!R8</f>
        <v>2</v>
      </c>
      <c r="AB74" s="31">
        <f>'0808'!S8</f>
        <v>2</v>
      </c>
      <c r="AC74" s="31">
        <f>'0808'!T8</f>
        <v>0</v>
      </c>
      <c r="AD74" s="31">
        <f>'0808'!U8</f>
        <v>0</v>
      </c>
      <c r="AE74" s="31">
        <f>Table21126[[#This Row],[Points]]/($AA$67-Table21126[[#This Row],[Missed Games]])</f>
        <v>2</v>
      </c>
      <c r="AF74" s="31">
        <f>Table21126[[#This Row],[Finishes]]/($AA$67-Table21126[[#This Row],[Missed Games]])</f>
        <v>2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</f>
        <v>0</v>
      </c>
      <c r="AJ74" s="35"/>
      <c r="AK74" s="47" t="s">
        <v>60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93</v>
      </c>
      <c r="AA75" s="31">
        <f>'0808'!R9</f>
        <v>0</v>
      </c>
      <c r="AB75" s="31">
        <f>'0808'!S9</f>
        <v>0</v>
      </c>
      <c r="AC75" s="31">
        <f>'0808'!T9</f>
        <v>0</v>
      </c>
      <c r="AD75" s="31">
        <f>'0808'!U9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</f>
        <v>0</v>
      </c>
      <c r="AJ75" s="35"/>
      <c r="AK75" s="35" t="s">
        <v>93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145</v>
      </c>
      <c r="Z76" s="47" t="s">
        <v>63</v>
      </c>
      <c r="AA76" s="31">
        <f>'0808'!R10</f>
        <v>0</v>
      </c>
      <c r="AB76" s="31">
        <f>'0808'!S10</f>
        <v>0</v>
      </c>
      <c r="AC76" s="31">
        <f>'0808'!T10</f>
        <v>0</v>
      </c>
      <c r="AD76" s="31">
        <f>'0808'!U10</f>
        <v>0</v>
      </c>
      <c r="AE76" s="31">
        <f>Table21126[[#This Row],[Points]]/($AA$67-Table21126[[#This Row],[Missed Games]])</f>
        <v>0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</v>
      </c>
      <c r="AH76" s="31">
        <f>Table21126[[#This Row],[Threes]]/($AA$67-Table21126[[#This Row],[Missed Games]])</f>
        <v>0</v>
      </c>
      <c r="AI76" s="31">
        <f>COUNTIF('0808'!V10, TRUE)</f>
        <v>0</v>
      </c>
      <c r="AJ76" s="35"/>
      <c r="AK76" s="47" t="s">
        <v>63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</f>
        <v>0</v>
      </c>
      <c r="AB77" s="31">
        <f>'0808'!S11</f>
        <v>0</v>
      </c>
      <c r="AC77" s="31">
        <f>'0808'!T11</f>
        <v>0</v>
      </c>
      <c r="AD77" s="31">
        <f>'0808'!U11</f>
        <v>0</v>
      </c>
      <c r="AE77" s="31" t="e">
        <f>Table21126[[#This Row],[Points]]/($AA$67-Table21126[[#This Row],[Missed Games]])</f>
        <v>#DIV/0!</v>
      </c>
      <c r="AF77" s="31" t="e">
        <f>Table21126[[#This Row],[Finishes]]/($AA$67-Table21126[[#This Row],[Missed Games]])</f>
        <v>#DIV/0!</v>
      </c>
      <c r="AG77" s="31" t="e">
        <f>Table21126[[#This Row],[Midranges]]/($AA$67-Table21126[[#This Row],[Missed Games]])</f>
        <v>#DIV/0!</v>
      </c>
      <c r="AH77" s="31" t="e">
        <f>Table21126[[#This Row],[Threes]]/($AA$67-Table21126[[#This Row],[Missed Games]])</f>
        <v>#DIV/0!</v>
      </c>
      <c r="AI77" s="31">
        <f>COUNTIF('0808'!V11, TRUE)</f>
        <v>1</v>
      </c>
      <c r="AJ77" s="35"/>
      <c r="AK77" s="47" t="s">
        <v>66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</f>
        <v>12</v>
      </c>
      <c r="AB78" s="31">
        <f>'0808'!S12</f>
        <v>2</v>
      </c>
      <c r="AC78" s="31">
        <f>'0808'!T12</f>
        <v>8</v>
      </c>
      <c r="AD78" s="31">
        <f>'0808'!U12</f>
        <v>1</v>
      </c>
      <c r="AE78" s="31">
        <f>Table21126[[#This Row],[Points]]/($AA$67-Table21126[[#This Row],[Missed Games]])</f>
        <v>12</v>
      </c>
      <c r="AF78" s="31">
        <f>Table21126[[#This Row],[Finishes]]/($AA$67-Table21126[[#This Row],[Missed Games]])</f>
        <v>2</v>
      </c>
      <c r="AG78" s="31">
        <f>Table21126[[#This Row],[Midranges]]/($AA$67-Table21126[[#This Row],[Missed Games]])</f>
        <v>8</v>
      </c>
      <c r="AH78" s="31">
        <f>Table21126[[#This Row],[Threes]]/($AA$67-Table21126[[#This Row],[Missed Games]])</f>
        <v>1</v>
      </c>
      <c r="AI78" s="31">
        <f>COUNTIF('0808'!V12, TRUE)</f>
        <v>0</v>
      </c>
      <c r="AJ78" s="35"/>
      <c r="AK78" s="47" t="s">
        <v>68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</f>
        <v>0</v>
      </c>
      <c r="AB79" s="31">
        <f>'0808'!S13</f>
        <v>0</v>
      </c>
      <c r="AC79" s="31">
        <f>'0808'!T13</f>
        <v>0</v>
      </c>
      <c r="AD79" s="31">
        <f>'0808'!U13</f>
        <v>0</v>
      </c>
      <c r="AE79" s="31">
        <f>Table21126[[#This Row],[Points]]/($AA$67-Table21126[[#This Row],[Missed Games]])</f>
        <v>0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</v>
      </c>
      <c r="AH79" s="31">
        <f>Table21126[[#This Row],[Threes]]/($AA$67-Table21126[[#This Row],[Missed Games]])</f>
        <v>0</v>
      </c>
      <c r="AI79" s="31">
        <f>COUNTIF('0808'!V13, TRUE)</f>
        <v>0</v>
      </c>
      <c r="AJ79" s="35"/>
      <c r="AK79" s="47" t="s">
        <v>69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</f>
        <v>0</v>
      </c>
      <c r="AB80" s="31">
        <f>'0808'!S14</f>
        <v>0</v>
      </c>
      <c r="AC80" s="31">
        <f>'0808'!T14</f>
        <v>0</v>
      </c>
      <c r="AD80" s="31">
        <f>'0808'!U14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</f>
        <v>1</v>
      </c>
      <c r="AJ80" s="35"/>
      <c r="AK80" s="35" t="s">
        <v>200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</f>
        <v>0</v>
      </c>
      <c r="AB81" s="31">
        <f>'0808'!S15</f>
        <v>0</v>
      </c>
      <c r="AC81" s="31">
        <f>'0808'!T15</f>
        <v>0</v>
      </c>
      <c r="AD81" s="31">
        <f>'0808'!U15</f>
        <v>0</v>
      </c>
      <c r="AE81" s="31" t="e">
        <f>Table21126[[#This Row],[Points]]/($AA$67-Table21126[[#This Row],[Missed Games]])</f>
        <v>#DIV/0!</v>
      </c>
      <c r="AF81" s="31" t="e">
        <f>Table21126[[#This Row],[Finishes]]/($AA$67-Table21126[[#This Row],[Missed Games]])</f>
        <v>#DIV/0!</v>
      </c>
      <c r="AG81" s="31" t="e">
        <f>Table21126[[#This Row],[Midranges]]/($AA$67-Table21126[[#This Row],[Missed Games]])</f>
        <v>#DIV/0!</v>
      </c>
      <c r="AH81" s="31" t="e">
        <f>Table21126[[#This Row],[Threes]]/($AA$67-Table21126[[#This Row],[Missed Games]])</f>
        <v>#DIV/0!</v>
      </c>
      <c r="AI81" s="31">
        <f>COUNTIF('0808'!V15, TRUE)</f>
        <v>1</v>
      </c>
      <c r="AJ81" s="35"/>
      <c r="AK81" s="35" t="s">
        <v>128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</f>
        <v>1</v>
      </c>
      <c r="AB82" s="31">
        <f>'0808'!S16</f>
        <v>1</v>
      </c>
      <c r="AC82" s="31">
        <f>'0808'!T16</f>
        <v>0</v>
      </c>
      <c r="AD82" s="31">
        <f>'0808'!U16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</f>
        <v>0</v>
      </c>
      <c r="AJ82" s="35"/>
      <c r="AK82" s="35" t="s">
        <v>127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</f>
        <v>0</v>
      </c>
      <c r="AB83" s="31">
        <f>'0808'!S17</f>
        <v>0</v>
      </c>
      <c r="AC83" s="31">
        <f>'0808'!T17</f>
        <v>0</v>
      </c>
      <c r="AD83" s="31">
        <f>'0808'!U17</f>
        <v>0</v>
      </c>
      <c r="AE83" s="31">
        <f>Table21126[[#This Row],[Points]]/($AA$67-Table21126[[#This Row],[Missed Games]])</f>
        <v>0</v>
      </c>
      <c r="AF83" s="31">
        <f>Table21126[[#This Row],[Finishes]]/($AA$67-Table21126[[#This Row],[Missed Games]])</f>
        <v>0</v>
      </c>
      <c r="AG83" s="31">
        <f>Table21126[[#This Row],[Midranges]]/($AA$67-Table21126[[#This Row],[Missed Games]])</f>
        <v>0</v>
      </c>
      <c r="AH83" s="31">
        <f>Table21126[[#This Row],[Threes]]/($AA$67-Table21126[[#This Row],[Missed Games]])</f>
        <v>0</v>
      </c>
      <c r="AI83" s="31">
        <f>COUNTIF('0808'!V17, TRUE)</f>
        <v>0</v>
      </c>
      <c r="AJ83" s="35"/>
      <c r="AK83" s="35" t="s">
        <v>73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</f>
        <v>0</v>
      </c>
      <c r="AB84" s="31">
        <f>'0808'!S18</f>
        <v>0</v>
      </c>
      <c r="AC84" s="31">
        <f>'0808'!T18</f>
        <v>0</v>
      </c>
      <c r="AD84" s="31">
        <f>'0808'!U18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</f>
        <v>0</v>
      </c>
      <c r="AJ84" s="35"/>
      <c r="AK84" s="35" t="s">
        <v>74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</f>
        <v>0</v>
      </c>
      <c r="AB85" s="31">
        <f>'0808'!S19</f>
        <v>0</v>
      </c>
      <c r="AC85" s="31">
        <f>'0808'!T19</f>
        <v>0</v>
      </c>
      <c r="AD85" s="31">
        <f>'0808'!U19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</f>
        <v>0</v>
      </c>
      <c r="AJ85" s="35"/>
      <c r="AK85" s="47" t="s">
        <v>75</v>
      </c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/>
      <c r="S90" s="46"/>
      <c r="T90" s="16"/>
      <c r="U90" s="16"/>
      <c r="V90" s="16"/>
      <c r="Z90" s="47" t="s">
        <v>49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/>
      <c r="S91" s="46"/>
      <c r="T91" s="16"/>
      <c r="U91" s="16"/>
      <c r="V91" s="16"/>
      <c r="Z91" s="47" t="s">
        <v>51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/>
      <c r="S92" s="46"/>
      <c r="T92" s="16"/>
      <c r="U92" s="16"/>
      <c r="V92" s="16"/>
      <c r="Z92" s="47" t="s">
        <v>54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Z93" s="47" t="s">
        <v>57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Z94" s="47" t="s">
        <v>60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Z95" s="35" t="s">
        <v>93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Z96" s="47" t="s">
        <v>63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Z97" s="47" t="s">
        <v>66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Z98" s="47" t="s">
        <v>68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/>
      <c r="AB105" s="31"/>
      <c r="AC105" s="31"/>
      <c r="AD105" s="31"/>
      <c r="AE105" s="31"/>
      <c r="AF105" s="31"/>
      <c r="AG105" s="31"/>
      <c r="AH105" s="31"/>
      <c r="AI105" s="31"/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162" priority="11" operator="greaterThan">
      <formula>0</formula>
    </cfRule>
  </conditionalFormatting>
  <conditionalFormatting sqref="U109:U118 W103:W108">
    <cfRule type="cellIs" dxfId="161" priority="10" operator="lessThan">
      <formula>0</formula>
    </cfRule>
  </conditionalFormatting>
  <conditionalFormatting sqref="AQ8:AQ24">
    <cfRule type="cellIs" dxfId="160" priority="5" operator="equal">
      <formula>$AA$4</formula>
    </cfRule>
    <cfRule type="cellIs" dxfId="159" priority="6" operator="lessThan">
      <formula>$AA$4</formula>
    </cfRule>
    <cfRule type="cellIs" dxfId="158" priority="7" operator="greaterThan">
      <formula>$AA$4</formula>
    </cfRule>
  </conditionalFormatting>
  <conditionalFormatting sqref="AT8:AT24">
    <cfRule type="cellIs" dxfId="157" priority="3" operator="lessThan">
      <formula>0</formula>
    </cfRule>
    <cfRule type="cellIs" dxfId="156" priority="4" operator="greaterThan">
      <formula>0</formula>
    </cfRule>
  </conditionalFormatting>
  <conditionalFormatting sqref="AU8:AU24">
    <cfRule type="cellIs" dxfId="155" priority="1" operator="lessThan">
      <formula>0</formula>
    </cfRule>
    <cfRule type="cellIs" dxfId="154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9.5312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9" width="14.3984375" style="76" customWidth="1"/>
    <col min="40" max="16384" width="14.3984375" style="76"/>
  </cols>
  <sheetData>
    <row r="1" spans="1:30" ht="14.35" customHeight="1" x14ac:dyDescent="0.45">
      <c r="L1" s="56"/>
      <c r="M1" s="56"/>
      <c r="N1" s="78"/>
      <c r="O1" s="56"/>
      <c r="P1" s="56"/>
    </row>
    <row r="2" spans="1:30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101" t="s">
        <v>192</v>
      </c>
      <c r="AA2" s="56"/>
    </row>
    <row r="3" spans="1:30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72</v>
      </c>
      <c r="I3" s="81">
        <f>SUM(C7:C40)</f>
        <v>54</v>
      </c>
      <c r="J3" s="78">
        <f>SUM(D7:D40)</f>
        <v>26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102" t="s">
        <v>4</v>
      </c>
      <c r="S3" s="103" t="s">
        <v>0</v>
      </c>
      <c r="T3" s="103" t="s">
        <v>85</v>
      </c>
      <c r="U3" s="104" t="s">
        <v>1</v>
      </c>
      <c r="V3" s="105" t="s">
        <v>80</v>
      </c>
      <c r="W3" s="105" t="s">
        <v>2</v>
      </c>
      <c r="X3" s="105" t="s">
        <v>117</v>
      </c>
      <c r="Y3" s="104" t="s">
        <v>3</v>
      </c>
      <c r="Z3" s="105" t="s">
        <v>118</v>
      </c>
      <c r="AA3" s="105" t="s">
        <v>120</v>
      </c>
      <c r="AD3" s="82"/>
    </row>
    <row r="4" spans="1:30" ht="14.35" customHeight="1" x14ac:dyDescent="0.45">
      <c r="A4" s="122" t="str">
        <f>'Stats Global'!B5</f>
        <v>11-July</v>
      </c>
      <c r="B4" s="123">
        <f>'Stats Global'!F5</f>
        <v>5</v>
      </c>
      <c r="C4" s="123">
        <f>'Stats Global'!G5+'Stats Global'!H5</f>
        <v>6</v>
      </c>
      <c r="D4" s="123">
        <f>'Stats Global'!O5</f>
        <v>2</v>
      </c>
      <c r="E4" s="124" t="s">
        <v>46</v>
      </c>
      <c r="F4" s="124" t="s">
        <v>206</v>
      </c>
      <c r="J4" s="84"/>
      <c r="L4" s="125">
        <f>'Stats Global'!J5</f>
        <v>2</v>
      </c>
      <c r="M4" s="125">
        <f>'Stats Global'!G5</f>
        <v>0</v>
      </c>
      <c r="N4" s="86"/>
      <c r="O4" s="125">
        <f>'Stats Global'!M5</f>
        <v>3</v>
      </c>
      <c r="P4" s="125">
        <f>'Stats Global'!H5</f>
        <v>6</v>
      </c>
      <c r="R4" s="106" t="s">
        <v>61</v>
      </c>
      <c r="S4" s="96">
        <f>'Stats Global'!AA22</f>
        <v>34</v>
      </c>
      <c r="T4" s="96">
        <f>'Stats Global'!AB22</f>
        <v>2.8333333333333335</v>
      </c>
      <c r="U4" s="96">
        <f>'Stats Global'!AC22</f>
        <v>17</v>
      </c>
      <c r="V4" s="96">
        <f>'Stats Global'!AD22</f>
        <v>1.4166666666666667</v>
      </c>
      <c r="W4" s="96">
        <f>'Stats Global'!AE22</f>
        <v>7</v>
      </c>
      <c r="X4" s="96">
        <f>'Stats Global'!AF22</f>
        <v>0.58333333333333337</v>
      </c>
      <c r="Y4" s="96">
        <f>'Stats Global'!AG22</f>
        <v>5</v>
      </c>
      <c r="Z4" s="96">
        <f>'Stats Global'!AH22</f>
        <v>0.41666666666666669</v>
      </c>
      <c r="AA4" s="96">
        <f>'Stats Global'!AJ22</f>
        <v>0</v>
      </c>
    </row>
    <row r="5" spans="1:30" ht="14.35" customHeight="1" x14ac:dyDescent="0.45">
      <c r="A5" s="122" t="str">
        <f>'Stats Global'!B6</f>
        <v>12-July</v>
      </c>
      <c r="B5" s="123">
        <f>'Stats Global'!F6</f>
        <v>9</v>
      </c>
      <c r="C5" s="123">
        <f>'Stats Global'!G6+'Stats Global'!H6</f>
        <v>8</v>
      </c>
      <c r="D5" s="123">
        <f>'Stats Global'!O6</f>
        <v>2</v>
      </c>
      <c r="E5" s="124" t="s">
        <v>61</v>
      </c>
      <c r="F5" s="124" t="s">
        <v>209</v>
      </c>
      <c r="I5" s="81"/>
      <c r="J5" s="84"/>
      <c r="L5" s="125">
        <f>'Stats Global'!J6</f>
        <v>4</v>
      </c>
      <c r="M5" s="125">
        <f>'Stats Global'!G6</f>
        <v>1</v>
      </c>
      <c r="N5" s="86"/>
      <c r="O5" s="125">
        <f>'Stats Global'!M6</f>
        <v>5</v>
      </c>
      <c r="P5" s="125">
        <f>'Stats Global'!H6</f>
        <v>7</v>
      </c>
      <c r="R5" s="84" t="s">
        <v>46</v>
      </c>
      <c r="S5" s="96">
        <f>'Stats Global'!AA16</f>
        <v>17</v>
      </c>
      <c r="T5" s="96">
        <f>'Stats Global'!AB16</f>
        <v>1.7</v>
      </c>
      <c r="U5" s="96">
        <f>'Stats Global'!AC16</f>
        <v>7</v>
      </c>
      <c r="V5" s="96">
        <f>'Stats Global'!AD16</f>
        <v>0.7</v>
      </c>
      <c r="W5" s="96">
        <f>'Stats Global'!AE16</f>
        <v>6</v>
      </c>
      <c r="X5" s="96">
        <f>'Stats Global'!AF16</f>
        <v>0.6</v>
      </c>
      <c r="Y5" s="96">
        <f>'Stats Global'!AG16</f>
        <v>2</v>
      </c>
      <c r="Z5" s="96">
        <f>'Stats Global'!AH16</f>
        <v>0.2</v>
      </c>
      <c r="AA5" s="96">
        <f>'Stats Global'!AJ16</f>
        <v>2</v>
      </c>
    </row>
    <row r="6" spans="1:30" ht="14.35" customHeight="1" x14ac:dyDescent="0.45">
      <c r="A6" s="122" t="str">
        <f>'Stats Global'!B7</f>
        <v>13-July</v>
      </c>
      <c r="B6" s="123">
        <f>'Stats Global'!F7</f>
        <v>8</v>
      </c>
      <c r="C6" s="123">
        <f>'Stats Global'!G7+'Stats Global'!H7</f>
        <v>2</v>
      </c>
      <c r="D6" s="123">
        <f>'Stats Global'!O7</f>
        <v>3</v>
      </c>
      <c r="E6" s="124" t="s">
        <v>61</v>
      </c>
      <c r="F6" s="124" t="s">
        <v>61</v>
      </c>
      <c r="I6" s="81"/>
      <c r="J6" s="84"/>
      <c r="L6" s="125">
        <f>'Stats Global'!J7</f>
        <v>4</v>
      </c>
      <c r="M6" s="125">
        <f>'Stats Global'!G7</f>
        <v>2</v>
      </c>
      <c r="N6" s="86"/>
      <c r="O6" s="125">
        <f>'Stats Global'!M7</f>
        <v>4</v>
      </c>
      <c r="P6" s="125">
        <f>'Stats Global'!H7</f>
        <v>0</v>
      </c>
      <c r="R6" s="84" t="s">
        <v>58</v>
      </c>
      <c r="S6" s="96">
        <f>'Stats Global'!AA21</f>
        <v>14</v>
      </c>
      <c r="T6" s="96">
        <f>'Stats Global'!AB21</f>
        <v>1.1666666666666667</v>
      </c>
      <c r="U6" s="96">
        <f>'Stats Global'!AC21</f>
        <v>9</v>
      </c>
      <c r="V6" s="96">
        <f>'Stats Global'!AD21</f>
        <v>0.75</v>
      </c>
      <c r="W6" s="96">
        <f>'Stats Global'!AE21</f>
        <v>3</v>
      </c>
      <c r="X6" s="96">
        <f>'Stats Global'!AF21</f>
        <v>0.25</v>
      </c>
      <c r="Y6" s="96">
        <f>'Stats Global'!AG21</f>
        <v>1</v>
      </c>
      <c r="Z6" s="96">
        <f>'Stats Global'!AH21</f>
        <v>8.3333333333333329E-2</v>
      </c>
      <c r="AA6" s="96">
        <f>'Stats Global'!AJ21</f>
        <v>0</v>
      </c>
    </row>
    <row r="7" spans="1:30" ht="14.35" customHeight="1" x14ac:dyDescent="0.45">
      <c r="A7" s="75" t="str">
        <f>'Stats Global'!B8</f>
        <v>17-July</v>
      </c>
      <c r="B7" s="83">
        <f>'Stats Global'!F8</f>
        <v>8</v>
      </c>
      <c r="C7" s="83">
        <f>'Stats Global'!G8+'Stats Global'!H8</f>
        <v>3</v>
      </c>
      <c r="D7" s="83">
        <f>'Stats Global'!O8</f>
        <v>3</v>
      </c>
      <c r="E7" s="80" t="s">
        <v>61</v>
      </c>
      <c r="F7" s="80" t="s">
        <v>61</v>
      </c>
      <c r="I7" s="81"/>
      <c r="J7" s="84"/>
      <c r="L7" s="85">
        <f>'Stats Global'!J8</f>
        <v>5</v>
      </c>
      <c r="M7" s="85">
        <f>'Stats Global'!G8</f>
        <v>0</v>
      </c>
      <c r="N7" s="86"/>
      <c r="O7" s="85">
        <f>'Stats Global'!M8</f>
        <v>3</v>
      </c>
      <c r="P7" s="85">
        <f>'Stats Global'!H8</f>
        <v>3</v>
      </c>
      <c r="R7" s="84" t="s">
        <v>25</v>
      </c>
      <c r="S7" s="96">
        <f>'Stats Global'!AA8</f>
        <v>3</v>
      </c>
      <c r="T7" s="96">
        <f>'Stats Global'!AB8</f>
        <v>0.25</v>
      </c>
      <c r="U7" s="96">
        <f>'Stats Global'!AC8</f>
        <v>0</v>
      </c>
      <c r="V7" s="96">
        <f>'Stats Global'!AD8</f>
        <v>0</v>
      </c>
      <c r="W7" s="96">
        <f>'Stats Global'!AE8</f>
        <v>3</v>
      </c>
      <c r="X7" s="96">
        <f>'Stats Global'!AF8</f>
        <v>0.25</v>
      </c>
      <c r="Y7" s="96">
        <f>'Stats Global'!AG8</f>
        <v>0</v>
      </c>
      <c r="Z7" s="96">
        <f>'Stats Global'!AH8</f>
        <v>0</v>
      </c>
      <c r="AA7" s="96">
        <f>'Stats Global'!AJ8</f>
        <v>0</v>
      </c>
    </row>
    <row r="8" spans="1:30" ht="14.35" customHeight="1" x14ac:dyDescent="0.45">
      <c r="A8" s="75" t="str">
        <f>'Stats Global'!B9</f>
        <v>18-July</v>
      </c>
      <c r="B8" s="83">
        <f>'Stats Global'!F9</f>
        <v>12</v>
      </c>
      <c r="C8" s="83">
        <f>'Stats Global'!G9+'Stats Global'!H9</f>
        <v>1</v>
      </c>
      <c r="D8" s="83">
        <f>'Stats Global'!O9</f>
        <v>3</v>
      </c>
      <c r="E8" s="80" t="s">
        <v>61</v>
      </c>
      <c r="F8" s="80" t="s">
        <v>224</v>
      </c>
      <c r="I8" s="81"/>
      <c r="J8" s="84"/>
      <c r="L8" s="85">
        <f>'Stats Global'!J9</f>
        <v>6</v>
      </c>
      <c r="M8" s="85">
        <f>'Stats Global'!G9</f>
        <v>1</v>
      </c>
      <c r="N8" s="86"/>
      <c r="O8" s="85">
        <f>'Stats Global'!M9</f>
        <v>6</v>
      </c>
      <c r="P8" s="85">
        <f>'Stats Global'!H9</f>
        <v>0</v>
      </c>
      <c r="R8" s="84" t="s">
        <v>28</v>
      </c>
      <c r="S8" s="96">
        <f>'Stats Global'!AA9</f>
        <v>12</v>
      </c>
      <c r="T8" s="96">
        <f>'Stats Global'!AB9</f>
        <v>1.0909090909090908</v>
      </c>
      <c r="U8" s="96">
        <f>'Stats Global'!AC9</f>
        <v>12</v>
      </c>
      <c r="V8" s="96">
        <f>'Stats Global'!AD9</f>
        <v>1.0909090909090908</v>
      </c>
      <c r="W8" s="96">
        <f>'Stats Global'!AE9</f>
        <v>0</v>
      </c>
      <c r="X8" s="96">
        <f>'Stats Global'!AF9</f>
        <v>0</v>
      </c>
      <c r="Y8" s="96">
        <f>'Stats Global'!AG9</f>
        <v>0</v>
      </c>
      <c r="Z8" s="96">
        <f>'Stats Global'!AH9</f>
        <v>0</v>
      </c>
      <c r="AA8" s="96">
        <f>'Stats Global'!AJ9</f>
        <v>1</v>
      </c>
    </row>
    <row r="9" spans="1:30" ht="14.35" customHeight="1" x14ac:dyDescent="0.45">
      <c r="A9" s="75" t="str">
        <f>'Stats Global'!B10</f>
        <v>19-July</v>
      </c>
      <c r="B9" s="83">
        <f>'Stats Global'!F10</f>
        <v>15</v>
      </c>
      <c r="C9" s="83">
        <f>'Stats Global'!G10+'Stats Global'!H10</f>
        <v>0</v>
      </c>
      <c r="D9" s="83">
        <f>'Stats Global'!O10</f>
        <v>3</v>
      </c>
      <c r="E9" s="80" t="s">
        <v>46</v>
      </c>
      <c r="F9" s="80" t="s">
        <v>61</v>
      </c>
      <c r="I9" s="81"/>
      <c r="J9" s="84"/>
      <c r="L9" s="85">
        <f>'Stats Global'!J10</f>
        <v>8</v>
      </c>
      <c r="M9" s="85">
        <f>'Stats Global'!G10</f>
        <v>0</v>
      </c>
      <c r="N9" s="86"/>
      <c r="O9" s="85">
        <f>'Stats Global'!M10</f>
        <v>7</v>
      </c>
      <c r="P9" s="85">
        <f>'Stats Global'!H10</f>
        <v>0</v>
      </c>
      <c r="R9" s="55"/>
      <c r="S9" s="39"/>
      <c r="T9" s="39"/>
      <c r="U9" s="39"/>
      <c r="V9" s="39"/>
      <c r="W9" s="39"/>
    </row>
    <row r="10" spans="1:30" ht="14.35" customHeight="1" x14ac:dyDescent="0.45">
      <c r="A10" s="75" t="str">
        <f>'Stats Global'!B11</f>
        <v>20-July</v>
      </c>
      <c r="B10" s="83">
        <f>'Stats Global'!F11</f>
        <v>3</v>
      </c>
      <c r="C10" s="83">
        <f>'Stats Global'!G11+'Stats Global'!H11</f>
        <v>4</v>
      </c>
      <c r="D10" s="83">
        <f>'Stats Global'!O11</f>
        <v>2</v>
      </c>
      <c r="E10" s="80" t="s">
        <v>236</v>
      </c>
      <c r="F10" s="80" t="s">
        <v>46</v>
      </c>
      <c r="I10" s="81"/>
      <c r="J10" s="84"/>
      <c r="L10" s="85">
        <f>'Stats Global'!J11</f>
        <v>2</v>
      </c>
      <c r="M10" s="85">
        <f>'Stats Global'!G11</f>
        <v>3</v>
      </c>
      <c r="N10" s="86"/>
      <c r="O10" s="85">
        <f>'Stats Global'!M11</f>
        <v>1</v>
      </c>
      <c r="P10" s="85">
        <f>'Stats Global'!H11</f>
        <v>1</v>
      </c>
      <c r="R10" s="56"/>
      <c r="S10" s="56"/>
      <c r="T10" s="39"/>
      <c r="U10" s="39"/>
      <c r="V10" s="39"/>
      <c r="W10" s="39"/>
    </row>
    <row r="11" spans="1:30" ht="14.35" customHeight="1" x14ac:dyDescent="0.45">
      <c r="A11" s="75" t="str">
        <f>'Stats Global'!B12</f>
        <v>24-July</v>
      </c>
      <c r="B11" s="83">
        <f>'Stats Global'!F12</f>
        <v>1</v>
      </c>
      <c r="C11" s="83">
        <f>'Stats Global'!G12+'Stats Global'!H12</f>
        <v>5</v>
      </c>
      <c r="D11" s="83">
        <f>'Stats Global'!O12</f>
        <v>2</v>
      </c>
      <c r="E11" s="80" t="s">
        <v>46</v>
      </c>
      <c r="F11" s="80" t="s">
        <v>207</v>
      </c>
      <c r="I11" s="81"/>
      <c r="J11" s="84"/>
      <c r="L11" s="85">
        <f>'Stats Global'!J12</f>
        <v>1</v>
      </c>
      <c r="M11" s="85">
        <f>'Stats Global'!G12</f>
        <v>0</v>
      </c>
      <c r="N11" s="86"/>
      <c r="O11" s="85">
        <f>'Stats Global'!M12</f>
        <v>0</v>
      </c>
      <c r="P11" s="85">
        <f>'Stats Global'!H12</f>
        <v>5</v>
      </c>
      <c r="R11" s="53"/>
      <c r="S11" s="54"/>
      <c r="T11" s="56"/>
      <c r="U11" s="56"/>
      <c r="V11" s="56"/>
      <c r="W11" s="56"/>
    </row>
    <row r="12" spans="1:30" ht="14.35" customHeight="1" x14ac:dyDescent="0.45">
      <c r="A12" s="75" t="str">
        <f>'Stats Global'!B13</f>
        <v>26-July</v>
      </c>
      <c r="B12" s="83">
        <f>'Stats Global'!F13</f>
        <v>6</v>
      </c>
      <c r="C12" s="83">
        <f>'Stats Global'!G13+'Stats Global'!H13</f>
        <v>5</v>
      </c>
      <c r="D12" s="83">
        <f>'Stats Global'!O13</f>
        <v>2</v>
      </c>
      <c r="E12" s="80" t="s">
        <v>61</v>
      </c>
      <c r="F12" s="80" t="s">
        <v>242</v>
      </c>
      <c r="I12" s="81"/>
      <c r="J12" s="84"/>
      <c r="L12" s="85">
        <f>'Stats Global'!J13</f>
        <v>2</v>
      </c>
      <c r="M12" s="85">
        <f>'Stats Global'!G13</f>
        <v>2</v>
      </c>
      <c r="N12" s="86"/>
      <c r="O12" s="85">
        <f>'Stats Global'!M13</f>
        <v>4</v>
      </c>
      <c r="P12" s="85">
        <f>'Stats Global'!H13</f>
        <v>3</v>
      </c>
      <c r="R12" s="56"/>
      <c r="S12" s="56"/>
      <c r="T12" s="54"/>
      <c r="U12" s="54"/>
      <c r="V12" s="54"/>
      <c r="W12" s="54"/>
    </row>
    <row r="13" spans="1:30" ht="14.35" customHeight="1" x14ac:dyDescent="0.45">
      <c r="A13" s="75" t="str">
        <f>'Stats Global'!B14</f>
        <v>27-July</v>
      </c>
      <c r="B13" s="83">
        <f>'Stats Global'!F14</f>
        <v>3</v>
      </c>
      <c r="C13" s="83">
        <f>'Stats Global'!G14+'Stats Global'!H14</f>
        <v>5</v>
      </c>
      <c r="D13" s="83">
        <f>'Stats Global'!O14</f>
        <v>2</v>
      </c>
      <c r="E13" s="80" t="s">
        <v>252</v>
      </c>
      <c r="F13" s="80" t="s">
        <v>61</v>
      </c>
      <c r="J13" s="84"/>
      <c r="L13" s="85">
        <f>'Stats Global'!J14</f>
        <v>2</v>
      </c>
      <c r="M13" s="85">
        <f>'Stats Global'!G14</f>
        <v>1</v>
      </c>
      <c r="N13" s="86"/>
      <c r="O13" s="85">
        <f>'Stats Global'!M14</f>
        <v>1</v>
      </c>
      <c r="P13" s="85">
        <f>'Stats Global'!H14</f>
        <v>4</v>
      </c>
      <c r="R13" s="56"/>
      <c r="S13" s="56"/>
      <c r="T13" s="56"/>
      <c r="U13" s="56"/>
      <c r="V13" s="56"/>
      <c r="W13" s="56"/>
    </row>
    <row r="14" spans="1:30" ht="14.35" customHeight="1" x14ac:dyDescent="0.45">
      <c r="A14" s="75" t="str">
        <f>'Stats Global'!B15</f>
        <v>31-July</v>
      </c>
      <c r="B14" s="83">
        <f>'Stats Global'!F15</f>
        <v>9</v>
      </c>
      <c r="C14" s="83">
        <f>'Stats Global'!G15+'Stats Global'!H15</f>
        <v>3</v>
      </c>
      <c r="D14" s="83">
        <f>'Stats Global'!O15</f>
        <v>3</v>
      </c>
      <c r="E14" s="80" t="s">
        <v>61</v>
      </c>
      <c r="F14" s="80" t="s">
        <v>46</v>
      </c>
      <c r="J14" s="84"/>
      <c r="L14" s="85">
        <f>'Stats Global'!J15</f>
        <v>4</v>
      </c>
      <c r="M14" s="85">
        <f>'Stats Global'!G15</f>
        <v>2</v>
      </c>
      <c r="N14" s="86"/>
      <c r="O14" s="85">
        <f>'Stats Global'!M15</f>
        <v>5</v>
      </c>
      <c r="P14" s="85">
        <f>'Stats Global'!H15</f>
        <v>1</v>
      </c>
      <c r="R14" s="56"/>
      <c r="S14" s="56"/>
      <c r="T14" s="56"/>
      <c r="U14" s="56"/>
      <c r="V14" s="56"/>
      <c r="W14" s="56"/>
    </row>
    <row r="15" spans="1:30" ht="14.35" customHeight="1" x14ac:dyDescent="0.45">
      <c r="A15" s="75" t="str">
        <f>'Stats Global'!B16</f>
        <v>1-August</v>
      </c>
      <c r="B15" s="83">
        <f>'Stats Global'!F16</f>
        <v>3</v>
      </c>
      <c r="C15" s="83">
        <f>'Stats Global'!G16+'Stats Global'!H16</f>
        <v>6</v>
      </c>
      <c r="D15" s="83">
        <f>'Stats Global'!O16</f>
        <v>1</v>
      </c>
      <c r="E15" s="80" t="s">
        <v>61</v>
      </c>
      <c r="F15" s="80" t="s">
        <v>262</v>
      </c>
      <c r="J15" s="84"/>
      <c r="L15" s="85">
        <f>'Stats Global'!J16</f>
        <v>1</v>
      </c>
      <c r="M15" s="85">
        <f>'Stats Global'!G16</f>
        <v>3</v>
      </c>
      <c r="N15" s="86"/>
      <c r="O15" s="85">
        <f>'Stats Global'!M16</f>
        <v>2</v>
      </c>
      <c r="P15" s="85">
        <f>'Stats Global'!H16</f>
        <v>3</v>
      </c>
      <c r="R15" s="56"/>
      <c r="S15" s="56"/>
      <c r="T15" s="56"/>
      <c r="U15" s="56"/>
      <c r="V15" s="56"/>
      <c r="W15" s="56"/>
    </row>
    <row r="16" spans="1:30" ht="14.35" customHeight="1" x14ac:dyDescent="0.45">
      <c r="A16" s="75" t="str">
        <f>'Stats Global'!B17</f>
        <v>2-August</v>
      </c>
      <c r="B16" s="83">
        <f>'Stats Global'!F17</f>
        <v>4</v>
      </c>
      <c r="C16" s="83">
        <f>'Stats Global'!G17+'Stats Global'!H17</f>
        <v>11</v>
      </c>
      <c r="D16" s="83">
        <f>'Stats Global'!O17</f>
        <v>1</v>
      </c>
      <c r="E16" s="80" t="s">
        <v>207</v>
      </c>
      <c r="F16" s="80" t="s">
        <v>58</v>
      </c>
      <c r="J16" s="84"/>
      <c r="L16" s="85">
        <f>'Stats Global'!J17</f>
        <v>4</v>
      </c>
      <c r="M16" s="85">
        <f>'Stats Global'!G17</f>
        <v>3</v>
      </c>
      <c r="N16" s="86"/>
      <c r="O16" s="85">
        <f>'Stats Global'!M17</f>
        <v>0</v>
      </c>
      <c r="P16" s="85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3">
        <f>'Stats Global'!F18</f>
        <v>7</v>
      </c>
      <c r="C17" s="83">
        <f>'Stats Global'!G18+'Stats Global'!H18</f>
        <v>2</v>
      </c>
      <c r="D17" s="83">
        <f>'Stats Global'!O18</f>
        <v>3</v>
      </c>
      <c r="E17" s="155" t="s">
        <v>61</v>
      </c>
      <c r="F17" s="155" t="s">
        <v>61</v>
      </c>
      <c r="J17" s="84"/>
      <c r="L17" s="85">
        <f>'Stats Global'!J18</f>
        <v>3</v>
      </c>
      <c r="M17" s="85">
        <f>'Stats Global'!G18</f>
        <v>2</v>
      </c>
      <c r="N17" s="86"/>
      <c r="O17" s="85">
        <f>'Stats Global'!M18</f>
        <v>4</v>
      </c>
      <c r="P17" s="85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3">
        <f>'Stats Global'!F19</f>
        <v>1</v>
      </c>
      <c r="C18" s="83">
        <f>'Stats Global'!G19+'Stats Global'!H19</f>
        <v>9</v>
      </c>
      <c r="D18" s="83">
        <f>'Stats Global'!O19</f>
        <v>1</v>
      </c>
      <c r="E18" s="157" t="s">
        <v>207</v>
      </c>
      <c r="F18" s="157" t="s">
        <v>58</v>
      </c>
      <c r="J18" s="84"/>
      <c r="L18" s="85">
        <f>'Stats Global'!J19</f>
        <v>0</v>
      </c>
      <c r="M18" s="85">
        <f>'Stats Global'!G19</f>
        <v>1</v>
      </c>
      <c r="N18" s="86"/>
      <c r="O18" s="85">
        <f>'Stats Global'!M19</f>
        <v>1</v>
      </c>
      <c r="P18" s="85">
        <f>'Stats Global'!H19</f>
        <v>8</v>
      </c>
    </row>
    <row r="19" spans="1:23" ht="14.35" customHeight="1" x14ac:dyDescent="0.45">
      <c r="A19" s="75">
        <f>'Stats Global'!B20</f>
        <v>0</v>
      </c>
      <c r="B19" s="83">
        <f>'Stats Global'!F20</f>
        <v>0</v>
      </c>
      <c r="C19" s="83">
        <f>'Stats Global'!G20+'Stats Global'!H20</f>
        <v>0</v>
      </c>
      <c r="D19" s="83">
        <f>'Stats Global'!O20</f>
        <v>0</v>
      </c>
      <c r="E19" s="87"/>
      <c r="F19" s="87"/>
      <c r="J19" s="84"/>
      <c r="L19" s="85">
        <f>'Stats Global'!J20</f>
        <v>0</v>
      </c>
      <c r="M19" s="85">
        <f>'Stats Global'!G20</f>
        <v>0</v>
      </c>
      <c r="N19" s="86"/>
      <c r="O19" s="85">
        <f>'Stats Global'!M20</f>
        <v>0</v>
      </c>
      <c r="P19" s="85">
        <f>'Stats Global'!H20</f>
        <v>0</v>
      </c>
    </row>
    <row r="20" spans="1:23" ht="14.35" customHeight="1" x14ac:dyDescent="0.45">
      <c r="A20" s="75">
        <f>'Stats Global'!B21</f>
        <v>0</v>
      </c>
      <c r="B20" s="83">
        <f>'Stats Global'!F21</f>
        <v>0</v>
      </c>
      <c r="C20" s="83">
        <f>'Stats Global'!G21+'Stats Global'!H21</f>
        <v>0</v>
      </c>
      <c r="D20" s="83">
        <f>'Stats Global'!O21</f>
        <v>0</v>
      </c>
      <c r="E20" s="88"/>
      <c r="F20" s="88"/>
      <c r="J20" s="84"/>
      <c r="L20" s="85">
        <f>'Stats Global'!J21</f>
        <v>0</v>
      </c>
      <c r="M20" s="85">
        <f>'Stats Global'!G21</f>
        <v>0</v>
      </c>
      <c r="N20" s="86"/>
      <c r="O20" s="85">
        <f>'Stats Global'!M21</f>
        <v>0</v>
      </c>
      <c r="P20" s="85">
        <f>'Stats Global'!H21</f>
        <v>0</v>
      </c>
    </row>
    <row r="21" spans="1:23" ht="14.35" customHeight="1" x14ac:dyDescent="0.45">
      <c r="A21" s="75">
        <f>'Stats Global'!B22</f>
        <v>0</v>
      </c>
      <c r="B21" s="83">
        <f>'Stats Global'!F22</f>
        <v>0</v>
      </c>
      <c r="C21" s="83">
        <f>'Stats Global'!G22+'Stats Global'!H22</f>
        <v>0</v>
      </c>
      <c r="D21" s="83">
        <f>'Stats Global'!O22</f>
        <v>0</v>
      </c>
      <c r="E21" s="80"/>
      <c r="F21" s="80"/>
      <c r="J21" s="84"/>
      <c r="L21" s="85">
        <f>'Stats Global'!J22</f>
        <v>0</v>
      </c>
      <c r="M21" s="85">
        <f>'Stats Global'!G22</f>
        <v>0</v>
      </c>
      <c r="N21" s="86"/>
      <c r="O21" s="85">
        <f>'Stats Global'!M22</f>
        <v>0</v>
      </c>
      <c r="P21" s="85">
        <f>'Stats Global'!H22</f>
        <v>0</v>
      </c>
    </row>
    <row r="22" spans="1:23" ht="14.35" customHeight="1" x14ac:dyDescent="0.45">
      <c r="A22" s="75">
        <f>'Stats Global'!B23</f>
        <v>0</v>
      </c>
      <c r="B22" s="83">
        <f>'Stats Global'!F23</f>
        <v>0</v>
      </c>
      <c r="C22" s="83">
        <f>'Stats Global'!G23+'Stats Global'!H23</f>
        <v>0</v>
      </c>
      <c r="D22" s="83">
        <f>'Stats Global'!O23</f>
        <v>0</v>
      </c>
      <c r="E22" s="80"/>
      <c r="F22" s="80"/>
      <c r="H22" s="90"/>
      <c r="J22" s="84"/>
      <c r="L22" s="85">
        <f>'Stats Global'!J23</f>
        <v>0</v>
      </c>
      <c r="M22" s="85">
        <f>'Stats Global'!G23</f>
        <v>0</v>
      </c>
      <c r="N22" s="86"/>
      <c r="O22" s="85">
        <f>'Stats Global'!M23</f>
        <v>0</v>
      </c>
      <c r="P22" s="85">
        <f>'Stats Global'!H23</f>
        <v>0</v>
      </c>
    </row>
    <row r="23" spans="1:23" ht="14.35" customHeight="1" x14ac:dyDescent="0.45">
      <c r="A23" s="75">
        <f>'Stats Global'!B24</f>
        <v>0</v>
      </c>
      <c r="B23" s="83">
        <f>'Stats Global'!F24</f>
        <v>0</v>
      </c>
      <c r="C23" s="83">
        <f>'Stats Global'!G24+'Stats Global'!H24</f>
        <v>0</v>
      </c>
      <c r="D23" s="83">
        <f>'Stats Global'!O24</f>
        <v>0</v>
      </c>
      <c r="E23" s="89"/>
      <c r="F23" s="80"/>
      <c r="H23" s="90"/>
      <c r="J23" s="84"/>
      <c r="L23" s="85">
        <f>'Stats Global'!J24</f>
        <v>0</v>
      </c>
      <c r="M23" s="85">
        <f>'Stats Global'!G24</f>
        <v>0</v>
      </c>
      <c r="N23" s="86"/>
      <c r="O23" s="85">
        <f>'Stats Global'!M24</f>
        <v>0</v>
      </c>
      <c r="P23" s="85">
        <f>'Stats Global'!H24</f>
        <v>0</v>
      </c>
    </row>
    <row r="24" spans="1:23" ht="14.35" customHeight="1" x14ac:dyDescent="0.45">
      <c r="A24" s="75">
        <f>'Stats Global'!B25</f>
        <v>0</v>
      </c>
      <c r="B24" s="83">
        <f>'Stats Global'!F25</f>
        <v>0</v>
      </c>
      <c r="C24" s="83">
        <f>'Stats Global'!G25+'Stats Global'!H25</f>
        <v>0</v>
      </c>
      <c r="D24" s="83">
        <f>'Stats Global'!O25</f>
        <v>0</v>
      </c>
      <c r="E24" s="89"/>
      <c r="F24" s="80"/>
      <c r="H24" s="90"/>
      <c r="J24" s="84"/>
      <c r="L24" s="85">
        <f>'Stats Global'!J25</f>
        <v>0</v>
      </c>
      <c r="M24" s="85">
        <f>'Stats Global'!G25</f>
        <v>0</v>
      </c>
      <c r="N24" s="86"/>
      <c r="O24" s="85">
        <f>'Stats Global'!M25</f>
        <v>0</v>
      </c>
      <c r="P24" s="85">
        <f>'Stats Global'!H25</f>
        <v>0</v>
      </c>
    </row>
    <row r="25" spans="1:23" ht="14.35" customHeight="1" x14ac:dyDescent="0.45">
      <c r="A25" s="75">
        <f>'Stats Global'!B26</f>
        <v>0</v>
      </c>
      <c r="B25" s="83">
        <f>'Stats Global'!F26</f>
        <v>0</v>
      </c>
      <c r="C25" s="83">
        <f>'Stats Global'!G26+'Stats Global'!H26</f>
        <v>0</v>
      </c>
      <c r="D25" s="83">
        <f>'Stats Global'!O26</f>
        <v>0</v>
      </c>
      <c r="E25" s="89"/>
      <c r="F25" s="80"/>
      <c r="J25" s="84"/>
      <c r="L25" s="85">
        <f>'Stats Global'!J26</f>
        <v>0</v>
      </c>
      <c r="M25" s="85">
        <f>'Stats Global'!G26</f>
        <v>0</v>
      </c>
      <c r="N25" s="86"/>
      <c r="O25" s="85">
        <f>'Stats Global'!M26</f>
        <v>0</v>
      </c>
      <c r="P25" s="85">
        <f>'Stats Global'!H26</f>
        <v>0</v>
      </c>
    </row>
    <row r="26" spans="1:23" ht="14.35" customHeight="1" x14ac:dyDescent="0.45">
      <c r="A26" s="75">
        <f>'Stats Global'!B27</f>
        <v>0</v>
      </c>
      <c r="B26" s="83">
        <f>'Stats Global'!F27</f>
        <v>0</v>
      </c>
      <c r="C26" s="83">
        <f>'Stats Global'!G27+'Stats Global'!H27</f>
        <v>0</v>
      </c>
      <c r="D26" s="83">
        <f>'Stats Global'!O27</f>
        <v>0</v>
      </c>
      <c r="E26" s="80"/>
      <c r="F26" s="80"/>
      <c r="J26" s="84"/>
      <c r="L26" s="85">
        <f>'Stats Global'!J27</f>
        <v>0</v>
      </c>
      <c r="M26" s="85">
        <f>'Stats Global'!G27</f>
        <v>0</v>
      </c>
      <c r="N26" s="86"/>
      <c r="O26" s="85">
        <f>'Stats Global'!M27</f>
        <v>0</v>
      </c>
      <c r="P26" s="85">
        <f>'Stats Global'!H27</f>
        <v>0</v>
      </c>
    </row>
    <row r="27" spans="1:23" ht="14.35" customHeight="1" x14ac:dyDescent="0.45">
      <c r="A27" s="75">
        <f>'Stats Global'!B28</f>
        <v>0</v>
      </c>
      <c r="B27" s="83">
        <f>'Stats Global'!F28</f>
        <v>0</v>
      </c>
      <c r="C27" s="83">
        <f>'Stats Global'!G28+'Stats Global'!H28</f>
        <v>0</v>
      </c>
      <c r="D27" s="83">
        <f>'Stats Global'!O28</f>
        <v>0</v>
      </c>
      <c r="E27" s="80"/>
      <c r="F27" s="80"/>
      <c r="J27" s="84"/>
      <c r="L27" s="85">
        <f>'Stats Global'!J28</f>
        <v>0</v>
      </c>
      <c r="M27" s="85">
        <f>'Stats Global'!G28</f>
        <v>0</v>
      </c>
      <c r="N27" s="86"/>
      <c r="O27" s="85">
        <f>'Stats Global'!M28</f>
        <v>0</v>
      </c>
      <c r="P27" s="85">
        <f>'Stats Global'!H28</f>
        <v>0</v>
      </c>
    </row>
    <row r="28" spans="1:23" ht="14.35" customHeight="1" x14ac:dyDescent="0.45">
      <c r="A28" s="75">
        <f>'Stats Global'!B29</f>
        <v>0</v>
      </c>
      <c r="B28" s="83">
        <f>'Stats Global'!F29</f>
        <v>0</v>
      </c>
      <c r="C28" s="83">
        <f>'Stats Global'!G29+'Stats Global'!H29</f>
        <v>0</v>
      </c>
      <c r="D28" s="83">
        <f>'Stats Global'!O29</f>
        <v>0</v>
      </c>
      <c r="E28" s="80"/>
      <c r="F28" s="80"/>
      <c r="J28" s="84"/>
      <c r="L28" s="85">
        <f>'Stats Global'!J29</f>
        <v>0</v>
      </c>
      <c r="M28" s="85">
        <f>'Stats Global'!G29</f>
        <v>0</v>
      </c>
      <c r="N28" s="86"/>
      <c r="O28" s="85">
        <f>'Stats Global'!M29</f>
        <v>0</v>
      </c>
      <c r="P28" s="85">
        <f>'Stats Global'!H29</f>
        <v>0</v>
      </c>
    </row>
    <row r="29" spans="1:23" ht="14.35" customHeight="1" x14ac:dyDescent="0.45">
      <c r="A29" s="75">
        <f>'Stats Global'!B30</f>
        <v>0</v>
      </c>
      <c r="B29" s="83">
        <f>'Stats Global'!F30</f>
        <v>0</v>
      </c>
      <c r="C29" s="83">
        <f>'Stats Global'!G30+'Stats Global'!H30</f>
        <v>0</v>
      </c>
      <c r="D29" s="83">
        <f>'Stats Global'!O30</f>
        <v>0</v>
      </c>
      <c r="E29" s="80"/>
      <c r="F29" s="80"/>
      <c r="J29" s="84"/>
      <c r="L29" s="85">
        <f>'Stats Global'!J30</f>
        <v>0</v>
      </c>
      <c r="M29" s="85">
        <f>'Stats Global'!G30</f>
        <v>0</v>
      </c>
      <c r="N29" s="86"/>
      <c r="O29" s="85">
        <f>'Stats Global'!M30</f>
        <v>0</v>
      </c>
      <c r="P29" s="85">
        <f>'Stats Global'!H30</f>
        <v>0</v>
      </c>
    </row>
    <row r="30" spans="1:23" ht="14.35" customHeight="1" x14ac:dyDescent="0.45">
      <c r="A30" s="75">
        <f>'Stats Global'!B31</f>
        <v>0</v>
      </c>
      <c r="B30" s="83">
        <f>'Stats Global'!F31</f>
        <v>0</v>
      </c>
      <c r="C30" s="83">
        <f>'Stats Global'!G31+'Stats Global'!H31</f>
        <v>0</v>
      </c>
      <c r="D30" s="83">
        <f>'Stats Global'!O31</f>
        <v>0</v>
      </c>
      <c r="E30" s="80"/>
      <c r="F30" s="80"/>
      <c r="L30" s="85">
        <f>'Stats Global'!J31</f>
        <v>0</v>
      </c>
      <c r="M30" s="85">
        <f>'Stats Global'!G31</f>
        <v>0</v>
      </c>
      <c r="N30" s="86"/>
      <c r="O30" s="85">
        <f>'Stats Global'!M31</f>
        <v>0</v>
      </c>
      <c r="P30" s="85">
        <f>'Stats Global'!H31</f>
        <v>0</v>
      </c>
    </row>
    <row r="31" spans="1:23" ht="14.35" customHeight="1" x14ac:dyDescent="0.45">
      <c r="A31" s="75">
        <f>'Stats Global'!B32</f>
        <v>0</v>
      </c>
      <c r="B31" s="83">
        <f>'Stats Global'!F32</f>
        <v>0</v>
      </c>
      <c r="C31" s="83">
        <f>'Stats Global'!G32+'Stats Global'!H32</f>
        <v>0</v>
      </c>
      <c r="D31" s="83">
        <f>'Stats Global'!O32</f>
        <v>0</v>
      </c>
      <c r="E31" s="80"/>
      <c r="F31" s="80"/>
      <c r="L31" s="85">
        <f>'Stats Global'!J32</f>
        <v>0</v>
      </c>
      <c r="M31" s="85">
        <f>'Stats Global'!G32</f>
        <v>0</v>
      </c>
      <c r="N31" s="86"/>
      <c r="O31" s="85">
        <f>'Stats Global'!M32</f>
        <v>0</v>
      </c>
      <c r="P31" s="85">
        <f>'Stats Global'!H32</f>
        <v>0</v>
      </c>
    </row>
    <row r="32" spans="1:23" ht="14.35" customHeight="1" x14ac:dyDescent="0.45">
      <c r="A32" s="75">
        <f>'Stats Global'!B33</f>
        <v>0</v>
      </c>
      <c r="B32" s="83">
        <f>'Stats Global'!F33</f>
        <v>0</v>
      </c>
      <c r="C32" s="83">
        <f>'Stats Global'!G33+'Stats Global'!H33</f>
        <v>0</v>
      </c>
      <c r="D32" s="83">
        <f>'Stats Global'!O33</f>
        <v>0</v>
      </c>
      <c r="E32" s="80"/>
      <c r="F32" s="80"/>
      <c r="L32" s="85">
        <f>'Stats Global'!J33</f>
        <v>0</v>
      </c>
      <c r="M32" s="85">
        <f>'Stats Global'!G33</f>
        <v>0</v>
      </c>
      <c r="N32" s="86"/>
      <c r="O32" s="85">
        <f>'Stats Global'!M33</f>
        <v>0</v>
      </c>
      <c r="P32" s="85">
        <f>'Stats Global'!H33</f>
        <v>0</v>
      </c>
    </row>
    <row r="33" spans="1:16" ht="14.35" customHeight="1" x14ac:dyDescent="0.45">
      <c r="A33" s="75">
        <f>'Stats Global'!B34</f>
        <v>0</v>
      </c>
      <c r="B33" s="83">
        <f>'Stats Global'!F34</f>
        <v>0</v>
      </c>
      <c r="C33" s="83">
        <f>'Stats Global'!G34+'Stats Global'!H34</f>
        <v>0</v>
      </c>
      <c r="D33" s="83">
        <f>'Stats Global'!O34</f>
        <v>0</v>
      </c>
      <c r="E33" s="80"/>
      <c r="F33" s="80"/>
      <c r="L33" s="85">
        <f>'Stats Global'!J34</f>
        <v>0</v>
      </c>
      <c r="M33" s="85">
        <f>'Stats Global'!G34</f>
        <v>0</v>
      </c>
      <c r="N33" s="86"/>
      <c r="O33" s="85">
        <f>'Stats Global'!M34</f>
        <v>0</v>
      </c>
      <c r="P33" s="85">
        <f>'Stats Global'!H34</f>
        <v>0</v>
      </c>
    </row>
    <row r="34" spans="1:16" ht="14.25" customHeight="1" x14ac:dyDescent="0.45">
      <c r="A34" s="75">
        <f>'Stats Global'!B35</f>
        <v>0</v>
      </c>
      <c r="B34" s="83">
        <f>'Stats Global'!F35</f>
        <v>0</v>
      </c>
      <c r="C34" s="83">
        <f>'Stats Global'!G35+'Stats Global'!H35</f>
        <v>0</v>
      </c>
      <c r="D34" s="83">
        <f>'Stats Global'!O35</f>
        <v>0</v>
      </c>
      <c r="E34" s="80"/>
      <c r="F34" s="80"/>
      <c r="L34" s="85">
        <f>'Stats Global'!J35</f>
        <v>0</v>
      </c>
      <c r="M34" s="85">
        <f>'Stats Global'!G35</f>
        <v>0</v>
      </c>
      <c r="N34" s="86"/>
      <c r="O34" s="85">
        <f>'Stats Global'!M35</f>
        <v>0</v>
      </c>
      <c r="P34" s="85">
        <f>'Stats Global'!H35</f>
        <v>0</v>
      </c>
    </row>
    <row r="35" spans="1:16" ht="14.25" customHeight="1" x14ac:dyDescent="0.45">
      <c r="A35" s="75">
        <f>'Stats Global'!B36</f>
        <v>0</v>
      </c>
      <c r="B35" s="83">
        <f>'Stats Global'!F36</f>
        <v>0</v>
      </c>
      <c r="C35" s="83">
        <f>'Stats Global'!G36+'Stats Global'!H36</f>
        <v>0</v>
      </c>
      <c r="D35" s="83">
        <f>'Stats Global'!O36</f>
        <v>0</v>
      </c>
      <c r="E35" s="80"/>
      <c r="F35" s="80"/>
      <c r="L35" s="85">
        <f>'Stats Global'!J36</f>
        <v>0</v>
      </c>
      <c r="M35" s="85">
        <f>'Stats Global'!G36</f>
        <v>0</v>
      </c>
      <c r="N35" s="86"/>
      <c r="O35" s="85">
        <f>'Stats Global'!M36</f>
        <v>0</v>
      </c>
      <c r="P35" s="85">
        <f>'Stats Global'!H36</f>
        <v>0</v>
      </c>
    </row>
    <row r="36" spans="1:16" ht="14.25" customHeight="1" x14ac:dyDescent="0.45">
      <c r="A36" s="75">
        <f>'Stats Global'!B37</f>
        <v>0</v>
      </c>
      <c r="B36" s="83">
        <f>'Stats Global'!F37</f>
        <v>0</v>
      </c>
      <c r="C36" s="83">
        <f>'Stats Global'!G37+'Stats Global'!H37</f>
        <v>0</v>
      </c>
      <c r="D36" s="83">
        <f>'Stats Global'!O37</f>
        <v>0</v>
      </c>
      <c r="E36" s="80"/>
      <c r="F36" s="80"/>
      <c r="L36" s="85">
        <f>'Stats Global'!J37</f>
        <v>0</v>
      </c>
      <c r="M36" s="85">
        <f>'Stats Global'!G37</f>
        <v>0</v>
      </c>
      <c r="N36" s="86"/>
      <c r="O36" s="85">
        <f>'Stats Global'!M37</f>
        <v>0</v>
      </c>
      <c r="P36" s="85">
        <f>'Stats Global'!H37</f>
        <v>0</v>
      </c>
    </row>
    <row r="37" spans="1:16" ht="14.25" customHeight="1" x14ac:dyDescent="0.45">
      <c r="A37" s="75">
        <f>'Stats Global'!B38</f>
        <v>0</v>
      </c>
      <c r="B37" s="83">
        <f>'Stats Global'!F38</f>
        <v>0</v>
      </c>
      <c r="C37" s="83">
        <f>'Stats Global'!G38+'Stats Global'!H38</f>
        <v>0</v>
      </c>
      <c r="D37" s="83">
        <f>'Stats Global'!O38</f>
        <v>0</v>
      </c>
      <c r="E37" s="80"/>
      <c r="F37" s="80"/>
      <c r="L37" s="85">
        <f>'Stats Global'!J38</f>
        <v>0</v>
      </c>
      <c r="M37" s="85">
        <f>'Stats Global'!G38</f>
        <v>0</v>
      </c>
      <c r="N37" s="86"/>
      <c r="O37" s="85">
        <f>'Stats Global'!M38</f>
        <v>0</v>
      </c>
      <c r="P37" s="85">
        <f>'Stats Global'!H38</f>
        <v>0</v>
      </c>
    </row>
    <row r="38" spans="1:16" ht="14.25" customHeight="1" x14ac:dyDescent="0.45">
      <c r="A38" s="75">
        <f>'Stats Global'!B39</f>
        <v>0</v>
      </c>
      <c r="B38" s="83">
        <f>'Stats Global'!F39</f>
        <v>0</v>
      </c>
      <c r="C38" s="83">
        <f>'Stats Global'!G39+'Stats Global'!H39</f>
        <v>0</v>
      </c>
      <c r="D38" s="83">
        <f>'Stats Global'!O39</f>
        <v>0</v>
      </c>
      <c r="E38" s="80"/>
      <c r="F38" s="80"/>
      <c r="L38" s="85">
        <f>'Stats Global'!J39</f>
        <v>0</v>
      </c>
      <c r="M38" s="85">
        <f>'Stats Global'!G39</f>
        <v>0</v>
      </c>
      <c r="N38" s="86"/>
      <c r="O38" s="85">
        <f>'Stats Global'!M39</f>
        <v>0</v>
      </c>
      <c r="P38" s="85">
        <f>'Stats Global'!H39</f>
        <v>0</v>
      </c>
    </row>
    <row r="39" spans="1:16" ht="14.25" customHeight="1" x14ac:dyDescent="0.45">
      <c r="A39" s="75">
        <f>'Stats Global'!B40</f>
        <v>0</v>
      </c>
      <c r="B39" s="83">
        <f>'Stats Global'!F40</f>
        <v>0</v>
      </c>
      <c r="C39" s="83">
        <f>'Stats Global'!G40+'Stats Global'!H40</f>
        <v>0</v>
      </c>
      <c r="D39" s="83">
        <f>'Stats Global'!O40</f>
        <v>0</v>
      </c>
      <c r="E39" s="80"/>
      <c r="F39" s="80"/>
      <c r="L39" s="85">
        <f>'Stats Global'!J40</f>
        <v>0</v>
      </c>
      <c r="M39" s="85">
        <f>'Stats Global'!G40</f>
        <v>0</v>
      </c>
      <c r="N39" s="86"/>
      <c r="O39" s="85">
        <f>'Stats Global'!M40</f>
        <v>0</v>
      </c>
      <c r="P39" s="85">
        <f>'Stats Global'!H40</f>
        <v>0</v>
      </c>
    </row>
    <row r="40" spans="1:16" ht="14.25" customHeight="1" x14ac:dyDescent="0.45">
      <c r="A40" s="75">
        <f>'Stats Global'!B41</f>
        <v>0</v>
      </c>
      <c r="B40" s="83">
        <f>'Stats Global'!F41</f>
        <v>0</v>
      </c>
      <c r="C40" s="83">
        <f>'Stats Global'!G41+'Stats Global'!H41</f>
        <v>0</v>
      </c>
      <c r="D40" s="83">
        <f>'Stats Global'!O41</f>
        <v>0</v>
      </c>
      <c r="E40" s="80"/>
      <c r="F40" s="80"/>
      <c r="L40" s="85">
        <f>'Stats Global'!J41</f>
        <v>0</v>
      </c>
      <c r="M40" s="85">
        <f>'Stats Global'!G41</f>
        <v>0</v>
      </c>
      <c r="N40" s="86"/>
      <c r="O40" s="85">
        <f>'Stats Global'!M41</f>
        <v>0</v>
      </c>
      <c r="P40" s="85">
        <f>'Stats Global'!H41</f>
        <v>0</v>
      </c>
    </row>
    <row r="41" spans="1:16" ht="14.25" customHeight="1" x14ac:dyDescent="0.45">
      <c r="C41" s="119">
        <f>SUM(B7:B40)/SUM(B7:C40)</f>
        <v>0.5714285714285714</v>
      </c>
      <c r="J41" s="84"/>
      <c r="K41" s="81" t="s">
        <v>94</v>
      </c>
      <c r="L41" s="100">
        <f>SUM(L7:L40)</f>
        <v>38</v>
      </c>
      <c r="M41" s="100">
        <f>SUM(M7:M40)</f>
        <v>18</v>
      </c>
      <c r="N41" s="84"/>
      <c r="O41" s="100">
        <f>SUM(O7:O40)</f>
        <v>34</v>
      </c>
      <c r="P41" s="100">
        <f>SUM(P7:P40)</f>
        <v>36</v>
      </c>
    </row>
    <row r="42" spans="1:16" ht="14.25" customHeight="1" x14ac:dyDescent="0.45">
      <c r="L42" s="91">
        <f>L41/(M41+L41)</f>
        <v>0.6785714285714286</v>
      </c>
      <c r="O42" s="91">
        <f>O41/(P41+O41)</f>
        <v>0.48571428571428571</v>
      </c>
    </row>
    <row r="43" spans="1:16" ht="14.25" customHeight="1" x14ac:dyDescent="0.45">
      <c r="I43" s="92" t="str">
        <f>K43&amp;H3&amp;","&amp;I3&amp;","&amp;J3&amp;"],"</f>
        <v>"PartA":[72,54,26],</v>
      </c>
      <c r="K43" s="76" t="s">
        <v>135</v>
      </c>
      <c r="M43" s="76" t="s">
        <v>139</v>
      </c>
      <c r="O43" s="93">
        <f>ROUND((SUM('Stats Global'!AA8,'Stats Global'!AA9,'Stats Global'!AA16,'Stats Global'!AA21,'Stats Global'!AA22))/'Stats Global'!AA6,1)</f>
        <v>6.7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"PartB":[34,"Angus Walker",17,"Angus Walker",7,"Angus Walker",5,"Angus Walker"],</v>
      </c>
      <c r="K44" s="76" t="s">
        <v>136</v>
      </c>
      <c r="M44" s="94">
        <f>MAX(Table1114[Points])</f>
        <v>34</v>
      </c>
      <c r="N44" s="76" t="str">
        <f>IF(M44&lt;&gt;0,IF(M44=S4,R4,IF(M44=S5,R5,IF(S6=M44,R6,IF(S7=M44,R7,R8)))),"N/A")</f>
        <v>Angus Walker</v>
      </c>
      <c r="O44" s="93">
        <f>ROUND(SUM('Stats Global'!AC8,'Stats Global'!AC9,'Stats Global'!AC16,'Stats Global'!AC21,'Stats Global'!AC22)/'Stats Global'!AA6,1)</f>
        <v>3.8</v>
      </c>
    </row>
    <row r="45" spans="1:16" ht="14.25" customHeight="1" x14ac:dyDescent="0.45">
      <c r="I45" s="76" t="str">
        <f>K45&amp;O43&amp;","&amp;O44&amp;","&amp;O45&amp;","&amp;O46&amp;","&amp;O47&amp;","&amp;O48&amp;"],"</f>
        <v>"PartC":[6.7,3.8,1.6,0.7,6,4.5],</v>
      </c>
      <c r="K45" s="76" t="s">
        <v>137</v>
      </c>
      <c r="M45" s="94">
        <f>MAX(Table1114[Finishes])</f>
        <v>17</v>
      </c>
      <c r="N45" s="101" t="str">
        <f>IF(M45&lt;&gt;0,IF(M45=U4,R4,IF(M45=U5,R5,IF(U6=M45,R6,IF(U7=M45,R7,R8)))),"N/A")</f>
        <v>Angus Walker</v>
      </c>
      <c r="O45" s="93">
        <f>ROUND(SUM('Stats Global'!AE8,'Stats Global'!AE9,'Stats Global'!AE16,'Stats Global'!AE21,'Stats Global'!AE22)/'Stats Global'!AA6,1)</f>
        <v>1.6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"PartD":[38,18,67.9,34,36,48.6],</v>
      </c>
      <c r="K46" s="76" t="s">
        <v>138</v>
      </c>
      <c r="M46" s="94">
        <f>MAX(Table1114[Midranges])</f>
        <v>7</v>
      </c>
      <c r="N46" s="101" t="str">
        <f>IF(M46&lt;&gt;0,IF(M46=W4,R4,IF(M46=W5,R5,IF(W6=M46,R6,IF(W7=M46,R7,R8)))),"N/A")</f>
        <v>Angus Walker</v>
      </c>
      <c r="O46" s="93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4">
        <f>MAX(Table1114[Threes])</f>
        <v>5</v>
      </c>
      <c r="N47" s="76" t="str">
        <f>IF(M47&lt;&gt;0,IF(M47=Y4,R4,IF(M47=Y5,R5,IF(Y6=M47,R6,IF(Y7=M47,R7,R8)))),"N/A")</f>
        <v>Angus Walker</v>
      </c>
      <c r="O47" s="76">
        <f>ROUND(H3/'Stats Global'!AA6,1)</f>
        <v>6</v>
      </c>
    </row>
    <row r="48" spans="1:16" ht="14.25" customHeight="1" x14ac:dyDescent="0.45">
      <c r="O48" s="76">
        <f>ROUND(I3/'Stats Global'!AA6,1)</f>
        <v>4.5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8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101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40</v>
      </c>
      <c r="I3" s="81">
        <f>SUM(C7:C40)</f>
        <v>71</v>
      </c>
      <c r="J3" s="78">
        <f>SUM(D7:D40)</f>
        <v>20</v>
      </c>
      <c r="L3" s="81" t="s">
        <v>88</v>
      </c>
      <c r="M3" s="81" t="s">
        <v>89</v>
      </c>
      <c r="N3" s="78"/>
      <c r="O3" s="102" t="s">
        <v>4</v>
      </c>
      <c r="P3" s="103" t="s">
        <v>0</v>
      </c>
      <c r="Q3" s="103" t="s">
        <v>85</v>
      </c>
      <c r="R3" s="104" t="s">
        <v>1</v>
      </c>
      <c r="S3" s="105" t="s">
        <v>80</v>
      </c>
      <c r="T3" s="105" t="s">
        <v>2</v>
      </c>
      <c r="U3" s="105" t="s">
        <v>117</v>
      </c>
      <c r="V3" s="104" t="s">
        <v>3</v>
      </c>
      <c r="W3" s="105" t="s">
        <v>118</v>
      </c>
      <c r="X3" s="105" t="s">
        <v>120</v>
      </c>
    </row>
    <row r="4" spans="1:24" ht="14.25" customHeight="1" x14ac:dyDescent="0.45">
      <c r="A4" s="122" t="str">
        <f>'Stats Global'!B5</f>
        <v>11-July</v>
      </c>
      <c r="B4" s="123">
        <f>'Stats Global'!I5</f>
        <v>0</v>
      </c>
      <c r="C4" s="123">
        <f>'Stats Global'!J5+'Stats Global'!K5</f>
        <v>8</v>
      </c>
      <c r="D4" s="123">
        <f>'Stats Global'!P5</f>
        <v>1</v>
      </c>
      <c r="E4" s="124" t="s">
        <v>207</v>
      </c>
      <c r="F4" s="124" t="s">
        <v>207</v>
      </c>
      <c r="L4" s="125">
        <f>'Stats Global'!N5</f>
        <v>0</v>
      </c>
      <c r="M4" s="125">
        <f>'Stats Global'!K5</f>
        <v>6</v>
      </c>
      <c r="N4" s="86"/>
      <c r="O4" s="84" t="s">
        <v>35</v>
      </c>
      <c r="P4" s="96">
        <f>'Stats Global'!AA11</f>
        <v>6</v>
      </c>
      <c r="Q4" s="96">
        <f>'Stats Global'!AB11</f>
        <v>0.75</v>
      </c>
      <c r="R4" s="96">
        <f>'Stats Global'!AC11</f>
        <v>6</v>
      </c>
      <c r="S4" s="96">
        <f>'Stats Global'!AD11</f>
        <v>0.75</v>
      </c>
      <c r="T4" s="96">
        <f>'Stats Global'!AE11</f>
        <v>0</v>
      </c>
      <c r="U4" s="96">
        <f>'Stats Global'!AF11</f>
        <v>0</v>
      </c>
      <c r="V4" s="96">
        <f>'Stats Global'!AG11</f>
        <v>0</v>
      </c>
      <c r="W4" s="96">
        <f>'Stats Global'!AH11</f>
        <v>0</v>
      </c>
      <c r="X4" s="96">
        <f>'Stats Global'!AJ11</f>
        <v>4</v>
      </c>
    </row>
    <row r="5" spans="1:24" ht="14.25" customHeight="1" x14ac:dyDescent="0.45">
      <c r="A5" s="122" t="str">
        <f>'Stats Global'!B6</f>
        <v>12-July</v>
      </c>
      <c r="B5" s="123">
        <f>'Stats Global'!I6</f>
        <v>2</v>
      </c>
      <c r="C5" s="123">
        <f>'Stats Global'!J6+'Stats Global'!K6</f>
        <v>12</v>
      </c>
      <c r="D5" s="123">
        <f>'Stats Global'!P6</f>
        <v>1</v>
      </c>
      <c r="E5" s="124" t="s">
        <v>42</v>
      </c>
      <c r="F5" s="124" t="s">
        <v>52</v>
      </c>
      <c r="J5" s="84"/>
      <c r="L5" s="125">
        <f>'Stats Global'!N6</f>
        <v>1</v>
      </c>
      <c r="M5" s="125">
        <f>'Stats Global'!K6</f>
        <v>8</v>
      </c>
      <c r="N5" s="86"/>
      <c r="O5" s="84" t="s">
        <v>37</v>
      </c>
      <c r="P5" s="96">
        <f>'Stats Global'!AA12</f>
        <v>10</v>
      </c>
      <c r="Q5" s="96">
        <f>'Stats Global'!AB12</f>
        <v>1</v>
      </c>
      <c r="R5" s="96">
        <f>'Stats Global'!AC12</f>
        <v>4</v>
      </c>
      <c r="S5" s="96">
        <f>'Stats Global'!AD12</f>
        <v>0.4</v>
      </c>
      <c r="T5" s="96">
        <f>'Stats Global'!AE12</f>
        <v>4</v>
      </c>
      <c r="U5" s="96">
        <f>'Stats Global'!AF12</f>
        <v>0.4</v>
      </c>
      <c r="V5" s="96">
        <f>'Stats Global'!AG12</f>
        <v>1</v>
      </c>
      <c r="W5" s="96">
        <f>'Stats Global'!AH12</f>
        <v>0.1</v>
      </c>
      <c r="X5" s="96">
        <f>'Stats Global'!AJ12</f>
        <v>2</v>
      </c>
    </row>
    <row r="6" spans="1:24" ht="14.25" customHeight="1" x14ac:dyDescent="0.45">
      <c r="A6" s="122" t="str">
        <f>'Stats Global'!B7</f>
        <v>13-July</v>
      </c>
      <c r="B6" s="123">
        <f>'Stats Global'!I7</f>
        <v>4</v>
      </c>
      <c r="C6" s="123">
        <f>'Stats Global'!J7+'Stats Global'!K7</f>
        <v>5</v>
      </c>
      <c r="D6" s="123">
        <f>'Stats Global'!P7</f>
        <v>2</v>
      </c>
      <c r="E6" s="124" t="s">
        <v>214</v>
      </c>
      <c r="F6" s="124" t="s">
        <v>215</v>
      </c>
      <c r="I6" s="81"/>
      <c r="J6" s="84"/>
      <c r="L6" s="125">
        <f>'Stats Global'!N7</f>
        <v>2</v>
      </c>
      <c r="M6" s="125">
        <f>'Stats Global'!K7</f>
        <v>1</v>
      </c>
      <c r="N6" s="86"/>
      <c r="O6" s="84" t="s">
        <v>55</v>
      </c>
      <c r="P6" s="96">
        <f>'Stats Global'!AA20</f>
        <v>9</v>
      </c>
      <c r="Q6" s="96">
        <f>'Stats Global'!AB20</f>
        <v>0.81818181818181823</v>
      </c>
      <c r="R6" s="96">
        <f>'Stats Global'!AC20</f>
        <v>8</v>
      </c>
      <c r="S6" s="96">
        <f>'Stats Global'!AD20</f>
        <v>0.72727272727272729</v>
      </c>
      <c r="T6" s="96">
        <f>'Stats Global'!AE20</f>
        <v>1</v>
      </c>
      <c r="U6" s="96">
        <f>'Stats Global'!AF20</f>
        <v>9.0909090909090912E-2</v>
      </c>
      <c r="V6" s="96">
        <f>'Stats Global'!AG20</f>
        <v>0</v>
      </c>
      <c r="W6" s="96">
        <f>'Stats Global'!AH20</f>
        <v>0</v>
      </c>
      <c r="X6" s="96">
        <f>'Stats Global'!AJ20</f>
        <v>1</v>
      </c>
    </row>
    <row r="7" spans="1:24" ht="14.25" customHeight="1" x14ac:dyDescent="0.45">
      <c r="A7" s="75" t="str">
        <f>'Stats Global'!B8</f>
        <v>17-July</v>
      </c>
      <c r="B7" s="83">
        <f>'Stats Global'!I8</f>
        <v>2</v>
      </c>
      <c r="C7" s="83">
        <f>'Stats Global'!J8+'Stats Global'!K8</f>
        <v>5</v>
      </c>
      <c r="D7" s="83">
        <f>'Stats Global'!P8</f>
        <v>1</v>
      </c>
      <c r="E7" s="80" t="s">
        <v>207</v>
      </c>
      <c r="F7" s="80" t="s">
        <v>52</v>
      </c>
      <c r="I7" s="81"/>
      <c r="J7" s="84"/>
      <c r="L7" s="85">
        <f>'Stats Global'!N8</f>
        <v>2</v>
      </c>
      <c r="M7" s="85">
        <f>'Stats Global'!K8</f>
        <v>0</v>
      </c>
      <c r="N7" s="86"/>
      <c r="O7" s="84" t="s">
        <v>52</v>
      </c>
      <c r="P7" s="96">
        <f>'Stats Global'!AA18</f>
        <v>7</v>
      </c>
      <c r="Q7" s="96">
        <f>'Stats Global'!AB18</f>
        <v>0.58333333333333337</v>
      </c>
      <c r="R7" s="96">
        <f>'Stats Global'!AC18</f>
        <v>1</v>
      </c>
      <c r="S7" s="96">
        <f>'Stats Global'!AD18</f>
        <v>8.3333333333333329E-2</v>
      </c>
      <c r="T7" s="96">
        <f>'Stats Global'!AE18</f>
        <v>6</v>
      </c>
      <c r="U7" s="96">
        <f>'Stats Global'!AF18</f>
        <v>0.5</v>
      </c>
      <c r="V7" s="96">
        <f>'Stats Global'!AG18</f>
        <v>0</v>
      </c>
      <c r="W7" s="96">
        <f>'Stats Global'!AH18</f>
        <v>0</v>
      </c>
      <c r="X7" s="96">
        <f>'Stats Global'!AJ18</f>
        <v>0</v>
      </c>
    </row>
    <row r="8" spans="1:24" ht="14.25" customHeight="1" x14ac:dyDescent="0.45">
      <c r="A8" s="75" t="str">
        <f>'Stats Global'!B9</f>
        <v>18-July</v>
      </c>
      <c r="B8" s="83">
        <f>'Stats Global'!I9</f>
        <v>1</v>
      </c>
      <c r="C8" s="83">
        <f>'Stats Global'!J9+'Stats Global'!K9</f>
        <v>7</v>
      </c>
      <c r="D8" s="83">
        <f>'Stats Global'!P9</f>
        <v>1</v>
      </c>
      <c r="E8" s="80" t="s">
        <v>52</v>
      </c>
      <c r="F8" s="80" t="s">
        <v>207</v>
      </c>
      <c r="I8" s="81"/>
      <c r="J8" s="84"/>
      <c r="L8" s="85">
        <f>'Stats Global'!N9</f>
        <v>0</v>
      </c>
      <c r="M8" s="85">
        <f>'Stats Global'!K9</f>
        <v>1</v>
      </c>
      <c r="N8" s="86"/>
      <c r="O8" s="84" t="s">
        <v>202</v>
      </c>
      <c r="P8" s="96">
        <f>'Stats Global'!AA23</f>
        <v>1</v>
      </c>
      <c r="Q8" s="96">
        <f>'Stats Global'!AB23</f>
        <v>8.3333333333333329E-2</v>
      </c>
      <c r="R8" s="96">
        <f>'Stats Global'!AC23</f>
        <v>0</v>
      </c>
      <c r="S8" s="96">
        <f>'Stats Global'!AD23</f>
        <v>0</v>
      </c>
      <c r="T8" s="96">
        <f>'Stats Global'!AE23</f>
        <v>1</v>
      </c>
      <c r="U8" s="96">
        <f>'Stats Global'!AF23</f>
        <v>8.3333333333333329E-2</v>
      </c>
      <c r="V8" s="96">
        <f>'Stats Global'!AG23</f>
        <v>0</v>
      </c>
      <c r="W8" s="96">
        <f>'Stats Global'!AH23</f>
        <v>0</v>
      </c>
      <c r="X8" s="96">
        <f>'Stats Global'!AJ23</f>
        <v>0</v>
      </c>
    </row>
    <row r="9" spans="1:24" ht="14.25" customHeight="1" x14ac:dyDescent="0.45">
      <c r="A9" s="75" t="str">
        <f>'Stats Global'!B10</f>
        <v>19-July</v>
      </c>
      <c r="B9" s="83">
        <f>'Stats Global'!I10</f>
        <v>0</v>
      </c>
      <c r="C9" s="83">
        <f>'Stats Global'!J10+'Stats Global'!K10</f>
        <v>8</v>
      </c>
      <c r="D9" s="83">
        <f>'Stats Global'!P10</f>
        <v>1</v>
      </c>
      <c r="E9" s="80" t="s">
        <v>207</v>
      </c>
      <c r="F9" s="80" t="s">
        <v>207</v>
      </c>
      <c r="I9" s="81"/>
      <c r="J9" s="84"/>
      <c r="L9" s="85">
        <f>'Stats Global'!N10</f>
        <v>0</v>
      </c>
      <c r="M9" s="85">
        <f>'Stats Global'!K10</f>
        <v>0</v>
      </c>
      <c r="N9" s="86"/>
      <c r="O9" s="84" t="s">
        <v>44</v>
      </c>
      <c r="P9" s="116">
        <f>'Stats Global'!AA15</f>
        <v>8</v>
      </c>
      <c r="Q9" s="116">
        <f>'Stats Global'!AB15</f>
        <v>1.3333333333333333</v>
      </c>
      <c r="R9" s="116">
        <f>'Stats Global'!AC15</f>
        <v>0</v>
      </c>
      <c r="S9" s="116">
        <f>'Stats Global'!AD15</f>
        <v>0</v>
      </c>
      <c r="T9" s="116">
        <f>'Stats Global'!AE15</f>
        <v>0</v>
      </c>
      <c r="U9" s="116">
        <f>'Stats Global'!AF15</f>
        <v>0</v>
      </c>
      <c r="V9" s="116">
        <f>'Stats Global'!AG15</f>
        <v>4</v>
      </c>
      <c r="W9" s="116">
        <f>'Stats Global'!AH15</f>
        <v>0.66666666666666663</v>
      </c>
      <c r="X9" s="116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3">
        <f>'Stats Global'!I11</f>
        <v>6</v>
      </c>
      <c r="C10" s="83">
        <f>'Stats Global'!J11+'Stats Global'!K11</f>
        <v>3</v>
      </c>
      <c r="D10" s="83">
        <f>'Stats Global'!P11</f>
        <v>3</v>
      </c>
      <c r="E10" s="80" t="s">
        <v>237</v>
      </c>
      <c r="F10" s="80" t="s">
        <v>35</v>
      </c>
      <c r="I10" s="81"/>
      <c r="J10" s="84"/>
      <c r="L10" s="85">
        <f>'Stats Global'!N11</f>
        <v>3</v>
      </c>
      <c r="M10" s="85">
        <f>'Stats Global'!K11</f>
        <v>1</v>
      </c>
      <c r="N10" s="86"/>
      <c r="O10" s="84" t="s">
        <v>67</v>
      </c>
      <c r="P10" s="116">
        <f>'Stats Global'!AA24</f>
        <v>4</v>
      </c>
      <c r="Q10" s="116">
        <f>'Stats Global'!AB24</f>
        <v>0.5714285714285714</v>
      </c>
      <c r="R10" s="116">
        <f>'Stats Global'!AC24</f>
        <v>4</v>
      </c>
      <c r="S10" s="116">
        <f>'Stats Global'!AD24</f>
        <v>0.5714285714285714</v>
      </c>
      <c r="T10" s="116">
        <f>'Stats Global'!AE24</f>
        <v>0</v>
      </c>
      <c r="U10" s="116">
        <f>'Stats Global'!AF24</f>
        <v>0</v>
      </c>
      <c r="V10" s="116">
        <f>'Stats Global'!AG24</f>
        <v>0</v>
      </c>
      <c r="W10" s="116">
        <f>'Stats Global'!AH24</f>
        <v>0</v>
      </c>
      <c r="X10" s="116">
        <f>'Stats Global'!AJ24</f>
        <v>5</v>
      </c>
    </row>
    <row r="11" spans="1:24" ht="14.25" customHeight="1" x14ac:dyDescent="0.45">
      <c r="A11" s="75" t="str">
        <f>'Stats Global'!B12</f>
        <v>24-July</v>
      </c>
      <c r="B11" s="83">
        <f>'Stats Global'!I12</f>
        <v>1</v>
      </c>
      <c r="C11" s="83">
        <f>'Stats Global'!J12+'Stats Global'!K12</f>
        <v>5</v>
      </c>
      <c r="D11" s="83">
        <f>'Stats Global'!P12</f>
        <v>1</v>
      </c>
      <c r="E11" s="80" t="s">
        <v>207</v>
      </c>
      <c r="F11" s="80" t="s">
        <v>37</v>
      </c>
      <c r="I11" s="81"/>
      <c r="J11" s="84"/>
      <c r="L11" s="85">
        <f>'Stats Global'!N12</f>
        <v>1</v>
      </c>
      <c r="M11" s="85">
        <f>'Stats Global'!K12</f>
        <v>4</v>
      </c>
      <c r="N11" s="86"/>
      <c r="O11" s="84"/>
      <c r="P11" s="56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Global'!I13</f>
        <v>3</v>
      </c>
      <c r="C12" s="83">
        <f>'Stats Global'!J13+'Stats Global'!K13</f>
        <v>7</v>
      </c>
      <c r="D12" s="83">
        <f>'Stats Global'!P13</f>
        <v>1</v>
      </c>
      <c r="E12" s="80" t="s">
        <v>243</v>
      </c>
      <c r="F12" s="80" t="s">
        <v>202</v>
      </c>
      <c r="I12" s="81"/>
      <c r="J12" s="84"/>
      <c r="L12" s="85">
        <f>'Stats Global'!N13</f>
        <v>1</v>
      </c>
      <c r="M12" s="85">
        <f>'Stats Global'!K13</f>
        <v>5</v>
      </c>
      <c r="N12" s="86"/>
      <c r="O12" s="84"/>
      <c r="P12" s="56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Global'!I14</f>
        <v>3</v>
      </c>
      <c r="C13" s="83">
        <f>'Stats Global'!J14+'Stats Global'!K14</f>
        <v>6</v>
      </c>
      <c r="D13" s="83">
        <f>'Stats Global'!P14</f>
        <v>1</v>
      </c>
      <c r="E13" s="80" t="s">
        <v>35</v>
      </c>
      <c r="F13" s="80" t="s">
        <v>52</v>
      </c>
      <c r="I13" s="81"/>
      <c r="J13" s="84"/>
      <c r="L13" s="85">
        <f>'Stats Global'!N14</f>
        <v>2</v>
      </c>
      <c r="M13" s="85">
        <f>'Stats Global'!K14</f>
        <v>4</v>
      </c>
      <c r="N13" s="86"/>
      <c r="O13" s="84"/>
      <c r="P13" s="56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Global'!I15</f>
        <v>4</v>
      </c>
      <c r="C14" s="83">
        <f>'Stats Global'!J15+'Stats Global'!K15</f>
        <v>6</v>
      </c>
      <c r="D14" s="83">
        <f>'Stats Global'!P15</f>
        <v>2</v>
      </c>
      <c r="E14" s="80" t="s">
        <v>257</v>
      </c>
      <c r="F14" s="80" t="s">
        <v>37</v>
      </c>
      <c r="J14" s="84"/>
      <c r="L14" s="85">
        <f>'Stats Global'!N15</f>
        <v>2</v>
      </c>
      <c r="M14" s="85">
        <f>'Stats Global'!K15</f>
        <v>2</v>
      </c>
      <c r="N14" s="86"/>
      <c r="O14" s="84"/>
      <c r="P14" s="56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Global'!I16</f>
        <v>6</v>
      </c>
      <c r="C15" s="83">
        <f>'Stats Global'!J16+'Stats Global'!K16</f>
        <v>4</v>
      </c>
      <c r="D15" s="83">
        <f>'Stats Global'!P16</f>
        <v>3</v>
      </c>
      <c r="E15" s="80" t="s">
        <v>37</v>
      </c>
      <c r="F15" s="80" t="s">
        <v>55</v>
      </c>
      <c r="J15" s="84"/>
      <c r="L15" s="85">
        <f>'Stats Global'!N16</f>
        <v>3</v>
      </c>
      <c r="M15" s="85">
        <f>'Stats Global'!K16</f>
        <v>3</v>
      </c>
      <c r="N15" s="86"/>
      <c r="O15" s="84"/>
      <c r="P15" s="56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Global'!I17</f>
        <v>10</v>
      </c>
      <c r="C16" s="83">
        <f>'Stats Global'!J17+'Stats Global'!K17</f>
        <v>8</v>
      </c>
      <c r="D16" s="83">
        <f>'Stats Global'!P17</f>
        <v>2</v>
      </c>
      <c r="E16" s="80" t="s">
        <v>67</v>
      </c>
      <c r="F16" s="80" t="s">
        <v>44</v>
      </c>
      <c r="J16" s="84"/>
      <c r="L16" s="85">
        <f>'Stats Global'!N17</f>
        <v>7</v>
      </c>
      <c r="M16" s="85">
        <f>'Stats Global'!K17</f>
        <v>4</v>
      </c>
      <c r="N16" s="86"/>
      <c r="O16" s="84"/>
      <c r="P16" s="56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Global'!I18</f>
        <v>3</v>
      </c>
      <c r="C17" s="83">
        <f>'Stats Global'!J18+'Stats Global'!K18</f>
        <v>3</v>
      </c>
      <c r="D17" s="83">
        <f>'Stats Global'!P18</f>
        <v>2</v>
      </c>
      <c r="E17" s="155" t="s">
        <v>266</v>
      </c>
      <c r="F17" s="155" t="s">
        <v>55</v>
      </c>
      <c r="J17" s="84"/>
      <c r="L17" s="85">
        <f>'Stats Global'!N18</f>
        <v>1</v>
      </c>
      <c r="M17" s="85">
        <f>'Stats Global'!K18</f>
        <v>0</v>
      </c>
      <c r="N17" s="84"/>
      <c r="O17" s="84"/>
      <c r="P17" s="56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Global'!I19</f>
        <v>1</v>
      </c>
      <c r="C18" s="83">
        <f>'Stats Global'!J19+'Stats Global'!K19</f>
        <v>9</v>
      </c>
      <c r="D18" s="83">
        <f>'Stats Global'!P19</f>
        <v>2</v>
      </c>
      <c r="E18" s="157" t="s">
        <v>207</v>
      </c>
      <c r="F18" s="157" t="s">
        <v>35</v>
      </c>
      <c r="J18" s="84"/>
      <c r="L18" s="85">
        <f>'Stats Global'!N19</f>
        <v>0</v>
      </c>
      <c r="M18" s="85">
        <f>'Stats Global'!K19</f>
        <v>9</v>
      </c>
      <c r="N18" s="84"/>
      <c r="O18" s="84"/>
      <c r="P18" s="56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Global'!I20</f>
        <v>0</v>
      </c>
      <c r="C19" s="83">
        <f>'Stats Global'!J20+'Stats Global'!K20</f>
        <v>0</v>
      </c>
      <c r="D19" s="83">
        <f>'Stats Global'!P20</f>
        <v>0</v>
      </c>
      <c r="E19" s="87"/>
      <c r="F19" s="87"/>
      <c r="J19" s="84"/>
      <c r="L19" s="85">
        <f>'Stats Global'!N20</f>
        <v>0</v>
      </c>
      <c r="M19" s="85">
        <f>'Stats Global'!K20</f>
        <v>0</v>
      </c>
      <c r="N19" s="84"/>
      <c r="O19" s="84"/>
      <c r="P19" s="56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Global'!I21</f>
        <v>0</v>
      </c>
      <c r="C20" s="83">
        <f>'Stats Global'!J21+'Stats Global'!K21</f>
        <v>0</v>
      </c>
      <c r="D20" s="83">
        <f>'Stats Global'!P21</f>
        <v>0</v>
      </c>
      <c r="E20" s="88"/>
      <c r="F20" s="88"/>
      <c r="J20" s="84"/>
      <c r="L20" s="85">
        <f>'Stats Global'!N21</f>
        <v>0</v>
      </c>
      <c r="M20" s="85">
        <f>'Stats Global'!K21</f>
        <v>0</v>
      </c>
      <c r="N20" s="84"/>
      <c r="O20" s="84"/>
      <c r="P20" s="56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Global'!I22</f>
        <v>0</v>
      </c>
      <c r="C21" s="83">
        <f>'Stats Global'!J22+'Stats Global'!K22</f>
        <v>0</v>
      </c>
      <c r="D21" s="83">
        <f>'Stats Global'!P22</f>
        <v>0</v>
      </c>
      <c r="E21" s="80"/>
      <c r="F21" s="80"/>
      <c r="J21" s="84"/>
      <c r="L21" s="85">
        <f>'Stats Global'!N22</f>
        <v>0</v>
      </c>
      <c r="M21" s="85">
        <f>'Stats Global'!K22</f>
        <v>0</v>
      </c>
      <c r="N21" s="84"/>
      <c r="O21" s="84"/>
      <c r="P21" s="56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Global'!I23</f>
        <v>0</v>
      </c>
      <c r="C22" s="83">
        <f>'Stats Global'!J23+'Stats Global'!K23</f>
        <v>0</v>
      </c>
      <c r="D22" s="83">
        <f>'Stats Global'!P23</f>
        <v>0</v>
      </c>
      <c r="E22" s="80"/>
      <c r="F22" s="80"/>
      <c r="J22" s="84"/>
      <c r="L22" s="85">
        <f>'Stats Global'!N23</f>
        <v>0</v>
      </c>
      <c r="M22" s="85">
        <f>'Stats Global'!K23</f>
        <v>0</v>
      </c>
      <c r="N22" s="84"/>
      <c r="O22" s="84"/>
      <c r="P22" s="56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Global'!I24</f>
        <v>0</v>
      </c>
      <c r="C23" s="83">
        <f>'Stats Global'!J24+'Stats Global'!K24</f>
        <v>0</v>
      </c>
      <c r="D23" s="83">
        <f>'Stats Global'!P24</f>
        <v>0</v>
      </c>
      <c r="E23" s="89"/>
      <c r="F23" s="80"/>
      <c r="H23" s="90"/>
      <c r="J23" s="84"/>
      <c r="L23" s="85">
        <f>'Stats Global'!N24</f>
        <v>0</v>
      </c>
      <c r="M23" s="85">
        <f>'Stats Global'!K24</f>
        <v>0</v>
      </c>
      <c r="N23" s="84"/>
      <c r="O23" s="84"/>
      <c r="P23" s="56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Global'!I25</f>
        <v>0</v>
      </c>
      <c r="C24" s="83">
        <f>'Stats Global'!J25+'Stats Global'!K25</f>
        <v>0</v>
      </c>
      <c r="D24" s="83">
        <f>'Stats Global'!P25</f>
        <v>0</v>
      </c>
      <c r="E24" s="89"/>
      <c r="F24" s="80"/>
      <c r="H24" s="90"/>
      <c r="J24" s="84"/>
      <c r="L24" s="85">
        <f>'Stats Global'!N25</f>
        <v>0</v>
      </c>
      <c r="M24" s="85">
        <f>'Stats Global'!K25</f>
        <v>0</v>
      </c>
      <c r="N24" s="84"/>
      <c r="O24" s="84"/>
      <c r="P24" s="56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Global'!I26</f>
        <v>0</v>
      </c>
      <c r="C25" s="83">
        <f>'Stats Global'!J26+'Stats Global'!K26</f>
        <v>0</v>
      </c>
      <c r="D25" s="83">
        <f>'Stats Global'!P26</f>
        <v>0</v>
      </c>
      <c r="E25" s="89"/>
      <c r="F25" s="80"/>
      <c r="H25" s="90"/>
      <c r="J25" s="84"/>
      <c r="L25" s="85">
        <f>'Stats Global'!N26</f>
        <v>0</v>
      </c>
      <c r="M25" s="85">
        <f>'Stats Global'!K26</f>
        <v>0</v>
      </c>
      <c r="N25" s="84"/>
      <c r="O25" s="84"/>
      <c r="P25" s="56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Global'!I27</f>
        <v>0</v>
      </c>
      <c r="C26" s="83">
        <f>'Stats Global'!J27+'Stats Global'!K27</f>
        <v>0</v>
      </c>
      <c r="D26" s="83">
        <f>'Stats Global'!P27</f>
        <v>0</v>
      </c>
      <c r="E26" s="80"/>
      <c r="F26" s="80"/>
      <c r="J26" s="84"/>
      <c r="L26" s="85">
        <f>'Stats Global'!N27</f>
        <v>0</v>
      </c>
      <c r="M26" s="85">
        <f>'Stats Global'!K27</f>
        <v>0</v>
      </c>
      <c r="N26" s="84"/>
      <c r="O26" s="84"/>
      <c r="P26" s="56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Global'!I28</f>
        <v>0</v>
      </c>
      <c r="C27" s="83">
        <f>'Stats Global'!J28+'Stats Global'!K28</f>
        <v>0</v>
      </c>
      <c r="D27" s="83">
        <f>'Stats Global'!P28</f>
        <v>0</v>
      </c>
      <c r="E27" s="80"/>
      <c r="F27" s="80"/>
      <c r="J27" s="84"/>
      <c r="L27" s="85">
        <f>'Stats Global'!N28</f>
        <v>0</v>
      </c>
      <c r="M27" s="85">
        <f>'Stats Global'!K28</f>
        <v>0</v>
      </c>
      <c r="N27" s="84"/>
      <c r="O27" s="84"/>
      <c r="P27" s="56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Global'!I29</f>
        <v>0</v>
      </c>
      <c r="C28" s="83">
        <f>'Stats Global'!J29+'Stats Global'!K29</f>
        <v>0</v>
      </c>
      <c r="D28" s="83">
        <f>'Stats Global'!P29</f>
        <v>0</v>
      </c>
      <c r="E28" s="80"/>
      <c r="F28" s="80"/>
      <c r="J28" s="84"/>
      <c r="L28" s="85">
        <f>'Stats Global'!N29</f>
        <v>0</v>
      </c>
      <c r="M28" s="85">
        <f>'Stats Global'!K29</f>
        <v>0</v>
      </c>
      <c r="N28" s="84"/>
      <c r="O28" s="84"/>
      <c r="P28" s="56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Global'!I30</f>
        <v>0</v>
      </c>
      <c r="C29" s="83">
        <f>'Stats Global'!J30+'Stats Global'!K30</f>
        <v>0</v>
      </c>
      <c r="D29" s="83">
        <f>'Stats Global'!P30</f>
        <v>0</v>
      </c>
      <c r="E29" s="80"/>
      <c r="F29" s="80"/>
      <c r="J29" s="84"/>
      <c r="L29" s="85">
        <f>'Stats Global'!N30</f>
        <v>0</v>
      </c>
      <c r="M29" s="85">
        <f>'Stats Global'!K30</f>
        <v>0</v>
      </c>
      <c r="N29" s="84"/>
      <c r="O29" s="84"/>
      <c r="P29" s="5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Global'!I31</f>
        <v>0</v>
      </c>
      <c r="C30" s="83">
        <f>'Stats Global'!J31+'Stats Global'!K31</f>
        <v>0</v>
      </c>
      <c r="D30" s="83">
        <f>'Stats Global'!P31</f>
        <v>0</v>
      </c>
      <c r="E30" s="80"/>
      <c r="F30" s="80"/>
      <c r="L30" s="85">
        <f>'Stats Global'!N31</f>
        <v>0</v>
      </c>
      <c r="M30" s="85">
        <f>'Stats Global'!K31</f>
        <v>0</v>
      </c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Global'!I32</f>
        <v>0</v>
      </c>
      <c r="C31" s="83">
        <f>'Stats Global'!J32+'Stats Global'!K32</f>
        <v>0</v>
      </c>
      <c r="D31" s="83">
        <f>'Stats Global'!P32</f>
        <v>0</v>
      </c>
      <c r="E31" s="80"/>
      <c r="F31" s="80"/>
      <c r="L31" s="85">
        <f>'Stats Global'!N32</f>
        <v>0</v>
      </c>
      <c r="M31" s="85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Global'!I33</f>
        <v>0</v>
      </c>
      <c r="C32" s="83">
        <f>'Stats Global'!J33+'Stats Global'!K33</f>
        <v>0</v>
      </c>
      <c r="D32" s="83">
        <f>'Stats Global'!P33</f>
        <v>0</v>
      </c>
      <c r="E32" s="80"/>
      <c r="F32" s="80"/>
      <c r="L32" s="85">
        <f>'Stats Global'!N33</f>
        <v>0</v>
      </c>
      <c r="M32" s="85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3">
        <f>'Stats Global'!I34</f>
        <v>0</v>
      </c>
      <c r="C33" s="83">
        <f>'Stats Global'!J34+'Stats Global'!K34</f>
        <v>0</v>
      </c>
      <c r="D33" s="83">
        <f>'Stats Global'!P34</f>
        <v>0</v>
      </c>
      <c r="E33" s="80"/>
      <c r="F33" s="80"/>
      <c r="L33" s="85">
        <f>'Stats Global'!N34</f>
        <v>0</v>
      </c>
      <c r="M33" s="85">
        <f>'Stats Global'!K34</f>
        <v>0</v>
      </c>
    </row>
    <row r="34" spans="1:16" ht="14.25" customHeight="1" x14ac:dyDescent="0.45">
      <c r="A34" s="75">
        <f>'Stats Global'!B35</f>
        <v>0</v>
      </c>
      <c r="B34" s="83">
        <f>'Stats Global'!I35</f>
        <v>0</v>
      </c>
      <c r="C34" s="83">
        <f>'Stats Global'!J35+'Stats Global'!K35</f>
        <v>0</v>
      </c>
      <c r="D34" s="83">
        <f>'Stats Global'!P35</f>
        <v>0</v>
      </c>
      <c r="E34" s="80"/>
      <c r="F34" s="80"/>
      <c r="L34" s="85">
        <f>'Stats Global'!N35</f>
        <v>0</v>
      </c>
      <c r="M34" s="85">
        <f>'Stats Global'!K35</f>
        <v>0</v>
      </c>
    </row>
    <row r="35" spans="1:16" ht="14.25" customHeight="1" x14ac:dyDescent="0.45">
      <c r="A35" s="75">
        <f>'Stats Global'!B36</f>
        <v>0</v>
      </c>
      <c r="B35" s="83">
        <f>'Stats Global'!I36</f>
        <v>0</v>
      </c>
      <c r="C35" s="83">
        <f>'Stats Global'!J36+'Stats Global'!K36</f>
        <v>0</v>
      </c>
      <c r="D35" s="83">
        <f>'Stats Global'!P36</f>
        <v>0</v>
      </c>
      <c r="E35" s="80"/>
      <c r="F35" s="80"/>
      <c r="L35" s="85">
        <f>'Stats Global'!N36</f>
        <v>0</v>
      </c>
      <c r="M35" s="85">
        <f>'Stats Global'!K36</f>
        <v>0</v>
      </c>
    </row>
    <row r="36" spans="1:16" ht="14.25" customHeight="1" x14ac:dyDescent="0.45">
      <c r="A36" s="75">
        <f>'Stats Global'!B37</f>
        <v>0</v>
      </c>
      <c r="B36" s="83">
        <f>'Stats Global'!I37</f>
        <v>0</v>
      </c>
      <c r="C36" s="83">
        <f>'Stats Global'!J37+'Stats Global'!K37</f>
        <v>0</v>
      </c>
      <c r="D36" s="83">
        <f>'Stats Global'!P37</f>
        <v>0</v>
      </c>
      <c r="E36" s="80"/>
      <c r="F36" s="80"/>
      <c r="L36" s="85">
        <f>'Stats Global'!N37</f>
        <v>0</v>
      </c>
      <c r="M36" s="85">
        <f>'Stats Global'!K37</f>
        <v>0</v>
      </c>
    </row>
    <row r="37" spans="1:16" ht="14.25" customHeight="1" x14ac:dyDescent="0.45">
      <c r="A37" s="75">
        <f>'Stats Global'!B38</f>
        <v>0</v>
      </c>
      <c r="B37" s="83">
        <f>'Stats Global'!I38</f>
        <v>0</v>
      </c>
      <c r="C37" s="83">
        <f>'Stats Global'!J38+'Stats Global'!K38</f>
        <v>0</v>
      </c>
      <c r="D37" s="83">
        <f>'Stats Global'!P38</f>
        <v>0</v>
      </c>
      <c r="E37" s="80"/>
      <c r="F37" s="80"/>
      <c r="L37" s="85">
        <f>'Stats Global'!N38</f>
        <v>0</v>
      </c>
      <c r="M37" s="85">
        <f>'Stats Global'!K38</f>
        <v>0</v>
      </c>
    </row>
    <row r="38" spans="1:16" ht="14.25" customHeight="1" x14ac:dyDescent="0.45">
      <c r="A38" s="75">
        <f>'Stats Global'!B39</f>
        <v>0</v>
      </c>
      <c r="B38" s="83">
        <f>'Stats Global'!I39</f>
        <v>0</v>
      </c>
      <c r="C38" s="83">
        <f>'Stats Global'!J39+'Stats Global'!K39</f>
        <v>0</v>
      </c>
      <c r="D38" s="83">
        <f>'Stats Global'!P39</f>
        <v>0</v>
      </c>
      <c r="E38" s="80"/>
      <c r="F38" s="80"/>
      <c r="L38" s="85">
        <f>'Stats Global'!N39</f>
        <v>0</v>
      </c>
      <c r="M38" s="85">
        <f>'Stats Global'!K39</f>
        <v>0</v>
      </c>
    </row>
    <row r="39" spans="1:16" ht="14.25" customHeight="1" x14ac:dyDescent="0.45">
      <c r="A39" s="75">
        <f>'Stats Global'!B40</f>
        <v>0</v>
      </c>
      <c r="B39" s="83">
        <f>'Stats Global'!I40</f>
        <v>0</v>
      </c>
      <c r="C39" s="83">
        <f>'Stats Global'!J40+'Stats Global'!K40</f>
        <v>0</v>
      </c>
      <c r="D39" s="83">
        <f>'Stats Global'!P40</f>
        <v>0</v>
      </c>
      <c r="E39" s="80"/>
      <c r="F39" s="80"/>
      <c r="L39" s="85">
        <f>'Stats Global'!N40</f>
        <v>0</v>
      </c>
      <c r="M39" s="85">
        <f>'Stats Global'!K40</f>
        <v>0</v>
      </c>
    </row>
    <row r="40" spans="1:16" ht="14.25" customHeight="1" x14ac:dyDescent="0.45">
      <c r="A40" s="75">
        <f>'Stats Global'!B41</f>
        <v>0</v>
      </c>
      <c r="B40" s="83">
        <f>'Stats Global'!I41</f>
        <v>0</v>
      </c>
      <c r="C40" s="83">
        <f>'Stats Global'!J41+'Stats Global'!K41</f>
        <v>0</v>
      </c>
      <c r="D40" s="83">
        <f>'Stats Global'!P41</f>
        <v>0</v>
      </c>
      <c r="E40" s="80"/>
      <c r="F40" s="80"/>
      <c r="L40" s="85">
        <f>'Stats Global'!N41</f>
        <v>0</v>
      </c>
      <c r="M40" s="85">
        <f>'Stats Global'!K41</f>
        <v>0</v>
      </c>
    </row>
    <row r="41" spans="1:16" ht="14.25" customHeight="1" x14ac:dyDescent="0.45">
      <c r="C41" s="119">
        <f>SUM(B7:B40)/SUM(B7:C40)</f>
        <v>0.36036036036036034</v>
      </c>
      <c r="J41" s="84"/>
      <c r="K41" s="76" t="s">
        <v>94</v>
      </c>
      <c r="L41" s="100">
        <f>SUM(L7:L40)</f>
        <v>22</v>
      </c>
      <c r="M41" s="100">
        <f>SUM(M7:M40)</f>
        <v>33</v>
      </c>
      <c r="N41" s="84"/>
      <c r="O41" s="84"/>
      <c r="P41" s="56"/>
    </row>
    <row r="42" spans="1:16" ht="14.25" customHeight="1" x14ac:dyDescent="0.45">
      <c r="L42" s="91">
        <f>L41/(M41+L41)</f>
        <v>0.4</v>
      </c>
      <c r="P42" s="56"/>
    </row>
    <row r="43" spans="1:16" ht="14.25" customHeight="1" x14ac:dyDescent="0.45">
      <c r="J43" s="92" t="str">
        <f>L43&amp;H3&amp;","&amp;I3&amp;","&amp;J3&amp;"],"</f>
        <v>"PartA":[40,71,20],</v>
      </c>
      <c r="K43" s="81"/>
      <c r="L43" s="76" t="s">
        <v>135</v>
      </c>
      <c r="N43" s="76" t="s">
        <v>139</v>
      </c>
      <c r="P43" s="93">
        <f>ROUND(SUM('Stats Global'!AA11,'Stats Global'!AA12,'Stats Global'!AA20,'Stats Global'!AA15,'Stats Global'!AA19,'Stats Global'!AA18,'Stats Global'!AA23)/'Stats Global'!AA6,1)</f>
        <v>3.5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"PartB":[10,"Michael Iffland",8,"Nicholas Szogi",6,"Ryan Pattemore",4,"Clarrie Jones"],</v>
      </c>
      <c r="L44" s="76" t="s">
        <v>136</v>
      </c>
      <c r="N44" s="94">
        <f>MAX(Table1113[Points])</f>
        <v>10</v>
      </c>
      <c r="O44" s="76" t="str">
        <f>IF(N44&lt;&gt;0,IF(N44=P4,O4,IF(N44=P5,O5,IF(P6=N44,O6,IF(P7=N44,O7,IF(P8=N44,O8,IF(P9=N44,O9,O10)))))),"N/A")</f>
        <v>Michael Iffland</v>
      </c>
      <c r="P44" s="93">
        <f>ROUND(SUM('Stats Global'!AC11,'Stats Global'!AC12,'Stats Global'!AC20,'Stats Global'!AC15,'Stats Global'!AC19,'Stats Global'!AC18,'Stats Global'!AC23)/'Stats Global'!AA6,1)</f>
        <v>1.6</v>
      </c>
    </row>
    <row r="45" spans="1:16" ht="14.25" customHeight="1" x14ac:dyDescent="0.45">
      <c r="J45" s="76" t="str">
        <f>L45&amp;P43&amp;","&amp;P44&amp;","&amp;P45&amp;","&amp;P46&amp;","&amp;P47&amp;","&amp;P48&amp;"],"</f>
        <v>"PartC":[3.5,1.6,1.1,0.4,3.3,5.9],</v>
      </c>
      <c r="L45" s="76" t="s">
        <v>137</v>
      </c>
      <c r="N45" s="94">
        <f>MAX(Table1113[Finishes])</f>
        <v>8</v>
      </c>
      <c r="O45" s="76" t="str">
        <f>IF(N45&lt;&gt;0,IF(N45=R4,O4,IF(N45=R5,O5,IF(R6=N45,O6,IF(R7=N45,O7,IF(R8=N45,O8,IF(R9=N45,O9,O10)))))),"N/A")</f>
        <v>Nicholas Szogi</v>
      </c>
      <c r="P45" s="93">
        <f>ROUND(SUM('Stats Global'!AE11,'Stats Global'!AE12,'Stats Global'!AE20,'Stats Global'!AE15,'Stats Global'!AE19,'Stats Global'!AE18,'Stats Global'!AE23)/'Stats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"PartD":[18,38,32.1,22,33,40],</v>
      </c>
      <c r="L46" s="76" t="s">
        <v>138</v>
      </c>
      <c r="N46" s="94">
        <f>MAX(Table1113[Midranges])</f>
        <v>6</v>
      </c>
      <c r="O46" s="76" t="str">
        <f>IF(N46&lt;&gt;0,IF(N46=T4,O4,IF(N46=T5,O5,IF(T6=N46,O6,IF(T7=N46,O7,IF(T8=N46,O8,IF(T9=N46,O9,O10)))))),"N/A")</f>
        <v>Ryan Pattemore</v>
      </c>
      <c r="P46" s="93">
        <f>ROUND(SUM('Stats Global'!AG11,'Stats Global'!AG12,'Stats Global'!AG20,'Stats Global'!AG15,'Stats Global'!AG19,'Stats Global'!AG18,'Stats Global'!AG23)/'Stats Global'!AA6,1)</f>
        <v>0.4</v>
      </c>
    </row>
    <row r="47" spans="1:16" ht="14.25" customHeight="1" x14ac:dyDescent="0.45">
      <c r="N47" s="94">
        <f>MAX(Table1113[Threes])</f>
        <v>4</v>
      </c>
      <c r="O47" s="101" t="str">
        <f>IF(N47&lt;&gt;0,IF(N47=V4,O4,IF(N47=V5,O5,IF(V6=N47,O6,IF(V7=N47,O7,IF(V8=N47,O8,IF(V9=N47,O9,O10)))))),"N/A")</f>
        <v>Clarrie Jones</v>
      </c>
      <c r="P47" s="76">
        <f>ROUND(H3/'Stats Global'!AA6,1)</f>
        <v>3.3</v>
      </c>
    </row>
    <row r="48" spans="1:16" ht="14.25" customHeight="1" x14ac:dyDescent="0.45">
      <c r="P48" s="76">
        <f>ROUND(I3/'Stats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8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69</v>
      </c>
      <c r="I3" s="81">
        <f>SUM(C7:C40)</f>
        <v>56</v>
      </c>
      <c r="J3" s="78">
        <f>SUM(D7:D40)</f>
        <v>26</v>
      </c>
      <c r="K3" s="78"/>
      <c r="L3" s="101" t="s">
        <v>192</v>
      </c>
      <c r="U3" s="56"/>
      <c r="V3" s="78"/>
      <c r="W3" s="78"/>
      <c r="X3" s="78"/>
    </row>
    <row r="4" spans="1:24" ht="14.25" customHeight="1" x14ac:dyDescent="0.45">
      <c r="A4" s="122" t="str">
        <f>'Stats Global'!B5</f>
        <v>11-July</v>
      </c>
      <c r="B4" s="123">
        <f>'Stats Global'!L5</f>
        <v>12</v>
      </c>
      <c r="C4" s="123">
        <f>'Stats Global'!M5+'Stats Global'!N5</f>
        <v>3</v>
      </c>
      <c r="D4" s="123">
        <f>'Stats Global'!Q5</f>
        <v>3</v>
      </c>
      <c r="E4" s="124" t="s">
        <v>30</v>
      </c>
      <c r="F4" s="124" t="s">
        <v>50</v>
      </c>
      <c r="K4" s="84"/>
      <c r="L4" s="102" t="s">
        <v>4</v>
      </c>
      <c r="M4" s="103" t="s">
        <v>0</v>
      </c>
      <c r="N4" s="103" t="s">
        <v>85</v>
      </c>
      <c r="O4" s="104" t="s">
        <v>1</v>
      </c>
      <c r="P4" s="105" t="s">
        <v>80</v>
      </c>
      <c r="Q4" s="105" t="s">
        <v>2</v>
      </c>
      <c r="R4" s="105" t="s">
        <v>117</v>
      </c>
      <c r="S4" s="104" t="s">
        <v>3</v>
      </c>
      <c r="T4" s="105" t="s">
        <v>118</v>
      </c>
      <c r="U4" s="105" t="s">
        <v>120</v>
      </c>
      <c r="V4" s="84"/>
      <c r="W4" s="84"/>
      <c r="X4" s="84"/>
    </row>
    <row r="5" spans="1:24" ht="14.25" customHeight="1" x14ac:dyDescent="0.45">
      <c r="A5" s="122" t="str">
        <f>'Stats Global'!B6</f>
        <v>12-July</v>
      </c>
      <c r="B5" s="123">
        <f>'Stats Global'!L6</f>
        <v>15</v>
      </c>
      <c r="C5" s="123">
        <f>'Stats Global'!M6+'Stats Global'!N6</f>
        <v>6</v>
      </c>
      <c r="D5" s="123">
        <f>'Stats Global'!Q6</f>
        <v>3</v>
      </c>
      <c r="E5" s="124" t="s">
        <v>30</v>
      </c>
      <c r="F5" s="124" t="s">
        <v>50</v>
      </c>
      <c r="K5" s="84"/>
      <c r="L5" s="84" t="s">
        <v>50</v>
      </c>
      <c r="M5" s="96">
        <f>'Stats Global'!AA17</f>
        <v>43</v>
      </c>
      <c r="N5" s="96">
        <f>'Stats Global'!AB17</f>
        <v>3.5833333333333335</v>
      </c>
      <c r="O5" s="96">
        <f>'Stats Global'!AC17</f>
        <v>7</v>
      </c>
      <c r="P5" s="96">
        <f>'Stats Global'!AD17</f>
        <v>0.58333333333333337</v>
      </c>
      <c r="Q5" s="96">
        <f>'Stats Global'!AE17</f>
        <v>26</v>
      </c>
      <c r="R5" s="96">
        <f>'Stats Global'!AF17</f>
        <v>2.1666666666666665</v>
      </c>
      <c r="S5" s="96">
        <f>'Stats Global'!AG17</f>
        <v>5</v>
      </c>
      <c r="T5" s="96">
        <f>'Stats Global'!AH17</f>
        <v>0.41666666666666669</v>
      </c>
      <c r="U5" s="96">
        <f>'Stats Global'!AJ17</f>
        <v>0</v>
      </c>
      <c r="V5" s="84"/>
      <c r="W5" s="84"/>
      <c r="X5" s="84"/>
    </row>
    <row r="6" spans="1:24" ht="14.25" customHeight="1" x14ac:dyDescent="0.45">
      <c r="A6" s="122" t="str">
        <f>'Stats Global'!B7</f>
        <v>13-July</v>
      </c>
      <c r="B6" s="123">
        <f>'Stats Global'!L7</f>
        <v>1</v>
      </c>
      <c r="C6" s="123">
        <f>'Stats Global'!M7+'Stats Global'!N7</f>
        <v>6</v>
      </c>
      <c r="D6" s="123">
        <f>'Stats Global'!Q7</f>
        <v>1</v>
      </c>
      <c r="E6" s="124" t="s">
        <v>207</v>
      </c>
      <c r="F6" s="124" t="s">
        <v>55</v>
      </c>
      <c r="H6" s="81"/>
      <c r="I6" s="95"/>
      <c r="K6" s="84"/>
      <c r="L6" s="84" t="s">
        <v>30</v>
      </c>
      <c r="M6" s="96">
        <f>'Stats Global'!AA10</f>
        <v>19</v>
      </c>
      <c r="N6" s="96">
        <f>'Stats Global'!AB10</f>
        <v>3.1666666666666665</v>
      </c>
      <c r="O6" s="96">
        <f>'Stats Global'!AC10</f>
        <v>17</v>
      </c>
      <c r="P6" s="96">
        <f>'Stats Global'!AD10</f>
        <v>2.8333333333333335</v>
      </c>
      <c r="Q6" s="96">
        <f>'Stats Global'!AE10</f>
        <v>0</v>
      </c>
      <c r="R6" s="96">
        <f>'Stats Global'!AF10</f>
        <v>0</v>
      </c>
      <c r="S6" s="96">
        <f>'Stats Global'!AG10</f>
        <v>1</v>
      </c>
      <c r="T6" s="96">
        <f>'Stats Global'!AH10</f>
        <v>0.16666666666666666</v>
      </c>
      <c r="U6" s="96">
        <f>'Stats Global'!AJ10</f>
        <v>6</v>
      </c>
      <c r="V6" s="84"/>
      <c r="W6" s="84"/>
      <c r="X6" s="84"/>
    </row>
    <row r="7" spans="1:24" ht="14.25" customHeight="1" x14ac:dyDescent="0.45">
      <c r="A7" s="75" t="str">
        <f>'Stats Global'!B8</f>
        <v>17-July</v>
      </c>
      <c r="B7" s="83">
        <f>'Stats Global'!L8</f>
        <v>3</v>
      </c>
      <c r="C7" s="83">
        <f>'Stats Global'!M8+'Stats Global'!N8</f>
        <v>5</v>
      </c>
      <c r="D7" s="83">
        <f>'Stats Global'!Q8</f>
        <v>2</v>
      </c>
      <c r="E7" s="80" t="s">
        <v>50</v>
      </c>
      <c r="F7" s="80" t="s">
        <v>207</v>
      </c>
      <c r="H7" s="81"/>
      <c r="I7" s="95"/>
      <c r="K7" s="84"/>
      <c r="L7" s="84" t="s">
        <v>42</v>
      </c>
      <c r="M7" s="96">
        <f>'Stats Global'!AA13</f>
        <v>5</v>
      </c>
      <c r="N7" s="96">
        <f>'Stats Global'!AB13</f>
        <v>0.5</v>
      </c>
      <c r="O7" s="96">
        <f>'Stats Global'!AC13</f>
        <v>4</v>
      </c>
      <c r="P7" s="96">
        <f>'Stats Global'!AD13</f>
        <v>0.4</v>
      </c>
      <c r="Q7" s="96">
        <f>'Stats Global'!AE13</f>
        <v>1</v>
      </c>
      <c r="R7" s="96">
        <f>'Stats Global'!AF13</f>
        <v>0.1</v>
      </c>
      <c r="S7" s="96">
        <f>'Stats Global'!AG13</f>
        <v>0</v>
      </c>
      <c r="T7" s="96">
        <f>'Stats Global'!AH13</f>
        <v>0</v>
      </c>
      <c r="U7" s="96">
        <f>'Stats Global'!AJ13</f>
        <v>2</v>
      </c>
      <c r="V7" s="84"/>
      <c r="W7" s="84"/>
      <c r="X7" s="84"/>
    </row>
    <row r="8" spans="1:24" ht="14.25" customHeight="1" x14ac:dyDescent="0.45">
      <c r="A8" s="75" t="str">
        <f>'Stats Global'!B9</f>
        <v>18-July</v>
      </c>
      <c r="B8" s="83">
        <f>'Stats Global'!L9</f>
        <v>1</v>
      </c>
      <c r="C8" s="83">
        <f>'Stats Global'!M9+'Stats Global'!N9</f>
        <v>6</v>
      </c>
      <c r="D8" s="83">
        <f>'Stats Global'!Q9</f>
        <v>2</v>
      </c>
      <c r="E8" s="80" t="s">
        <v>207</v>
      </c>
      <c r="F8" s="80" t="s">
        <v>50</v>
      </c>
      <c r="H8" s="81"/>
      <c r="I8" s="95"/>
      <c r="K8" s="84"/>
      <c r="L8" s="84" t="s">
        <v>115</v>
      </c>
      <c r="M8" s="96">
        <f>'Stats Global'!AA14</f>
        <v>6</v>
      </c>
      <c r="N8" s="96">
        <f>'Stats Global'!AB14</f>
        <v>0.5</v>
      </c>
      <c r="O8" s="96">
        <f>'Stats Global'!AC14</f>
        <v>4</v>
      </c>
      <c r="P8" s="96">
        <f>'Stats Global'!AD14</f>
        <v>0.33333333333333331</v>
      </c>
      <c r="Q8" s="96">
        <f>'Stats Global'!AE14</f>
        <v>2</v>
      </c>
      <c r="R8" s="96">
        <f>'Stats Global'!AF14</f>
        <v>0.16666666666666666</v>
      </c>
      <c r="S8" s="96">
        <f>'Stats Global'!AG14</f>
        <v>0</v>
      </c>
      <c r="T8" s="96">
        <f>'Stats Global'!AH14</f>
        <v>0</v>
      </c>
      <c r="U8" s="96">
        <f>'Stats Global'!AJ14</f>
        <v>0</v>
      </c>
      <c r="V8" s="84"/>
      <c r="W8" s="84"/>
      <c r="X8" s="84"/>
    </row>
    <row r="9" spans="1:24" ht="14.25" customHeight="1" x14ac:dyDescent="0.45">
      <c r="A9" s="75" t="str">
        <f>'Stats Global'!B10</f>
        <v>19-July</v>
      </c>
      <c r="B9" s="83">
        <f>'Stats Global'!L10</f>
        <v>0</v>
      </c>
      <c r="C9" s="83">
        <f>'Stats Global'!M10+'Stats Global'!N10</f>
        <v>7</v>
      </c>
      <c r="D9" s="83">
        <f>'Stats Global'!Q10</f>
        <v>2</v>
      </c>
      <c r="E9" s="80" t="s">
        <v>207</v>
      </c>
      <c r="F9" s="80" t="s">
        <v>207</v>
      </c>
      <c r="H9" s="81"/>
      <c r="I9" s="95"/>
      <c r="K9" s="84"/>
      <c r="L9" s="84" t="s">
        <v>200</v>
      </c>
      <c r="M9" s="96">
        <f>'Stats Global'!AA19</f>
        <v>1</v>
      </c>
      <c r="N9" s="96">
        <f>'Stats Global'!AB19</f>
        <v>0.16666666666666666</v>
      </c>
      <c r="O9" s="96">
        <f>'Stats Global'!AC19</f>
        <v>0</v>
      </c>
      <c r="P9" s="96">
        <f>'Stats Global'!AD19</f>
        <v>0</v>
      </c>
      <c r="Q9" s="96">
        <f>'Stats Global'!AE19</f>
        <v>1</v>
      </c>
      <c r="R9" s="96">
        <f>'Stats Global'!AF19</f>
        <v>0.16666666666666666</v>
      </c>
      <c r="S9" s="96">
        <f>'Stats Global'!AG19</f>
        <v>0</v>
      </c>
      <c r="T9" s="96">
        <f>'Stats Global'!AH19</f>
        <v>0</v>
      </c>
      <c r="U9" s="96">
        <f>'Stats Global'!AJ19</f>
        <v>6</v>
      </c>
      <c r="V9" s="84"/>
      <c r="W9" s="84"/>
      <c r="X9" s="84"/>
    </row>
    <row r="10" spans="1:24" ht="14.25" customHeight="1" x14ac:dyDescent="0.45">
      <c r="A10" s="75" t="str">
        <f>'Stats Global'!B11</f>
        <v>20-July</v>
      </c>
      <c r="B10" s="83">
        <f>'Stats Global'!L11</f>
        <v>2</v>
      </c>
      <c r="C10" s="83">
        <f>'Stats Global'!M11+'Stats Global'!N11</f>
        <v>4</v>
      </c>
      <c r="D10" s="83">
        <f>'Stats Global'!Q11</f>
        <v>1</v>
      </c>
      <c r="E10" s="80" t="s">
        <v>50</v>
      </c>
      <c r="F10" s="80" t="s">
        <v>50</v>
      </c>
      <c r="H10" s="81"/>
      <c r="I10" s="95"/>
      <c r="K10" s="56"/>
      <c r="L10" s="146"/>
      <c r="M10" s="146"/>
      <c r="N10" s="146"/>
      <c r="O10" s="146"/>
      <c r="Q10" s="146"/>
      <c r="R10" s="146"/>
      <c r="S10" s="146"/>
      <c r="T10" s="146"/>
      <c r="U10" s="56"/>
      <c r="V10" s="84"/>
      <c r="W10" s="84"/>
      <c r="X10" s="84"/>
    </row>
    <row r="11" spans="1:24" ht="14.25" customHeight="1" x14ac:dyDescent="0.45">
      <c r="A11" s="75" t="str">
        <f>'Stats Global'!B12</f>
        <v>24-July</v>
      </c>
      <c r="B11" s="83">
        <f>'Stats Global'!L12</f>
        <v>9</v>
      </c>
      <c r="C11" s="83">
        <f>'Stats Global'!M12+'Stats Global'!N12</f>
        <v>1</v>
      </c>
      <c r="D11" s="83">
        <f>'Stats Global'!Q12</f>
        <v>3</v>
      </c>
      <c r="E11" s="80" t="s">
        <v>30</v>
      </c>
      <c r="F11" s="80" t="s">
        <v>115</v>
      </c>
      <c r="H11" s="81"/>
      <c r="I11" s="95"/>
      <c r="K11" s="84"/>
      <c r="L11" s="84"/>
      <c r="M11" s="84"/>
      <c r="N11" s="84"/>
      <c r="O11" s="84"/>
      <c r="Q11" s="84"/>
      <c r="R11" s="84"/>
      <c r="S11" s="84"/>
      <c r="T11" s="84"/>
      <c r="U11" s="56"/>
      <c r="V11" s="84"/>
      <c r="W11" s="84"/>
      <c r="X11" s="84"/>
    </row>
    <row r="12" spans="1:24" ht="14.25" customHeight="1" x14ac:dyDescent="0.45">
      <c r="A12" s="75" t="str">
        <f>'Stats Global'!B13</f>
        <v>26-July</v>
      </c>
      <c r="B12" s="83">
        <f>'Stats Global'!L13</f>
        <v>8</v>
      </c>
      <c r="C12" s="83">
        <f>'Stats Global'!M13+'Stats Global'!N13</f>
        <v>5</v>
      </c>
      <c r="D12" s="83">
        <f>'Stats Global'!Q13</f>
        <v>3</v>
      </c>
      <c r="E12" s="80" t="s">
        <v>30</v>
      </c>
      <c r="F12" s="80" t="s">
        <v>50</v>
      </c>
      <c r="H12" s="81"/>
      <c r="I12" s="95"/>
      <c r="K12" s="84"/>
      <c r="L12" s="84"/>
      <c r="M12" s="84"/>
      <c r="N12" s="84"/>
      <c r="O12" s="84"/>
      <c r="Q12" s="84"/>
      <c r="R12" s="84"/>
      <c r="S12" s="84"/>
      <c r="T12" s="84"/>
      <c r="U12" s="56"/>
      <c r="V12" s="84"/>
      <c r="W12" s="84"/>
      <c r="X12" s="84"/>
    </row>
    <row r="13" spans="1:24" ht="14.25" customHeight="1" x14ac:dyDescent="0.45">
      <c r="A13" s="75" t="str">
        <f>'Stats Global'!B14</f>
        <v>27-July</v>
      </c>
      <c r="B13" s="83">
        <f>'Stats Global'!L14</f>
        <v>8</v>
      </c>
      <c r="C13" s="83">
        <f>'Stats Global'!M14+'Stats Global'!N14</f>
        <v>3</v>
      </c>
      <c r="D13" s="83">
        <f>'Stats Global'!Q14</f>
        <v>3</v>
      </c>
      <c r="E13" s="80" t="s">
        <v>253</v>
      </c>
      <c r="F13" s="80" t="s">
        <v>30</v>
      </c>
      <c r="H13" s="81"/>
      <c r="I13" s="95"/>
      <c r="K13" s="84"/>
      <c r="L13" s="84"/>
      <c r="M13" s="84"/>
      <c r="N13" s="84"/>
      <c r="O13" s="84"/>
      <c r="Q13" s="84"/>
      <c r="R13" s="84"/>
      <c r="S13" s="84"/>
      <c r="T13" s="84"/>
      <c r="U13" s="56"/>
      <c r="V13" s="84"/>
      <c r="W13" s="84"/>
      <c r="X13" s="84"/>
    </row>
    <row r="14" spans="1:24" ht="14.25" customHeight="1" x14ac:dyDescent="0.45">
      <c r="A14" s="75" t="str">
        <f>'Stats Global'!B15</f>
        <v>31-July</v>
      </c>
      <c r="B14" s="83">
        <f>'Stats Global'!L15</f>
        <v>3</v>
      </c>
      <c r="C14" s="83">
        <f>'Stats Global'!M15+'Stats Global'!N15</f>
        <v>7</v>
      </c>
      <c r="D14" s="83">
        <f>'Stats Global'!Q15</f>
        <v>1</v>
      </c>
      <c r="E14" s="80" t="s">
        <v>50</v>
      </c>
      <c r="F14" s="80" t="s">
        <v>258</v>
      </c>
      <c r="K14" s="84"/>
      <c r="L14" s="84"/>
      <c r="M14" s="84"/>
      <c r="N14" s="84"/>
      <c r="O14" s="84"/>
      <c r="Q14" s="84"/>
      <c r="R14" s="84"/>
      <c r="S14" s="84"/>
      <c r="T14" s="84"/>
      <c r="U14" s="56"/>
      <c r="V14" s="84"/>
      <c r="W14" s="84"/>
      <c r="X14" s="84"/>
    </row>
    <row r="15" spans="1:24" ht="14.25" customHeight="1" x14ac:dyDescent="0.45">
      <c r="A15" s="75" t="str">
        <f>'Stats Global'!B16</f>
        <v>1-August</v>
      </c>
      <c r="B15" s="83">
        <f>'Stats Global'!L16</f>
        <v>6</v>
      </c>
      <c r="C15" s="83">
        <f>'Stats Global'!M16+'Stats Global'!N16</f>
        <v>5</v>
      </c>
      <c r="D15" s="83">
        <f>'Stats Global'!Q16</f>
        <v>2</v>
      </c>
      <c r="E15" s="80" t="s">
        <v>50</v>
      </c>
      <c r="F15" s="80" t="s">
        <v>50</v>
      </c>
      <c r="K15" s="84"/>
      <c r="L15" s="84"/>
      <c r="M15" s="84"/>
      <c r="N15" s="84"/>
      <c r="O15" s="84"/>
      <c r="Q15" s="84"/>
      <c r="R15" s="84"/>
      <c r="S15" s="84"/>
      <c r="T15" s="84"/>
      <c r="U15" s="56"/>
      <c r="V15" s="84"/>
      <c r="W15" s="84"/>
      <c r="X15" s="84"/>
    </row>
    <row r="16" spans="1:24" ht="14.25" customHeight="1" x14ac:dyDescent="0.45">
      <c r="A16" s="75" t="str">
        <f>'Stats Global'!B17</f>
        <v>2-August</v>
      </c>
      <c r="B16" s="83">
        <f>'Stats Global'!L17</f>
        <v>12</v>
      </c>
      <c r="C16" s="83">
        <f>'Stats Global'!M17+'Stats Global'!N17</f>
        <v>7</v>
      </c>
      <c r="D16" s="83">
        <f>'Stats Global'!Q17</f>
        <v>3</v>
      </c>
      <c r="E16" s="80" t="s">
        <v>30</v>
      </c>
      <c r="F16" s="80" t="s">
        <v>50</v>
      </c>
      <c r="K16" s="84"/>
      <c r="L16" s="84"/>
      <c r="M16" s="84"/>
      <c r="N16" s="84"/>
      <c r="O16" s="84"/>
      <c r="Q16" s="84"/>
      <c r="R16" s="84"/>
      <c r="S16" s="84"/>
      <c r="T16" s="84"/>
      <c r="U16" s="56"/>
      <c r="V16" s="84"/>
      <c r="W16" s="84"/>
      <c r="X16" s="84"/>
    </row>
    <row r="17" spans="1:24" ht="14.25" customHeight="1" x14ac:dyDescent="0.45">
      <c r="A17" s="75" t="str">
        <f>'Stats Global'!B18</f>
        <v>3-August</v>
      </c>
      <c r="B17" s="83">
        <f>'Stats Global'!L18</f>
        <v>0</v>
      </c>
      <c r="C17" s="83">
        <f>'Stats Global'!M18+'Stats Global'!N18</f>
        <v>5</v>
      </c>
      <c r="D17" s="83">
        <f>'Stats Global'!Q18</f>
        <v>1</v>
      </c>
      <c r="E17" s="155" t="s">
        <v>207</v>
      </c>
      <c r="F17" s="155" t="s">
        <v>207</v>
      </c>
      <c r="K17" s="84"/>
      <c r="L17" s="84"/>
      <c r="M17" s="84"/>
      <c r="N17" s="84"/>
      <c r="O17" s="84"/>
      <c r="Q17" s="84"/>
      <c r="R17" s="84"/>
      <c r="S17" s="84"/>
      <c r="T17" s="84"/>
      <c r="U17" s="56"/>
      <c r="V17" s="84"/>
      <c r="W17" s="84"/>
      <c r="X17" s="84"/>
    </row>
    <row r="18" spans="1:24" ht="14.25" customHeight="1" x14ac:dyDescent="0.45">
      <c r="A18" s="75" t="str">
        <f>'Stats Global'!B19</f>
        <v>8-August</v>
      </c>
      <c r="B18" s="83">
        <f>'Stats Global'!L19</f>
        <v>17</v>
      </c>
      <c r="C18" s="83">
        <f>'Stats Global'!M19+'Stats Global'!N19</f>
        <v>1</v>
      </c>
      <c r="D18" s="83">
        <f>'Stats Global'!Q19</f>
        <v>3</v>
      </c>
      <c r="E18" s="157" t="s">
        <v>50</v>
      </c>
      <c r="F18" s="157" t="s">
        <v>50</v>
      </c>
      <c r="K18" s="84"/>
      <c r="L18" s="84"/>
      <c r="M18" s="84"/>
      <c r="N18" s="84"/>
      <c r="O18" s="84"/>
      <c r="Q18" s="84"/>
      <c r="R18" s="84"/>
      <c r="S18" s="84"/>
      <c r="T18" s="84"/>
      <c r="U18" s="56"/>
      <c r="V18" s="84"/>
      <c r="W18" s="84"/>
      <c r="X18" s="84"/>
    </row>
    <row r="19" spans="1:24" ht="14.25" customHeight="1" x14ac:dyDescent="0.45">
      <c r="A19" s="75">
        <f>'Stats Global'!B20</f>
        <v>0</v>
      </c>
      <c r="B19" s="83">
        <f>'Stats Global'!L20</f>
        <v>0</v>
      </c>
      <c r="C19" s="83">
        <f>'Stats Global'!M20+'Stats Global'!N20</f>
        <v>0</v>
      </c>
      <c r="D19" s="83">
        <f>'Stats Global'!Q20</f>
        <v>0</v>
      </c>
      <c r="E19" s="87"/>
      <c r="F19" s="87"/>
      <c r="K19" s="84"/>
      <c r="L19" s="84"/>
      <c r="M19" s="84"/>
      <c r="N19" s="84"/>
      <c r="O19" s="84"/>
      <c r="Q19" s="84"/>
      <c r="R19" s="84"/>
      <c r="S19" s="84"/>
      <c r="T19" s="84"/>
      <c r="U19" s="56"/>
      <c r="V19" s="84"/>
      <c r="W19" s="84"/>
      <c r="X19" s="84"/>
    </row>
    <row r="20" spans="1:24" ht="14.25" customHeight="1" x14ac:dyDescent="0.45">
      <c r="A20" s="75">
        <f>'Stats Global'!B21</f>
        <v>0</v>
      </c>
      <c r="B20" s="83">
        <f>'Stats Global'!L21</f>
        <v>0</v>
      </c>
      <c r="C20" s="83">
        <f>'Stats Global'!M21+'Stats Global'!N21</f>
        <v>0</v>
      </c>
      <c r="D20" s="83">
        <f>'Stats Global'!Q21</f>
        <v>0</v>
      </c>
      <c r="E20" s="88"/>
      <c r="F20" s="88"/>
      <c r="K20" s="84"/>
      <c r="L20" s="84"/>
      <c r="M20" s="84"/>
      <c r="N20" s="84"/>
      <c r="O20" s="84"/>
      <c r="Q20" s="84"/>
      <c r="R20" s="84"/>
      <c r="S20" s="84"/>
      <c r="T20" s="84"/>
      <c r="U20" s="56"/>
      <c r="V20" s="84"/>
      <c r="W20" s="84"/>
      <c r="X20" s="84"/>
    </row>
    <row r="21" spans="1:24" ht="14.25" customHeight="1" x14ac:dyDescent="0.45">
      <c r="A21" s="75">
        <f>'Stats Global'!B22</f>
        <v>0</v>
      </c>
      <c r="B21" s="83">
        <f>'Stats Global'!L22</f>
        <v>0</v>
      </c>
      <c r="C21" s="83">
        <f>'Stats Global'!M22+'Stats Global'!N22</f>
        <v>0</v>
      </c>
      <c r="D21" s="83">
        <f>'Stats Global'!Q22</f>
        <v>0</v>
      </c>
      <c r="E21" s="80"/>
      <c r="F21" s="80"/>
      <c r="K21" s="84"/>
      <c r="L21" s="84"/>
      <c r="M21" s="84"/>
      <c r="N21" s="84"/>
      <c r="O21" s="84"/>
      <c r="Q21" s="84"/>
      <c r="R21" s="84"/>
      <c r="S21" s="84"/>
      <c r="T21" s="84"/>
      <c r="U21" s="56"/>
      <c r="V21" s="84"/>
      <c r="W21" s="84"/>
      <c r="X21" s="84"/>
    </row>
    <row r="22" spans="1:24" ht="14.25" customHeight="1" x14ac:dyDescent="0.45">
      <c r="A22" s="75">
        <f>'Stats Global'!B23</f>
        <v>0</v>
      </c>
      <c r="B22" s="83">
        <f>'Stats Global'!L23</f>
        <v>0</v>
      </c>
      <c r="C22" s="83">
        <f>'Stats Global'!M23+'Stats Global'!N23</f>
        <v>0</v>
      </c>
      <c r="D22" s="83">
        <f>'Stats Global'!Q23</f>
        <v>0</v>
      </c>
      <c r="E22" s="80"/>
      <c r="F22" s="80"/>
      <c r="K22" s="84"/>
      <c r="L22" s="84"/>
      <c r="M22" s="84"/>
      <c r="N22" s="84"/>
      <c r="O22" s="84"/>
      <c r="Q22" s="84"/>
      <c r="R22" s="84"/>
      <c r="S22" s="84"/>
      <c r="T22" s="84"/>
      <c r="U22" s="56"/>
      <c r="V22" s="84"/>
      <c r="W22" s="84"/>
      <c r="X22" s="84"/>
    </row>
    <row r="23" spans="1:24" ht="14.25" customHeight="1" x14ac:dyDescent="0.45">
      <c r="A23" s="75">
        <f>'Stats Global'!B24</f>
        <v>0</v>
      </c>
      <c r="B23" s="83">
        <f>'Stats Global'!L24</f>
        <v>0</v>
      </c>
      <c r="C23" s="83">
        <f>'Stats Global'!M24+'Stats Global'!N24</f>
        <v>0</v>
      </c>
      <c r="D23" s="83">
        <f>'Stats Global'!Q24</f>
        <v>0</v>
      </c>
      <c r="E23" s="89"/>
      <c r="F23" s="80"/>
      <c r="G23" s="90"/>
      <c r="K23" s="84"/>
      <c r="L23" s="84"/>
      <c r="M23" s="84"/>
      <c r="N23" s="84"/>
      <c r="O23" s="84"/>
      <c r="Q23" s="84"/>
      <c r="R23" s="84"/>
      <c r="S23" s="84"/>
      <c r="T23" s="84"/>
      <c r="U23" s="56"/>
      <c r="V23" s="84"/>
      <c r="W23" s="84"/>
      <c r="X23" s="84"/>
    </row>
    <row r="24" spans="1:24" ht="14.25" customHeight="1" x14ac:dyDescent="0.45">
      <c r="A24" s="75">
        <f>'Stats Global'!B25</f>
        <v>0</v>
      </c>
      <c r="B24" s="83">
        <f>'Stats Global'!L25</f>
        <v>0</v>
      </c>
      <c r="C24" s="83">
        <f>'Stats Global'!M25+'Stats Global'!N25</f>
        <v>0</v>
      </c>
      <c r="D24" s="83">
        <f>'Stats Global'!Q25</f>
        <v>0</v>
      </c>
      <c r="E24" s="89"/>
      <c r="F24" s="80"/>
      <c r="G24" s="90"/>
      <c r="K24" s="84"/>
      <c r="L24" s="84"/>
      <c r="M24" s="84"/>
      <c r="N24" s="84"/>
      <c r="O24" s="84"/>
      <c r="Q24" s="84"/>
      <c r="R24" s="84"/>
      <c r="S24" s="84"/>
      <c r="T24" s="84"/>
      <c r="U24" s="56"/>
      <c r="V24" s="84"/>
      <c r="W24" s="84"/>
      <c r="X24" s="84"/>
    </row>
    <row r="25" spans="1:24" ht="14.25" customHeight="1" x14ac:dyDescent="0.45">
      <c r="A25" s="75">
        <f>'Stats Global'!B26</f>
        <v>0</v>
      </c>
      <c r="B25" s="83">
        <f>'Stats Global'!L26</f>
        <v>0</v>
      </c>
      <c r="C25" s="83">
        <f>'Stats Global'!M26+'Stats Global'!N26</f>
        <v>0</v>
      </c>
      <c r="D25" s="83">
        <f>'Stats Global'!Q26</f>
        <v>0</v>
      </c>
      <c r="E25" s="89"/>
      <c r="F25" s="80"/>
      <c r="G25" s="90"/>
      <c r="K25" s="84"/>
      <c r="L25" s="84"/>
      <c r="M25" s="84"/>
      <c r="N25" s="84"/>
      <c r="O25" s="84"/>
      <c r="Q25" s="84"/>
      <c r="R25" s="84"/>
      <c r="S25" s="84"/>
      <c r="T25" s="84"/>
      <c r="U25" s="56"/>
      <c r="V25" s="84"/>
      <c r="W25" s="84"/>
      <c r="X25" s="84"/>
    </row>
    <row r="26" spans="1:24" ht="14.25" customHeight="1" x14ac:dyDescent="0.45">
      <c r="A26" s="75">
        <f>'Stats Global'!B27</f>
        <v>0</v>
      </c>
      <c r="B26" s="83">
        <f>'Stats Global'!L27</f>
        <v>0</v>
      </c>
      <c r="C26" s="83">
        <f>'Stats Global'!M27+'Stats Global'!N27</f>
        <v>0</v>
      </c>
      <c r="D26" s="83">
        <f>'Stats Global'!Q27</f>
        <v>0</v>
      </c>
      <c r="E26" s="80"/>
      <c r="F26" s="80"/>
      <c r="K26" s="84"/>
      <c r="L26" s="84"/>
      <c r="M26" s="84"/>
      <c r="N26" s="84"/>
      <c r="O26" s="84"/>
      <c r="Q26" s="84"/>
      <c r="R26" s="84"/>
      <c r="S26" s="84"/>
      <c r="T26" s="84"/>
      <c r="U26" s="56"/>
      <c r="V26" s="84"/>
      <c r="W26" s="84"/>
      <c r="X26" s="84"/>
    </row>
    <row r="27" spans="1:24" ht="14.25" customHeight="1" x14ac:dyDescent="0.45">
      <c r="A27" s="75">
        <f>'Stats Global'!B28</f>
        <v>0</v>
      </c>
      <c r="B27" s="83">
        <f>'Stats Global'!L28</f>
        <v>0</v>
      </c>
      <c r="C27" s="83">
        <f>'Stats Global'!M28+'Stats Global'!N28</f>
        <v>0</v>
      </c>
      <c r="D27" s="83">
        <f>'Stats Global'!Q28</f>
        <v>0</v>
      </c>
      <c r="E27" s="80"/>
      <c r="F27" s="80"/>
      <c r="K27" s="84"/>
      <c r="L27" s="84"/>
      <c r="M27" s="84"/>
      <c r="N27" s="84"/>
      <c r="O27" s="84"/>
      <c r="Q27" s="84"/>
      <c r="R27" s="84"/>
      <c r="S27" s="84"/>
      <c r="T27" s="84"/>
      <c r="U27" s="56"/>
      <c r="V27" s="84"/>
      <c r="W27" s="84"/>
      <c r="X27" s="84"/>
    </row>
    <row r="28" spans="1:24" ht="14.25" customHeight="1" x14ac:dyDescent="0.45">
      <c r="A28" s="75">
        <f>'Stats Global'!B29</f>
        <v>0</v>
      </c>
      <c r="B28" s="83">
        <f>'Stats Global'!L29</f>
        <v>0</v>
      </c>
      <c r="C28" s="83">
        <f>'Stats Global'!M29+'Stats Global'!N29</f>
        <v>0</v>
      </c>
      <c r="D28" s="83">
        <f>'Stats Global'!Q29</f>
        <v>0</v>
      </c>
      <c r="E28" s="80"/>
      <c r="F28" s="80"/>
      <c r="K28" s="84"/>
      <c r="L28" s="84"/>
      <c r="M28" s="84"/>
      <c r="N28" s="84"/>
      <c r="O28" s="84"/>
      <c r="Q28" s="84"/>
      <c r="R28" s="84"/>
      <c r="S28" s="84"/>
      <c r="T28" s="84"/>
      <c r="U28" s="56"/>
      <c r="V28" s="84"/>
      <c r="W28" s="84"/>
      <c r="X28" s="84"/>
    </row>
    <row r="29" spans="1:24" ht="14.25" customHeight="1" x14ac:dyDescent="0.45">
      <c r="A29" s="75">
        <f>'Stats Global'!B30</f>
        <v>0</v>
      </c>
      <c r="B29" s="83">
        <f>'Stats Global'!L30</f>
        <v>0</v>
      </c>
      <c r="C29" s="83">
        <f>'Stats Global'!M30+'Stats Global'!N30</f>
        <v>0</v>
      </c>
      <c r="D29" s="83">
        <f>'Stats Global'!Q30</f>
        <v>0</v>
      </c>
      <c r="E29" s="80"/>
      <c r="F29" s="80"/>
      <c r="K29" s="84"/>
      <c r="L29" s="84"/>
      <c r="M29" s="84"/>
      <c r="N29" s="84"/>
      <c r="O29" s="84"/>
      <c r="Q29" s="84"/>
      <c r="R29" s="84"/>
      <c r="S29" s="84"/>
      <c r="T29" s="84"/>
      <c r="U29" s="56"/>
      <c r="V29" s="96"/>
      <c r="W29" s="84"/>
      <c r="X29" s="84"/>
    </row>
    <row r="30" spans="1:24" ht="14.25" customHeight="1" x14ac:dyDescent="0.45">
      <c r="A30" s="75">
        <f>'Stats Global'!B31</f>
        <v>0</v>
      </c>
      <c r="B30" s="83">
        <f>'Stats Global'!L31</f>
        <v>0</v>
      </c>
      <c r="C30" s="83">
        <f>'Stats Global'!M31+'Stats Global'!N31</f>
        <v>0</v>
      </c>
      <c r="D30" s="83">
        <f>'Stats Global'!Q31</f>
        <v>0</v>
      </c>
      <c r="E30" s="80"/>
      <c r="F30" s="80"/>
      <c r="K30" s="84"/>
      <c r="L30" s="84"/>
      <c r="M30" s="84"/>
      <c r="N30" s="84"/>
      <c r="O30" s="84"/>
      <c r="P30" s="81"/>
      <c r="Q30" s="84"/>
      <c r="R30" s="84"/>
      <c r="S30" s="84"/>
      <c r="T30" s="84"/>
      <c r="U30" s="56"/>
      <c r="V30" s="84"/>
      <c r="W30" s="84"/>
      <c r="X30" s="84"/>
    </row>
    <row r="31" spans="1:24" ht="14.25" customHeight="1" x14ac:dyDescent="0.45">
      <c r="A31" s="75">
        <f>'Stats Global'!B32</f>
        <v>0</v>
      </c>
      <c r="B31" s="83">
        <f>'Stats Global'!L32</f>
        <v>0</v>
      </c>
      <c r="C31" s="83">
        <f>'Stats Global'!M32+'Stats Global'!N32</f>
        <v>0</v>
      </c>
      <c r="D31" s="83">
        <f>'Stats Global'!Q32</f>
        <v>0</v>
      </c>
      <c r="E31" s="80"/>
      <c r="F31" s="80"/>
      <c r="J31" s="81"/>
      <c r="Q31" s="91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3">
        <f>'Stats Global'!L33</f>
        <v>0</v>
      </c>
      <c r="C32" s="83">
        <f>'Stats Global'!M33+'Stats Global'!N33</f>
        <v>0</v>
      </c>
      <c r="D32" s="83">
        <f>'Stats Global'!Q33</f>
        <v>0</v>
      </c>
      <c r="E32" s="80"/>
      <c r="F32" s="80"/>
      <c r="J32" s="81"/>
      <c r="K32" s="92" t="str">
        <f>M32&amp;H3&amp;","&amp;I3&amp;","&amp;J3&amp;"],"</f>
        <v>"PartA":[69,56,26],</v>
      </c>
      <c r="L32" s="81"/>
      <c r="M32" s="76" t="s">
        <v>135</v>
      </c>
      <c r="O32" s="76" t="s">
        <v>139</v>
      </c>
      <c r="Q32" s="93">
        <f>ROUND(SUM('Stats Global'!AA10,'Stats Global'!AA14,'Stats Global'!AA17,'Stats Global'!AA13,'Stats Global'!AA24)/'Stats Global'!AA6,1)</f>
        <v>6.4</v>
      </c>
    </row>
    <row r="33" spans="1:17" ht="14.25" customHeight="1" x14ac:dyDescent="0.45">
      <c r="A33" s="75">
        <f>'Stats Global'!B34</f>
        <v>0</v>
      </c>
      <c r="B33" s="83">
        <f>'Stats Global'!L34</f>
        <v>0</v>
      </c>
      <c r="C33" s="83">
        <f>'Stats Global'!M34+'Stats Global'!N34</f>
        <v>0</v>
      </c>
      <c r="D33" s="83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"PartB":[43,"Samuel McConaghy",17,"Alexander Galt",26,"Samuel McConaghy",5,"Samuel McConaghy"],</v>
      </c>
      <c r="M33" s="76" t="s">
        <v>136</v>
      </c>
      <c r="O33" s="94">
        <f>MAX(Table11[Points])</f>
        <v>43</v>
      </c>
      <c r="P33" s="76" t="str">
        <f>IF(O33&lt;&gt;0,IF(O33=M5,L5,IF(O33=M6,L6,IF(M7=O33,L7,IF(M8=O33,L8,L9)))),"N/A")</f>
        <v>Samuel McConaghy</v>
      </c>
      <c r="Q33" s="93">
        <f>ROUND(SUM('Stats Global'!AC10,'Stats Global'!AC14,'Stats Global'!AC17,'Stats Global'!AC13,'Stats Global'!AC24)/'Stats Global'!AA6,1)</f>
        <v>3</v>
      </c>
    </row>
    <row r="34" spans="1:17" ht="14.25" customHeight="1" x14ac:dyDescent="0.45">
      <c r="A34" s="75">
        <f>'Stats Global'!B35</f>
        <v>0</v>
      </c>
      <c r="B34" s="83">
        <f>'Stats Global'!L35</f>
        <v>0</v>
      </c>
      <c r="C34" s="83">
        <f>'Stats Global'!M35+'Stats Global'!N35</f>
        <v>0</v>
      </c>
      <c r="D34" s="83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"PartC":[6.4,3,2.4,0.5,5.8,4.7],</v>
      </c>
      <c r="M34" s="76" t="s">
        <v>137</v>
      </c>
      <c r="O34" s="94">
        <f>MAX(Table11[Finishes])</f>
        <v>17</v>
      </c>
      <c r="P34" s="76" t="str">
        <f>IF(O34&lt;&gt;0,IF(O34=O5,L5,IF(O34=O6,L6,IF(O7=O34,L7,IF(O8=O34,L8,L9)))),"N/A")</f>
        <v>Alexander Galt</v>
      </c>
      <c r="Q34" s="93">
        <f>ROUND(SUM('Stats Global'!AE10,'Stats Global'!AE14,'Stats Global'!AE17,'Stats Global'!AE13,'Stats Global'!AE24)/'Stats Global'!AA6,1)</f>
        <v>2.4</v>
      </c>
    </row>
    <row r="35" spans="1:17" ht="14.25" customHeight="1" x14ac:dyDescent="0.45">
      <c r="A35" s="75">
        <f>'Stats Global'!B36</f>
        <v>0</v>
      </c>
      <c r="B35" s="83">
        <f>'Stats Global'!L36</f>
        <v>0</v>
      </c>
      <c r="C35" s="83">
        <f>'Stats Global'!M36+'Stats Global'!N36</f>
        <v>0</v>
      </c>
      <c r="D35" s="83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"PartD":[36,34,51.4,33,22,60],</v>
      </c>
      <c r="M35" s="76" t="s">
        <v>138</v>
      </c>
      <c r="O35" s="94">
        <f>MAX(Table11[Midranges])</f>
        <v>26</v>
      </c>
      <c r="P35" s="76" t="str">
        <f>IF(O35&lt;&gt;0,IF(O35=Q5,L5,IF(O35=Q6,L6,IF(Q7=O35,L7,IF(Q8=O35,L8,L9)))),"N/A")</f>
        <v>Samuel McConaghy</v>
      </c>
      <c r="Q35" s="93">
        <f>ROUND(SUM('Stats Global'!AG10,'Stats Global'!AG14,'Stats Global'!AG17,'Stats Global'!AG13,'Stats Global'!AG24)/'Stats Global'!AA6,1)</f>
        <v>0.5</v>
      </c>
    </row>
    <row r="36" spans="1:17" ht="14.25" customHeight="1" x14ac:dyDescent="0.45">
      <c r="A36" s="75">
        <f>'Stats Global'!B37</f>
        <v>0</v>
      </c>
      <c r="B36" s="83">
        <f>'Stats Global'!L37</f>
        <v>0</v>
      </c>
      <c r="C36" s="83">
        <f>'Stats Global'!M37+'Stats Global'!N37</f>
        <v>0</v>
      </c>
      <c r="D36" s="83">
        <f>'Stats Global'!Q37</f>
        <v>0</v>
      </c>
      <c r="E36" s="80"/>
      <c r="F36" s="80"/>
      <c r="O36" s="94">
        <f>MAX(Table11[Threes])</f>
        <v>5</v>
      </c>
      <c r="P36" s="76" t="str">
        <f>IF(O36&lt;&gt;0,IF(O36=S5,L5,IF(O36=S6,L6,IF(S7=O36,L7,IF(S8=O36,L8,L9)))),"N/A")</f>
        <v>Samuel McConaghy</v>
      </c>
      <c r="Q36" s="76">
        <f>ROUND(H3/'Stats Global'!AA6,1)</f>
        <v>5.8</v>
      </c>
    </row>
    <row r="37" spans="1:17" ht="14.25" customHeight="1" x14ac:dyDescent="0.45">
      <c r="A37" s="75">
        <f>'Stats Global'!B38</f>
        <v>0</v>
      </c>
      <c r="B37" s="83">
        <f>'Stats Global'!L38</f>
        <v>0</v>
      </c>
      <c r="C37" s="83">
        <f>'Stats Global'!M38+'Stats Global'!N38</f>
        <v>0</v>
      </c>
      <c r="D37" s="83">
        <f>'Stats Global'!Q38</f>
        <v>0</v>
      </c>
      <c r="E37" s="80"/>
      <c r="F37" s="80"/>
      <c r="Q37" s="76">
        <f>ROUND(I3/'Stats Global'!AA6,1)</f>
        <v>4.7</v>
      </c>
    </row>
    <row r="38" spans="1:17" ht="14.25" customHeight="1" x14ac:dyDescent="0.45">
      <c r="A38" s="75">
        <f>'Stats Global'!B39</f>
        <v>0</v>
      </c>
      <c r="B38" s="83">
        <f>'Stats Global'!L39</f>
        <v>0</v>
      </c>
      <c r="C38" s="83">
        <f>'Stats Global'!M39+'Stats Global'!N39</f>
        <v>0</v>
      </c>
      <c r="D38" s="83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3">
        <f>'Stats Global'!L40</f>
        <v>0</v>
      </c>
      <c r="C39" s="83">
        <f>'Stats Global'!M40+'Stats Global'!N40</f>
        <v>0</v>
      </c>
      <c r="D39" s="83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3">
        <f>'Stats Global'!L41</f>
        <v>0</v>
      </c>
      <c r="C40" s="83">
        <f>'Stats Global'!M41+'Stats Global'!N41</f>
        <v>0</v>
      </c>
      <c r="D40" s="83">
        <f>'Stats Global'!Q41</f>
        <v>0</v>
      </c>
      <c r="E40" s="80"/>
      <c r="F40" s="80"/>
    </row>
    <row r="41" spans="1:17" ht="14.25" customHeight="1" x14ac:dyDescent="0.45">
      <c r="C41" s="119">
        <f>SUM(B7:B40)/SUM(B7:C40)</f>
        <v>0.55200000000000005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O6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E1000"/>
  <sheetViews>
    <sheetView topLeftCell="A10" zoomScale="79" workbookViewId="0">
      <selection activeCell="T43" sqref="T43:T4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26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E1000"/>
  <sheetViews>
    <sheetView zoomScale="79" workbookViewId="0">
      <selection activeCell="B3" sqref="B3:I13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26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E1000"/>
  <sheetViews>
    <sheetView zoomScale="79" workbookViewId="0">
      <selection activeCell="C28" activeCellId="3" sqref="C9:F9 C12:F14 C20:F25 C28:F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28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28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</row>
    <row r="23" spans="2:28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</row>
    <row r="25" spans="2:28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</row>
    <row r="26" spans="2:28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</row>
    <row r="27" spans="2:28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</row>
    <row r="28" spans="2:28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</row>
    <row r="29" spans="2:28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</row>
    <row r="30" spans="2:28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</row>
    <row r="31" spans="2:28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</row>
    <row r="32" spans="2:28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</row>
    <row r="33" spans="2:26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26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26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7"/>
      <c r="S41" s="97"/>
      <c r="T41" s="158" t="s">
        <v>119</v>
      </c>
      <c r="U41" s="158"/>
      <c r="V41" s="158"/>
    </row>
    <row r="42" spans="2:26" ht="14.25" customHeight="1" x14ac:dyDescent="0.9">
      <c r="R42" s="97"/>
      <c r="S42" s="97"/>
      <c r="T42" s="158"/>
      <c r="U42" s="158"/>
      <c r="V42" s="158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8" t="s">
        <v>176</v>
      </c>
      <c r="H44" s="98" t="s">
        <v>177</v>
      </c>
      <c r="I44" s="16" t="s">
        <v>171</v>
      </c>
      <c r="J44" s="16" t="s">
        <v>178</v>
      </c>
      <c r="K44" s="98" t="s">
        <v>179</v>
      </c>
      <c r="L44" s="16" t="s">
        <v>172</v>
      </c>
      <c r="M44" s="98" t="s">
        <v>180</v>
      </c>
      <c r="N44" s="98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26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SfW</vt:lpstr>
      <vt:lpstr>Stats Global</vt:lpstr>
      <vt:lpstr>Statistics LG</vt:lpstr>
      <vt:lpstr>Statistics WW</vt:lpstr>
      <vt:lpstr>Statistics 5M</vt:lpstr>
      <vt:lpstr>Template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2023-08-08T04:29:29Z</dcterms:modified>
</cp:coreProperties>
</file>