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CF5CC0F2-0B39-4C08-845A-122CCBE8748E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708" sheetId="27" r:id="rId7"/>
    <sheet name="1508" sheetId="26" r:id="rId8"/>
    <sheet name="1408" sheetId="25" r:id="rId9"/>
    <sheet name="1008" sheetId="24" r:id="rId10"/>
    <sheet name="0908" sheetId="23" r:id="rId11"/>
    <sheet name="0808" sheetId="22" r:id="rId12"/>
    <sheet name="0308" sheetId="21" r:id="rId13"/>
    <sheet name="0208" sheetId="20" r:id="rId14"/>
    <sheet name="0108" sheetId="19" r:id="rId15"/>
    <sheet name="3107" sheetId="18" r:id="rId16"/>
    <sheet name="2707" sheetId="17" r:id="rId17"/>
    <sheet name="2607" sheetId="16" r:id="rId18"/>
    <sheet name="2407" sheetId="15" r:id="rId19"/>
    <sheet name="2007" sheetId="14" r:id="rId20"/>
    <sheet name="1907" sheetId="13" r:id="rId21"/>
    <sheet name="1807" sheetId="12" r:id="rId22"/>
    <sheet name="1707" sheetId="11" r:id="rId23"/>
    <sheet name="Preseason 3" sheetId="10" r:id="rId24"/>
    <sheet name="Preseason 2" sheetId="9" r:id="rId25"/>
    <sheet name="Preseason 1" sheetId="8" r:id="rId26"/>
  </sheets>
  <externalReferences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L49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7" i="27" l="1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R39" i="27" l="1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7" l="1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J11" i="3"/>
  <c r="AJ12" i="3"/>
  <c r="AJ13" i="3"/>
  <c r="AJ14" i="3"/>
  <c r="AJ15" i="3"/>
  <c r="AJ17" i="3"/>
  <c r="AJ19" i="3"/>
  <c r="AJ20" i="3"/>
  <c r="AJ21" i="3"/>
  <c r="AP21" i="3" s="1"/>
  <c r="AJ22" i="3"/>
  <c r="AP22" i="3" s="1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J24" i="3"/>
  <c r="AP15" i="3" l="1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<sst xmlns="http://schemas.openxmlformats.org/spreadsheetml/2006/main" count="3848" uniqueCount="287">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</sst>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4" fillId="0" borderId="1"/>
    <xf numFmtId="9" fontId="25" fillId="0" borderId="0" applyFont="0" applyFill="0" applyBorder="0" applyAlignment="0" applyProtection="0"/>
  </cellStyleXfs>
  <cellXfs count="189">
    <xf numFmtId="0" fontId="0" fillId="0" borderId="0" xfId="0" applyFont="1" applyAlignment="1"/>
    <xf numFmtId="0" fontId="25" fillId="0" borderId="0" xfId="0" applyFont="1"/>
    <xf numFmtId="0" fontId="25" fillId="0" borderId="0" xfId="0" applyFont="1" applyAlignment="1"/>
    <xf numFmtId="0" fontId="27" fillId="0" borderId="0" xfId="0" applyFont="1"/>
    <xf numFmtId="2" fontId="26" fillId="0" borderId="0" xfId="0" applyNumberFormat="1" applyFont="1"/>
    <xf numFmtId="164" fontId="28" fillId="0" borderId="0" xfId="0" applyNumberFormat="1" applyFont="1"/>
    <xf numFmtId="0" fontId="27" fillId="0" borderId="0" xfId="0" applyFont="1" applyAlignment="1"/>
    <xf numFmtId="2" fontId="25" fillId="0" borderId="0" xfId="0" applyNumberFormat="1" applyFont="1"/>
    <xf numFmtId="1" fontId="25" fillId="0" borderId="0" xfId="0" applyNumberFormat="1" applyFont="1"/>
    <xf numFmtId="1" fontId="26" fillId="0" borderId="0" xfId="0" applyNumberFormat="1" applyFont="1"/>
    <xf numFmtId="10" fontId="26" fillId="0" borderId="0" xfId="0" applyNumberFormat="1" applyFont="1"/>
    <xf numFmtId="0" fontId="25" fillId="0" borderId="0" xfId="0" applyFont="1"/>
    <xf numFmtId="16" fontId="25" fillId="0" borderId="0" xfId="0" applyNumberFormat="1" applyFont="1" applyAlignment="1"/>
    <xf numFmtId="0" fontId="30" fillId="0" borderId="0" xfId="0" applyFont="1" applyAlignment="1"/>
    <xf numFmtId="0" fontId="3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0" fillId="0" borderId="3" xfId="0" applyFont="1" applyFill="1" applyBorder="1"/>
    <xf numFmtId="0" fontId="30" fillId="0" borderId="4" xfId="0" applyFont="1" applyFill="1" applyBorder="1"/>
    <xf numFmtId="0" fontId="30" fillId="0" borderId="4" xfId="0" applyFont="1" applyFill="1" applyBorder="1" applyAlignment="1"/>
    <xf numFmtId="0" fontId="31" fillId="0" borderId="4" xfId="0" applyFont="1" applyFill="1" applyBorder="1" applyAlignment="1"/>
    <xf numFmtId="0" fontId="27" fillId="0" borderId="5" xfId="0" applyFont="1" applyFill="1" applyBorder="1"/>
    <xf numFmtId="0" fontId="0" fillId="0" borderId="0" xfId="0"/>
    <xf numFmtId="0" fontId="36" fillId="0" borderId="0" xfId="0" applyFont="1"/>
    <xf numFmtId="9" fontId="0" fillId="0" borderId="0" xfId="2" applyFont="1" applyAlignment="1"/>
    <xf numFmtId="0" fontId="30" fillId="0" borderId="0" xfId="0" applyFont="1" applyFill="1"/>
    <xf numFmtId="0" fontId="30" fillId="0" borderId="0" xfId="0" applyFont="1" applyFill="1" applyAlignment="1"/>
    <xf numFmtId="0" fontId="31" fillId="0" borderId="0" xfId="0" applyFont="1" applyFill="1" applyAlignment="1"/>
    <xf numFmtId="1" fontId="0" fillId="0" borderId="0" xfId="0" quotePrefix="1" applyNumberFormat="1" applyFont="1" applyFill="1" applyAlignment="1"/>
    <xf numFmtId="2" fontId="26" fillId="0" borderId="0" xfId="0" applyNumberFormat="1" applyFont="1" applyFill="1"/>
    <xf numFmtId="1" fontId="25" fillId="0" borderId="0" xfId="0" applyNumberFormat="1" applyFont="1" applyFill="1" applyAlignment="1"/>
    <xf numFmtId="0" fontId="2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1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24" fillId="0" borderId="0" xfId="0" applyFont="1" applyAlignment="1"/>
    <xf numFmtId="165" fontId="3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2" fillId="0" borderId="0" xfId="0" applyFont="1" applyAlignment="1"/>
    <xf numFmtId="16" fontId="23" fillId="0" borderId="0" xfId="0" applyNumberFormat="1" applyFont="1" applyAlignment="1"/>
    <xf numFmtId="0" fontId="25" fillId="0" borderId="0" xfId="0" applyFont="1" applyFill="1" applyAlignment="1"/>
    <xf numFmtId="0" fontId="34" fillId="0" borderId="1" xfId="1" applyNumberFormat="1"/>
    <xf numFmtId="0" fontId="35" fillId="0" borderId="1" xfId="0" applyFont="1" applyBorder="1" applyAlignment="1">
      <alignment horizontal="center"/>
    </xf>
    <xf numFmtId="49" fontId="26" fillId="0" borderId="0" xfId="0" applyNumberFormat="1" applyFont="1"/>
    <xf numFmtId="0" fontId="27" fillId="3" borderId="0" xfId="0" applyFont="1" applyFill="1"/>
    <xf numFmtId="0" fontId="25" fillId="3" borderId="0" xfId="0" applyFont="1" applyFill="1"/>
    <xf numFmtId="0" fontId="30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6" fillId="0" borderId="2" xfId="0" applyNumberFormat="1" applyFont="1" applyFill="1" applyBorder="1"/>
    <xf numFmtId="1" fontId="25" fillId="0" borderId="2" xfId="0" applyNumberFormat="1" applyFont="1" applyFill="1" applyBorder="1" applyAlignment="1"/>
    <xf numFmtId="0" fontId="25" fillId="0" borderId="2" xfId="0" applyFont="1" applyFill="1" applyBorder="1"/>
    <xf numFmtId="1" fontId="26" fillId="0" borderId="6" xfId="0" applyNumberFormat="1" applyFont="1" applyFill="1" applyBorder="1"/>
    <xf numFmtId="0" fontId="20" fillId="0" borderId="0" xfId="0" applyFont="1" applyAlignment="1"/>
    <xf numFmtId="0" fontId="27" fillId="0" borderId="0" xfId="0" applyFont="1" applyFill="1"/>
    <xf numFmtId="0" fontId="26" fillId="0" borderId="0" xfId="0" applyFont="1" applyFill="1" applyAlignment="1">
      <alignment horizontal="center"/>
    </xf>
    <xf numFmtId="0" fontId="2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9" fontId="26" fillId="0" borderId="1" xfId="2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9" fontId="26" fillId="0" borderId="0" xfId="0" applyNumberFormat="1" applyFont="1" applyAlignment="1">
      <alignment vertical="center"/>
    </xf>
    <xf numFmtId="0" fontId="2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" fontId="26" fillId="0" borderId="1" xfId="0" applyNumberFormat="1" applyFont="1" applyFill="1" applyBorder="1" applyAlignment="1">
      <alignment vertical="center"/>
    </xf>
    <xf numFmtId="0" fontId="35" fillId="0" borderId="1" xfId="0" applyFont="1" applyBorder="1" applyAlignment="1"/>
    <xf numFmtId="0" fontId="19" fillId="0" borderId="0" xfId="0" applyFont="1" applyAlignment="1"/>
    <xf numFmtId="0" fontId="19" fillId="0" borderId="0" xfId="0" applyFont="1"/>
    <xf numFmtId="0" fontId="26" fillId="4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1" xfId="0" applyFont="1" applyFill="1" applyBorder="1"/>
    <xf numFmtId="0" fontId="38" fillId="0" borderId="1" xfId="0" applyFont="1" applyFill="1" applyBorder="1" applyAlignment="1"/>
    <xf numFmtId="0" fontId="39" fillId="0" borderId="1" xfId="0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3" borderId="2" xfId="0" applyFont="1" applyFill="1" applyBorder="1" applyAlignment="1"/>
    <xf numFmtId="0" fontId="18" fillId="0" borderId="0" xfId="0" applyFont="1" applyAlignment="1"/>
    <xf numFmtId="0" fontId="17" fillId="0" borderId="0" xfId="0" applyFont="1" applyAlignment="1"/>
    <xf numFmtId="0" fontId="17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6" fillId="0" borderId="0" xfId="0" applyNumberFormat="1" applyFont="1"/>
    <xf numFmtId="16" fontId="26" fillId="5" borderId="0" xfId="0" applyNumberFormat="1" applyFont="1" applyFill="1" applyAlignment="1">
      <alignment vertical="center"/>
    </xf>
    <xf numFmtId="0" fontId="2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6" fillId="6" borderId="1" xfId="0" applyFont="1" applyFill="1" applyBorder="1" applyAlignment="1">
      <alignment vertical="center"/>
    </xf>
    <xf numFmtId="1" fontId="25" fillId="0" borderId="0" xfId="0" applyNumberFormat="1" applyFont="1" applyFill="1"/>
    <xf numFmtId="0" fontId="0" fillId="0" borderId="1" xfId="2" applyNumberFormat="1" applyFont="1" applyFill="1" applyBorder="1" applyAlignment="1"/>
    <xf numFmtId="10" fontId="30" fillId="0" borderId="1" xfId="2" applyNumberFormat="1" applyFont="1" applyFill="1" applyBorder="1" applyAlignment="1"/>
    <xf numFmtId="0" fontId="15" fillId="0" borderId="0" xfId="0" applyFont="1" applyAlignment="1"/>
    <xf numFmtId="0" fontId="14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1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1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2" fillId="0" borderId="0" xfId="0" applyFont="1" applyAlignment="1"/>
    <xf numFmtId="0" fontId="12" fillId="0" borderId="0" xfId="0" applyFont="1"/>
    <xf numFmtId="0" fontId="26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36" fillId="0" borderId="1" xfId="0" applyFont="1" applyFill="1" applyBorder="1"/>
    <xf numFmtId="166" fontId="26" fillId="0" borderId="1" xfId="0" applyNumberFormat="1" applyFont="1" applyFill="1" applyBorder="1"/>
    <xf numFmtId="0" fontId="8" fillId="0" borderId="0" xfId="0" applyFont="1" applyAlignment="1"/>
    <xf numFmtId="0" fontId="7" fillId="3" borderId="0" xfId="0" applyFont="1" applyFill="1" applyAlignment="1">
      <alignment vertical="center"/>
    </xf>
    <xf numFmtId="49" fontId="26" fillId="3" borderId="2" xfId="0" applyNumberFormat="1" applyFont="1" applyFill="1" applyBorder="1"/>
    <xf numFmtId="0" fontId="6" fillId="3" borderId="0" xfId="0" applyFont="1" applyFill="1" applyAlignment="1">
      <alignment vertical="center"/>
    </xf>
    <xf numFmtId="0" fontId="5" fillId="0" borderId="0" xfId="0" applyFont="1" applyAlignment="1"/>
    <xf numFmtId="0" fontId="34" fillId="0" borderId="1" xfId="1" applyNumberFormat="1"/>
    <xf numFmtId="0" fontId="4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2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3" fillId="7" borderId="9" xfId="0" applyFont="1" applyFill="1" applyBorder="1" applyAlignment="1"/>
    <xf numFmtId="0" fontId="3" fillId="0" borderId="9" xfId="0" applyFont="1" applyBorder="1" applyAlignment="1"/>
    <xf numFmtId="0" fontId="3" fillId="0" borderId="13" xfId="0" applyFont="1" applyBorder="1" applyAlignment="1"/>
    <xf numFmtId="0" fontId="3" fillId="0" borderId="10" xfId="0" applyFont="1" applyBorder="1" applyAlignment="1"/>
    <xf numFmtId="0" fontId="3" fillId="8" borderId="11" xfId="0" applyFont="1" applyFill="1" applyBorder="1" applyAlignment="1"/>
    <xf numFmtId="9" fontId="3" fillId="8" borderId="12" xfId="0" applyNumberFormat="1" applyFont="1" applyFill="1" applyBorder="1" applyAlignment="1"/>
    <xf numFmtId="0" fontId="3" fillId="8" borderId="12" xfId="0" applyFont="1" applyFill="1" applyBorder="1" applyAlignment="1"/>
    <xf numFmtId="0" fontId="3" fillId="7" borderId="8" xfId="0" applyNumberFormat="1" applyFont="1" applyFill="1" applyBorder="1" applyAlignment="1"/>
    <xf numFmtId="0" fontId="3" fillId="0" borderId="8" xfId="0" applyNumberFormat="1" applyFont="1" applyBorder="1" applyAlignment="1"/>
    <xf numFmtId="0" fontId="3" fillId="0" borderId="10" xfId="0" applyNumberFormat="1" applyFont="1" applyBorder="1" applyAlignment="1"/>
    <xf numFmtId="2" fontId="3" fillId="0" borderId="12" xfId="0" applyNumberFormat="1" applyFont="1" applyFill="1" applyBorder="1" applyAlignment="1"/>
    <xf numFmtId="2" fontId="3" fillId="0" borderId="8" xfId="0" applyNumberFormat="1" applyFont="1" applyFill="1" applyBorder="1" applyAlignment="1"/>
    <xf numFmtId="2" fontId="3" fillId="0" borderId="10" xfId="0" applyNumberFormat="1" applyFont="1" applyFill="1" applyBorder="1" applyAlignment="1"/>
    <xf numFmtId="0" fontId="34" fillId="0" borderId="1" xfId="1" applyNumberFormat="1"/>
    <xf numFmtId="0" fontId="34" fillId="0" borderId="1" xfId="1" applyNumberFormat="1" applyFill="1"/>
    <xf numFmtId="0" fontId="2" fillId="3" borderId="0" xfId="0" applyFont="1" applyFill="1" applyAlignment="1">
      <alignment vertical="center"/>
    </xf>
    <xf numFmtId="0" fontId="41" fillId="0" borderId="2" xfId="0" applyFont="1" applyFill="1" applyBorder="1" applyAlignment="1"/>
    <xf numFmtId="1" fontId="41" fillId="0" borderId="2" xfId="0" quotePrefix="1" applyNumberFormat="1" applyFont="1" applyFill="1" applyBorder="1" applyAlignment="1"/>
    <xf numFmtId="2" fontId="42" fillId="0" borderId="2" xfId="0" applyNumberFormat="1" applyFont="1" applyFill="1" applyBorder="1"/>
    <xf numFmtId="1" fontId="41" fillId="0" borderId="2" xfId="0" applyNumberFormat="1" applyFont="1" applyFill="1" applyBorder="1" applyAlignment="1"/>
    <xf numFmtId="0" fontId="41" fillId="0" borderId="2" xfId="0" applyFont="1" applyFill="1" applyBorder="1"/>
    <xf numFmtId="1" fontId="42" fillId="0" borderId="6" xfId="0" applyNumberFormat="1" applyFont="1" applyFill="1" applyBorder="1"/>
    <xf numFmtId="0" fontId="41" fillId="0" borderId="2" xfId="0" applyNumberFormat="1" applyFont="1" applyFill="1" applyBorder="1"/>
    <xf numFmtId="0" fontId="41" fillId="0" borderId="7" xfId="0" applyFont="1" applyFill="1" applyBorder="1" applyAlignment="1"/>
    <xf numFmtId="2" fontId="42" fillId="0" borderId="7" xfId="0" applyNumberFormat="1" applyFont="1" applyFill="1" applyBorder="1"/>
    <xf numFmtId="0" fontId="41" fillId="0" borderId="7" xfId="0" applyNumberFormat="1" applyFont="1" applyFill="1" applyBorder="1"/>
    <xf numFmtId="0" fontId="34" fillId="0" borderId="1" xfId="1" applyNumberFormat="1"/>
    <xf numFmtId="0" fontId="36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0.62181818181818183</c:v>
                </c:pt>
                <c:pt idx="1">
                  <c:v>0.24727272727272728</c:v>
                </c:pt>
                <c:pt idx="2">
                  <c:v>0.13090909090909092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61" dataDxfId="359" headerRowBorderDxfId="360" tableBorderDxfId="358" totalsRowBorderDxfId="357">
  <autoFilter ref="Z7:AJ24" xr:uid="{598ECA3B-99B4-4CAB-8F81-5D711AA5A7FC}"/>
  <tableColumns count="11">
    <tableColumn id="1" xr3:uid="{9B036617-5450-4894-9268-827D2E0914FF}" name="Scoring" dataDxfId="356"/>
    <tableColumn id="2" xr3:uid="{6662CE93-E9C4-47DE-9476-E46126825B0A}" name="Points" dataDxfId="355">
      <calculatedColumnFormula>SUM(AL29,AA49,AL49,AA69,AL69,AA89,AL89)</calculatedColumnFormula>
    </tableColumn>
    <tableColumn id="3" xr3:uid="{8FDDFCB0-2692-4EB0-948C-7B877263B55B}" name="Average" dataDxfId="35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53">
      <calculatedColumnFormula>SUM(AM29,AB49,AM49,AB69,AM69,AB89,AM89)</calculatedColumnFormula>
    </tableColumn>
    <tableColumn id="5" xr3:uid="{5F324C66-956D-4EDC-870F-8EDE96C328C8}" name="Averages" dataDxfId="35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51">
      <calculatedColumnFormula>SUM(AN29,AC49,AN49,AC69,AN69,AC89,AN89)</calculatedColumnFormula>
    </tableColumn>
    <tableColumn id="7" xr3:uid="{8E7E6B37-23A0-4556-8839-B9D7834E3E68}" name="Averages2" dataDxfId="35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49">
      <calculatedColumnFormula>SUM(AO29,AD49,AO49,AD69,AO69,AD89,AO89)</calculatedColumnFormula>
    </tableColumn>
    <tableColumn id="9" xr3:uid="{E0C0BF1C-40E8-4137-8E0F-BB238D651DAE}" name="Averages3" dataDxfId="348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47">
      <calculatedColumnFormula>SfW!C3</calculatedColumnFormula>
    </tableColumn>
    <tableColumn id="11" xr3:uid="{E167D7FA-56F9-4571-B292-FF3869585F59}" name="Missed Games" dataDxfId="346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49">
  <autoFilter ref="AW7:BC24" xr:uid="{96B06DCA-2A57-491D-9968-278FF3FBD78A}"/>
  <tableColumns count="7">
    <tableColumn id="1" xr3:uid="{FE52DA28-AC9B-4385-A502-8DDB5D1FBA9E}" name="Name" dataDxfId="248"/>
    <tableColumn id="2" xr3:uid="{D93DA907-1A5C-4FC6-A721-6072347E34BF}" name="Total R" dataDxfId="247">
      <calculatedColumnFormula>'1707'!AC4+'1807'!AC4+'2407'!AC4+'2607'!AC4</calculatedColumnFormula>
    </tableColumn>
    <tableColumn id="3" xr3:uid="{EBD2E9CC-2367-4D50-957C-38F9CE276205}" name="Total A" dataDxfId="246">
      <calculatedColumnFormula>'1707'!AD4+'1807'!AD4+'2407'!AD4+'2607'!AD4</calculatedColumnFormula>
    </tableColumn>
    <tableColumn id="4" xr3:uid="{7DF9F4A1-F7D8-44DD-8445-ABFA3454613B}" name="Total S" dataDxfId="245">
      <calculatedColumnFormula>'1707'!AE4+'1807'!AE4+'2407'!AE4+'2607'!AE4</calculatedColumnFormula>
    </tableColumn>
    <tableColumn id="5" xr3:uid="{1AAD62E4-FA3F-4F41-8BD0-85F54409C489}" name="Avg R" dataDxfId="244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43" dataDxfId="242">
  <autoFilter ref="R3:AA8" xr:uid="{744FF78C-74B5-4798-AD3D-741E3ACB43CF}"/>
  <tableColumns count="10">
    <tableColumn id="1" xr3:uid="{B3B5C08C-655A-460A-A171-B3B0C826FF04}" name="Name" dataDxfId="241"/>
    <tableColumn id="2" xr3:uid="{427944B0-44CA-4325-A406-29F83026BA5E}" name="Points" dataDxfId="240">
      <calculatedColumnFormula>'Stats Global'!AA22</calculatedColumnFormula>
    </tableColumn>
    <tableColumn id="3" xr3:uid="{5E06D173-4DBE-4045-9072-0A0A77D19C84}" name="Average" dataDxfId="239"/>
    <tableColumn id="4" xr3:uid="{E74131A4-1DCA-4A89-8989-A4CF80175582}" name="Finishes" dataDxfId="238"/>
    <tableColumn id="5" xr3:uid="{FC3336D4-2CB5-4673-A345-7C9CCED7ADEE}" name="Averages" dataDxfId="237"/>
    <tableColumn id="6" xr3:uid="{BD6313A7-5D92-4B66-9B85-7ABC12DE9691}" name="Midranges" dataDxfId="236"/>
    <tableColumn id="7" xr3:uid="{6D0293BC-7E06-45CE-9D4B-FE4769DF9D9F}" name="Averages2" dataDxfId="235"/>
    <tableColumn id="8" xr3:uid="{89C1C64B-DD66-482C-BCDE-8B912D2676EF}" name="Threes" dataDxfId="234"/>
    <tableColumn id="9" xr3:uid="{7748B87C-1833-4BD6-9162-76373407E655}" name="Averages3" dataDxfId="233"/>
    <tableColumn id="10" xr3:uid="{D870E191-A52F-442E-AA52-A42CFAD05573}" name="Missed Game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31" dataDxfId="230" tableBorderDxfId="229">
  <autoFilter ref="AC2:AO14" xr:uid="{1FFC47C7-DFD7-4A9F-A1A5-1CA685184237}"/>
  <tableColumns count="13">
    <tableColumn id="1" xr3:uid="{FB71619C-EB39-4988-B4DB-5EDC829403C2}" name="Against Us" dataDxfId="228"/>
    <tableColumn id="2" xr3:uid="{A05D2E0F-7123-4E1F-B29C-F30D2F0BF127}" name="Points" dataDxfId="227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26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25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24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23">
      <calculatedColumnFormula>Table3[[#This Row],[Points]]/('Stats Global'!$AA$6-'Stats Global'!$AJ$10)</calculatedColumnFormula>
    </tableColumn>
    <tableColumn id="7" xr3:uid="{C5F438D0-3649-45D5-96FD-9D3510FBA489}" name="AVG F" dataDxfId="222"/>
    <tableColumn id="8" xr3:uid="{4FE2170E-9694-4785-914B-948DCD739ABA}" name="AVG M" dataDxfId="221"/>
    <tableColumn id="9" xr3:uid="{2E746532-8EE6-4676-8881-EEE8EA96A6B2}" name="AVG T" dataDxfId="220"/>
    <tableColumn id="10" xr3:uid="{12C6BBBE-13C7-4FFC-B357-00756FCC2217}" name="Difference P" dataDxfId="219">
      <calculatedColumnFormula>'Stats Global'!AB10-Table3[[#This Row],[AVG P]]</calculatedColumnFormula>
    </tableColumn>
    <tableColumn id="11" xr3:uid="{B6506F90-A35B-444D-8607-68FB9AC442F9}" name="Difference F" dataDxfId="218"/>
    <tableColumn id="12" xr3:uid="{090A7971-5A51-4381-ADE6-805EDA460DAB}" name="Difference M" dataDxfId="217"/>
    <tableColumn id="13" xr3:uid="{455AB6FD-A12D-42D6-A826-A5BA8E9EE48E}" name="Difference T" dataDxfId="21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15" dataDxfId="214">
  <autoFilter ref="O3:X10" xr:uid="{54759C84-3153-4DC9-9240-E2749AA0D92B}"/>
  <tableColumns count="10">
    <tableColumn id="1" xr3:uid="{7790729E-C8E5-45C1-8784-25212A2654AA}" name="Name" dataDxfId="213"/>
    <tableColumn id="2" xr3:uid="{52A67B2B-967C-4970-8D83-8F8E9CC61522}" name="Points" dataDxfId="212"/>
    <tableColumn id="3" xr3:uid="{BA1FA2C8-AEC0-4644-83DB-5097750D7188}" name="Average" dataDxfId="211"/>
    <tableColumn id="4" xr3:uid="{4CF66F5D-BF10-4CBD-88FF-CCD38730E1CD}" name="Finishes" dataDxfId="210"/>
    <tableColumn id="5" xr3:uid="{BC246D5B-7E78-41A6-B796-C93ED8E53DF9}" name="Averages" dataDxfId="209"/>
    <tableColumn id="6" xr3:uid="{AB819419-CC06-4A40-8DED-E231125129C0}" name="Midranges" dataDxfId="208"/>
    <tableColumn id="7" xr3:uid="{064AA562-C451-4362-805E-D12DC76C3530}" name="Averages2" dataDxfId="207"/>
    <tableColumn id="8" xr3:uid="{BD0D8BAE-15E4-4B38-87FE-B682D7BAEE75}" name="Threes" dataDxfId="206"/>
    <tableColumn id="9" xr3:uid="{541E391B-4B08-4E98-A63F-753C11193269}" name="Averages3" dataDxfId="205"/>
    <tableColumn id="10" xr3:uid="{999BB5D2-D6FB-4EB9-A268-D62EA72F939D}" name="Missed Games" dataDxfId="2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03" dataDxfId="202">
  <autoFilter ref="L4:U10" xr:uid="{C12CFC3F-7D59-4C0F-8D43-3F8ACD58C2BD}"/>
  <tableColumns count="10">
    <tableColumn id="1" xr3:uid="{CE15C23D-9493-4B21-9D40-1A25D210C18E}" name="Name" dataDxfId="201"/>
    <tableColumn id="2" xr3:uid="{6BB170B1-AA38-4699-9B96-400D2947EE9C}" name="Points" dataDxfId="200"/>
    <tableColumn id="3" xr3:uid="{EC8B6CBB-FCC9-416C-AEA6-738419DFE531}" name="Average" dataDxfId="199"/>
    <tableColumn id="4" xr3:uid="{315DA055-9A43-468A-A501-1092626F523F}" name="Finishes" dataDxfId="198"/>
    <tableColumn id="5" xr3:uid="{56B6FF4D-95D4-4550-88E4-C781ABDA83A6}" name="Averages" dataDxfId="197"/>
    <tableColumn id="6" xr3:uid="{F7B5C0B8-FBE2-44B0-A372-112C7776FCCF}" name="Midranges" dataDxfId="196"/>
    <tableColumn id="7" xr3:uid="{1A1C2126-FEB1-408F-8523-049E53028B4E}" name="Averages2" dataDxfId="195"/>
    <tableColumn id="8" xr3:uid="{AE94036B-3777-4C1B-97D5-7BFA1037C0BF}" name="Threes" dataDxfId="194"/>
    <tableColumn id="9" xr3:uid="{448B0903-7F66-40BA-809F-74ADBF397B45}" name="Averages3" dataDxfId="193"/>
    <tableColumn id="10" xr3:uid="{E0CAC55D-8398-4928-A219-C01706996D48}" name="Missed Games" dataDxfId="19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91" dataDxfId="189" headerRowBorderDxfId="190" tableBorderDxfId="188" totalsRowBorderDxfId="187">
  <autoFilter ref="AB23:AF35" xr:uid="{13FD7CD8-C40D-411F-89C3-F53649174B3A}"/>
  <tableColumns count="5">
    <tableColumn id="1" xr3:uid="{55112290-2A71-4FFD-A96D-ED94D1FAD6CA}" name="Name" dataDxfId="186"/>
    <tableColumn id="2" xr3:uid="{92074427-DAC9-482D-B452-A84499E2326C}" name="Points" dataDxfId="185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84">
      <calculatedColumnFormula>COUNTIFS(E$4:E$35,AB24,F$4:F$35,"Finish")</calculatedColumnFormula>
    </tableColumn>
    <tableColumn id="4" xr3:uid="{F5E1BC98-B8DA-4352-AA36-948EEFB2D6BE}" name="Midranges" dataDxfId="183">
      <calculatedColumnFormula>COUNTIFS(E$4:E$35,AB24,F$4:F$35,"Midrange")</calculatedColumnFormula>
    </tableColumn>
    <tableColumn id="5" xr3:uid="{792FABB2-60F3-4593-AE66-08C16949FD78}" name="Threes" dataDxfId="18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81" dataDxfId="179" headerRowBorderDxfId="180" tableBorderDxfId="178" totalsRowBorderDxfId="177">
  <autoFilter ref="AB23:AF35" xr:uid="{13FD7CD8-C40D-411F-89C3-F53649174B3A}"/>
  <tableColumns count="5">
    <tableColumn id="1" xr3:uid="{574C6AFA-0DD5-4E48-92F8-1F51665EBF50}" name="Name" dataDxfId="176"/>
    <tableColumn id="2" xr3:uid="{73CC7313-6932-4808-B503-006EA032F725}" name="Points" dataDxfId="175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74">
      <calculatedColumnFormula>COUNTIFS(E$4:E$35,AB24,F$4:F$35,"Finish")</calculatedColumnFormula>
    </tableColumn>
    <tableColumn id="4" xr3:uid="{5B87B6E1-7107-49A4-83EF-5808FD74997E}" name="Midranges" dataDxfId="173">
      <calculatedColumnFormula>COUNTIFS(E$4:E$35,AB24,F$4:F$35,"Midrange")</calculatedColumnFormula>
    </tableColumn>
    <tableColumn id="5" xr3:uid="{325B3640-0298-4E89-A2F0-E49C7B0A3C4C}" name="Threes" dataDxfId="17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71" dataDxfId="169" headerRowBorderDxfId="170" tableBorderDxfId="168" totalsRowBorderDxfId="167">
  <autoFilter ref="AB23:AF35" xr:uid="{13FD7CD8-C40D-411F-89C3-F53649174B3A}"/>
  <tableColumns count="5">
    <tableColumn id="1" xr3:uid="{91C5C250-A408-4754-A8CE-26D442D6CDAA}" name="Name" dataDxfId="166"/>
    <tableColumn id="2" xr3:uid="{30358CE6-D7D2-4D5C-8B2B-68CC2496D5EE}" name="Points" dataDxfId="165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64">
      <calculatedColumnFormula>COUNTIFS(E$4:E$35,AB24,F$4:F$35,"Finish")</calculatedColumnFormula>
    </tableColumn>
    <tableColumn id="4" xr3:uid="{A81D1110-5FEE-4844-939E-93EEBD082E97}" name="Midranges" dataDxfId="163">
      <calculatedColumnFormula>COUNTIFS(E$4:E$35,AB24,F$4:F$35,"Midrange")</calculatedColumnFormula>
    </tableColumn>
    <tableColumn id="5" xr3:uid="{21615588-C03B-492D-9E7F-96AAEBF7CCB0}" name="Threes" dataDxfId="1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61" dataDxfId="159" headerRowBorderDxfId="160" tableBorderDxfId="158" totalsRowBorderDxfId="157">
  <autoFilter ref="AB23:AF35" xr:uid="{13FD7CD8-C40D-411F-89C3-F53649174B3A}"/>
  <tableColumns count="5">
    <tableColumn id="1" xr3:uid="{72B8CB40-987E-41F5-A060-5823CF015223}" name="Name" dataDxfId="156"/>
    <tableColumn id="2" xr3:uid="{33F2A167-F049-4052-A26F-5C3D436136E1}" name="Points" dataDxfId="155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54">
      <calculatedColumnFormula>COUNTIFS(E$4:E$35,AB24,F$4:F$35,"Finish")</calculatedColumnFormula>
    </tableColumn>
    <tableColumn id="4" xr3:uid="{8C55320D-B379-4351-AC73-977A4AAF9956}" name="Midranges" dataDxfId="153">
      <calculatedColumnFormula>COUNTIFS(E$4:E$35,AB24,F$4:F$35,"Midrange")</calculatedColumnFormula>
    </tableColumn>
    <tableColumn id="5" xr3:uid="{9ED51C54-01E7-4718-9C8E-3E59C8E64B2E}" name="Threes" dataDxfId="1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51" dataDxfId="149" headerRowBorderDxfId="150" tableBorderDxfId="148" totalsRowBorderDxfId="147">
  <autoFilter ref="AB23:AF35" xr:uid="{A58502EA-6343-4A42-B904-BF5AA09EF1C9}"/>
  <tableColumns count="5">
    <tableColumn id="1" xr3:uid="{C42AD260-96D1-4BAD-8582-9EB233D448AD}" name="Name" dataDxfId="146"/>
    <tableColumn id="2" xr3:uid="{119BAC15-6DB1-4EED-9491-B9735D1A1CCD}" name="Points" dataDxfId="145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4">
      <calculatedColumnFormula>COUNTIFS(E$4:E$35,AB24,F$4:F$35,"Finish")</calculatedColumnFormula>
    </tableColumn>
    <tableColumn id="4" xr3:uid="{28ADA3B1-482E-43CA-AD2A-02F7A09CACFD}" name="Midranges" dataDxfId="143">
      <calculatedColumnFormula>COUNTIFS(E$4:E$35,AB24,F$4:F$35,"Midrange")</calculatedColumnFormula>
    </tableColumn>
    <tableColumn id="5" xr3:uid="{C9AC02A1-010E-43D2-BDCE-C22B864C549F}" name="Threes" dataDxfId="1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45" dataDxfId="344">
  <autoFilter ref="Z28:AI45" xr:uid="{84D0C431-52CF-4ABD-AA3E-D31975A289B1}"/>
  <tableColumns count="10">
    <tableColumn id="1" xr3:uid="{4DB7A2B8-7BD8-4BD7-8F53-2A7873A4EAAE}" name="Scoring" dataDxfId="343"/>
    <tableColumn id="2" xr3:uid="{BE8EBD49-660A-4C9F-970E-230EBB942EF1}" name="Points" dataDxfId="342">
      <calculatedColumnFormula>'Preseason 1'!R3+'Preseason 2'!R3+'Preseason 3'!R3</calculatedColumnFormula>
    </tableColumn>
    <tableColumn id="3" xr3:uid="{C2C49EF0-4D8C-4F8C-8D19-CDD1481D9568}" name="Finishes" dataDxfId="341">
      <calculatedColumnFormula>'Preseason 1'!S3+'Preseason 2'!S3+'Preseason 3'!S3</calculatedColumnFormula>
    </tableColumn>
    <tableColumn id="4" xr3:uid="{7E789F8C-B8F3-4D6E-AB6C-C9454835B062}" name="Midranges" dataDxfId="340">
      <calculatedColumnFormula>'Preseason 1'!T3+'Preseason 2'!T3+'Preseason 3'!T3</calculatedColumnFormula>
    </tableColumn>
    <tableColumn id="5" xr3:uid="{18C990F2-A6D0-4F57-B96A-D00066DCC8D8}" name="Threes" dataDxfId="339">
      <calculatedColumnFormula>'Preseason 1'!U3+'Preseason 2'!U3+'Preseason 3'!U3</calculatedColumnFormula>
    </tableColumn>
    <tableColumn id="6" xr3:uid="{40526534-76CA-42BA-A8B6-AB092D9CE18F}" name="Avg P" dataDxfId="338">
      <calculatedColumnFormula>AA29/($AA$27-Table2[[#This Row],[Missed Games]])</calculatedColumnFormula>
    </tableColumn>
    <tableColumn id="7" xr3:uid="{693AF117-21F6-4887-B78D-D59235BABA44}" name="Avg F" dataDxfId="337">
      <calculatedColumnFormula>AB29/($AA$27-Table2[[#This Row],[Missed Games]])</calculatedColumnFormula>
    </tableColumn>
    <tableColumn id="8" xr3:uid="{02AC8FBF-EBB3-4AFC-BAC5-B773E33B7279}" name="Avg M" dataDxfId="336">
      <calculatedColumnFormula>AC29/($AA$27-Table2[[#This Row],[Missed Games]])</calculatedColumnFormula>
    </tableColumn>
    <tableColumn id="9" xr3:uid="{CCF75EB4-34C4-4D47-9D51-E8D85C07E38B}" name="Avg T" dataDxfId="335">
      <calculatedColumnFormula>AD29/($AA$27-Table2[[#This Row],[Missed Games]])</calculatedColumnFormula>
    </tableColumn>
    <tableColumn id="10" xr3:uid="{1A786A5C-D0C2-4ABC-904C-983180542D5F}" name="Missed Games" dataDxfId="334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41" dataDxfId="139" headerRowBorderDxfId="140" tableBorderDxfId="138" totalsRowBorderDxfId="137">
  <autoFilter ref="AB23:AF35" xr:uid="{6E76429B-169B-468D-824D-A87B796442C0}"/>
  <tableColumns count="5">
    <tableColumn id="1" xr3:uid="{702D6C1A-EF35-4C14-A8EC-BBE79BC5BE81}" name="Name" dataDxfId="136"/>
    <tableColumn id="2" xr3:uid="{9BD04D9B-64B3-4165-9C75-3A9A0F304D9A}" name="Points" dataDxfId="135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4">
      <calculatedColumnFormula>COUNTIFS(E$4:E$35,AB24,F$4:F$35,"Finish")</calculatedColumnFormula>
    </tableColumn>
    <tableColumn id="4" xr3:uid="{179483FA-F4DC-46F6-9EBD-2B72684FBED5}" name="Midranges" dataDxfId="133">
      <calculatedColumnFormula>COUNTIFS(E$4:E$35,AB24,F$4:F$35,"Midrange")</calculatedColumnFormula>
    </tableColumn>
    <tableColumn id="5" xr3:uid="{82BFCC2E-BA97-42C7-9C9C-9D4A2257CC8D}" name="Threes" dataDxfId="1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31" dataDxfId="129" headerRowBorderDxfId="130" tableBorderDxfId="128" totalsRowBorderDxfId="127">
  <autoFilter ref="AB23:AF35" xr:uid="{711C1840-2FF8-49B4-9F4B-8223C0525289}"/>
  <tableColumns count="5">
    <tableColumn id="1" xr3:uid="{0B03E012-9A8E-4767-A04A-C16CD3CCDC33}" name="Name" dataDxfId="126"/>
    <tableColumn id="2" xr3:uid="{A2B7E625-74CD-4FF7-8B9D-7F3ACC55103A}" name="Points" dataDxfId="125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4">
      <calculatedColumnFormula>COUNTIFS(E$4:E$35,AB24,F$4:F$35,"Finish")</calculatedColumnFormula>
    </tableColumn>
    <tableColumn id="4" xr3:uid="{D078A61B-1896-43FA-8563-E4D3FCD6B4DD}" name="Midranges" dataDxfId="123">
      <calculatedColumnFormula>COUNTIFS(E$4:E$35,AB24,F$4:F$35,"Midrange")</calculatedColumnFormula>
    </tableColumn>
    <tableColumn id="5" xr3:uid="{A9701953-19FF-4D79-8455-76372461AB88}" name="Threes" dataDxfId="1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21" dataDxfId="119" headerRowBorderDxfId="120" tableBorderDxfId="118" totalsRowBorderDxfId="117">
  <autoFilter ref="AB23:AF35" xr:uid="{AE26177D-8CDE-4D62-99F6-2C9B80BCEAD6}"/>
  <tableColumns count="5">
    <tableColumn id="1" xr3:uid="{4C6C9C10-76EC-4EDA-B740-1EF5587C01D1}" name="Name" dataDxfId="116"/>
    <tableColumn id="2" xr3:uid="{6B881634-AC7D-412B-9F02-D156A1201211}" name="Points" dataDxfId="115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4">
      <calculatedColumnFormula>COUNTIFS(E$4:E$35,AB24,F$4:F$35,"Finish")</calculatedColumnFormula>
    </tableColumn>
    <tableColumn id="4" xr3:uid="{B1AB5C9D-3E0B-4B27-ADFF-1DF93EE6CC84}" name="Midranges" dataDxfId="113">
      <calculatedColumnFormula>COUNTIFS(E$4:E$35,AB24,F$4:F$35,"Midrange")</calculatedColumnFormula>
    </tableColumn>
    <tableColumn id="5" xr3:uid="{7C0B5A5A-E056-494F-86B0-CBEB8D1475C9}" name="Threes" dataDxfId="1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11" dataDxfId="109" headerRowBorderDxfId="110" tableBorderDxfId="108" totalsRowBorderDxfId="107">
  <autoFilter ref="AB23:AF35" xr:uid="{A35046DB-B0F1-42B0-86FE-D063621EE515}"/>
  <tableColumns count="5">
    <tableColumn id="1" xr3:uid="{27893731-032B-4D12-B452-2AA29EA44EC6}" name="Name" dataDxfId="106"/>
    <tableColumn id="2" xr3:uid="{E8C49AAC-F230-4F21-AC21-34B9ED55BD7B}" name="Points" dataDxfId="105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4">
      <calculatedColumnFormula>COUNTIFS(E$4:E$35,AB24,F$4:F$35,"Finish")</calculatedColumnFormula>
    </tableColumn>
    <tableColumn id="4" xr3:uid="{74575A80-2AA7-42B7-B656-A6420844C111}" name="Midranges" dataDxfId="103">
      <calculatedColumnFormula>COUNTIFS(E$4:E$35,AB24,F$4:F$35,"Midrange")</calculatedColumnFormula>
    </tableColumn>
    <tableColumn id="5" xr3:uid="{FF198C28-8745-4B95-8E6C-BFE1083D2908}" name="Threes" dataDxfId="10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01" dataDxfId="99" headerRowBorderDxfId="100" tableBorderDxfId="98" totalsRowBorderDxfId="97">
  <autoFilter ref="AB23:AF35" xr:uid="{1714D4D3-70C5-4A24-9A4E-A2AAB9CF35E3}"/>
  <tableColumns count="5">
    <tableColumn id="1" xr3:uid="{B8B5BD79-26B0-4FEE-85E2-FC16FA5B1C5A}" name="Name" dataDxfId="96"/>
    <tableColumn id="2" xr3:uid="{34EEB8C6-0E0C-432C-AC65-35959B908E48}" name="Points" dataDxfId="95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4">
      <calculatedColumnFormula>COUNTIFS(E$4:E$35,AB24,F$4:F$35,"Finish")</calculatedColumnFormula>
    </tableColumn>
    <tableColumn id="4" xr3:uid="{8013E110-47EC-40EA-9D63-E2D90CA59A8E}" name="Midranges" dataDxfId="93">
      <calculatedColumnFormula>COUNTIFS(E$4:E$35,AB24,F$4:F$35,"Midrange")</calculatedColumnFormula>
    </tableColumn>
    <tableColumn id="5" xr3:uid="{48311BF4-567F-401E-B8D3-DAB12DC49017}" name="Threes" dataDxfId="9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91" dataDxfId="89" headerRowBorderDxfId="90" tableBorderDxfId="88" totalsRowBorderDxfId="87">
  <autoFilter ref="AB23:AF35" xr:uid="{303E2669-BFE0-4C11-83AB-A66D3AD911D5}"/>
  <tableColumns count="5">
    <tableColumn id="1" xr3:uid="{0ACC658A-A2E6-4822-B4CF-E42B064307EC}" name="Name" dataDxfId="86"/>
    <tableColumn id="2" xr3:uid="{69E1B66B-C7C3-4733-9803-F7800D41C7AE}" name="Points" dataDxfId="85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4">
      <calculatedColumnFormula>COUNTIFS(E$4:E$35,AB24,F$4:F$35,"Finish")</calculatedColumnFormula>
    </tableColumn>
    <tableColumn id="4" xr3:uid="{ADB45E9B-AC7D-4069-B639-5DC6C0CF2238}" name="Midranges" dataDxfId="83">
      <calculatedColumnFormula>COUNTIFS(E$4:E$35,AB24,F$4:F$35,"Midrange")</calculatedColumnFormula>
    </tableColumn>
    <tableColumn id="5" xr3:uid="{551A75D2-68CD-46CD-B2A5-EA83451074D7}" name="Threes" dataDxfId="8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81" dataDxfId="79" headerRowBorderDxfId="80" tableBorderDxfId="78" totalsRowBorderDxfId="77">
  <autoFilter ref="AB23:AF35" xr:uid="{2C607A1D-5CBE-4AF6-B74F-A17EBEC2C394}"/>
  <tableColumns count="5">
    <tableColumn id="1" xr3:uid="{CA259BF9-3B7B-4C35-8EB0-8FC507F52620}" name="Name" dataDxfId="76"/>
    <tableColumn id="2" xr3:uid="{ACDF4FA4-A3AA-4EBC-A234-FB46076B438E}" name="Points" dataDxfId="75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4">
      <calculatedColumnFormula>COUNTIFS(E$4:E$35,AB24,F$4:F$35,"Finish")</calculatedColumnFormula>
    </tableColumn>
    <tableColumn id="4" xr3:uid="{0A3A77CE-3099-4A7B-981B-6A0F44B14D11}" name="Midranges" dataDxfId="73">
      <calculatedColumnFormula>COUNTIFS(E$4:E$35,AB24,F$4:F$35,"Midrange")</calculatedColumnFormula>
    </tableColumn>
    <tableColumn id="5" xr3:uid="{013E6D90-7B5B-4FB5-B0D3-D87F11C976DB}" name="Threes" dataDxfId="7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71" dataDxfId="69" headerRowBorderDxfId="70" tableBorderDxfId="68" totalsRowBorderDxfId="67">
  <autoFilter ref="AB23:AF35" xr:uid="{68118DB3-D0FB-483A-9EB4-32A2F2A95163}"/>
  <tableColumns count="5">
    <tableColumn id="1" xr3:uid="{CE47220C-0A23-4BEF-BE09-10F142B36862}" name="Name" dataDxfId="66"/>
    <tableColumn id="2" xr3:uid="{DF770B97-23E2-457C-9D37-5E9A3C3679DB}" name="Points" dataDxfId="65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4">
      <calculatedColumnFormula>COUNTIFS(E$4:E$35,AB24,F$4:F$35,"Finish")</calculatedColumnFormula>
    </tableColumn>
    <tableColumn id="4" xr3:uid="{9D32120F-F6FF-46CE-AE03-4EFA07E2703A}" name="Midranges" dataDxfId="63">
      <calculatedColumnFormula>COUNTIFS(E$4:E$35,AB24,F$4:F$35,"Midrange")</calculatedColumnFormula>
    </tableColumn>
    <tableColumn id="5" xr3:uid="{B0534804-3982-48F8-9692-9B112C42BBA4}" name="Threes" dataDxfId="6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61" dataDxfId="59" headerRowBorderDxfId="60" tableBorderDxfId="58" totalsRowBorderDxfId="57">
  <autoFilter ref="AB23:AF35" xr:uid="{9EF1906A-B3B3-4BEF-9867-FBF932269708}"/>
  <tableColumns count="5">
    <tableColumn id="1" xr3:uid="{19D780D9-93BA-439D-92CE-5E0011FC94C9}" name="Name" dataDxfId="56"/>
    <tableColumn id="2" xr3:uid="{F8FAB1B7-4D3F-462E-A255-9B298AE0F23D}" name="Points" dataDxfId="55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4">
      <calculatedColumnFormula>COUNTIFS(E$4:E$35,AB24,F$4:F$35,"Finish")</calculatedColumnFormula>
    </tableColumn>
    <tableColumn id="4" xr3:uid="{B84E09E7-4B7B-46CB-A382-B3A5B718B665}" name="Midranges" dataDxfId="53">
      <calculatedColumnFormula>COUNTIFS(E$4:E$35,AB24,F$4:F$35,"Midrange")</calculatedColumnFormula>
    </tableColumn>
    <tableColumn id="5" xr3:uid="{E05FF50D-26D5-4849-BD53-F8BE653947F2}" name="Threes" dataDxfId="5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51" dataDxfId="49" headerRowBorderDxfId="50" tableBorderDxfId="48" totalsRowBorderDxfId="47">
  <autoFilter ref="AB23:AF35" xr:uid="{3CDAA49A-970D-45E7-8776-FCD763C64D3D}"/>
  <tableColumns count="5">
    <tableColumn id="1" xr3:uid="{BE7D80F2-C167-4417-ABD8-DE86C19C3613}" name="Name" dataDxfId="46"/>
    <tableColumn id="2" xr3:uid="{073E7847-0F0B-4218-ADFE-40B8292E2D26}" name="Points" dataDxfId="45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4">
      <calculatedColumnFormula>COUNTIFS(E$4:E$35,AB24,F$4:F$35,"Finish")</calculatedColumnFormula>
    </tableColumn>
    <tableColumn id="4" xr3:uid="{64DD9251-F793-4491-85A1-6DBBF9E100BF}" name="Midranges" dataDxfId="43">
      <calculatedColumnFormula>COUNTIFS(E$4:E$35,AB24,F$4:F$35,"Midrange")</calculatedColumnFormula>
    </tableColumn>
    <tableColumn id="5" xr3:uid="{762904B8-CD39-408A-B16D-C23402BF9CDD}" name="Threes" dataDxfId="4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33" dataDxfId="332">
  <autoFilter ref="AK28:AT45" xr:uid="{46F39EBA-1E74-46F4-A6E5-473672128124}"/>
  <tableColumns count="10">
    <tableColumn id="1" xr3:uid="{5D003608-C1C2-4694-9447-8632FB8D7348}" name="Scoring" dataDxfId="331"/>
    <tableColumn id="2" xr3:uid="{D15F4085-CED5-4CDD-B43B-BF7EB59B45A3}" name="Points" dataDxfId="330">
      <calculatedColumnFormula>'1707'!R3+'1807'!R3+'1907'!R3+'2007'!R3</calculatedColumnFormula>
    </tableColumn>
    <tableColumn id="3" xr3:uid="{2D436F37-54B6-4820-9145-F48B4EF9B294}" name="Finishes" dataDxfId="329">
      <calculatedColumnFormula>'1707'!S3+'1807'!S3+'1907'!S3+'2007'!S3</calculatedColumnFormula>
    </tableColumn>
    <tableColumn id="4" xr3:uid="{1D9B6A22-B682-47F3-B738-7C138F317A41}" name="Midranges" dataDxfId="328">
      <calculatedColumnFormula>'1707'!T3+'1807'!T3+'1907'!T3+'2007'!T3</calculatedColumnFormula>
    </tableColumn>
    <tableColumn id="5" xr3:uid="{9966C9A0-3872-44E9-BB39-05DE197EAA68}" name="Threes" dataDxfId="327">
      <calculatedColumnFormula>'1707'!U3+'1807'!U3+'1907'!U3+'2007'!U3</calculatedColumnFormula>
    </tableColumn>
    <tableColumn id="6" xr3:uid="{CC4AB646-735F-425F-8528-C5EFE7FE11DC}" name="Avg P" dataDxfId="326">
      <calculatedColumnFormula>AL29/($AL$27-Table211[[#This Row],[Missed Games]])</calculatedColumnFormula>
    </tableColumn>
    <tableColumn id="7" xr3:uid="{F8D0247E-C6F7-467A-9F38-46084D44F8AB}" name="Avg F" dataDxfId="325">
      <calculatedColumnFormula>AM29/($AL$27-Table211[[#This Row],[Missed Games]])</calculatedColumnFormula>
    </tableColumn>
    <tableColumn id="8" xr3:uid="{7CCF1C77-9DB0-4EB2-B7D0-FD0BDBEBFA0E}" name="Avg M" dataDxfId="324">
      <calculatedColumnFormula>AN29/($AL$27-Table211[[#This Row],[Missed Games]])</calculatedColumnFormula>
    </tableColumn>
    <tableColumn id="9" xr3:uid="{582A1A4E-5383-4383-A480-735408867046}" name="Avg T" dataDxfId="323">
      <calculatedColumnFormula>AO29/($AL$27-Table211[[#This Row],[Missed Games]])</calculatedColumnFormula>
    </tableColumn>
    <tableColumn id="10" xr3:uid="{E547AEB5-F9BA-4C5F-8DCE-34B6A8FF303A}" name="Missed Games" dataDxfId="322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41" dataDxfId="39" headerRowBorderDxfId="40" tableBorderDxfId="38" totalsRowBorderDxfId="37">
  <autoFilter ref="AB23:AF35" xr:uid="{C6A4DFB5-74A3-4A64-AACD-91CE9502F555}"/>
  <tableColumns count="5">
    <tableColumn id="1" xr3:uid="{0299C96A-7BCA-47EB-AD86-241664A4F514}" name="Name" dataDxfId="36"/>
    <tableColumn id="2" xr3:uid="{5098BEB7-25CA-4164-914A-AC4AFA7BF2BC}" name="Points" dataDxfId="35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4">
      <calculatedColumnFormula>COUNTIFS(E$4:E$35,AB24,F$4:F$35,"Finish")</calculatedColumnFormula>
    </tableColumn>
    <tableColumn id="4" xr3:uid="{AB612CFA-1FA9-4ADE-AE53-130B2B192FB9}" name="Midranges" dataDxfId="33">
      <calculatedColumnFormula>COUNTIFS(E$4:E$35,AB24,F$4:F$35,"Midrange")</calculatedColumnFormula>
    </tableColumn>
    <tableColumn id="5" xr3:uid="{7E81C066-5B3D-4F5F-AA57-F66CFF5F91A1}" name="Threes" dataDxfId="3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31" dataDxfId="29" headerRowBorderDxfId="30" tableBorderDxfId="28" totalsRowBorderDxfId="27">
  <autoFilter ref="AB23:AF35" xr:uid="{AD350964-0408-4154-ACAC-3710508D9D87}"/>
  <tableColumns count="5">
    <tableColumn id="1" xr3:uid="{16BEA131-6137-4539-A2D9-4DB11B2311B6}" name="Name" dataDxfId="26"/>
    <tableColumn id="2" xr3:uid="{6AEC6A03-BBB8-42C1-A1C9-687F7E0DE182}" name="Points" dataDxfId="25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4">
      <calculatedColumnFormula>COUNTIFS(E$4:E$35,AB24,F$4:F$35,"Finish")</calculatedColumnFormula>
    </tableColumn>
    <tableColumn id="4" xr3:uid="{01AC69BC-B8B8-4D13-9632-3DA4330300C1}" name="Midranges" dataDxfId="23">
      <calculatedColumnFormula>COUNTIFS(E$4:E$35,AB24,F$4:F$35,"Midrange")</calculatedColumnFormula>
    </tableColumn>
    <tableColumn id="5" xr3:uid="{563C2D33-CBB1-4A24-AD12-1F7EB0B8E5B4}" name="Threes" dataDxfId="2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21" dataDxfId="19" headerRowBorderDxfId="20" tableBorderDxfId="18" totalsRowBorderDxfId="17">
  <autoFilter ref="AB23:AF35" xr:uid="{BA72D610-9C91-48B2-AE6A-0F3391E34A4D}"/>
  <tableColumns count="5">
    <tableColumn id="1" xr3:uid="{51F1B0CF-10E2-4194-85E6-583F7CE73389}" name="Name" dataDxfId="16"/>
    <tableColumn id="2" xr3:uid="{45797C8D-217B-47BB-9393-DBE33DBFD489}" name="Points" dataDxfId="15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4">
      <calculatedColumnFormula>COUNTIFS(E$4:E$35,AB24,F$4:F$35,"Finish")</calculatedColumnFormula>
    </tableColumn>
    <tableColumn id="4" xr3:uid="{67931CF6-4491-412B-9EC1-E1177336345D}" name="Midranges" dataDxfId="13">
      <calculatedColumnFormula>COUNTIFS(E$4:E$35,AB24,F$4:F$35,"Midrange")</calculatedColumnFormula>
    </tableColumn>
    <tableColumn id="5" xr3:uid="{55B3E858-EE70-46D9-B721-DC47897AA8BB}" name="Threes" dataDxfId="12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21" dataDxfId="320">
  <autoFilter ref="Z48:AI65" xr:uid="{D27C125F-71B2-44D9-9F7A-9BED67755DD3}"/>
  <tableColumns count="10">
    <tableColumn id="1" xr3:uid="{0B0344E8-2677-4FAB-9B03-4745991FB5AE}" name="Scoring" dataDxfId="319"/>
    <tableColumn id="2" xr3:uid="{58CA1107-8BB4-4A5D-BA00-31619C8D3973}" name="Points" dataDxfId="318">
      <calculatedColumnFormula>'2407'!R3+'2607'!R3+'2707'!R3</calculatedColumnFormula>
    </tableColumn>
    <tableColumn id="3" xr3:uid="{8090861E-1FDF-44F4-9DB6-BB814E32C754}" name="Finishes" dataDxfId="317">
      <calculatedColumnFormula>'2407'!S3+'2607'!S3+'2707'!S3</calculatedColumnFormula>
    </tableColumn>
    <tableColumn id="4" xr3:uid="{972D0347-DAB3-4985-A738-E5D78740D498}" name="Midranges" dataDxfId="316">
      <calculatedColumnFormula>'2407'!T3+'2607'!T3+'2707'!T3</calculatedColumnFormula>
    </tableColumn>
    <tableColumn id="5" xr3:uid="{48F5F884-1753-4988-9056-632B5EB6BBCB}" name="Threes" dataDxfId="315">
      <calculatedColumnFormula>'2407'!U3+'2607'!U3+'2707'!U3</calculatedColumnFormula>
    </tableColumn>
    <tableColumn id="6" xr3:uid="{6953B627-EA05-418F-A758-FD59263EA60D}" name="Avg P" dataDxfId="314">
      <calculatedColumnFormula>Table21123[[#This Row],[Points]]/($AA$47-Table21123[[#This Row],[Missed Games]])</calculatedColumnFormula>
    </tableColumn>
    <tableColumn id="7" xr3:uid="{BE057C9C-5ECD-4AC2-A9C0-18C89CFB52BC}" name="Avg F" dataDxfId="313">
      <calculatedColumnFormula>Table21123[[#This Row],[Finishes]]/($AA$47-Table21123[[#This Row],[Missed Games]])</calculatedColumnFormula>
    </tableColumn>
    <tableColumn id="8" xr3:uid="{0FDEBEE7-CD5E-4A44-A0AE-74F044F1FF46}" name="Avg M" dataDxfId="312">
      <calculatedColumnFormula>Table21123[[#This Row],[Midranges]]/($AA$47-Table21123[[#This Row],[Missed Games]])</calculatedColumnFormula>
    </tableColumn>
    <tableColumn id="9" xr3:uid="{76975BB6-3677-41A8-BC24-7536B1D876D3}" name="Avg T" dataDxfId="311">
      <calculatedColumnFormula>Table21123[[#This Row],[Threes]]/($AA$47-Table21123[[#This Row],[Missed Games]])</calculatedColumnFormula>
    </tableColumn>
    <tableColumn id="10" xr3:uid="{E5ADB69B-3BA2-4019-8C83-8B02221F187E}" name="Missed Games" dataDxfId="310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09" dataDxfId="308">
  <autoFilter ref="AK48:AT65" xr:uid="{22B89D2C-1B74-4036-A4ED-A5E61F1B3AAC}"/>
  <tableColumns count="10">
    <tableColumn id="1" xr3:uid="{3D35891E-3654-497A-8DB2-BF0BD916CA29}" name="Scoring" dataDxfId="307"/>
    <tableColumn id="2" xr3:uid="{54B5B6AF-372A-4E07-B4D6-DFC66F7E20C5}" name="Points" dataDxfId="306">
      <calculatedColumnFormula>'3107'!R3+'0108'!R3+'0208'!R3+'0308'!R3</calculatedColumnFormula>
    </tableColumn>
    <tableColumn id="3" xr3:uid="{6CA15B41-F560-4B43-8836-163F5BB5689C}" name="Finishes" dataDxfId="305">
      <calculatedColumnFormula>'3107'!S3+'0108'!S3+'0208'!S3+'0308'!S3</calculatedColumnFormula>
    </tableColumn>
    <tableColumn id="4" xr3:uid="{8FF05262-0051-44F7-966E-8D405318BA69}" name="Midranges" dataDxfId="304">
      <calculatedColumnFormula>'3107'!T3+'0108'!T3+'0208'!T3+'0308'!T3</calculatedColumnFormula>
    </tableColumn>
    <tableColumn id="5" xr3:uid="{F0D843FC-7A93-4C9A-BCCF-E789F7811B3B}" name="Threes" dataDxfId="303">
      <calculatedColumnFormula>'3107'!U3+'0108'!U3+'0208'!U3+'0308'!U3</calculatedColumnFormula>
    </tableColumn>
    <tableColumn id="6" xr3:uid="{F0498F8A-F646-4C1F-A3CF-E89E73750FC1}" name="Avg P" dataDxfId="302">
      <calculatedColumnFormula>AL49/($AL$47-Table21124[[#This Row],[Missed Games]])</calculatedColumnFormula>
    </tableColumn>
    <tableColumn id="7" xr3:uid="{A387BC88-F45C-4386-8503-EFEA33BDAC38}" name="Avg F" dataDxfId="301">
      <calculatedColumnFormula>AM49/($AL$47-Table21124[[#This Row],[Missed Games]])</calculatedColumnFormula>
    </tableColumn>
    <tableColumn id="8" xr3:uid="{BEA82919-0828-4351-A01A-D72E13E63FAB}" name="Avg M" dataDxfId="300">
      <calculatedColumnFormula>AN49/($AL$47-Table21124[[#This Row],[Missed Games]])</calculatedColumnFormula>
    </tableColumn>
    <tableColumn id="9" xr3:uid="{ABEBCE01-BCA4-4342-966C-27301889B607}" name="Avg T" dataDxfId="299">
      <calculatedColumnFormula>AO49/($AL$47-Table21124[[#This Row],[Missed Games]])</calculatedColumnFormula>
    </tableColumn>
    <tableColumn id="10" xr3:uid="{65E7A8E7-4C51-42E4-AB0F-B7FF6099D70A}" name="Missed Games" dataDxfId="298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297" dataDxfId="296">
  <autoFilter ref="AK68:AT85" xr:uid="{18C7D514-96DE-4BA6-B019-3E860ED143EC}"/>
  <tableColumns count="10">
    <tableColumn id="1" xr3:uid="{D144EF14-69FD-4E71-90C7-56F49F45FAE5}" name="Scoring" dataDxfId="295"/>
    <tableColumn id="2" xr3:uid="{34D1D392-F3E0-4C36-9EED-849D5B1149E6}" name="Points" dataDxfId="294">
      <calculatedColumnFormula>'1408'!R3+'1508'!R3+'1708'!R3</calculatedColumnFormula>
    </tableColumn>
    <tableColumn id="3" xr3:uid="{E91D98A2-80BD-4E5C-9036-2FCC8185369F}" name="Finishes" dataDxfId="293">
      <calculatedColumnFormula>'1408'!S3+'1508'!S3+'1708'!S3</calculatedColumnFormula>
    </tableColumn>
    <tableColumn id="4" xr3:uid="{D2E5029E-4811-4E9B-9A2D-5F5F8F322B0D}" name="Midranges" dataDxfId="292">
      <calculatedColumnFormula>'1408'!T3+'1508'!T3+'1708'!T3</calculatedColumnFormula>
    </tableColumn>
    <tableColumn id="5" xr3:uid="{B3E76CEE-33DA-4B18-8DCE-8EBC7EE592D7}" name="Threes" dataDxfId="291">
      <calculatedColumnFormula>'1408'!U3+'1508'!U3+'1708'!U3</calculatedColumnFormula>
    </tableColumn>
    <tableColumn id="6" xr3:uid="{6ABE1879-8018-4498-A9A1-22CF831F0364}" name="Avg P" dataDxfId="290">
      <calculatedColumnFormula>Table21125[[#This Row],[Points]]/($AL$67-Table21125[[#This Row],[Missed Games]])</calculatedColumnFormula>
    </tableColumn>
    <tableColumn id="7" xr3:uid="{8DA4DD79-8A2A-49E4-996F-C1ACCED3C565}" name="Avg F" dataDxfId="289">
      <calculatedColumnFormula>Table21125[[#This Row],[Finishes]]/($AL$67-Table21125[[#This Row],[Missed Games]])</calculatedColumnFormula>
    </tableColumn>
    <tableColumn id="8" xr3:uid="{256EA4BC-BA61-49E2-969F-0786AA9AA6EA}" name="Avg M" dataDxfId="288">
      <calculatedColumnFormula>Table21125[[#This Row],[Midranges]]/($AL$67-Table21125[[#This Row],[Missed Games]])</calculatedColumnFormula>
    </tableColumn>
    <tableColumn id="9" xr3:uid="{0E5566B2-99EC-4B03-A074-8705C4EDA484}" name="Avg T" dataDxfId="287">
      <calculatedColumnFormula>Table21125[[#This Row],[Threes]]/($AL$67-Table21125[[#This Row],[Missed Games]])</calculatedColumnFormula>
    </tableColumn>
    <tableColumn id="10" xr3:uid="{3E2357F0-493E-401D-AC75-9AAB260F684E}" name="Missed Games" dataDxfId="286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85" dataDxfId="284">
  <autoFilter ref="Z68:AI85" xr:uid="{F118BED8-7AAF-4E55-A61F-C75C69A64AAE}"/>
  <tableColumns count="10">
    <tableColumn id="1" xr3:uid="{7723929D-65B3-40BB-8FDD-C4533243706C}" name="Scoring" dataDxfId="283"/>
    <tableColumn id="2" xr3:uid="{EC28DE3D-619E-4930-A3AF-7AD1BE1D4843}" name="Points" dataDxfId="282">
      <calculatedColumnFormula>'0808'!R3+'0908'!R3+'1008'!R3</calculatedColumnFormula>
    </tableColumn>
    <tableColumn id="3" xr3:uid="{9537269D-8C1D-42B5-866F-D03CE61A8512}" name="Finishes" dataDxfId="281">
      <calculatedColumnFormula>'0808'!S3+'0908'!S3+'1008'!S3</calculatedColumnFormula>
    </tableColumn>
    <tableColumn id="4" xr3:uid="{AC590DDB-BE19-4A14-8B98-1E5E2430AA45}" name="Midranges" dataDxfId="280">
      <calculatedColumnFormula>'0808'!T3+'0908'!T3+'1008'!T3</calculatedColumnFormula>
    </tableColumn>
    <tableColumn id="5" xr3:uid="{C96D3ACD-F34D-477E-86DE-4650EE56BC94}" name="Threes" dataDxfId="279">
      <calculatedColumnFormula>'0808'!U3+'0908'!U3+'1008'!U3</calculatedColumnFormula>
    </tableColumn>
    <tableColumn id="6" xr3:uid="{A43DE5E9-BB01-49FA-A204-66EE7BAA2E9F}" name="Avg P" dataDxfId="278">
      <calculatedColumnFormula>Table21126[[#This Row],[Points]]/($AA$67-Table21126[[#This Row],[Missed Games]])</calculatedColumnFormula>
    </tableColumn>
    <tableColumn id="7" xr3:uid="{C75A19FF-6041-45C2-BACB-E347F06B6329}" name="Avg F" dataDxfId="277">
      <calculatedColumnFormula>Table21126[[#This Row],[Finishes]]/($AA$67-Table21126[[#This Row],[Missed Games]])</calculatedColumnFormula>
    </tableColumn>
    <tableColumn id="8" xr3:uid="{00D3FCFC-C9C5-4C96-BE0E-8E1FDC95D07C}" name="Avg M" dataDxfId="276">
      <calculatedColumnFormula>Table21126[[#This Row],[Midranges]]/($AA$67-Table21126[[#This Row],[Missed Games]])</calculatedColumnFormula>
    </tableColumn>
    <tableColumn id="9" xr3:uid="{0448FF4E-9D2D-47F6-89B7-F17D36B05E8A}" name="Avg T" dataDxfId="275">
      <calculatedColumnFormula>Table21126[[#This Row],[Threes]]/($AA$67-Table21126[[#This Row],[Missed Games]])</calculatedColumnFormula>
    </tableColumn>
    <tableColumn id="10" xr3:uid="{D5BDFA2D-095B-44F8-8567-15B3B1520E5A}" name="Missed Games" dataDxfId="274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73" dataDxfId="272">
  <autoFilter ref="Z88:AI105" xr:uid="{BDD2E472-3925-41A7-BECD-3315E6E71ECC}"/>
  <tableColumns count="10">
    <tableColumn id="1" xr3:uid="{9DBD966D-620C-4B97-A502-29D00ABE150B}" name="Scoring" dataDxfId="271"/>
    <tableColumn id="2" xr3:uid="{F8F81F0E-16B3-4472-9D90-A92149C763E4}" name="Points" dataDxfId="270">
      <calculatedColumnFormula>Template!R63</calculatedColumnFormula>
    </tableColumn>
    <tableColumn id="3" xr3:uid="{09859CE1-290D-4977-B02C-46F4E5A6FDC2}" name="Finishes" dataDxfId="269">
      <calculatedColumnFormula>Template!S63</calculatedColumnFormula>
    </tableColumn>
    <tableColumn id="4" xr3:uid="{7D751A0E-2895-46DF-B5E2-5A8AA5531CD2}" name="Midranges" dataDxfId="268">
      <calculatedColumnFormula>Template!T63</calculatedColumnFormula>
    </tableColumn>
    <tableColumn id="5" xr3:uid="{591CDC71-B0EA-413B-B6C1-77884E7E50D4}" name="Threes" dataDxfId="267">
      <calculatedColumnFormula>Template!U63</calculatedColumnFormula>
    </tableColumn>
    <tableColumn id="6" xr3:uid="{52ED768C-5557-42DC-9824-7A4D9B547153}" name="Avg P" dataDxfId="266">
      <calculatedColumnFormula>AA89/$AA$27</calculatedColumnFormula>
    </tableColumn>
    <tableColumn id="7" xr3:uid="{FC79BE87-72E2-4F5E-83D6-CDCE645EB943}" name="Avg F" dataDxfId="265">
      <calculatedColumnFormula>AB89/$AA$27</calculatedColumnFormula>
    </tableColumn>
    <tableColumn id="8" xr3:uid="{BA012C22-0D65-4C11-98A7-4F958703D04B}" name="Avg M" dataDxfId="264">
      <calculatedColumnFormula>AC89/$AA$27</calculatedColumnFormula>
    </tableColumn>
    <tableColumn id="9" xr3:uid="{63344F2B-5D94-417D-85E2-C2BFBACE3E7E}" name="Avg T" dataDxfId="263">
      <calculatedColumnFormula>AD89/$AA$27</calculatedColumnFormula>
    </tableColumn>
    <tableColumn id="10" xr3:uid="{1AD5A604-8909-45B3-8E43-11D407451CEA}" name="Missed Games" dataDxfId="262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61" dataDxfId="260">
  <autoFilter ref="AK88:AT105" xr:uid="{F9183685-60DE-4163-AA62-BE4F563EE570}"/>
  <tableColumns count="10">
    <tableColumn id="1" xr3:uid="{E62FBAA0-D6F6-4997-96C9-B6B13FAA9B6E}" name="Scoring" dataDxfId="259"/>
    <tableColumn id="2" xr3:uid="{0A655F6F-9A21-4167-85B6-B9F7DC2070CA}" name="Points" dataDxfId="258">
      <calculatedColumnFormula>Template!AC63</calculatedColumnFormula>
    </tableColumn>
    <tableColumn id="3" xr3:uid="{460771D3-3BD8-4DA3-AF1B-1A0F98EF1499}" name="Finishes" dataDxfId="257">
      <calculatedColumnFormula>Template!AD63</calculatedColumnFormula>
    </tableColumn>
    <tableColumn id="4" xr3:uid="{3C08B2D7-823D-49C3-A627-A5848E664B2F}" name="Midranges" dataDxfId="256">
      <calculatedColumnFormula>Template!AE63</calculatedColumnFormula>
    </tableColumn>
    <tableColumn id="5" xr3:uid="{E88F45FB-4C46-4674-86D5-74808E7E5368}" name="Threes" dataDxfId="255">
      <calculatedColumnFormula>Template!AF63</calculatedColumnFormula>
    </tableColumn>
    <tableColumn id="6" xr3:uid="{0C0E8016-1E6E-4F25-9675-4EE061FFD0F7}" name="Avg P" dataDxfId="254">
      <calculatedColumnFormula>AL89/$AA$27</calculatedColumnFormula>
    </tableColumn>
    <tableColumn id="7" xr3:uid="{F7AC350B-AE4B-4912-B21D-16D99E2AE8BF}" name="Avg F" dataDxfId="253">
      <calculatedColumnFormula>AM89/$AA$27</calculatedColumnFormula>
    </tableColumn>
    <tableColumn id="8" xr3:uid="{F451E5CA-B9C4-4EFA-A647-CEDB2FB39550}" name="Avg M" dataDxfId="252">
      <calculatedColumnFormula>AN89/$AA$27</calculatedColumnFormula>
    </tableColumn>
    <tableColumn id="9" xr3:uid="{ED1D92B5-05F1-40CE-A89F-E6627FAB4A59}" name="Avg T" dataDxfId="251">
      <calculatedColumnFormula>AO89/$AA$27</calculatedColumnFormula>
    </tableColumn>
    <tableColumn id="10" xr3:uid="{48A4808A-3DE6-4644-83F5-C2AEDDFC3E5E}" name="Missed Games" dataDxfId="250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zoomScale="40" zoomScaleNormal="40" workbookViewId="0">
      <selection activeCell="B27" sqref="B27:B3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0.17647058823529413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0.17647058823529413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">
        <v>196</v>
      </c>
      <c r="V3" s="1" t="str">
        <f>IF(C3="5 Musketeers", $Y$3, IF(C3="Loose Gooses", $Y$4, IF(C3="Wet Willies", $Y$5, $Y$6)))</f>
        <v>../Images/LG_Final.png</v>
      </c>
      <c r="W3" s="1" t="str">
        <f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0.8</v>
      </c>
      <c r="E4" s="11">
        <f>'Stats Global'!AA9</f>
        <v>12</v>
      </c>
      <c r="F4" s="7">
        <f>'Stats Global'!AD9</f>
        <v>0.8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2</v>
      </c>
      <c r="U4" s="11" t="s">
        <v>196</v>
      </c>
      <c r="V4" s="11" t="str">
        <f>IF(C4="5 Musketeers", $Y$3, IF(C4="Loose Gooses", $Y$4, IF(C4="Wet Willies", $Y$5, $Y$6)))</f>
        <v>../Images/LG_Final.png</v>
      </c>
      <c r="W4" s="1" t="str">
        <f>Y$8&amp;Y11&amp;".png"</f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3.3333333333333335</v>
      </c>
      <c r="E5" s="11">
        <f>'Stats Global'!AA10</f>
        <v>30</v>
      </c>
      <c r="F5" s="7">
        <f>'Stats Global'!AD10</f>
        <v>3.1111111111111112</v>
      </c>
      <c r="G5" s="11">
        <f>'Stats Global'!AC10</f>
        <v>28</v>
      </c>
      <c r="H5" s="7">
        <f>'Stats Global'!AF10</f>
        <v>0</v>
      </c>
      <c r="I5" s="11">
        <f>'Stats Global'!AE10</f>
        <v>0</v>
      </c>
      <c r="J5" s="7">
        <f>'Stats Global'!AH10</f>
        <v>0.1111111111111111</v>
      </c>
      <c r="K5" s="11">
        <f>'Stats Global'!AG10</f>
        <v>1</v>
      </c>
      <c r="L5" s="18">
        <f>'Stats Global'!AJ10</f>
        <v>8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>IF(C5="5 Musketeers", $Y$3, IF(C5="Loose Gooses", $Y$4, IF(C5="Wet Willies", $Y$5, $Y$6)))</f>
        <v>../Images/5M_Final.png</v>
      </c>
      <c r="W5" s="1" t="str">
        <f>Y$8&amp;Y12&amp;".png"</f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1.3333333333333333</v>
      </c>
      <c r="E6" s="11">
        <f>'Stats Global'!AA11</f>
        <v>16</v>
      </c>
      <c r="F6" s="7">
        <f>'Stats Global'!AD11</f>
        <v>1.3333333333333333</v>
      </c>
      <c r="G6" s="11">
        <f>'Stats Global'!AC11</f>
        <v>16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5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>IF(C6="5 Musketeers", $Y$3, IF(C6="Loose Gooses", $Y$4, IF(C6="Wet Willies", $Y$5, $Y$6)))</f>
        <v>../Images/WW_Final.png</v>
      </c>
      <c r="W6" s="1" t="str">
        <f>Y$8&amp;Y13&amp;".png"</f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1.2666666666666666</v>
      </c>
      <c r="E7" s="11">
        <f>'Stats Global'!AA12</f>
        <v>19</v>
      </c>
      <c r="F7" s="7">
        <f>'Stats Global'!AD12</f>
        <v>0.53333333333333333</v>
      </c>
      <c r="G7" s="11">
        <f>'Stats Global'!AC12</f>
        <v>8</v>
      </c>
      <c r="H7" s="7">
        <f>'Stats Global'!AF12</f>
        <v>0.46666666666666667</v>
      </c>
      <c r="I7" s="11">
        <f>'Stats Global'!AE12</f>
        <v>7</v>
      </c>
      <c r="J7" s="7">
        <f>'Stats Global'!AH12</f>
        <v>0.13333333333333333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>IF(C7="5 Musketeers", $Y$3, IF(C7="Loose Gooses", $Y$4, IF(C7="Wet Willies", $Y$5, $Y$6)))</f>
        <v>../Images/WW_Final.png</v>
      </c>
      <c r="W7" s="1" t="str">
        <f>Y$8&amp;Y14&amp;".png"</f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0.9285714285714286</v>
      </c>
      <c r="E8" s="11">
        <f>'Stats Global'!AA13</f>
        <v>13</v>
      </c>
      <c r="F8" s="7">
        <f>'Stats Global'!AD13</f>
        <v>0.7142857142857143</v>
      </c>
      <c r="G8" s="11">
        <f>'Stats Global'!AC13</f>
        <v>10</v>
      </c>
      <c r="H8" s="7">
        <f>'Stats Global'!AF13</f>
        <v>0.21428571428571427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>IF(C8="5 Musketeers", $Y$3, IF(C8="Loose Gooses", $Y$4, IF(C8="Wet Willies", $Y$5, $Y$6)))</f>
        <v>../Images/5M_Final.png</v>
      </c>
      <c r="W8" s="1" t="str">
        <f>Y$8&amp;Y15&amp;".png"</f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0.6470588235294118</v>
      </c>
      <c r="E9" s="11">
        <f>'Stats Global'!AA14</f>
        <v>11</v>
      </c>
      <c r="F9" s="7">
        <f>'Stats Global'!AD14</f>
        <v>0.35294117647058826</v>
      </c>
      <c r="G9" s="11">
        <f>'Stats Global'!AC14</f>
        <v>6</v>
      </c>
      <c r="H9" s="7">
        <f>'Stats Global'!AF14</f>
        <v>0.17647058823529413</v>
      </c>
      <c r="I9" s="11">
        <f>'Stats Global'!AE14</f>
        <v>3</v>
      </c>
      <c r="J9" s="7">
        <f>'Stats Global'!AH14</f>
        <v>5.8823529411764705E-2</v>
      </c>
      <c r="K9" s="11">
        <f>'Stats Global'!AG14</f>
        <v>1</v>
      </c>
      <c r="L9" s="18">
        <f>'Stats Global'!AJ14</f>
        <v>0</v>
      </c>
      <c r="M9" s="16" t="s">
        <v>212</v>
      </c>
      <c r="N9" s="16" t="s">
        <v>158</v>
      </c>
      <c r="U9" s="106" t="s">
        <v>199</v>
      </c>
      <c r="V9" s="11" t="str">
        <f>IF(C9="5 Musketeers", $Y$3, IF(C9="Loose Gooses", $Y$4, IF(C9="Wet Willies", $Y$5, $Y$6)))</f>
        <v>../Images/5M_Final.png</v>
      </c>
      <c r="W9" s="11" t="str">
        <f>Y$8&amp;Y16&amp;".png"</f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1.5454545454545454</v>
      </c>
      <c r="E10" s="11">
        <f>'Stats Global'!AA15</f>
        <v>17</v>
      </c>
      <c r="F10" s="7">
        <f>'Stats Global'!AD15</f>
        <v>9.0909090909090912E-2</v>
      </c>
      <c r="G10" s="11">
        <f>'Stats Global'!AC15</f>
        <v>1</v>
      </c>
      <c r="H10" s="7">
        <f>'Stats Global'!AF15</f>
        <v>0.18181818181818182</v>
      </c>
      <c r="I10" s="11">
        <f>'Stats Global'!AE15</f>
        <v>2</v>
      </c>
      <c r="J10" s="7">
        <f>'Stats Global'!AH15</f>
        <v>0.63636363636363635</v>
      </c>
      <c r="K10" s="11">
        <f>'Stats Global'!AG15</f>
        <v>7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>IF(C10="5 Musketeers", $Y$3, IF(C10="Loose Gooses", $Y$4, IF(C10="Wet Willies", $Y$5, $Y$6)))</f>
        <v>../Images/WW_Final.png</v>
      </c>
      <c r="W10" s="1" t="str">
        <f>Y$8&amp;Y17&amp;".png"</f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1.8666666666666667</v>
      </c>
      <c r="E11" s="11">
        <f>'Stats Global'!AA16</f>
        <v>28</v>
      </c>
      <c r="F11" s="7">
        <f>'Stats Global'!AD16</f>
        <v>0.73333333333333328</v>
      </c>
      <c r="G11" s="11">
        <f>'Stats Global'!AC16</f>
        <v>11</v>
      </c>
      <c r="H11" s="7">
        <f>'Stats Global'!AF16</f>
        <v>0.73333333333333328</v>
      </c>
      <c r="I11" s="11">
        <f>'Stats Global'!AE16</f>
        <v>11</v>
      </c>
      <c r="J11" s="7">
        <f>'Stats Global'!AH16</f>
        <v>0.2</v>
      </c>
      <c r="K11" s="11">
        <f>'Stats Global'!AG16</f>
        <v>3</v>
      </c>
      <c r="L11" s="18">
        <f>'Stats Global'!AJ16</f>
        <v>2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>IF(C11="5 Musketeers", $Y$3, IF(C11="Loose Gooses", $Y$4, IF(C11="Wet Willies", $Y$5, $Y$6)))</f>
        <v>../Images/LG_Final.png</v>
      </c>
      <c r="W11" s="1" t="str">
        <f>Y$8&amp;Y18&amp;".png"</f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3.6875</v>
      </c>
      <c r="E12" s="11">
        <f>'Stats Global'!AA17</f>
        <v>59</v>
      </c>
      <c r="F12" s="7">
        <f>'Stats Global'!AD17</f>
        <v>0.9375</v>
      </c>
      <c r="G12" s="11">
        <f>'Stats Global'!AC17</f>
        <v>15</v>
      </c>
      <c r="H12" s="7">
        <f>'Stats Global'!AF17</f>
        <v>2.125</v>
      </c>
      <c r="I12" s="11">
        <f>'Stats Global'!AE17</f>
        <v>34</v>
      </c>
      <c r="J12" s="7">
        <f>'Stats Global'!AH17</f>
        <v>0.3125</v>
      </c>
      <c r="K12" s="11">
        <f>'Stats Global'!AG17</f>
        <v>5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>IF(C12="5 Musketeers", $Y$3, IF(C12="Loose Gooses", $Y$4, IF(C12="Wet Willies", $Y$5, $Y$6)))</f>
        <v>../Images/5M_Final.png</v>
      </c>
      <c r="W12" s="1" t="str">
        <f>Y$8&amp;Y19&amp;".png"</f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0.58823529411764708</v>
      </c>
      <c r="E13" s="11">
        <f>'Stats Global'!AA18</f>
        <v>10</v>
      </c>
      <c r="F13" s="7">
        <f>'Stats Global'!AD18</f>
        <v>0.11764705882352941</v>
      </c>
      <c r="G13" s="11">
        <f>'Stats Global'!AC18</f>
        <v>2</v>
      </c>
      <c r="H13" s="7">
        <f>'Stats Global'!AF18</f>
        <v>0.47058823529411764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53</v>
      </c>
      <c r="N13" s="2" t="s">
        <v>33</v>
      </c>
      <c r="O13" s="16"/>
      <c r="U13" s="107" t="s">
        <v>197</v>
      </c>
      <c r="V13" s="11" t="str">
        <f>IF(C13="5 Musketeers", $Y$3, IF(C13="Loose Gooses", $Y$4, IF(C13="Wet Willies", $Y$5, $Y$6)))</f>
        <v>../Images/WW_Final.png</v>
      </c>
      <c r="W13" s="1" t="str">
        <f>Y$8&amp;Y20&amp;".png"</f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11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>IF(C14="5 Musketeers", $Y$3, IF(C14="Loose Gooses", $Y$4, IF(C14="Wet Willies", $Y$5, $Y$6)))</f>
        <v>../Images/5M_Final.png</v>
      </c>
      <c r="W14" s="11" t="str">
        <f>Y$8&amp;Y21&amp;".png"</f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0.8571428571428571</v>
      </c>
      <c r="E15" s="11">
        <f>'Stats Global'!AA20</f>
        <v>12</v>
      </c>
      <c r="F15" s="7">
        <f>'Stats Global'!AD20</f>
        <v>0.6428571428571429</v>
      </c>
      <c r="G15" s="11">
        <f>'Stats Global'!AC20</f>
        <v>9</v>
      </c>
      <c r="H15" s="7">
        <f>'Stats Global'!AF20</f>
        <v>7.1428571428571425E-2</v>
      </c>
      <c r="I15" s="11">
        <f>'Stats Global'!AE20</f>
        <v>1</v>
      </c>
      <c r="J15" s="7">
        <f>'Stats Global'!AH20</f>
        <v>7.1428571428571425E-2</v>
      </c>
      <c r="K15" s="11">
        <f>'Stats Global'!AG20</f>
        <v>1</v>
      </c>
      <c r="L15" s="18">
        <f>'Stats Global'!AJ20</f>
        <v>3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>IF(C15="5 Musketeers", $Y$3, IF(C15="Loose Gooses", $Y$4, IF(C15="Wet Willies", $Y$5, $Y$6)))</f>
        <v>../Images/WW_Final.png</v>
      </c>
      <c r="W15" s="1" t="str">
        <f>Y$8&amp;Y22&amp;".png"</f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1.1764705882352942</v>
      </c>
      <c r="E16" s="11">
        <f>'Stats Global'!AA21</f>
        <v>20</v>
      </c>
      <c r="F16" s="7">
        <f>'Stats Global'!AD21</f>
        <v>0.76470588235294112</v>
      </c>
      <c r="G16" s="11">
        <f>'Stats Global'!AC21</f>
        <v>13</v>
      </c>
      <c r="H16" s="7">
        <f>'Stats Global'!AF21</f>
        <v>0.29411764705882354</v>
      </c>
      <c r="I16" s="11">
        <f>'Stats Global'!AE21</f>
        <v>5</v>
      </c>
      <c r="J16" s="7">
        <f>'Stats Global'!AH21</f>
        <v>5.8823529411764705E-2</v>
      </c>
      <c r="K16" s="11">
        <f>'Stats Global'!AG21</f>
        <v>1</v>
      </c>
      <c r="L16" s="18">
        <f>'Stats Global'!AJ21</f>
        <v>0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>IF(C16="5 Musketeers", $Y$3, IF(C16="Loose Gooses", $Y$4, IF(C16="Wet Willies", $Y$5, $Y$6)))</f>
        <v>../Images/LG_Final.png</v>
      </c>
      <c r="W16" s="1" t="str">
        <f>Y$8&amp;Y23&amp;".png"</f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2.75</v>
      </c>
      <c r="E17" s="11">
        <f>'Stats Global'!AA22</f>
        <v>44</v>
      </c>
      <c r="F17" s="7">
        <f>'Stats Global'!AD22</f>
        <v>1.375</v>
      </c>
      <c r="G17" s="11">
        <f>'Stats Global'!AC22</f>
        <v>22</v>
      </c>
      <c r="H17" s="7">
        <f>'Stats Global'!AF22</f>
        <v>0.5</v>
      </c>
      <c r="I17" s="11">
        <f>'Stats Global'!AE22</f>
        <v>8</v>
      </c>
      <c r="J17" s="7">
        <f>'Stats Global'!AH22</f>
        <v>0.4375</v>
      </c>
      <c r="K17" s="11">
        <f>'Stats Global'!AG22</f>
        <v>7</v>
      </c>
      <c r="L17" s="18">
        <f>'Stats Global'!AJ22</f>
        <v>1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>IF(C17="5 Musketeers", $Y$3, IF(C17="Loose Gooses", $Y$4, IF(C17="Wet Willies", $Y$5, $Y$6)))</f>
        <v>../Images/LG_Final.png</v>
      </c>
      <c r="W17" s="1" t="str">
        <f>Y$8&amp;Y24&amp;".png"</f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5.8823529411764705E-2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5.8823529411764705E-2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>IF(C18="5 Musketeers", $Y$3, IF(C18="Loose Gooses", $Y$4, IF(C18="Wet Willies", $Y$5, $Y$6)))</f>
        <v>../Images/5M_Final.png</v>
      </c>
      <c r="W18" s="1" t="str">
        <f>Y$8&amp;Y25&amp;".png"</f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0.54545454545454541</v>
      </c>
      <c r="E19" s="11">
        <f>'Stats Global'!AA24</f>
        <v>6</v>
      </c>
      <c r="F19" s="7">
        <f>'Stats Global'!AD24</f>
        <v>0.36363636363636365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9.0909090909090912E-2</v>
      </c>
      <c r="K19" s="11">
        <f>'Stats Global'!AG24</f>
        <v>1</v>
      </c>
      <c r="L19" s="18">
        <f>'Stats Global'!AJ24</f>
        <v>6</v>
      </c>
      <c r="M19" s="16" t="s">
        <v>155</v>
      </c>
      <c r="N19" s="16" t="s">
        <v>158</v>
      </c>
      <c r="U19" s="135" t="s">
        <v>238</v>
      </c>
      <c r="V19" s="11" t="str">
        <f>IF(C19="5 Musketeers", $Y$3, IF(C19="Loose Gooses", $Y$4, IF(C19="Wet Willies", $Y$5, $Y$6)))</f>
        <v>../Images/WW_Final.png</v>
      </c>
      <c r="W19" s="1" t="str">
        <f>Y$8&amp;Y26&amp;".png"</f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87" t="s">
        <v>119</v>
      </c>
      <c r="C22" s="187"/>
      <c r="D22" s="94"/>
      <c r="Y22" s="2" t="s">
        <v>70</v>
      </c>
    </row>
    <row r="23" spans="2:25" ht="14.25" customHeight="1" x14ac:dyDescent="0.9">
      <c r="B23" s="187"/>
      <c r="C23" s="187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"PPG":[0.18,0.8,3.33,1.33,1.27,0.93,0.65,1.55,1.87,3.69,0.59,0.17,0.86,1.18,2.75,0.06,0.55],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"TP":[3,12,30,16,19,13,11,17,28,59,10,1,12,20,44,1,6],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"FPG":[0,0.8,3.11,1.33,0.53,0.71,0.35,0.09,0.73,0.94,0.12,0,0.64,0.76,1.38,0,0.36],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"TF":[0,12,28,16,8,10,6,1,11,15,2,0,9,13,22,0,4],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"MPG":[0.18,0,0,0,0.47,0.21,0.18,0.18,0.73,2.13,0.47,0.17,0.07,0.29,0.5,0.06,0],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"TM":[3,0,0,0,7,3,3,2,11,34,8,1,1,5,8,1,0],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"TPG":[0,0,0.11,0,0.13,0,0.06,0.64,0.2,0.31,0,0,0.07,0.06,0.44,0,0.09],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"TT":[0,0,1,0,2,0,1,7,3,5,0,0,1,1,7,0,1],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"Missed":[0,2,8,5,2,3,0,6,2,1,0,11,3,0,1,0,6],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>CHAR(34)&amp;M2&amp;CHAR(34)</f>
        <v>"AccoladesOne"</v>
      </c>
      <c r="N49" s="17" t="str">
        <f>CHAR(34)&amp;N2&amp;CHAR(34)</f>
        <v>"AccoladesTwo"</v>
      </c>
      <c r="O49" s="17" t="str">
        <f>CHAR(34)&amp;O2&amp;CHAR(34)</f>
        <v>"AccoladesThree"</v>
      </c>
      <c r="P49" s="17" t="str">
        <f>CHAR(34)&amp;P2&amp;CHAR(34)</f>
        <v>"AccoladesFour"</v>
      </c>
      <c r="Q49" s="17" t="str">
        <f>CHAR(34)&amp;Q2&amp;CHAR(34)</f>
        <v>"AccoladesFive"</v>
      </c>
      <c r="R49" s="17" t="str">
        <f>CHAR(34)&amp;R2&amp;CHAR(34)</f>
        <v>"AccoladesSix"</v>
      </c>
      <c r="S49" s="17" t="str">
        <f>CHAR(34)&amp;S2&amp;CHAR(34)</f>
        <v>"AccoladesSeven"</v>
      </c>
      <c r="T49" s="17" t="str">
        <f>CHAR(34)&amp;T2&amp;CHAR(34)</f>
        <v>"AccoladesEight"</v>
      </c>
      <c r="U49" s="17" t="str">
        <f>CHAR(34)&amp;U2&amp;CHAR(34)</f>
        <v>"History"</v>
      </c>
      <c r="V49" s="17" t="str">
        <f>CHAR(34)&amp;V2&amp;CHAR(34)</f>
        <v>"TeamImage"</v>
      </c>
      <c r="W49" s="17" t="str">
        <f>CHAR(34)&amp;W2&amp;CHAR(34)</f>
        <v>"PlayerImage"</v>
      </c>
    </row>
    <row r="50" spans="2:23" ht="14.25" customHeight="1" x14ac:dyDescent="0.45">
      <c r="B50" s="17" t="str">
        <f t="shared" ref="B50:C65" si="0">CHAR(34)&amp;B3&amp;CHAR(34)&amp;","</f>
        <v>"Jasper Collier",</v>
      </c>
      <c r="C50" s="17" t="str">
        <f t="shared" si="0"/>
        <v>"Loose Gooses",</v>
      </c>
      <c r="D50" s="17" t="str">
        <f t="shared" ref="D50:D65" si="1">ROUND(D3,2)&amp;","</f>
        <v>0.18,</v>
      </c>
      <c r="E50" s="17" t="str">
        <f t="shared" ref="E50:E65" si="2">E3&amp;","</f>
        <v>3,</v>
      </c>
      <c r="F50" s="17" t="str">
        <f t="shared" ref="F50:F65" si="3">ROUND(F3,2)&amp;","</f>
        <v>0,</v>
      </c>
      <c r="G50" s="17" t="str">
        <f t="shared" ref="G50:G65" si="4">G3&amp;","</f>
        <v>0,</v>
      </c>
      <c r="H50" s="17" t="str">
        <f t="shared" ref="H50:H65" si="5">ROUND(H3,2)&amp;","</f>
        <v>0.18,</v>
      </c>
      <c r="I50" s="17" t="str">
        <f t="shared" ref="I50:I65" si="6">I3&amp;","</f>
        <v>3,</v>
      </c>
      <c r="J50" s="17" t="str">
        <f t="shared" ref="J50:J65" si="7">ROUND(J3,2)&amp;","</f>
        <v>0,</v>
      </c>
      <c r="K50" s="17" t="str">
        <f t="shared" ref="K50:L65" si="8">K3&amp;","</f>
        <v>0,</v>
      </c>
      <c r="L50" s="17" t="str">
        <f t="shared" si="8"/>
        <v>0,</v>
      </c>
      <c r="M50" s="17" t="str">
        <f>CHAR(34)&amp;M3&amp;CHAR(34)&amp;","</f>
        <v>"",</v>
      </c>
      <c r="N50" s="17" t="str">
        <f>CHAR(34)&amp;N3&amp;CHAR(34)&amp;","</f>
        <v>"",</v>
      </c>
      <c r="O50" s="17" t="str">
        <f>CHAR(34)&amp;O3&amp;CHAR(34)&amp;","</f>
        <v>"",</v>
      </c>
      <c r="P50" s="17" t="str">
        <f>CHAR(34)&amp;P3&amp;CHAR(34)&amp;","</f>
        <v>"",</v>
      </c>
      <c r="Q50" s="17" t="str">
        <f>CHAR(34)&amp;Q3&amp;CHAR(34)&amp;","</f>
        <v>"",</v>
      </c>
      <c r="R50" s="17" t="str">
        <f>CHAR(34)&amp;R3&amp;CHAR(34)&amp;","</f>
        <v>"",</v>
      </c>
      <c r="S50" s="17" t="str">
        <f>CHAR(34)&amp;S3&amp;CHAR(34)&amp;","</f>
        <v>"",</v>
      </c>
      <c r="T50" s="17" t="str">
        <f>CHAR(34)&amp;T3&amp;CHAR(34)&amp;","</f>
        <v>"",</v>
      </c>
      <c r="U50" s="17" t="str">
        <f>CHAR(34)&amp;U3&amp;CHAR(34)&amp;","</f>
        <v>"Drafted by Loose Gooses",</v>
      </c>
      <c r="V50" s="17" t="str">
        <f>CHAR(34)&amp;V3&amp;CHAR(34)&amp;","</f>
        <v>"../Images/LG_Final.png",</v>
      </c>
      <c r="W50" s="17" t="str">
        <f>CHAR(34)&amp;W3&amp;CHAR(34)&amp;","</f>
        <v>"../Images/Players/Jasper.png",</v>
      </c>
    </row>
    <row r="51" spans="2:23" ht="14.25" customHeight="1" x14ac:dyDescent="0.45">
      <c r="B51" s="17" t="str">
        <f t="shared" si="0"/>
        <v>"Conor Farrington",</v>
      </c>
      <c r="C51" s="17" t="str">
        <f t="shared" si="0"/>
        <v>"Loose Gooses",</v>
      </c>
      <c r="D51" s="17" t="str">
        <f t="shared" si="1"/>
        <v>0.8,</v>
      </c>
      <c r="E51" s="17" t="str">
        <f t="shared" si="2"/>
        <v>12,</v>
      </c>
      <c r="F51" s="17" t="str">
        <f t="shared" si="3"/>
        <v>0.8,</v>
      </c>
      <c r="G51" s="17" t="str">
        <f t="shared" si="4"/>
        <v>12,</v>
      </c>
      <c r="H51" s="17" t="str">
        <f t="shared" si="5"/>
        <v>0,</v>
      </c>
      <c r="I51" s="17" t="str">
        <f t="shared" si="6"/>
        <v>0,</v>
      </c>
      <c r="J51" s="17" t="str">
        <f t="shared" si="7"/>
        <v>0,</v>
      </c>
      <c r="K51" s="17" t="str">
        <f t="shared" si="8"/>
        <v>0,</v>
      </c>
      <c r="L51" s="17" t="str">
        <f t="shared" si="8"/>
        <v>2,</v>
      </c>
      <c r="M51" s="17" t="str">
        <f>CHAR(34)&amp;M4&amp;CHAR(34)&amp;","</f>
        <v>"",</v>
      </c>
      <c r="N51" s="17" t="str">
        <f>CHAR(34)&amp;N4&amp;CHAR(34)&amp;","</f>
        <v>"",</v>
      </c>
      <c r="O51" s="17" t="str">
        <f>CHAR(34)&amp;O4&amp;CHAR(34)&amp;","</f>
        <v>"",</v>
      </c>
      <c r="P51" s="17" t="str">
        <f>CHAR(34)&amp;P4&amp;CHAR(34)&amp;","</f>
        <v>"",</v>
      </c>
      <c r="Q51" s="17" t="str">
        <f>CHAR(34)&amp;Q4&amp;CHAR(34)&amp;","</f>
        <v>"",</v>
      </c>
      <c r="R51" s="17" t="str">
        <f>CHAR(34)&amp;R4&amp;CHAR(34)&amp;","</f>
        <v>"",</v>
      </c>
      <c r="S51" s="17" t="str">
        <f>CHAR(34)&amp;S4&amp;CHAR(34)&amp;","</f>
        <v>"",</v>
      </c>
      <c r="T51" s="17" t="str">
        <f>CHAR(34)&amp;T4&amp;CHAR(34)&amp;","</f>
        <v>"",</v>
      </c>
      <c r="U51" s="17" t="str">
        <f>CHAR(34)&amp;U4&amp;CHAR(34)&amp;","</f>
        <v>"Drafted by Loose Gooses",</v>
      </c>
      <c r="V51" s="17" t="str">
        <f>CHAR(34)&amp;V4&amp;CHAR(34)&amp;","</f>
        <v>"../Images/LG_Final.png",</v>
      </c>
      <c r="W51" s="17" t="str">
        <f>CHAR(34)&amp;W4&amp;CHAR(34)&amp;","</f>
        <v>"../Images/Players/Conor.png",</v>
      </c>
    </row>
    <row r="52" spans="2:23" ht="14.25" customHeight="1" x14ac:dyDescent="0.45">
      <c r="B52" s="17" t="str">
        <f t="shared" si="0"/>
        <v>"Alexander Galt",</v>
      </c>
      <c r="C52" s="17" t="str">
        <f t="shared" si="0"/>
        <v>"5 Musketeers",</v>
      </c>
      <c r="D52" s="17" t="str">
        <f t="shared" si="1"/>
        <v>3.33,</v>
      </c>
      <c r="E52" s="17" t="str">
        <f t="shared" si="2"/>
        <v>30,</v>
      </c>
      <c r="F52" s="17" t="str">
        <f t="shared" si="3"/>
        <v>3.11,</v>
      </c>
      <c r="G52" s="17" t="str">
        <f t="shared" si="4"/>
        <v>28,</v>
      </c>
      <c r="H52" s="17" t="str">
        <f t="shared" si="5"/>
        <v>0,</v>
      </c>
      <c r="I52" s="17" t="str">
        <f t="shared" si="6"/>
        <v>0,</v>
      </c>
      <c r="J52" s="17" t="str">
        <f t="shared" si="7"/>
        <v>0.11,</v>
      </c>
      <c r="K52" s="17" t="str">
        <f t="shared" si="8"/>
        <v>1,</v>
      </c>
      <c r="L52" s="17" t="str">
        <f t="shared" si="8"/>
        <v>8,</v>
      </c>
      <c r="M52" s="17" t="str">
        <f>CHAR(34)&amp;M5&amp;CHAR(34)&amp;","</f>
        <v>"All-Defence Team T1",</v>
      </c>
      <c r="N52" s="17" t="str">
        <f>CHAR(34)&amp;N5&amp;CHAR(34)&amp;","</f>
        <v>"Champion T1",</v>
      </c>
      <c r="O52" s="17" t="str">
        <f>CHAR(34)&amp;O5&amp;CHAR(34)&amp;","</f>
        <v>"All-Offence Team T2",</v>
      </c>
      <c r="P52" s="17" t="str">
        <f>CHAR(34)&amp;P5&amp;CHAR(34)&amp;","</f>
        <v>"All-Defence Team T2",</v>
      </c>
      <c r="Q52" s="17" t="str">
        <f>CHAR(34)&amp;Q5&amp;CHAR(34)&amp;","</f>
        <v>"",</v>
      </c>
      <c r="R52" s="17" t="str">
        <f>CHAR(34)&amp;R5&amp;CHAR(34)&amp;","</f>
        <v>"",</v>
      </c>
      <c r="S52" s="17" t="str">
        <f>CHAR(34)&amp;S5&amp;CHAR(34)&amp;","</f>
        <v>"",</v>
      </c>
      <c r="T52" s="17" t="str">
        <f>CHAR(34)&amp;T5&amp;CHAR(34)&amp;","</f>
        <v>"",</v>
      </c>
      <c r="U52" s="17" t="str">
        <f>CHAR(34)&amp;U5&amp;CHAR(34)&amp;","</f>
        <v>"Retained by 5 Musketeers",</v>
      </c>
      <c r="V52" s="17" t="str">
        <f>CHAR(34)&amp;V5&amp;CHAR(34)&amp;","</f>
        <v>"../Images/5M_Final.png",</v>
      </c>
      <c r="W52" s="17" t="str">
        <f>CHAR(34)&amp;W5&amp;CHAR(34)&amp;","</f>
        <v>"../Images/Players/Alex.png",</v>
      </c>
    </row>
    <row r="53" spans="2:23" ht="14.25" customHeight="1" x14ac:dyDescent="0.45">
      <c r="B53" s="17" t="str">
        <f t="shared" si="0"/>
        <v>"Rudy Hoschke",</v>
      </c>
      <c r="C53" s="17" t="str">
        <f t="shared" si="0"/>
        <v>"Wet Willies",</v>
      </c>
      <c r="D53" s="17" t="str">
        <f t="shared" si="1"/>
        <v>1.33,</v>
      </c>
      <c r="E53" s="17" t="str">
        <f t="shared" si="2"/>
        <v>16,</v>
      </c>
      <c r="F53" s="17" t="str">
        <f t="shared" si="3"/>
        <v>1.33,</v>
      </c>
      <c r="G53" s="17" t="str">
        <f t="shared" si="4"/>
        <v>16,</v>
      </c>
      <c r="H53" s="17" t="str">
        <f t="shared" si="5"/>
        <v>0,</v>
      </c>
      <c r="I53" s="17" t="str">
        <f t="shared" si="6"/>
        <v>0,</v>
      </c>
      <c r="J53" s="17" t="str">
        <f t="shared" si="7"/>
        <v>0,</v>
      </c>
      <c r="K53" s="17" t="str">
        <f t="shared" si="8"/>
        <v>0,</v>
      </c>
      <c r="L53" s="17" t="str">
        <f t="shared" si="8"/>
        <v>5,</v>
      </c>
      <c r="M53" s="17" t="str">
        <f>CHAR(34)&amp;M6&amp;CHAR(34)&amp;","</f>
        <v>"All-Offence Team T1",</v>
      </c>
      <c r="N53" s="17" t="str">
        <f>CHAR(34)&amp;N6&amp;CHAR(34)&amp;","</f>
        <v>"All-Defence Team T1",</v>
      </c>
      <c r="O53" s="17" t="str">
        <f>CHAR(34)&amp;O6&amp;CHAR(34)&amp;","</f>
        <v>"Champion T1",</v>
      </c>
      <c r="P53" s="17" t="str">
        <f>CHAR(34)&amp;P6&amp;CHAR(34)&amp;","</f>
        <v>"All-Offence Team T2",</v>
      </c>
      <c r="Q53" s="17" t="str">
        <f>CHAR(34)&amp;Q6&amp;CHAR(34)&amp;","</f>
        <v>"All-Defence Team T2",</v>
      </c>
      <c r="R53" s="17" t="str">
        <f>CHAR(34)&amp;R6&amp;CHAR(34)&amp;","</f>
        <v>"Scoring Champ T2",</v>
      </c>
      <c r="S53" s="17" t="str">
        <f>CHAR(34)&amp;S6&amp;CHAR(34)&amp;","</f>
        <v>"GM",</v>
      </c>
      <c r="T53" s="17" t="str">
        <f>CHAR(34)&amp;T6&amp;CHAR(34)&amp;","</f>
        <v>"",</v>
      </c>
      <c r="U53" s="17" t="str">
        <f>CHAR(34)&amp;U6&amp;CHAR(34)&amp;","</f>
        <v>"GM of Wet Willies",</v>
      </c>
      <c r="V53" s="17" t="str">
        <f>CHAR(34)&amp;V6&amp;CHAR(34)&amp;","</f>
        <v>"../Images/WW_Final.png",</v>
      </c>
      <c r="W53" s="17" t="str">
        <f>CHAR(34)&amp;W6&amp;CHAR(34)&amp;","</f>
        <v>"../Images/Players/Rudy.png",</v>
      </c>
    </row>
    <row r="54" spans="2:23" ht="14.25" customHeight="1" x14ac:dyDescent="0.45">
      <c r="B54" s="17" t="str">
        <f t="shared" si="0"/>
        <v>"Michael Iffland",</v>
      </c>
      <c r="C54" s="17" t="str">
        <f t="shared" si="0"/>
        <v>"Wet Willies",</v>
      </c>
      <c r="D54" s="17" t="str">
        <f t="shared" si="1"/>
        <v>1.27,</v>
      </c>
      <c r="E54" s="17" t="str">
        <f t="shared" si="2"/>
        <v>19,</v>
      </c>
      <c r="F54" s="17" t="str">
        <f t="shared" si="3"/>
        <v>0.53,</v>
      </c>
      <c r="G54" s="17" t="str">
        <f t="shared" si="4"/>
        <v>8,</v>
      </c>
      <c r="H54" s="17" t="str">
        <f t="shared" si="5"/>
        <v>0.47,</v>
      </c>
      <c r="I54" s="17" t="str">
        <f t="shared" si="6"/>
        <v>7,</v>
      </c>
      <c r="J54" s="17" t="str">
        <f t="shared" si="7"/>
        <v>0.13,</v>
      </c>
      <c r="K54" s="17" t="str">
        <f t="shared" si="8"/>
        <v>2,</v>
      </c>
      <c r="L54" s="17" t="str">
        <f t="shared" si="8"/>
        <v>2,</v>
      </c>
      <c r="M54" s="17" t="str">
        <f>CHAR(34)&amp;M7&amp;CHAR(34)&amp;","</f>
        <v>"Playmaker T1",</v>
      </c>
      <c r="N54" s="17" t="str">
        <f>CHAR(34)&amp;N7&amp;CHAR(34)&amp;","</f>
        <v>"Thirdman T1",</v>
      </c>
      <c r="O54" s="17" t="str">
        <f>CHAR(34)&amp;O7&amp;CHAR(34)&amp;","</f>
        <v>"All-Offence Team T2",</v>
      </c>
      <c r="P54" s="17" t="str">
        <f>CHAR(34)&amp;P7&amp;CHAR(34)&amp;","</f>
        <v>"All-2nd-Defence Team T2",</v>
      </c>
      <c r="Q54" s="17" t="str">
        <f>CHAR(34)&amp;Q7&amp;CHAR(34)&amp;","</f>
        <v>"",</v>
      </c>
      <c r="R54" s="17" t="str">
        <f>CHAR(34)&amp;R7&amp;CHAR(34)&amp;","</f>
        <v>"",</v>
      </c>
      <c r="S54" s="17" t="str">
        <f>CHAR(34)&amp;S7&amp;CHAR(34)&amp;","</f>
        <v>"",</v>
      </c>
      <c r="T54" s="17" t="str">
        <f>CHAR(34)&amp;T7&amp;CHAR(34)&amp;","</f>
        <v>"",</v>
      </c>
      <c r="U54" s="17" t="str">
        <f>CHAR(34)&amp;U7&amp;CHAR(34)&amp;","</f>
        <v>"Retained by Wet Willies",</v>
      </c>
      <c r="V54" s="17" t="str">
        <f>CHAR(34)&amp;V7&amp;CHAR(34)&amp;","</f>
        <v>"../Images/WW_Final.png",</v>
      </c>
      <c r="W54" s="17" t="str">
        <f>CHAR(34)&amp;W7&amp;CHAR(34)&amp;","</f>
        <v>"../Images/Players/Michael.png",</v>
      </c>
    </row>
    <row r="55" spans="2:23" ht="14.25" customHeight="1" x14ac:dyDescent="0.45">
      <c r="B55" s="17" t="str">
        <f t="shared" si="0"/>
        <v>"Lukas Johnston",</v>
      </c>
      <c r="C55" s="17" t="str">
        <f t="shared" si="0"/>
        <v>"5 Musketeers",</v>
      </c>
      <c r="D55" s="17" t="str">
        <f t="shared" si="1"/>
        <v>0.93,</v>
      </c>
      <c r="E55" s="17" t="str">
        <f t="shared" si="2"/>
        <v>13,</v>
      </c>
      <c r="F55" s="17" t="str">
        <f t="shared" si="3"/>
        <v>0.71,</v>
      </c>
      <c r="G55" s="17" t="str">
        <f t="shared" si="4"/>
        <v>10,</v>
      </c>
      <c r="H55" s="17" t="str">
        <f t="shared" si="5"/>
        <v>0.21,</v>
      </c>
      <c r="I55" s="17" t="str">
        <f t="shared" si="6"/>
        <v>3,</v>
      </c>
      <c r="J55" s="17" t="str">
        <f t="shared" si="7"/>
        <v>0,</v>
      </c>
      <c r="K55" s="17" t="str">
        <f t="shared" si="8"/>
        <v>0,</v>
      </c>
      <c r="L55" s="17" t="str">
        <f t="shared" si="8"/>
        <v>3,</v>
      </c>
      <c r="M55" s="17" t="str">
        <f>CHAR(34)&amp;M8&amp;CHAR(34)&amp;","</f>
        <v>"MVP Runner Up T1",</v>
      </c>
      <c r="N55" s="17" t="str">
        <f>CHAR(34)&amp;N8&amp;CHAR(34)&amp;","</f>
        <v>"All-Offence Team T1",</v>
      </c>
      <c r="O55" s="17" t="str">
        <f>CHAR(34)&amp;O8&amp;CHAR(34)&amp;","</f>
        <v>"All-2nd-Offence Team T2",</v>
      </c>
      <c r="P55" s="17" t="str">
        <f>CHAR(34)&amp;P8&amp;CHAR(34)&amp;","</f>
        <v>"",</v>
      </c>
      <c r="Q55" s="17" t="str">
        <f>CHAR(34)&amp;Q8&amp;CHAR(34)&amp;","</f>
        <v>"",</v>
      </c>
      <c r="R55" s="17" t="str">
        <f>CHAR(34)&amp;R8&amp;CHAR(34)&amp;","</f>
        <v>"",</v>
      </c>
      <c r="S55" s="17" t="str">
        <f>CHAR(34)&amp;S8&amp;CHAR(34)&amp;","</f>
        <v>"",</v>
      </c>
      <c r="T55" s="17" t="str">
        <f>CHAR(34)&amp;T8&amp;CHAR(34)&amp;","</f>
        <v>"",</v>
      </c>
      <c r="U55" s="17" t="str">
        <f>CHAR(34)&amp;U8&amp;CHAR(34)&amp;","</f>
        <v>"Drafted by Wet Willies. Traded to 5 Musketeers",</v>
      </c>
      <c r="V55" s="17" t="str">
        <f>CHAR(34)&amp;V8&amp;CHAR(34)&amp;","</f>
        <v>"../Images/5M_Final.png",</v>
      </c>
      <c r="W55" s="17" t="str">
        <f>CHAR(34)&amp;W8&amp;CHAR(34)&amp;","</f>
        <v>"../Images/Players/Lukas.png",</v>
      </c>
    </row>
    <row r="56" spans="2:23" ht="14.25" customHeight="1" x14ac:dyDescent="0.45">
      <c r="B56" s="17" t="str">
        <f t="shared" si="0"/>
        <v>"Sam James",</v>
      </c>
      <c r="C56" s="17" t="str">
        <f t="shared" si="0"/>
        <v>"5 Musketeers",</v>
      </c>
      <c r="D56" s="17" t="str">
        <f t="shared" si="1"/>
        <v>0.65,</v>
      </c>
      <c r="E56" s="17" t="str">
        <f t="shared" si="2"/>
        <v>11,</v>
      </c>
      <c r="F56" s="17" t="str">
        <f t="shared" si="3"/>
        <v>0.35,</v>
      </c>
      <c r="G56" s="17" t="str">
        <f t="shared" si="4"/>
        <v>6,</v>
      </c>
      <c r="H56" s="17" t="str">
        <f t="shared" si="5"/>
        <v>0.18,</v>
      </c>
      <c r="I56" s="17" t="str">
        <f t="shared" si="6"/>
        <v>3,</v>
      </c>
      <c r="J56" s="17" t="str">
        <f t="shared" si="7"/>
        <v>0.06,</v>
      </c>
      <c r="K56" s="17" t="str">
        <f t="shared" si="8"/>
        <v>1,</v>
      </c>
      <c r="L56" s="17" t="str">
        <f t="shared" si="8"/>
        <v>0,</v>
      </c>
      <c r="M56" s="17" t="str">
        <f>CHAR(34)&amp;M9&amp;CHAR(34)&amp;","</f>
        <v>"Miles Morales",</v>
      </c>
      <c r="N56" s="17" t="str">
        <f>CHAR(34)&amp;N9&amp;CHAR(34)&amp;","</f>
        <v>"Champion T2",</v>
      </c>
      <c r="O56" s="17" t="str">
        <f>CHAR(34)&amp;O9&amp;CHAR(34)&amp;","</f>
        <v>"",</v>
      </c>
      <c r="P56" s="17" t="str">
        <f>CHAR(34)&amp;P9&amp;CHAR(34)&amp;","</f>
        <v>"",</v>
      </c>
      <c r="Q56" s="17" t="str">
        <f>CHAR(34)&amp;Q9&amp;CHAR(34)&amp;","</f>
        <v>"",</v>
      </c>
      <c r="R56" s="17" t="str">
        <f>CHAR(34)&amp;R9&amp;CHAR(34)&amp;","</f>
        <v>"",</v>
      </c>
      <c r="S56" s="17" t="str">
        <f>CHAR(34)&amp;S9&amp;CHAR(34)&amp;","</f>
        <v>"",</v>
      </c>
      <c r="T56" s="17" t="str">
        <f>CHAR(34)&amp;T9&amp;CHAR(34)&amp;","</f>
        <v>"",</v>
      </c>
      <c r="U56" s="17" t="str">
        <f>CHAR(34)&amp;U9&amp;CHAR(34)&amp;","</f>
        <v>"Drafted by 5 Musketeers",</v>
      </c>
      <c r="V56" s="17" t="str">
        <f>CHAR(34)&amp;V9&amp;CHAR(34)&amp;","</f>
        <v>"../Images/5M_Final.png",</v>
      </c>
      <c r="W56" s="17" t="str">
        <f>CHAR(34)&amp;W9&amp;CHAR(34)&amp;","</f>
        <v>"../Images/Players/SamJ.png",</v>
      </c>
    </row>
    <row r="57" spans="2:23" ht="14.25" customHeight="1" x14ac:dyDescent="0.45">
      <c r="B57" s="17" t="str">
        <f t="shared" si="0"/>
        <v>"Clarrie Jones",</v>
      </c>
      <c r="C57" s="17" t="str">
        <f t="shared" si="0"/>
        <v>"Wet Willies",</v>
      </c>
      <c r="D57" s="17" t="str">
        <f t="shared" si="1"/>
        <v>1.55,</v>
      </c>
      <c r="E57" s="17" t="str">
        <f t="shared" si="2"/>
        <v>17,</v>
      </c>
      <c r="F57" s="17" t="str">
        <f t="shared" si="3"/>
        <v>0.09,</v>
      </c>
      <c r="G57" s="17" t="str">
        <f t="shared" si="4"/>
        <v>1,</v>
      </c>
      <c r="H57" s="17" t="str">
        <f t="shared" si="5"/>
        <v>0.18,</v>
      </c>
      <c r="I57" s="17" t="str">
        <f t="shared" si="6"/>
        <v>2,</v>
      </c>
      <c r="J57" s="17" t="str">
        <f t="shared" si="7"/>
        <v>0.64,</v>
      </c>
      <c r="K57" s="17" t="str">
        <f t="shared" si="8"/>
        <v>7,</v>
      </c>
      <c r="L57" s="17" t="str">
        <f t="shared" si="8"/>
        <v>6,</v>
      </c>
      <c r="M57" s="17" t="str">
        <f>CHAR(34)&amp;M10&amp;CHAR(34)&amp;","</f>
        <v>"LTBO Manager",</v>
      </c>
      <c r="N57" s="17" t="str">
        <f>CHAR(34)&amp;N10&amp;CHAR(34)&amp;","</f>
        <v>"Champion T1",</v>
      </c>
      <c r="O57" s="17" t="str">
        <f>CHAR(34)&amp;O10&amp;CHAR(34)&amp;","</f>
        <v>"Finals MVP T1",</v>
      </c>
      <c r="P57" s="17" t="str">
        <f>CHAR(34)&amp;P10&amp;CHAR(34)&amp;","</f>
        <v>"Fifthman T2",</v>
      </c>
      <c r="Q57" s="17" t="str">
        <f>CHAR(34)&amp;Q10&amp;CHAR(34)&amp;","</f>
        <v>"All-2nd-Offence Team T2",</v>
      </c>
      <c r="R57" s="17" t="str">
        <f>CHAR(34)&amp;R10&amp;CHAR(34)&amp;","</f>
        <v>"All-2nd-Defence Team T2",</v>
      </c>
      <c r="S57" s="17" t="str">
        <f>CHAR(34)&amp;S10&amp;CHAR(34)&amp;","</f>
        <v>"Champion T2",</v>
      </c>
      <c r="T57" s="17" t="str">
        <f>CHAR(34)&amp;T10&amp;CHAR(34)&amp;","</f>
        <v>"",</v>
      </c>
      <c r="U57" s="17" t="str">
        <f>CHAR(34)&amp;U10&amp;CHAR(34)&amp;","</f>
        <v>"Out due to injury. Signed by Wet Willies",</v>
      </c>
      <c r="V57" s="17" t="str">
        <f>CHAR(34)&amp;V10&amp;CHAR(34)&amp;","</f>
        <v>"../Images/WW_Final.png",</v>
      </c>
      <c r="W57" s="17" t="str">
        <f>CHAR(34)&amp;W10&amp;CHAR(34)&amp;","</f>
        <v>"../Images/Players/Clarrie.png",</v>
      </c>
    </row>
    <row r="58" spans="2:23" ht="14.25" customHeight="1" x14ac:dyDescent="0.45">
      <c r="B58" s="17" t="str">
        <f t="shared" si="0"/>
        <v>"William Kim",</v>
      </c>
      <c r="C58" s="17" t="str">
        <f t="shared" si="0"/>
        <v>"Loose Gooses",</v>
      </c>
      <c r="D58" s="17" t="str">
        <f t="shared" si="1"/>
        <v>1.87,</v>
      </c>
      <c r="E58" s="17" t="str">
        <f t="shared" si="2"/>
        <v>28,</v>
      </c>
      <c r="F58" s="17" t="str">
        <f t="shared" si="3"/>
        <v>0.73,</v>
      </c>
      <c r="G58" s="17" t="str">
        <f t="shared" si="4"/>
        <v>11,</v>
      </c>
      <c r="H58" s="17" t="str">
        <f t="shared" si="5"/>
        <v>0.73,</v>
      </c>
      <c r="I58" s="17" t="str">
        <f t="shared" si="6"/>
        <v>11,</v>
      </c>
      <c r="J58" s="17" t="str">
        <f t="shared" si="7"/>
        <v>0.2,</v>
      </c>
      <c r="K58" s="17" t="str">
        <f t="shared" si="8"/>
        <v>3,</v>
      </c>
      <c r="L58" s="17" t="str">
        <f t="shared" si="8"/>
        <v>2,</v>
      </c>
      <c r="M58" s="17" t="str">
        <f>CHAR(34)&amp;M11&amp;CHAR(34)&amp;","</f>
        <v>"MVP T1",</v>
      </c>
      <c r="N58" s="17" t="str">
        <f>CHAR(34)&amp;N11&amp;CHAR(34)&amp;","</f>
        <v>"All-Offence Team T1",</v>
      </c>
      <c r="O58" s="17" t="str">
        <f>CHAR(34)&amp;O11&amp;CHAR(34)&amp;","</f>
        <v>"All-Defence Team T1",</v>
      </c>
      <c r="P58" s="17" t="str">
        <f>CHAR(34)&amp;P11&amp;CHAR(34)&amp;","</f>
        <v>"All-2nd-Offence Team T2",</v>
      </c>
      <c r="Q58" s="17" t="str">
        <f>CHAR(34)&amp;Q11&amp;CHAR(34)&amp;","</f>
        <v>"All-Defence Team T2",</v>
      </c>
      <c r="R58" s="17" t="str">
        <f>CHAR(34)&amp;R11&amp;CHAR(34)&amp;","</f>
        <v>"Champion T2",</v>
      </c>
      <c r="S58" s="17" t="str">
        <f>CHAR(34)&amp;S11&amp;CHAR(34)&amp;","</f>
        <v>"Finals MVP T2",</v>
      </c>
      <c r="T58" s="17" t="str">
        <f>CHAR(34)&amp;T11&amp;CHAR(34)&amp;","</f>
        <v>"",</v>
      </c>
      <c r="U58" s="17" t="str">
        <f>CHAR(34)&amp;U11&amp;CHAR(34)&amp;","</f>
        <v>"Retained by Loose Gooses",</v>
      </c>
      <c r="V58" s="17" t="str">
        <f>CHAR(34)&amp;V11&amp;CHAR(34)&amp;","</f>
        <v>"../Images/LG_Final.png",</v>
      </c>
      <c r="W58" s="17" t="str">
        <f>CHAR(34)&amp;W11&amp;CHAR(34)&amp;","</f>
        <v>"../Images/Players/Kimmy.png",</v>
      </c>
    </row>
    <row r="59" spans="2:23" ht="14.25" customHeight="1" x14ac:dyDescent="0.45">
      <c r="B59" s="17" t="str">
        <f t="shared" si="0"/>
        <v>"Samuel McConaghy",</v>
      </c>
      <c r="C59" s="17" t="str">
        <f t="shared" si="0"/>
        <v>"5 Musketeers",</v>
      </c>
      <c r="D59" s="17" t="str">
        <f t="shared" si="1"/>
        <v>3.69,</v>
      </c>
      <c r="E59" s="17" t="str">
        <f t="shared" si="2"/>
        <v>59,</v>
      </c>
      <c r="F59" s="17" t="str">
        <f t="shared" si="3"/>
        <v>0.94,</v>
      </c>
      <c r="G59" s="17" t="str">
        <f t="shared" si="4"/>
        <v>15,</v>
      </c>
      <c r="H59" s="17" t="str">
        <f t="shared" si="5"/>
        <v>2.13,</v>
      </c>
      <c r="I59" s="17" t="str">
        <f t="shared" si="6"/>
        <v>34,</v>
      </c>
      <c r="J59" s="17" t="str">
        <f t="shared" si="7"/>
        <v>0.31,</v>
      </c>
      <c r="K59" s="17" t="str">
        <f t="shared" si="8"/>
        <v>5,</v>
      </c>
      <c r="L59" s="17" t="str">
        <f t="shared" si="8"/>
        <v>1,</v>
      </c>
      <c r="M59" s="17" t="str">
        <f>CHAR(34)&amp;M12&amp;CHAR(34)&amp;","</f>
        <v>"GM",</v>
      </c>
      <c r="N59" s="17" t="str">
        <f>CHAR(34)&amp;N12&amp;CHAR(34)&amp;","</f>
        <v>"All-Offence Team T1",</v>
      </c>
      <c r="O59" s="17" t="str">
        <f>CHAR(34)&amp;O12&amp;CHAR(34)&amp;","</f>
        <v>"All-Defence Team T1",</v>
      </c>
      <c r="P59" s="17" t="str">
        <f>CHAR(34)&amp;P12&amp;CHAR(34)&amp;","</f>
        <v>"All-Offence Team T2",</v>
      </c>
      <c r="Q59" s="17" t="str">
        <f>CHAR(34)&amp;Q12&amp;CHAR(34)&amp;","</f>
        <v>"All-Defence Team T2",</v>
      </c>
      <c r="R59" s="17" t="str">
        <f>CHAR(34)&amp;R12&amp;CHAR(34)&amp;","</f>
        <v>"",</v>
      </c>
      <c r="S59" s="17" t="str">
        <f>CHAR(34)&amp;S12&amp;CHAR(34)&amp;","</f>
        <v>"",</v>
      </c>
      <c r="T59" s="17" t="str">
        <f>CHAR(34)&amp;T12&amp;CHAR(34)&amp;","</f>
        <v>"",</v>
      </c>
      <c r="U59" s="17" t="str">
        <f>CHAR(34)&amp;U12&amp;CHAR(34)&amp;","</f>
        <v>"GM of 5 Musketeers",</v>
      </c>
      <c r="V59" s="17" t="str">
        <f>CHAR(34)&amp;V12&amp;CHAR(34)&amp;","</f>
        <v>"../Images/5M_Final.png",</v>
      </c>
      <c r="W59" s="17" t="str">
        <f>CHAR(34)&amp;W12&amp;CHAR(34)&amp;","</f>
        <v>"../Images/Players/SamM.png",</v>
      </c>
    </row>
    <row r="60" spans="2:23" ht="14.25" customHeight="1" x14ac:dyDescent="0.45">
      <c r="B60" s="17" t="str">
        <f t="shared" si="0"/>
        <v>"Ryan Pattemore",</v>
      </c>
      <c r="C60" s="17" t="str">
        <f t="shared" si="0"/>
        <v>"Wet Willies",</v>
      </c>
      <c r="D60" s="17" t="str">
        <f t="shared" si="1"/>
        <v>0.59,</v>
      </c>
      <c r="E60" s="17" t="str">
        <f t="shared" si="2"/>
        <v>10,</v>
      </c>
      <c r="F60" s="17" t="str">
        <f t="shared" si="3"/>
        <v>0.12,</v>
      </c>
      <c r="G60" s="17" t="str">
        <f t="shared" si="4"/>
        <v>2,</v>
      </c>
      <c r="H60" s="17" t="str">
        <f t="shared" si="5"/>
        <v>0.47,</v>
      </c>
      <c r="I60" s="17" t="str">
        <f t="shared" si="6"/>
        <v>8,</v>
      </c>
      <c r="J60" s="17" t="str">
        <f t="shared" si="7"/>
        <v>0,</v>
      </c>
      <c r="K60" s="17" t="str">
        <f t="shared" si="8"/>
        <v>0,</v>
      </c>
      <c r="L60" s="17" t="str">
        <f t="shared" si="8"/>
        <v>0,</v>
      </c>
      <c r="M60" s="17" t="str">
        <f>CHAR(34)&amp;M13&amp;CHAR(34)&amp;","</f>
        <v>"Perimeter T1",</v>
      </c>
      <c r="N60" s="17" t="str">
        <f>CHAR(34)&amp;N13&amp;CHAR(34)&amp;","</f>
        <v>"Champion T1",</v>
      </c>
      <c r="O60" s="17" t="str">
        <f>CHAR(34)&amp;O13&amp;CHAR(34)&amp;","</f>
        <v>"",</v>
      </c>
      <c r="P60" s="17" t="str">
        <f>CHAR(34)&amp;P13&amp;CHAR(34)&amp;","</f>
        <v>"",</v>
      </c>
      <c r="Q60" s="17" t="str">
        <f>CHAR(34)&amp;Q13&amp;CHAR(34)&amp;","</f>
        <v>"",</v>
      </c>
      <c r="R60" s="17" t="str">
        <f>CHAR(34)&amp;R13&amp;CHAR(34)&amp;","</f>
        <v>"",</v>
      </c>
      <c r="S60" s="17" t="str">
        <f>CHAR(34)&amp;S13&amp;CHAR(34)&amp;","</f>
        <v>"",</v>
      </c>
      <c r="T60" s="17" t="str">
        <f>CHAR(34)&amp;T13&amp;CHAR(34)&amp;","</f>
        <v>"",</v>
      </c>
      <c r="U60" s="17" t="str">
        <f>CHAR(34)&amp;U13&amp;CHAR(34)&amp;","</f>
        <v>"Drafted by Wet Willies",</v>
      </c>
      <c r="V60" s="17" t="str">
        <f>CHAR(34)&amp;V13&amp;CHAR(34)&amp;","</f>
        <v>"../Images/WW_Final.png",</v>
      </c>
      <c r="W60" s="17" t="str">
        <f>CHAR(34)&amp;W13&amp;CHAR(34)&amp;","</f>
        <v>"../Images/Players/Ryan.png",</v>
      </c>
    </row>
    <row r="61" spans="2:23" ht="14.25" customHeight="1" x14ac:dyDescent="0.45">
      <c r="B61" s="17" t="str">
        <f t="shared" si="0"/>
        <v>"William Scott",</v>
      </c>
      <c r="C61" s="17" t="str">
        <f t="shared" si="0"/>
        <v>"5 Musketeers",</v>
      </c>
      <c r="D61" s="17" t="str">
        <f t="shared" si="1"/>
        <v>0.17,</v>
      </c>
      <c r="E61" s="17" t="str">
        <f t="shared" si="2"/>
        <v>1,</v>
      </c>
      <c r="F61" s="17" t="str">
        <f t="shared" si="3"/>
        <v>0,</v>
      </c>
      <c r="G61" s="17" t="str">
        <f t="shared" si="4"/>
        <v>0,</v>
      </c>
      <c r="H61" s="17" t="str">
        <f t="shared" si="5"/>
        <v>0.17,</v>
      </c>
      <c r="I61" s="17" t="str">
        <f t="shared" si="6"/>
        <v>1,</v>
      </c>
      <c r="J61" s="17" t="str">
        <f t="shared" si="7"/>
        <v>0,</v>
      </c>
      <c r="K61" s="17" t="str">
        <f t="shared" si="8"/>
        <v>0,</v>
      </c>
      <c r="L61" s="17" t="str">
        <f t="shared" si="8"/>
        <v>11,</v>
      </c>
      <c r="M61" s="17" t="str">
        <f>CHAR(34)&amp;M14&amp;CHAR(34)&amp;","</f>
        <v>"LTBO Photographer",</v>
      </c>
      <c r="N61" s="17" t="str">
        <f>CHAR(34)&amp;N14&amp;CHAR(34)&amp;","</f>
        <v>"",</v>
      </c>
      <c r="O61" s="17" t="str">
        <f>CHAR(34)&amp;O14&amp;CHAR(34)&amp;","</f>
        <v>"",</v>
      </c>
      <c r="P61" s="17" t="str">
        <f>CHAR(34)&amp;P14&amp;CHAR(34)&amp;","</f>
        <v>"",</v>
      </c>
      <c r="Q61" s="17" t="str">
        <f>CHAR(34)&amp;Q14&amp;CHAR(34)&amp;","</f>
        <v>"",</v>
      </c>
      <c r="R61" s="17" t="str">
        <f>CHAR(34)&amp;R14&amp;CHAR(34)&amp;","</f>
        <v>"",</v>
      </c>
      <c r="S61" s="17" t="str">
        <f>CHAR(34)&amp;S14&amp;CHAR(34)&amp;","</f>
        <v>"",</v>
      </c>
      <c r="T61" s="17" t="str">
        <f>CHAR(34)&amp;T14&amp;CHAR(34)&amp;","</f>
        <v>"",</v>
      </c>
      <c r="U61" s="17" t="str">
        <f>CHAR(34)&amp;U14&amp;CHAR(34)&amp;","</f>
        <v>"Drafted by Wet Willies. Traded to 5 Musketeers",</v>
      </c>
      <c r="V61" s="17" t="str">
        <f>CHAR(34)&amp;V14&amp;CHAR(34)&amp;","</f>
        <v>"../Images/5M_Final.png",</v>
      </c>
      <c r="W61" s="17" t="str">
        <f>CHAR(34)&amp;W14&amp;CHAR(34)&amp;","</f>
        <v>"../Images/Players/Will.png",</v>
      </c>
    </row>
    <row r="62" spans="2:23" ht="14.25" customHeight="1" x14ac:dyDescent="0.45">
      <c r="B62" s="17" t="str">
        <f t="shared" si="0"/>
        <v>"Nicholas Szogi",</v>
      </c>
      <c r="C62" s="17" t="str">
        <f t="shared" si="0"/>
        <v>"Wet Willies",</v>
      </c>
      <c r="D62" s="17" t="str">
        <f t="shared" si="1"/>
        <v>0.86,</v>
      </c>
      <c r="E62" s="17" t="str">
        <f t="shared" si="2"/>
        <v>12,</v>
      </c>
      <c r="F62" s="17" t="str">
        <f t="shared" si="3"/>
        <v>0.64,</v>
      </c>
      <c r="G62" s="17" t="str">
        <f t="shared" si="4"/>
        <v>9,</v>
      </c>
      <c r="H62" s="17" t="str">
        <f t="shared" si="5"/>
        <v>0.07,</v>
      </c>
      <c r="I62" s="17" t="str">
        <f t="shared" si="6"/>
        <v>1,</v>
      </c>
      <c r="J62" s="17" t="str">
        <f t="shared" si="7"/>
        <v>0.07,</v>
      </c>
      <c r="K62" s="17" t="str">
        <f t="shared" si="8"/>
        <v>1,</v>
      </c>
      <c r="L62" s="17" t="str">
        <f t="shared" si="8"/>
        <v>3,</v>
      </c>
      <c r="M62" s="17" t="str">
        <f>CHAR(34)&amp;M15&amp;CHAR(34)&amp;","</f>
        <v>"The Biggest Bird",</v>
      </c>
      <c r="N62" s="17" t="str">
        <f>CHAR(34)&amp;N15&amp;CHAR(34)&amp;","</f>
        <v>"Champion T1",</v>
      </c>
      <c r="O62" s="17" t="str">
        <f>CHAR(34)&amp;O15&amp;CHAR(34)&amp;","</f>
        <v>"MVP Runner Up T2",</v>
      </c>
      <c r="P62" s="17" t="str">
        <f>CHAR(34)&amp;P15&amp;CHAR(34)&amp;","</f>
        <v>"X-Factor T2",</v>
      </c>
      <c r="Q62" s="17" t="str">
        <f>CHAR(34)&amp;Q15&amp;CHAR(34)&amp;","</f>
        <v>"All-2nd-Offence Team T2",</v>
      </c>
      <c r="R62" s="17" t="str">
        <f>CHAR(34)&amp;R15&amp;CHAR(34)&amp;","</f>
        <v>"All-2nd-Defence Team T2",</v>
      </c>
      <c r="S62" s="17" t="str">
        <f>CHAR(34)&amp;S15&amp;CHAR(34)&amp;","</f>
        <v>"",</v>
      </c>
      <c r="T62" s="17" t="str">
        <f>CHAR(34)&amp;T15&amp;CHAR(34)&amp;","</f>
        <v>"",</v>
      </c>
      <c r="U62" s="17" t="str">
        <f>CHAR(34)&amp;U15&amp;CHAR(34)&amp;","</f>
        <v>"Drafted by 5 Musketeers. Traded to Wet Willies",</v>
      </c>
      <c r="V62" s="17" t="str">
        <f>CHAR(34)&amp;V15&amp;CHAR(34)&amp;","</f>
        <v>"../Images/WW_Final.png",</v>
      </c>
      <c r="W62" s="17" t="str">
        <f>CHAR(34)&amp;W15&amp;CHAR(34)&amp;","</f>
        <v>"../Images/Players/Nick.png",</v>
      </c>
    </row>
    <row r="63" spans="2:23" ht="14.25" customHeight="1" x14ac:dyDescent="0.45">
      <c r="B63" s="17" t="str">
        <f t="shared" si="0"/>
        <v>"Christopher Tomkinson",</v>
      </c>
      <c r="C63" s="17" t="str">
        <f t="shared" si="0"/>
        <v>"Loose Gooses",</v>
      </c>
      <c r="D63" s="17" t="str">
        <f t="shared" si="1"/>
        <v>1.18,</v>
      </c>
      <c r="E63" s="17" t="str">
        <f t="shared" si="2"/>
        <v>20,</v>
      </c>
      <c r="F63" s="17" t="str">
        <f t="shared" si="3"/>
        <v>0.76,</v>
      </c>
      <c r="G63" s="17" t="str">
        <f t="shared" si="4"/>
        <v>13,</v>
      </c>
      <c r="H63" s="17" t="str">
        <f t="shared" si="5"/>
        <v>0.29,</v>
      </c>
      <c r="I63" s="17" t="str">
        <f t="shared" si="6"/>
        <v>5,</v>
      </c>
      <c r="J63" s="17" t="str">
        <f t="shared" si="7"/>
        <v>0.06,</v>
      </c>
      <c r="K63" s="17" t="str">
        <f t="shared" si="8"/>
        <v>1,</v>
      </c>
      <c r="L63" s="17" t="str">
        <f t="shared" si="8"/>
        <v>0,</v>
      </c>
      <c r="M63" s="17" t="str">
        <f>CHAR(34)&amp;M16&amp;CHAR(34)&amp;","</f>
        <v>"MIP T1",</v>
      </c>
      <c r="N63" s="17" t="str">
        <f>CHAR(34)&amp;N16&amp;CHAR(34)&amp;","</f>
        <v>"MIP T2",</v>
      </c>
      <c r="O63" s="17" t="str">
        <f>CHAR(34)&amp;O16&amp;CHAR(34)&amp;","</f>
        <v>"MVP T2",</v>
      </c>
      <c r="P63" s="17" t="str">
        <f>CHAR(34)&amp;P16&amp;CHAR(34)&amp;","</f>
        <v>"All-2nd-Offence Team T2",</v>
      </c>
      <c r="Q63" s="17" t="str">
        <f>CHAR(34)&amp;Q16&amp;CHAR(34)&amp;","</f>
        <v>"All-2nd-Defence Team T2",</v>
      </c>
      <c r="R63" s="17" t="str">
        <f>CHAR(34)&amp;R16&amp;CHAR(34)&amp;","</f>
        <v>"Champion T2",</v>
      </c>
      <c r="S63" s="17" t="str">
        <f>CHAR(34)&amp;S16&amp;CHAR(34)&amp;","</f>
        <v>"",</v>
      </c>
      <c r="T63" s="17" t="str">
        <f>CHAR(34)&amp;T16&amp;CHAR(34)&amp;","</f>
        <v>"",</v>
      </c>
      <c r="U63" s="17" t="str">
        <f>CHAR(34)&amp;U16&amp;CHAR(34)&amp;","</f>
        <v>"Drafted by Loose Gooses",</v>
      </c>
      <c r="V63" s="17" t="str">
        <f>CHAR(34)&amp;V16&amp;CHAR(34)&amp;","</f>
        <v>"../Images/LG_Final.png",</v>
      </c>
      <c r="W63" s="17" t="str">
        <f>CHAR(34)&amp;W16&amp;CHAR(34)&amp;","</f>
        <v>"../Images/Players/Chris.png",</v>
      </c>
    </row>
    <row r="64" spans="2:23" ht="14.25" customHeight="1" x14ac:dyDescent="0.45">
      <c r="B64" s="17" t="str">
        <f t="shared" si="0"/>
        <v>"Angus Walker",</v>
      </c>
      <c r="C64" s="17" t="str">
        <f t="shared" si="0"/>
        <v>"Loose Gooses",</v>
      </c>
      <c r="D64" s="17" t="str">
        <f t="shared" si="1"/>
        <v>2.75,</v>
      </c>
      <c r="E64" s="17" t="str">
        <f t="shared" si="2"/>
        <v>44,</v>
      </c>
      <c r="F64" s="17" t="str">
        <f t="shared" si="3"/>
        <v>1.38,</v>
      </c>
      <c r="G64" s="17" t="str">
        <f t="shared" si="4"/>
        <v>22,</v>
      </c>
      <c r="H64" s="17" t="str">
        <f t="shared" si="5"/>
        <v>0.5,</v>
      </c>
      <c r="I64" s="17" t="str">
        <f t="shared" si="6"/>
        <v>8,</v>
      </c>
      <c r="J64" s="17" t="str">
        <f t="shared" si="7"/>
        <v>0.44,</v>
      </c>
      <c r="K64" s="17" t="str">
        <f t="shared" si="8"/>
        <v>7,</v>
      </c>
      <c r="L64" s="17" t="str">
        <f t="shared" si="8"/>
        <v>1,</v>
      </c>
      <c r="M64" s="17" t="str">
        <f>CHAR(34)&amp;M17&amp;CHAR(34)&amp;","</f>
        <v>"LTBO CEO",</v>
      </c>
      <c r="N64" s="17" t="str">
        <f>CHAR(34)&amp;N17&amp;CHAR(34)&amp;","</f>
        <v>"GM",</v>
      </c>
      <c r="O64" s="17" t="str">
        <f>CHAR(34)&amp;O17&amp;CHAR(34)&amp;","</f>
        <v>"All-Offence Team T1",</v>
      </c>
      <c r="P64" s="17" t="str">
        <f>CHAR(34)&amp;P17&amp;CHAR(34)&amp;","</f>
        <v>"All-Defence Team T1",</v>
      </c>
      <c r="Q64" s="17" t="str">
        <f>CHAR(34)&amp;Q17&amp;CHAR(34)&amp;","</f>
        <v>"Scoring Champ T1",</v>
      </c>
      <c r="R64" s="17" t="str">
        <f>CHAR(34)&amp;R17&amp;CHAR(34)&amp;","</f>
        <v>"All-Offence Team T2",</v>
      </c>
      <c r="S64" s="17" t="str">
        <f>CHAR(34)&amp;S17&amp;CHAR(34)&amp;","</f>
        <v>"All-Defence Team T2",</v>
      </c>
      <c r="T64" s="17" t="str">
        <f>CHAR(34)&amp;T17&amp;CHAR(34)&amp;","</f>
        <v>"Champion T2",</v>
      </c>
      <c r="U64" s="17" t="str">
        <f>CHAR(34)&amp;U17&amp;CHAR(34)&amp;","</f>
        <v>"GM of Loose Gooses",</v>
      </c>
      <c r="V64" s="17" t="str">
        <f>CHAR(34)&amp;V17&amp;CHAR(34)&amp;","</f>
        <v>"../Images/LG_Final.png",</v>
      </c>
      <c r="W64" s="17" t="str">
        <f>CHAR(34)&amp;W17&amp;CHAR(34)&amp;","</f>
        <v>"../Images/Players/Angus.png",</v>
      </c>
    </row>
    <row r="65" spans="2:23" ht="14.25" customHeight="1" x14ac:dyDescent="0.45">
      <c r="B65" s="17" t="str">
        <f t="shared" si="0"/>
        <v>"Willie Weekes",</v>
      </c>
      <c r="C65" s="17" t="str">
        <f t="shared" si="0"/>
        <v>"5 Musketeers",</v>
      </c>
      <c r="D65" s="17" t="str">
        <f t="shared" si="1"/>
        <v>0.06,</v>
      </c>
      <c r="E65" s="17" t="str">
        <f t="shared" si="2"/>
        <v>1,</v>
      </c>
      <c r="F65" s="17" t="str">
        <f t="shared" si="3"/>
        <v>0,</v>
      </c>
      <c r="G65" s="17" t="str">
        <f t="shared" si="4"/>
        <v>0,</v>
      </c>
      <c r="H65" s="17" t="str">
        <f t="shared" si="5"/>
        <v>0.06,</v>
      </c>
      <c r="I65" s="17" t="str">
        <f t="shared" si="6"/>
        <v>1,</v>
      </c>
      <c r="J65" s="17" t="str">
        <f t="shared" si="7"/>
        <v>0,</v>
      </c>
      <c r="K65" s="17" t="str">
        <f t="shared" si="8"/>
        <v>0,</v>
      </c>
      <c r="L65" s="17" t="str">
        <f t="shared" si="8"/>
        <v>0,</v>
      </c>
      <c r="M65" s="17" t="str">
        <f>CHAR(34)&amp;M18&amp;CHAR(34)&amp;","</f>
        <v>"Teammate T1",</v>
      </c>
      <c r="N65" s="17" t="str">
        <f>CHAR(34)&amp;N18&amp;CHAR(34)&amp;","</f>
        <v>"Champion T1",</v>
      </c>
      <c r="O65" s="17" t="str">
        <f>CHAR(34)&amp;O18&amp;CHAR(34)&amp;","</f>
        <v>"Teammate T2",</v>
      </c>
      <c r="P65" s="17" t="str">
        <f>CHAR(34)&amp;P18&amp;CHAR(34)&amp;","</f>
        <v>"",</v>
      </c>
      <c r="Q65" s="17" t="str">
        <f>CHAR(34)&amp;Q18&amp;CHAR(34)&amp;","</f>
        <v>"",</v>
      </c>
      <c r="R65" s="17" t="str">
        <f>CHAR(34)&amp;R18&amp;CHAR(34)&amp;","</f>
        <v>"",</v>
      </c>
      <c r="S65" s="17" t="str">
        <f>CHAR(34)&amp;S18&amp;CHAR(34)&amp;","</f>
        <v>"",</v>
      </c>
      <c r="T65" s="17" t="str">
        <f>CHAR(34)&amp;T18&amp;CHAR(34)&amp;","</f>
        <v>"",</v>
      </c>
      <c r="U65" s="17" t="str">
        <f>CHAR(34)&amp;U18&amp;CHAR(34)&amp;","</f>
        <v>"Drafted by Wet Willies. Dropped by Wet Willies. Signed by 5 Musketeers",</v>
      </c>
      <c r="V65" s="17" t="str">
        <f>CHAR(34)&amp;V18&amp;CHAR(34)&amp;","</f>
        <v>"../Images/5M_Final.png",</v>
      </c>
      <c r="W65" s="17" t="str">
        <f>CHAR(34)&amp;W18&amp;CHAR(34)&amp;","</f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0.55000000000000004</v>
      </c>
      <c r="E66" s="17">
        <f>E19</f>
        <v>6</v>
      </c>
      <c r="F66" s="17">
        <f>ROUND(F19,2)</f>
        <v>0.36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0.09</v>
      </c>
      <c r="K66" s="17">
        <f>K19</f>
        <v>1</v>
      </c>
      <c r="L66" s="17">
        <f>L19</f>
        <v>6</v>
      </c>
      <c r="M66" s="17" t="str">
        <f>CHAR(34)&amp;M19&amp;CHAR(34)</f>
        <v>"All-2nd-Defence Team T2"</v>
      </c>
      <c r="N66" s="17" t="str">
        <f>CHAR(34)&amp;N19&amp;CHAR(34)</f>
        <v>"Champion T2"</v>
      </c>
      <c r="O66" s="17" t="str">
        <f>CHAR(34)&amp;O19&amp;CHAR(34)</f>
        <v>""</v>
      </c>
      <c r="P66" s="17" t="str">
        <f>CHAR(34)&amp;P19&amp;CHAR(34)</f>
        <v>""</v>
      </c>
      <c r="Q66" s="17" t="str">
        <f>CHAR(34)&amp;Q19&amp;CHAR(34)</f>
        <v>""</v>
      </c>
      <c r="R66" s="17" t="str">
        <f>CHAR(34)&amp;R19&amp;CHAR(34)</f>
        <v>""</v>
      </c>
      <c r="S66" s="17" t="str">
        <f>CHAR(34)&amp;S19&amp;CHAR(34)</f>
        <v>""</v>
      </c>
      <c r="T66" s="17" t="str">
        <f>CHAR(34)&amp;T19&amp;CHAR(34)</f>
        <v>""</v>
      </c>
      <c r="U66" s="17" t="str">
        <f>CHAR(34)&amp;U19&amp;CHAR(34)</f>
        <v>"Drafted by 5 Musketeers. Traded to Wet Willies"</v>
      </c>
      <c r="V66" s="17" t="str">
        <f>CHAR(34)&amp;V19&amp;CHAR(34)</f>
        <v>"../Images/WW_Final.png"</v>
      </c>
      <c r="W66" s="17" t="str">
        <f>CHAR(34)&amp;W19&amp;CHAR(34)</f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7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topLeftCell="G1" zoomScale="70" zoomScaleNormal="70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O1" zoomScale="70" zoomScaleNormal="70" workbookViewId="0">
      <selection activeCell="AA27" sqref="AA2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16.176470588235293</v>
      </c>
      <c r="T6" s="115">
        <f>AVERAGE(C8:C40)</f>
        <v>10.058823529411764</v>
      </c>
      <c r="U6" s="115">
        <f t="shared" ref="U6:V6" si="0">AVERAGE(D8:D40)</f>
        <v>4</v>
      </c>
      <c r="V6" s="115">
        <f t="shared" si="0"/>
        <v>2.1176470588235294</v>
      </c>
      <c r="Z6" s="69" t="s">
        <v>166</v>
      </c>
      <c r="AA6" s="8">
        <f>AA47+AA67+AL27+AL47+AL67+AA87+AL87</f>
        <v>17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14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0.62181818181818183</v>
      </c>
      <c r="U7" s="5">
        <f>U6/$S$6</f>
        <v>0.24727272727272728</v>
      </c>
      <c r="V7" s="5">
        <f>V6/$S$6</f>
        <v>0.13090909090909092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0.17647058823529413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0.17647058823529413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1.2781087568717329</v>
      </c>
      <c r="AN8" s="121">
        <f>MEDIAN(Table1[Average])</f>
        <v>0.9285714285714286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0.17647058823529413</v>
      </c>
      <c r="AT8" s="144">
        <f>Table1[[#This Row],[Average]]-'[1]Stats Global'!R8</f>
        <v>-0.23529411764705879</v>
      </c>
      <c r="AU8" s="27">
        <f>(Table1[[#This Row],[Average]]-'[1]Stats Global'!R8)/'[1]Stats Global'!R8</f>
        <v>-0.5714285714285714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0.21428571428571427</v>
      </c>
      <c r="BB8" s="16">
        <f>Table4[[#This Row],[Total A]]/$AX$6</f>
        <v>7.1428571428571425E-2</v>
      </c>
      <c r="BC8" s="16">
        <f>Table4[[#This Row],[Total S]]/$AX$6</f>
        <v>0.21428571428571427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12</v>
      </c>
      <c r="AB9" s="176">
        <f>IF($AA$6-Table1[[#This Row],[Missed Games]]=0, 0,Table1[[#This Row],[Points]]/($AA$6-Table1[[#This Row],[Missed Games]]))</f>
        <v>0.8</v>
      </c>
      <c r="AC9" s="177">
        <f t="shared" si="2"/>
        <v>12</v>
      </c>
      <c r="AD9" s="178">
        <f>IF($AA$6-Table1[[#This Row],[Missed Games]]=0, 0,Table1[[#This Row],[Finishes]]/($AA$6-Table1[[#This Row],[Missed Games]]))</f>
        <v>0.8</v>
      </c>
      <c r="AE9" s="177">
        <f t="shared" si="3"/>
        <v>0</v>
      </c>
      <c r="AF9" s="178">
        <f>IF($AA$6-Table1[[#This Row],[Missed Games]]=0, 0,Table1[[#This Row],[Midranges]]/($AA$6-Table1[[#This Row],[Missed Games]]))</f>
        <v>0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9.235294117647058</v>
      </c>
      <c r="AN9" s="121">
        <f>MEDIAN(Table1[Finishes])</f>
        <v>9</v>
      </c>
      <c r="AO9" s="129"/>
      <c r="AP9" s="18">
        <f>_xlfn.CEILING.MATH('[1]Stats Global'!R9*(20-$AA$5-$AJ9))</f>
        <v>9</v>
      </c>
      <c r="AQ9" s="27">
        <f>Table1[[#This Row],[Points]]/AP9</f>
        <v>1.3333333333333333</v>
      </c>
      <c r="AR9" s="128">
        <f>AP9-Table1[[#This Row],[Points]]</f>
        <v>-3</v>
      </c>
      <c r="AS9" s="134">
        <f>Table1[[#This Row],[Points]]/(20-AA$5-Table1[[#This Row],[Missed Games]])</f>
        <v>0.8</v>
      </c>
      <c r="AT9" s="144">
        <f>Table1[[#This Row],[Average]]-'[1]Stats Global'!R9</f>
        <v>0.20000000000000007</v>
      </c>
      <c r="AU9" s="27">
        <f>(Table1[[#This Row],[Average]]-'[1]Stats Global'!R9)/'[1]Stats Global'!R9</f>
        <v>0.33333333333333348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0.9285714285714286</v>
      </c>
      <c r="BB9" s="16">
        <f>Table4[[#This Row],[Total A]]/$AX$6</f>
        <v>0</v>
      </c>
      <c r="BC9" s="16">
        <f>Table4[[#This Row],[Total S]]/$AX$6</f>
        <v>0.21428571428571427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30</v>
      </c>
      <c r="AB10" s="65">
        <f>IF($AA$6-Table1[[#This Row],[Missed Games]]=0, 0,Table1[[#This Row],[Points]]/($AA$6-Table1[[#This Row],[Missed Games]]))</f>
        <v>3.3333333333333335</v>
      </c>
      <c r="AC10" s="66">
        <f t="shared" si="2"/>
        <v>28</v>
      </c>
      <c r="AD10" s="67">
        <f>IF($AA$6-Table1[[#This Row],[Missed Games]]=0, 0,Table1[[#This Row],[Finishes]]/($AA$6-Table1[[#This Row],[Missed Games]]))</f>
        <v>3.1111111111111112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0.1111111111111111</v>
      </c>
      <c r="AI10" s="63" t="str">
        <f>SfW!C5</f>
        <v>5 Musketeers</v>
      </c>
      <c r="AJ10" s="68">
        <f t="shared" si="5"/>
        <v>8</v>
      </c>
      <c r="AK10" s="62"/>
      <c r="AL10" s="122" t="s">
        <v>219</v>
      </c>
      <c r="AM10" s="121">
        <f>AVERAGE(Table1[Midranges])</f>
        <v>5.117647058823529</v>
      </c>
      <c r="AN10" s="121">
        <f>MEDIAN(Table1[Midranges])</f>
        <v>3</v>
      </c>
      <c r="AO10" s="36"/>
      <c r="AP10" s="18">
        <f>_xlfn.CEILING.MATH('[1]Stats Global'!R10*(20-$AA$5-$AJ10))</f>
        <v>29</v>
      </c>
      <c r="AQ10" s="27">
        <f>Table1[[#This Row],[Points]]/AP10</f>
        <v>1.0344827586206897</v>
      </c>
      <c r="AR10" s="128">
        <f>AP10-Table1[[#This Row],[Points]]</f>
        <v>-1</v>
      </c>
      <c r="AS10" s="134">
        <f>Table1[[#This Row],[Points]]/(20-AA$5-Table1[[#This Row],[Missed Games]])</f>
        <v>3.3333333333333335</v>
      </c>
      <c r="AT10" s="144">
        <f>Table1[[#This Row],[Average]]-'[1]Stats Global'!R10</f>
        <v>0.19047619047619069</v>
      </c>
      <c r="AU10" s="27">
        <f>(Table1[[#This Row],[Average]]-'[1]Stats Global'!R10)/'[1]Stats Global'!R10</f>
        <v>6.0606060606060677E-2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0.35714285714285715</v>
      </c>
      <c r="BB10" s="16">
        <f>Table4[[#This Row],[Total A]]/$AX$6</f>
        <v>0.21428571428571427</v>
      </c>
      <c r="BC10" s="16">
        <f>Table4[[#This Row],[Total S]]/$AX$6</f>
        <v>0.14285714285714285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16</v>
      </c>
      <c r="AB11" s="65">
        <f>IF($AA$6-Table1[[#This Row],[Missed Games]]=0, 0,Table1[[#This Row],[Points]]/($AA$6-Table1[[#This Row],[Missed Games]]))</f>
        <v>1.3333333333333333</v>
      </c>
      <c r="AC11" s="66">
        <f t="shared" si="2"/>
        <v>16</v>
      </c>
      <c r="AD11" s="67">
        <f>IF($AA$6-Table1[[#This Row],[Missed Games]]=0, 0,Table1[[#This Row],[Finishes]]/($AA$6-Table1[[#This Row],[Missed Games]]))</f>
        <v>1.3333333333333333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5</v>
      </c>
      <c r="AK11" s="62"/>
      <c r="AL11" s="122" t="s">
        <v>3</v>
      </c>
      <c r="AM11" s="121">
        <f>AVERAGE(Table1[Threes])</f>
        <v>1.7058823529411764</v>
      </c>
      <c r="AN11" s="121">
        <f>MEDIAN(Table1[Threes])</f>
        <v>1</v>
      </c>
      <c r="AO11" s="36"/>
      <c r="AP11" s="18">
        <f>_xlfn.CEILING.MATH('[1]Stats Global'!R11*(20-$AA$5-$AJ11))</f>
        <v>34</v>
      </c>
      <c r="AQ11" s="27">
        <f>Table1[[#This Row],[Points]]/AP11</f>
        <v>0.47058823529411764</v>
      </c>
      <c r="AR11" s="128">
        <f>AP11-Table1[[#This Row],[Points]]</f>
        <v>18</v>
      </c>
      <c r="AS11" s="134">
        <f>Table1[[#This Row],[Points]]/(20-AA$5-Table1[[#This Row],[Missed Games]])</f>
        <v>1.3333333333333333</v>
      </c>
      <c r="AT11" s="144">
        <f>Table1[[#This Row],[Average]]-'[1]Stats Global'!R11</f>
        <v>-1.4791666666666667</v>
      </c>
      <c r="AU11" s="27">
        <f>(Table1[[#This Row],[Average]]-'[1]Stats Global'!R11)/'[1]Stats Global'!R11</f>
        <v>-0.52592592592592591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0.7142857142857143</v>
      </c>
      <c r="BB11" s="16">
        <f>Table4[[#This Row],[Total A]]/$AX$6</f>
        <v>7.1428571428571425E-2</v>
      </c>
      <c r="BC11" s="16">
        <f>Table4[[#This Row],[Total S]]/$AX$6</f>
        <v>0.14285714285714285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19</v>
      </c>
      <c r="AB12" s="65">
        <f>IF($AA$6-Table1[[#This Row],[Missed Games]]=0, 0,Table1[[#This Row],[Points]]/($AA$6-Table1[[#This Row],[Missed Games]]))</f>
        <v>1.2666666666666666</v>
      </c>
      <c r="AC12" s="66">
        <f t="shared" si="2"/>
        <v>8</v>
      </c>
      <c r="AD12" s="67">
        <f>IF($AA$6-Table1[[#This Row],[Missed Games]]=0, 0,Table1[[#This Row],[Finishes]]/($AA$6-Table1[[#This Row],[Missed Games]]))</f>
        <v>0.53333333333333333</v>
      </c>
      <c r="AE12" s="66">
        <f t="shared" si="3"/>
        <v>7</v>
      </c>
      <c r="AF12" s="67">
        <f>IF($AA$6-Table1[[#This Row],[Missed Games]]=0, 0,Table1[[#This Row],[Midranges]]/($AA$6-Table1[[#This Row],[Missed Games]]))</f>
        <v>0.46666666666666667</v>
      </c>
      <c r="AG12" s="66">
        <f t="shared" si="4"/>
        <v>2</v>
      </c>
      <c r="AH12" s="67">
        <f>IF($AA$6-Table1[[#This Row],[Missed Games]]=0, 0,Table1[[#This Row],[Threes]]/($AA$6-Table1[[#This Row],[Missed Games]]))</f>
        <v>0.13333333333333333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0.61290322580645162</v>
      </c>
      <c r="AR12" s="128">
        <f>AP12-Table1[[#This Row],[Points]]</f>
        <v>12</v>
      </c>
      <c r="AS12" s="134">
        <f>Table1[[#This Row],[Points]]/(20-AA$5-Table1[[#This Row],[Missed Games]])</f>
        <v>1.2666666666666666</v>
      </c>
      <c r="AT12" s="144">
        <f>Table1[[#This Row],[Average]]-'[1]Stats Global'!R12</f>
        <v>-0.79215686274509789</v>
      </c>
      <c r="AU12" s="27">
        <f>(Table1[[#This Row],[Average]]-'[1]Stats Global'!R12)/'[1]Stats Global'!R12</f>
        <v>-0.38476190476190475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0.42857142857142855</v>
      </c>
      <c r="BB12" s="16">
        <f>Table4[[#This Row],[Total A]]/$AX$6</f>
        <v>7.1428571428571425E-2</v>
      </c>
      <c r="BC12" s="16">
        <f>Table4[[#This Row],[Total S]]/$AX$6</f>
        <v>7.1428571428571425E-2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13</v>
      </c>
      <c r="AB13" s="176">
        <f>IF($AA$6-Table1[[#This Row],[Missed Games]]=0, 0,Table1[[#This Row],[Points]]/($AA$6-Table1[[#This Row],[Missed Games]]))</f>
        <v>0.9285714285714286</v>
      </c>
      <c r="AC13" s="177">
        <f t="shared" si="2"/>
        <v>10</v>
      </c>
      <c r="AD13" s="178">
        <f>IF($AA$6-Table1[[#This Row],[Missed Games]]=0, 0,Table1[[#This Row],[Finishes]]/($AA$6-Table1[[#This Row],[Missed Games]]))</f>
        <v>0.7142857142857143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0.21428571428571427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0.8125</v>
      </c>
      <c r="AR13" s="128">
        <f>AP13-Table1[[#This Row],[Points]]</f>
        <v>3</v>
      </c>
      <c r="AS13" s="134">
        <f>Table1[[#This Row],[Points]]/(20-AA$5-Table1[[#This Row],[Missed Games]])</f>
        <v>0.9285714285714286</v>
      </c>
      <c r="AT13" s="144">
        <f>Table1[[#This Row],[Average]]-'[1]Stats Global'!R13</f>
        <v>-0.21428571428571419</v>
      </c>
      <c r="AU13" s="27">
        <f>(Table1[[#This Row],[Average]]-'[1]Stats Global'!R13)/'[1]Stats Global'!R13</f>
        <v>-0.18749999999999992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0.42857142857142855</v>
      </c>
      <c r="BB13" s="16">
        <f>Table4[[#This Row],[Total A]]/$AX$6</f>
        <v>0.14285714285714285</v>
      </c>
      <c r="BC13" s="16">
        <f>Table4[[#This Row],[Total S]]/$AX$6</f>
        <v>7.1428571428571425E-2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11</v>
      </c>
      <c r="AB14" s="176">
        <f>IF($AA$6-Table1[[#This Row],[Missed Games]]=0, 0,Table1[[#This Row],[Points]]/($AA$6-Table1[[#This Row],[Missed Games]]))</f>
        <v>0.6470588235294118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0.35294117647058826</v>
      </c>
      <c r="AE14" s="177">
        <f t="shared" si="3"/>
        <v>3</v>
      </c>
      <c r="AF14" s="178">
        <f>IF($AA$6-Table1[[#This Row],[Missed Games]]=0, 0,Table1[[#This Row],[Midranges]]/($AA$6-Table1[[#This Row],[Missed Games]]))</f>
        <v>0.17647058823529413</v>
      </c>
      <c r="AG14" s="177">
        <f t="shared" si="4"/>
        <v>1</v>
      </c>
      <c r="AH14" s="178">
        <f>IF($AA$6-Table1[[#This Row],[Missed Games]]=0, 0,Table1[[#This Row],[Threes]]/($AA$6-Table1[[#This Row],[Missed Games]]))</f>
        <v>5.8823529411764705E-2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1.8333333333333333</v>
      </c>
      <c r="AR14" s="128">
        <f>AP14-Table1[[#This Row],[Points]]</f>
        <v>-5</v>
      </c>
      <c r="AS14" s="134">
        <f>Table1[[#This Row],[Points]]/(20-AA$5-Table1[[#This Row],[Missed Games]])</f>
        <v>0.6470588235294118</v>
      </c>
      <c r="AT14" s="144">
        <f>Table1[[#This Row],[Average]]-'[1]Stats Global'!R23</f>
        <v>0.3345588235294118</v>
      </c>
      <c r="AU14" s="27">
        <f>(Table1[[#This Row],[Average]]-'[1]Stats Global'!R23)/'[1]Stats Global'!R23</f>
        <v>1.0705882352941178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0.6428571428571429</v>
      </c>
      <c r="BB14" s="16">
        <f>Table4[[#This Row],[Total A]]/$AX$6</f>
        <v>0</v>
      </c>
      <c r="BC14" s="16">
        <f>Table4[[#This Row],[Total S]]/$AX$6</f>
        <v>0.14285714285714285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17</v>
      </c>
      <c r="AB15" s="176">
        <f>IF($AA$6-Table1[[#This Row],[Missed Games]]=0, 0,Table1[[#This Row],[Points]]/($AA$6-Table1[[#This Row],[Missed Games]]))</f>
        <v>1.5454545454545454</v>
      </c>
      <c r="AC15" s="177">
        <f t="shared" si="2"/>
        <v>1</v>
      </c>
      <c r="AD15" s="178">
        <f>IF($AA$6-Table1[[#This Row],[Missed Games]]=0, 0,Table1[[#This Row],[Finishes]]/($AA$6-Table1[[#This Row],[Missed Games]]))</f>
        <v>9.0909090909090912E-2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0.18181818181818182</v>
      </c>
      <c r="AG15" s="177">
        <f t="shared" si="4"/>
        <v>7</v>
      </c>
      <c r="AH15" s="178">
        <f>IF($AA$6-Table1[[#This Row],[Missed Games]]=0, 0,Table1[[#This Row],[Threes]]/($AA$6-Table1[[#This Row],[Missed Games]]))</f>
        <v>0.63636363636363635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0.94444444444444442</v>
      </c>
      <c r="AR15" s="128">
        <f>AP15-Table1[[#This Row],[Points]]</f>
        <v>1</v>
      </c>
      <c r="AS15" s="134">
        <f>Table1[[#This Row],[Points]]/(20-AA$5-Table1[[#This Row],[Missed Games]])</f>
        <v>1.5454545454545454</v>
      </c>
      <c r="AT15" s="144">
        <f>Table1[[#This Row],[Average]]-'[1]Stats Global'!R14</f>
        <v>-4.2780748663101553E-2</v>
      </c>
      <c r="AU15" s="27">
        <f>(Table1[[#This Row],[Average]]-'[1]Stats Global'!R14)/'[1]Stats Global'!R14</f>
        <v>-2.6936026936026907E-2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28</v>
      </c>
      <c r="AB16" s="65">
        <f>IF($AA$6-Table1[[#This Row],[Missed Games]]=0, 0,Table1[[#This Row],[Points]]/($AA$6-Table1[[#This Row],[Missed Games]]))</f>
        <v>1.8666666666666667</v>
      </c>
      <c r="AC16" s="66">
        <f t="shared" si="2"/>
        <v>11</v>
      </c>
      <c r="AD16" s="67">
        <f>IF($AA$6-Table1[[#This Row],[Missed Games]]=0, 0,Table1[[#This Row],[Finishes]]/($AA$6-Table1[[#This Row],[Missed Games]]))</f>
        <v>0.73333333333333328</v>
      </c>
      <c r="AE16" s="66">
        <f t="shared" si="3"/>
        <v>11</v>
      </c>
      <c r="AF16" s="67">
        <f>IF($AA$6-Table1[[#This Row],[Missed Games]]=0, 0,Table1[[#This Row],[Midranges]]/($AA$6-Table1[[#This Row],[Missed Games]]))</f>
        <v>0.73333333333333328</v>
      </c>
      <c r="AG16" s="66">
        <f t="shared" si="4"/>
        <v>3</v>
      </c>
      <c r="AH16" s="67">
        <f>IF($AA$6-Table1[[#This Row],[Missed Games]]=0, 0,Table1[[#This Row],[Threes]]/($AA$6-Table1[[#This Row],[Missed Games]]))</f>
        <v>0.2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22</v>
      </c>
      <c r="AQ16" s="27">
        <f>Table1[[#This Row],[Points]]/AP16</f>
        <v>1.2727272727272727</v>
      </c>
      <c r="AR16" s="128">
        <f>AP16-Table1[[#This Row],[Points]]</f>
        <v>-6</v>
      </c>
      <c r="AS16" s="134">
        <f>Table1[[#This Row],[Points]]/(20-AA$5-Table1[[#This Row],[Missed Games]])</f>
        <v>1.8666666666666667</v>
      </c>
      <c r="AT16" s="144">
        <f>Table1[[#This Row],[Average]]-'[1]Stats Global'!R15</f>
        <v>0.45490196078431366</v>
      </c>
      <c r="AU16" s="27">
        <f>(Table1[[#This Row],[Average]]-'[1]Stats Global'!R15)/'[1]Stats Global'!R15</f>
        <v>0.32222222222222213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</v>
      </c>
      <c r="BB16" s="16">
        <f>Table4[[#This Row],[Total A]]/$AX$6</f>
        <v>0.21428571428571427</v>
      </c>
      <c r="BC16" s="16">
        <f>Table4[[#This Row],[Total S]]/$AX$6</f>
        <v>0.14285714285714285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59</v>
      </c>
      <c r="AB17" s="65">
        <f>IF($AA$6-Table1[[#This Row],[Missed Games]]=0, 0,Table1[[#This Row],[Points]]/($AA$6-Table1[[#This Row],[Missed Games]]))</f>
        <v>3.6875</v>
      </c>
      <c r="AC17" s="66">
        <f t="shared" si="2"/>
        <v>15</v>
      </c>
      <c r="AD17" s="67">
        <f>IF($AA$6-Table1[[#This Row],[Missed Games]]=0, 0,Table1[[#This Row],[Finishes]]/($AA$6-Table1[[#This Row],[Missed Games]]))</f>
        <v>0.9375</v>
      </c>
      <c r="AE17" s="66">
        <f t="shared" si="3"/>
        <v>34</v>
      </c>
      <c r="AF17" s="67">
        <f>IF($AA$6-Table1[[#This Row],[Missed Games]]=0, 0,Table1[[#This Row],[Midranges]]/($AA$6-Table1[[#This Row],[Missed Games]]))</f>
        <v>2.125</v>
      </c>
      <c r="AG17" s="66">
        <f t="shared" si="4"/>
        <v>5</v>
      </c>
      <c r="AH17" s="67">
        <f>IF($AA$6-Table1[[#This Row],[Missed Games]]=0, 0,Table1[[#This Row],[Threes]]/($AA$6-Table1[[#This Row],[Missed Games]]))</f>
        <v>0.3125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1.4390243902439024</v>
      </c>
      <c r="AR17" s="128">
        <f>AP17-Table1[[#This Row],[Points]]</f>
        <v>-18</v>
      </c>
      <c r="AS17" s="134">
        <f>Table1[[#This Row],[Points]]/(20-AA$5-Table1[[#This Row],[Missed Games]])</f>
        <v>3.6875</v>
      </c>
      <c r="AT17" s="144">
        <f>Table1[[#This Row],[Average]]-'[1]Stats Global'!R16</f>
        <v>1.1541666666666668</v>
      </c>
      <c r="AU17" s="27">
        <f>(Table1[[#This Row],[Average]]-'[1]Stats Global'!R16)/'[1]Stats Global'!R16</f>
        <v>0.45559210526315796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</v>
      </c>
      <c r="BB17" s="16">
        <f>Table4[[#This Row],[Total A]]/$AX$6</f>
        <v>0.14285714285714285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10</v>
      </c>
      <c r="AB18" s="176">
        <f>IF($AA$6-Table1[[#This Row],[Missed Games]]=0, 0,Table1[[#This Row],[Points]]/($AA$6-Table1[[#This Row],[Missed Games]]))</f>
        <v>0.58823529411764708</v>
      </c>
      <c r="AC18" s="177">
        <f t="shared" si="2"/>
        <v>2</v>
      </c>
      <c r="AD18" s="178">
        <f>IF($AA$6-Table1[[#This Row],[Missed Games]]=0, 0,Table1[[#This Row],[Finishes]]/($AA$6-Table1[[#This Row],[Missed Games]]))</f>
        <v>0.11764705882352941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0.47058823529411764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15</v>
      </c>
      <c r="AQ18" s="27">
        <f>Table1[[#This Row],[Points]]/AP18</f>
        <v>0.66666666666666663</v>
      </c>
      <c r="AR18" s="128">
        <f>AP18-Table1[[#This Row],[Points]]</f>
        <v>5</v>
      </c>
      <c r="AS18" s="134">
        <f>Table1[[#This Row],[Points]]/(20-AA$5-Table1[[#This Row],[Missed Games]])</f>
        <v>0.58823529411764708</v>
      </c>
      <c r="AT18" s="144">
        <f>Table1[[#This Row],[Average]]-'[1]Stats Global'!R17</f>
        <v>-0.28676470588235292</v>
      </c>
      <c r="AU18" s="27">
        <f>(Table1[[#This Row],[Average]]-'[1]Stats Global'!R17)/'[1]Stats Global'!R17</f>
        <v>-0.32773109243697479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7.1428571428571425E-2</v>
      </c>
      <c r="BB18" s="16">
        <f>Table4[[#This Row],[Total A]]/$AX$6</f>
        <v>0</v>
      </c>
      <c r="BC18" s="16">
        <f>Table4[[#This Row],[Total S]]/$AX$6</f>
        <v>0.35714285714285715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0.16666666666666666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0.16666666666666666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11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0.16666666666666666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0.21428571428571427</v>
      </c>
      <c r="BB19" s="16">
        <f>Table4[[#This Row],[Total A]]/$AX$6</f>
        <v>7.1428571428571425E-2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12</v>
      </c>
      <c r="AB20" s="176">
        <f>IF($AA$6-Table1[[#This Row],[Missed Games]]=0, 0,Table1[[#This Row],[Points]]/($AA$6-Table1[[#This Row],[Missed Games]]))</f>
        <v>0.8571428571428571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0.6428571428571429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7.1428571428571425E-2</v>
      </c>
      <c r="AG20" s="177">
        <f t="shared" si="4"/>
        <v>1</v>
      </c>
      <c r="AH20" s="180">
        <f>IF($AA$6-Table1[[#This Row],[Missed Games]]=0, 0,Table1[[#This Row],[Threes]]/($AA$6-Table1[[#This Row],[Missed Games]]))</f>
        <v>7.1428571428571425E-2</v>
      </c>
      <c r="AI20" s="174" t="str">
        <f>SfW!C15</f>
        <v>Wet Willies</v>
      </c>
      <c r="AJ20" s="179">
        <f t="shared" si="5"/>
        <v>3</v>
      </c>
      <c r="AK20" s="62"/>
      <c r="AL20" s="62"/>
      <c r="AM20" s="62"/>
      <c r="AO20" s="36"/>
      <c r="AP20" s="18">
        <f>_xlfn.CEILING.MATH('[1]Stats Global'!R18*(20-$AA$5-$AJ20))</f>
        <v>15</v>
      </c>
      <c r="AQ20" s="27">
        <f>Table1[[#This Row],[Points]]/AP20</f>
        <v>0.8</v>
      </c>
      <c r="AR20" s="128">
        <f>AP20-Table1[[#This Row],[Points]]</f>
        <v>3</v>
      </c>
      <c r="AS20" s="134">
        <f>Table1[[#This Row],[Points]]/(20-AA$5-Table1[[#This Row],[Missed Games]])</f>
        <v>0.8571428571428571</v>
      </c>
      <c r="AT20" s="144">
        <f>Table1[[#This Row],[Average]]-'[1]Stats Global'!R18</f>
        <v>-0.20952380952380956</v>
      </c>
      <c r="AU20" s="27">
        <f>(Table1[[#This Row],[Average]]-'[1]Stats Global'!R18)/'[1]Stats Global'!R18</f>
        <v>-0.19642857142857145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0.5714285714285714</v>
      </c>
      <c r="BB20" s="16">
        <f>Table4[[#This Row],[Total A]]/$AX$6</f>
        <v>7.1428571428571425E-2</v>
      </c>
      <c r="BC20" s="16">
        <f>Table4[[#This Row],[Total S]]/$AX$6</f>
        <v>0.21428571428571427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20</v>
      </c>
      <c r="AB21" s="176">
        <f>IF($AA$6-Table1[[#This Row],[Missed Games]]=0, 0,Table1[[#This Row],[Points]]/($AA$6-Table1[[#This Row],[Missed Games]]))</f>
        <v>1.1764705882352942</v>
      </c>
      <c r="AC21" s="177">
        <f t="shared" si="2"/>
        <v>13</v>
      </c>
      <c r="AD21" s="180">
        <f>IF($AA$6-Table1[[#This Row],[Missed Games]]=0, 0,Table1[[#This Row],[Finishes]]/($AA$6-Table1[[#This Row],[Missed Games]]))</f>
        <v>0.76470588235294112</v>
      </c>
      <c r="AE21" s="177">
        <f t="shared" si="3"/>
        <v>5</v>
      </c>
      <c r="AF21" s="180">
        <f>IF($AA$6-Table1[[#This Row],[Missed Games]]=0, 0,Table1[[#This Row],[Midranges]]/($AA$6-Table1[[#This Row],[Missed Games]]))</f>
        <v>0.29411764705882354</v>
      </c>
      <c r="AG21" s="177">
        <f t="shared" si="4"/>
        <v>1</v>
      </c>
      <c r="AH21" s="180">
        <f>IF($AA$6-Table1[[#This Row],[Missed Games]]=0, 0,Table1[[#This Row],[Threes]]/($AA$6-Table1[[#This Row],[Missed Games]]))</f>
        <v>5.8823529411764705E-2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18</v>
      </c>
      <c r="AQ21" s="27">
        <f>Table1[[#This Row],[Points]]/AP21</f>
        <v>1.1111111111111112</v>
      </c>
      <c r="AR21" s="128">
        <f>AP21-Table1[[#This Row],[Points]]</f>
        <v>-2</v>
      </c>
      <c r="AS21" s="134">
        <f>Table1[[#This Row],[Points]]/(20-AA$5-Table1[[#This Row],[Missed Games]])</f>
        <v>1.1764705882352942</v>
      </c>
      <c r="AT21" s="144">
        <f>Table1[[#This Row],[Average]]-'[1]Stats Global'!R19</f>
        <v>0.11764705882352944</v>
      </c>
      <c r="AU21" s="27">
        <f>(Table1[[#This Row],[Average]]-'[1]Stats Global'!R19)/'[1]Stats Global'!R19</f>
        <v>0.11111111111111113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0.8571428571428571</v>
      </c>
      <c r="BB21" s="16">
        <f>Table4[[#This Row],[Total A]]/$AX$6</f>
        <v>0.14285714285714285</v>
      </c>
      <c r="BC21" s="16">
        <f>Table4[[#This Row],[Total S]]/$AX$6</f>
        <v>0.14285714285714285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44</v>
      </c>
      <c r="AB22" s="65">
        <f>IF($AA$6-Table1[[#This Row],[Missed Games]]=0, 0,Table1[[#This Row],[Points]]/($AA$6-Table1[[#This Row],[Missed Games]]))</f>
        <v>2.75</v>
      </c>
      <c r="AC22" s="66">
        <f t="shared" si="2"/>
        <v>22</v>
      </c>
      <c r="AD22" s="109">
        <f>IF($AA$6-Table1[[#This Row],[Missed Games]]=0, 0,Table1[[#This Row],[Finishes]]/($AA$6-Table1[[#This Row],[Missed Games]]))</f>
        <v>1.375</v>
      </c>
      <c r="AE22" s="66">
        <f t="shared" si="3"/>
        <v>8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0.4375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39</v>
      </c>
      <c r="AQ22" s="27">
        <f>Table1[[#This Row],[Points]]/AP22</f>
        <v>1.1282051282051282</v>
      </c>
      <c r="AR22" s="128">
        <f>AP22-Table1[[#This Row],[Points]]</f>
        <v>-5</v>
      </c>
      <c r="AS22" s="134">
        <f>Table1[[#This Row],[Points]]/(20-AA$5-Table1[[#This Row],[Missed Games]])</f>
        <v>2.75</v>
      </c>
      <c r="AT22" s="144">
        <f>Table1[[#This Row],[Average]]-'[1]Stats Global'!R20</f>
        <v>0.32142857142857162</v>
      </c>
      <c r="AU22" s="27">
        <f>(Table1[[#This Row],[Average]]-'[1]Stats Global'!R20)/'[1]Stats Global'!R20</f>
        <v>0.13235294117647067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0.7857142857142857</v>
      </c>
      <c r="BB22" s="16">
        <f>Table4[[#This Row],[Total A]]/$AX$6</f>
        <v>0.5</v>
      </c>
      <c r="BC22" s="16">
        <f>Table4[[#This Row],[Total S]]/$AX$6</f>
        <v>0.21428571428571427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5.8823529411764705E-2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5.8823529411764705E-2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-5.8823529411764705E-2</v>
      </c>
      <c r="AU23" s="27">
        <f>(Table1[[#This Row],[Average]]-'[1]Stats Global'!R21)/'[1]Stats Global'!R21</f>
        <v>-0.5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0.2857142857142857</v>
      </c>
      <c r="BB23" s="16">
        <f>Table4[[#This Row],[Total A]]/$AX$6</f>
        <v>7.1428571428571425E-2</v>
      </c>
      <c r="BC23" s="16">
        <f>Table4[[#This Row],[Total S]]/$AX$6</f>
        <v>0.14285714285714285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0.54545454545454541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0.36363636363636365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9.0909090909090912E-2</v>
      </c>
      <c r="AI24" s="174" t="str">
        <f>SfW!C19</f>
        <v>Wet Willies</v>
      </c>
      <c r="AJ24" s="179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0.75</v>
      </c>
      <c r="AR24" s="128">
        <f>AP24-Table1[[#This Row],[Points]]</f>
        <v>2</v>
      </c>
      <c r="AS24" s="134">
        <f>Table1[[#This Row],[Points]]/(20-AA$5-Table1[[#This Row],[Missed Games]])</f>
        <v>0.54545454545454541</v>
      </c>
      <c r="AT24" s="144">
        <f>Table1[[#This Row],[Average]]-'[1]Stats Global'!R22</f>
        <v>-0.10160427807486638</v>
      </c>
      <c r="AU24" s="27">
        <f>(Table1[[#This Row],[Average]]-'[1]Stats Global'!R22)/'[1]Stats Global'!R22</f>
        <v>-0.15702479338842987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7.1428571428571425E-2</v>
      </c>
    </row>
    <row r="25" spans="2:55" ht="14.25" customHeight="1" x14ac:dyDescent="0.45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AB25" s="17"/>
      <c r="AP25" s="17"/>
      <c r="AQ25" s="27"/>
    </row>
    <row r="26" spans="2:55" ht="14.25" customHeight="1" x14ac:dyDescent="0.4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33</v>
      </c>
      <c r="T41" s="126">
        <f>S41/SUM(S41:S43)</f>
        <v>0.3235294117647059</v>
      </c>
      <c r="U41" s="130">
        <v>0.32188841201716739</v>
      </c>
      <c r="V41" s="43">
        <v>0.36899999999999999</v>
      </c>
      <c r="W41">
        <f>T41*(6*(20-AA$5))</f>
        <v>33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31</v>
      </c>
      <c r="T42" s="130">
        <f>S42/SUM(S41:S43)</f>
        <v>0.30392156862745096</v>
      </c>
      <c r="U42" s="130">
        <v>0.35193133047210301</v>
      </c>
      <c r="V42" s="43">
        <v>0.26200000000000001</v>
      </c>
      <c r="W42" s="16">
        <f t="shared" ref="W42:W43" si="6">T42*(6*(20-AA$5))</f>
        <v>30.999999999999996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38</v>
      </c>
      <c r="T43" s="130">
        <f>S43/SUM(S41:S43)</f>
        <v>0.37254901960784315</v>
      </c>
      <c r="U43" s="130">
        <v>0.3261802575107296</v>
      </c>
      <c r="V43" s="43">
        <v>0.36899999999999999</v>
      </c>
      <c r="W43" s="16">
        <f t="shared" si="6"/>
        <v>38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-3.5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157</v>
      </c>
      <c r="V49" s="17">
        <f>U49/AA6</f>
        <v>9.235294117647058</v>
      </c>
      <c r="W49" s="27">
        <f>U49/SUM($U$49:$U$51)</f>
        <v>0.57509157509157505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87</v>
      </c>
      <c r="V50" s="17">
        <f>U50/AA6</f>
        <v>5.117647058823529</v>
      </c>
      <c r="W50" s="27">
        <f>U50/SUM($U$49:$U$51)</f>
        <v>0.31868131868131866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29</v>
      </c>
      <c r="V51" s="17">
        <f>U51/AA6</f>
        <v>1.7058823529411764</v>
      </c>
      <c r="W51" s="27">
        <f>U51/SUM($U$49:$U$51)</f>
        <v>0.10622710622710622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0.5679012345679012</v>
      </c>
      <c r="V55" s="38">
        <f>'Statistics LG'!O42</f>
        <v>0.47058823529411764</v>
      </c>
      <c r="W55" s="38">
        <f>AVERAGE(U55:V55)</f>
        <v>0.51924473493100942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0.4320987654320988</v>
      </c>
      <c r="U56" s="40" t="s">
        <v>131</v>
      </c>
      <c r="V56" s="38">
        <f>'Statistics WW'!L42</f>
        <v>0.3888888888888889</v>
      </c>
      <c r="W56" s="38">
        <f>AVERAGE(T56:V56)</f>
        <v>0.41049382716049387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0.52941176470588236</v>
      </c>
      <c r="U57" s="38">
        <f>1-V56</f>
        <v>0.61111111111111116</v>
      </c>
      <c r="V57" s="40" t="s">
        <v>131</v>
      </c>
      <c r="W57" s="38">
        <f>AVERAGE(T57:V57)</f>
        <v>0.5702614379084967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3" type="noConversion"/>
  <conditionalFormatting sqref="U109:U118 W103:W108">
    <cfRule type="cellIs" dxfId="11" priority="11" operator="greaterThan">
      <formula>0</formula>
    </cfRule>
  </conditionalFormatting>
  <conditionalFormatting sqref="U109:U118 W103:W108">
    <cfRule type="cellIs" dxfId="10" priority="10" operator="lessThan">
      <formula>0</formula>
    </cfRule>
  </conditionalFormatting>
  <conditionalFormatting sqref="AQ8:AQ24">
    <cfRule type="cellIs" dxfId="9" priority="5" operator="equal">
      <formula>$AA$4</formula>
    </cfRule>
    <cfRule type="cellIs" dxfId="8" priority="6" operator="lessThan">
      <formula>$AA$4</formula>
    </cfRule>
    <cfRule type="cellIs" dxfId="7" priority="7" operator="greaterThan">
      <formula>$AA$4</formula>
    </cfRule>
  </conditionalFormatting>
  <conditionalFormatting sqref="AT8:AT24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AU8:AU2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8" t="s">
        <v>218</v>
      </c>
      <c r="Y2" s="188"/>
      <c r="Z2" s="18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7" t="s">
        <v>119</v>
      </c>
      <c r="U41" s="187"/>
      <c r="V41" s="187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zoomScaleNormal="100" workbookViewId="0">
      <selection activeCell="A3" sqref="A3:F2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96</v>
      </c>
      <c r="I3" s="81">
        <f>SUM(C7:C40)</f>
        <v>89</v>
      </c>
      <c r="J3" s="78">
        <f>SUM(D7:D40)</f>
        <v>33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1.2222222222222223</v>
      </c>
      <c r="AI3" s="168">
        <f>Table3[[#This Row],[Finishes]]/('Stats Global'!$AA$6-'Stats Global'!$AJ$10)</f>
        <v>1.2222222222222223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2.1111111111111112</v>
      </c>
      <c r="AM3" s="168">
        <f>'Stats Global'!AD10-Table3[[#This Row],[AVG F]]</f>
        <v>1.8888888888888888</v>
      </c>
      <c r="AN3" s="168">
        <f>'Stats Global'!AF10-Table3[[#This Row],[AVG M]]</f>
        <v>0</v>
      </c>
      <c r="AO3" s="168">
        <f>'Stats Global'!AH10-Table3[[#This Row],[AVG T]]</f>
        <v>0.1111111111111111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44</v>
      </c>
      <c r="T4" s="93">
        <f>'Stats Global'!AB22</f>
        <v>2.75</v>
      </c>
      <c r="U4" s="93">
        <f>'Stats Global'!AC22</f>
        <v>22</v>
      </c>
      <c r="V4" s="93">
        <f>'Stats Global'!AD22</f>
        <v>1.375</v>
      </c>
      <c r="W4" s="93">
        <f>'Stats Global'!AE22</f>
        <v>8</v>
      </c>
      <c r="X4" s="93">
        <f>'Stats Global'!AF22</f>
        <v>0.5</v>
      </c>
      <c r="Y4" s="93">
        <f>'Stats Global'!AG22</f>
        <v>7</v>
      </c>
      <c r="Z4" s="93">
        <f>'Stats Global'!AH22</f>
        <v>0.4375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0.58333333333333337</v>
      </c>
      <c r="AI4" s="169">
        <f>Table3[[#This Row],[Finishes]]/('Stats Global'!$AA$6-'Stats Global'!$AJ$11)</f>
        <v>0.58333333333333337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0.74999999999999989</v>
      </c>
      <c r="AM4" s="169">
        <f>'Stats Global'!AD11-Table3[[#This Row],[AVG F]]</f>
        <v>0.74999999999999989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28</v>
      </c>
      <c r="T5" s="93">
        <f>'Stats Global'!AB16</f>
        <v>1.8666666666666667</v>
      </c>
      <c r="U5" s="93">
        <f>'Stats Global'!AC16</f>
        <v>11</v>
      </c>
      <c r="V5" s="93">
        <f>'Stats Global'!AD16</f>
        <v>0.73333333333333328</v>
      </c>
      <c r="W5" s="93">
        <f>'Stats Global'!AE16</f>
        <v>11</v>
      </c>
      <c r="X5" s="93">
        <f>'Stats Global'!AF16</f>
        <v>0.73333333333333328</v>
      </c>
      <c r="Y5" s="93">
        <f>'Stats Global'!AG16</f>
        <v>3</v>
      </c>
      <c r="Z5" s="93">
        <f>'Stats Global'!AH16</f>
        <v>0.2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0.53333333333333333</v>
      </c>
      <c r="AI5" s="169">
        <f>Table3[[#This Row],[Finishes]]/('Stats Global'!$AA$6-'Stats Global'!$AJ$12)</f>
        <v>0.2</v>
      </c>
      <c r="AJ5" s="169">
        <f>Table3[[#This Row],[Midranges]]/('Stats Global'!$AA$6-'Stats Global'!$AJ$12)</f>
        <v>0.2</v>
      </c>
      <c r="AK5" s="169">
        <f>Table3[[#This Row],[Threes]]/('Stats Global'!$AA$6-'Stats Global'!$AJ$12)</f>
        <v>6.6666666666666666E-2</v>
      </c>
      <c r="AL5" s="169">
        <f>'Stats Global'!AB12-Table3[[#This Row],[AVG P]]</f>
        <v>0.73333333333333328</v>
      </c>
      <c r="AM5" s="169">
        <f>'Stats Global'!AD12-Table3[[#This Row],[AVG F]]</f>
        <v>0.33333333333333331</v>
      </c>
      <c r="AN5" s="169">
        <f>'Stats Global'!AF12-Table3[[#This Row],[AVG M]]</f>
        <v>0.26666666666666666</v>
      </c>
      <c r="AO5" s="169">
        <f>'Stats Global'!AH12-Table3[[#This Row],[AVG T]]</f>
        <v>6.6666666666666666E-2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20</v>
      </c>
      <c r="T6" s="93">
        <f>'Stats Global'!AB21</f>
        <v>1.1764705882352942</v>
      </c>
      <c r="U6" s="93">
        <f>'Stats Global'!AC21</f>
        <v>13</v>
      </c>
      <c r="V6" s="93">
        <f>'Stats Global'!AD21</f>
        <v>0.76470588235294112</v>
      </c>
      <c r="W6" s="93">
        <f>'Stats Global'!AE21</f>
        <v>5</v>
      </c>
      <c r="X6" s="93">
        <f>'Stats Global'!AF21</f>
        <v>0.29411764705882354</v>
      </c>
      <c r="Y6" s="93">
        <f>'Stats Global'!AG21</f>
        <v>1</v>
      </c>
      <c r="Z6" s="93">
        <f>'Stats Global'!AH21</f>
        <v>5.8823529411764705E-2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0.2857142857142857</v>
      </c>
      <c r="AI6" s="169">
        <f>Table3[[#This Row],[Finishes]]/('Stats Global'!$AA$6-'Stats Global'!$AJ$13)</f>
        <v>0.2857142857142857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0.6428571428571429</v>
      </c>
      <c r="AM6" s="169">
        <f>'Stats Global'!AD13-Table3[[#This Row],[AVG F]]</f>
        <v>0.4285714285714286</v>
      </c>
      <c r="AN6" s="169">
        <f>'Stats Global'!AF13-Table3[[#This Row],[AVG M]]</f>
        <v>0.21428571428571427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0.17647058823529413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0.17647058823529413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0.17647058823529413</v>
      </c>
      <c r="AI7" s="169">
        <f>Table3[[#This Row],[Finishes]]/('Stats Global'!$AA$6-'Stats Global'!$AJ$14)</f>
        <v>0.11764705882352941</v>
      </c>
      <c r="AJ7" s="169">
        <f>Table3[[#This Row],[Midranges]]/('Stats Global'!$AA$6-'Stats Global'!$AJ$14)</f>
        <v>5.8823529411764705E-2</v>
      </c>
      <c r="AK7" s="169">
        <f>Table3[[#This Row],[Threes]]/('Stats Global'!$AA$6-'Stats Global'!$AJ$14)</f>
        <v>0</v>
      </c>
      <c r="AL7" s="169">
        <f>'Stats Global'!AB14-Table3[[#This Row],[AVG P]]</f>
        <v>0.47058823529411764</v>
      </c>
      <c r="AM7" s="169">
        <f>'Stats Global'!AD14-Table3[[#This Row],[AVG F]]</f>
        <v>0.23529411764705885</v>
      </c>
      <c r="AN7" s="169">
        <f>'Stats Global'!AF14-Table3[[#This Row],[AVG M]]</f>
        <v>0.11764705882352942</v>
      </c>
      <c r="AO7" s="169">
        <f>'Stats Global'!AH14-Table3[[#This Row],[AVG T]]</f>
        <v>5.8823529411764705E-2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0.8</v>
      </c>
      <c r="U8" s="93">
        <f>'Stats Global'!AC9</f>
        <v>12</v>
      </c>
      <c r="V8" s="93">
        <f>'Stats Global'!AD9</f>
        <v>0.8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0.45454545454545453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9.0909090909090912E-2</v>
      </c>
      <c r="AK8" s="169">
        <f>Table3[[#This Row],[Threes]]/('Stats Global'!$AA$6-'Stats Global'!$AJ$15)</f>
        <v>0.18181818181818182</v>
      </c>
      <c r="AL8" s="169">
        <f>'Stats Global'!AB15-Table3[[#This Row],[AVG P]]</f>
        <v>1.0909090909090908</v>
      </c>
      <c r="AM8" s="169">
        <f>'Stats Global'!AD15-Table3[[#This Row],[AVG F]]</f>
        <v>9.0909090909090912E-2</v>
      </c>
      <c r="AN8" s="169">
        <f>'Stats Global'!AF15-Table3[[#This Row],[AVG M]]</f>
        <v>9.0909090909090912E-2</v>
      </c>
      <c r="AO8" s="169">
        <f>'Stats Global'!AH15-Table3[[#This Row],[AVG T]]</f>
        <v>0.45454545454545453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1.4375</v>
      </c>
      <c r="AI9" s="169">
        <f>Table3[[#This Row],[Finishes]]/('Stats Global'!$AA$6-'Stats Global'!$AJ$17)</f>
        <v>0.25</v>
      </c>
      <c r="AJ9" s="169">
        <f>Table3[[#This Row],[Midranges]]/('Stats Global'!$AA$6-'Stats Global'!$AJ$17)</f>
        <v>0.8125</v>
      </c>
      <c r="AK9" s="169">
        <f>Table3[[#This Row],[Threes]]/('Stats Global'!$AA$6-'Stats Global'!$AJ$17)</f>
        <v>0.1875</v>
      </c>
      <c r="AL9" s="169">
        <f>'Stats Global'!AB17-Table3[[#This Row],[AVG P]]</f>
        <v>2.25</v>
      </c>
      <c r="AM9" s="169">
        <f>'Stats Global'!AD17-Table3[[#This Row],[AVG F]]</f>
        <v>0.6875</v>
      </c>
      <c r="AN9" s="169">
        <f>'Stats Global'!AF17-Table3[[#This Row],[AVG M]]</f>
        <v>1.3125</v>
      </c>
      <c r="AO9" s="169">
        <f>'Stats Global'!AH17-Table3[[#This Row],[AVG T]]</f>
        <v>0.125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0.11764705882352941</v>
      </c>
      <c r="AI10" s="169">
        <f>Table3[[#This Row],[Finishes]]/('Stats Global'!$AA$6-'Stats Global'!$AJ$18)</f>
        <v>5.8823529411764705E-2</v>
      </c>
      <c r="AJ10" s="169">
        <f>Table3[[#This Row],[Midranges]]/('Stats Global'!$AA$6-'Stats Global'!$AJ$18)</f>
        <v>5.8823529411764705E-2</v>
      </c>
      <c r="AK10" s="169">
        <f>Table3[[#This Row],[Threes]]/('Stats Global'!$AA$6-'Stats Global'!$AJ$18)</f>
        <v>0</v>
      </c>
      <c r="AL10" s="169">
        <f>'Stats Global'!AB18-Table3[[#This Row],[AVG P]]</f>
        <v>0.47058823529411764</v>
      </c>
      <c r="AM10" s="169">
        <f>'Stats Global'!AD18-Table3[[#This Row],[AVG F]]</f>
        <v>5.8823529411764705E-2</v>
      </c>
      <c r="AN10" s="169">
        <f>'Stats Global'!AF18-Table3[[#This Row],[AVG M]]</f>
        <v>0.41176470588235292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0.16666666666666666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0.16666666666666666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0.2857142857142857</v>
      </c>
      <c r="AI12" s="169">
        <f>Table3[[#This Row],[Finishes]]/('Stats Global'!$AA$6-'Stats Global'!$AJ$20)</f>
        <v>0.21428571428571427</v>
      </c>
      <c r="AJ12" s="169">
        <f>Table3[[#This Row],[Midranges]]/('Stats Global'!$AA$6-'Stats Global'!$AJ$20)</f>
        <v>7.1428571428571425E-2</v>
      </c>
      <c r="AK12" s="169">
        <f>Table3[[#This Row],[Threes]]/('Stats Global'!$AA$6-'Stats Global'!$AJ$20)</f>
        <v>0</v>
      </c>
      <c r="AL12" s="169">
        <f>'Stats Global'!AB20-Table3[[#This Row],[AVG P]]</f>
        <v>0.5714285714285714</v>
      </c>
      <c r="AM12" s="169">
        <f>'Stats Global'!AD20-Table3[[#This Row],[AVG F]]</f>
        <v>0.4285714285714286</v>
      </c>
      <c r="AN12" s="169">
        <f>'Stats Global'!AF20-Table3[[#This Row],[AVG M]]</f>
        <v>0</v>
      </c>
      <c r="AO12" s="169">
        <f>'Stats Global'!AH20-Table3[[#This Row],[AVG T]]</f>
        <v>7.1428571428571425E-2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5.8823529411764705E-2</v>
      </c>
      <c r="AM13" s="169">
        <f>'Stats Global'!AD23-Table3[[#This Row],[AVG F]]</f>
        <v>0</v>
      </c>
      <c r="AN13" s="169">
        <f>'Stats Global'!AF23-Table3[[#This Row],[AVG M]]</f>
        <v>5.8823529411764705E-2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0.27272727272727271</v>
      </c>
      <c r="AI14" s="170">
        <f>Table3[[#This Row],[Finishes]]/('Stats Global'!$AA$6-'Stats Global'!$AJ$24)</f>
        <v>0.27272727272727271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0.27272727272727271</v>
      </c>
      <c r="AM14" s="170">
        <f>'Stats Global'!AD24-Table3[[#This Row],[AVG F]]</f>
        <v>9.0909090909090939E-2</v>
      </c>
      <c r="AN14" s="170">
        <f>'Stats Global'!AF24-Table3[[#This Row],[AVG M]]</f>
        <v>0</v>
      </c>
      <c r="AO14" s="170">
        <f>'Stats Global'!AH24-Table3[[#This Row],[AVG T]]</f>
        <v>9.0909090909090912E-2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>
        <f>'Stats Global'!B25</f>
        <v>0</v>
      </c>
      <c r="B24" s="82">
        <f>'Stats Global'!F25</f>
        <v>0</v>
      </c>
      <c r="C24" s="82">
        <f>'Stats Global'!G25+'Stats Global'!H25</f>
        <v>0</v>
      </c>
      <c r="D24" s="82">
        <f>'Stats Global'!O25</f>
        <v>0</v>
      </c>
      <c r="E24" s="86"/>
      <c r="F24" s="80"/>
      <c r="H24" s="87"/>
      <c r="J24" s="83"/>
      <c r="L24" s="84">
        <f>'Stats Global'!J25</f>
        <v>0</v>
      </c>
      <c r="M24" s="84">
        <f>'Stats Global'!G25</f>
        <v>0</v>
      </c>
      <c r="N24" s="85"/>
      <c r="O24" s="84">
        <f>'Stats Global'!M25</f>
        <v>0</v>
      </c>
      <c r="P24" s="84">
        <f>'Stats Global'!H25</f>
        <v>0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0.51891891891891895</v>
      </c>
      <c r="J41" s="83"/>
      <c r="K41" s="81" t="s">
        <v>94</v>
      </c>
      <c r="L41" s="97">
        <f>SUM(L7:L40)</f>
        <v>46</v>
      </c>
      <c r="M41" s="97">
        <f>SUM(M7:M40)</f>
        <v>35</v>
      </c>
      <c r="N41" s="83"/>
      <c r="O41" s="97">
        <f>SUM(O7:O40)</f>
        <v>48</v>
      </c>
      <c r="P41" s="97">
        <f>SUM(P7:P40)</f>
        <v>54</v>
      </c>
    </row>
    <row r="42" spans="1:16" ht="14.25" customHeight="1" x14ac:dyDescent="0.45">
      <c r="L42" s="88">
        <f>L41/(M41+L41)</f>
        <v>0.5679012345679012</v>
      </c>
      <c r="O42" s="88">
        <f>O41/(P41+O41)</f>
        <v>0.47058823529411764</v>
      </c>
    </row>
    <row r="43" spans="1:16" ht="14.25" customHeight="1" x14ac:dyDescent="0.45">
      <c r="I43" s="89" t="str">
        <f>K43&amp;H3&amp;","&amp;I3&amp;","&amp;J3&amp;"],"</f>
        <v>"PartA":[96,89,33],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6.3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"PartB":[44,"Angus Walker",22,"Angus Walker",11,"William Kim",7,"Angus Walker"],</v>
      </c>
      <c r="K44" s="76" t="s">
        <v>136</v>
      </c>
      <c r="M44" s="91">
        <f>MAX(Table1114[Points])</f>
        <v>44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3.4</v>
      </c>
    </row>
    <row r="45" spans="1:16" ht="14.25" customHeight="1" x14ac:dyDescent="0.45">
      <c r="I45" s="76" t="str">
        <f>K45&amp;O43&amp;","&amp;O44&amp;","&amp;O45&amp;","&amp;O46&amp;","&amp;O47&amp;","&amp;O48&amp;"],"</f>
        <v>"PartC":[6.3,3.4,1.6,0.6,5.6,5.2],</v>
      </c>
      <c r="K45" s="76" t="s">
        <v>137</v>
      </c>
      <c r="M45" s="91">
        <f>MAX(Table1114[Finishes])</f>
        <v>22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"PartD":[46,35,56.8,48,54,47.1],</v>
      </c>
      <c r="K46" s="76" t="s">
        <v>138</v>
      </c>
      <c r="M46" s="91">
        <f>MAX(Table1114[Midranges])</f>
        <v>11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5.6</v>
      </c>
    </row>
    <row r="48" spans="1:16" ht="14.25" customHeight="1" x14ac:dyDescent="0.45">
      <c r="O48" s="76">
        <f>ROUND(I3/'Stats Global'!AA6,1)</f>
        <v>5.2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" priority="1" operator="equal">
      <formula>AH3</formula>
    </cfRule>
    <cfRule type="cellIs" dxfId="1" priority="2" operator="lessThan">
      <formula>AH3</formula>
    </cfRule>
    <cfRule type="cellIs" dxfId="0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23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70</v>
      </c>
      <c r="I3" s="81">
        <f>SUM(C7:C40)</f>
        <v>101</v>
      </c>
      <c r="J3" s="78">
        <f>SUM(D7:D40)</f>
        <v>31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16</v>
      </c>
      <c r="Q4" s="93">
        <f>'Stats Global'!AB11</f>
        <v>1.3333333333333333</v>
      </c>
      <c r="R4" s="93">
        <f>'Stats Global'!AC11</f>
        <v>16</v>
      </c>
      <c r="S4" s="93">
        <f>'Stats Global'!AD11</f>
        <v>1.3333333333333333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5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19</v>
      </c>
      <c r="Q5" s="93">
        <f>'Stats Global'!AB12</f>
        <v>1.2666666666666666</v>
      </c>
      <c r="R5" s="93">
        <f>'Stats Global'!AC12</f>
        <v>8</v>
      </c>
      <c r="S5" s="93">
        <f>'Stats Global'!AD12</f>
        <v>0.53333333333333333</v>
      </c>
      <c r="T5" s="93">
        <f>'Stats Global'!AE12</f>
        <v>7</v>
      </c>
      <c r="U5" s="93">
        <f>'Stats Global'!AF12</f>
        <v>0.46666666666666667</v>
      </c>
      <c r="V5" s="93">
        <f>'Stats Global'!AG12</f>
        <v>2</v>
      </c>
      <c r="W5" s="93">
        <f>'Stats Global'!AH12</f>
        <v>0.13333333333333333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12</v>
      </c>
      <c r="Q6" s="93">
        <f>'Stats Global'!AB20</f>
        <v>0.8571428571428571</v>
      </c>
      <c r="R6" s="93">
        <f>'Stats Global'!AC20</f>
        <v>9</v>
      </c>
      <c r="S6" s="93">
        <f>'Stats Global'!AD20</f>
        <v>0.6428571428571429</v>
      </c>
      <c r="T6" s="93">
        <f>'Stats Global'!AE20</f>
        <v>1</v>
      </c>
      <c r="U6" s="93">
        <f>'Stats Global'!AF20</f>
        <v>7.1428571428571425E-2</v>
      </c>
      <c r="V6" s="93">
        <f>'Stats Global'!AG20</f>
        <v>1</v>
      </c>
      <c r="W6" s="93">
        <f>'Stats Global'!AH20</f>
        <v>7.1428571428571425E-2</v>
      </c>
      <c r="X6" s="93">
        <f>'Stats Global'!AJ20</f>
        <v>3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10</v>
      </c>
      <c r="Q7" s="93">
        <f>'Stats Global'!AB18</f>
        <v>0.58823529411764708</v>
      </c>
      <c r="R7" s="93">
        <f>'Stats Global'!AC18</f>
        <v>2</v>
      </c>
      <c r="S7" s="93">
        <f>'Stats Global'!AD18</f>
        <v>0.11764705882352941</v>
      </c>
      <c r="T7" s="93">
        <f>'Stats Global'!AE18</f>
        <v>8</v>
      </c>
      <c r="U7" s="93">
        <f>'Stats Global'!AF18</f>
        <v>0.47058823529411764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17</v>
      </c>
      <c r="Q9" s="110">
        <f>'Stats Global'!AB15</f>
        <v>1.5454545454545454</v>
      </c>
      <c r="R9" s="110">
        <f>'Stats Global'!AC15</f>
        <v>1</v>
      </c>
      <c r="S9" s="110">
        <f>'Stats Global'!AD15</f>
        <v>9.0909090909090912E-2</v>
      </c>
      <c r="T9" s="110">
        <f>'Stats Global'!AE15</f>
        <v>2</v>
      </c>
      <c r="U9" s="110">
        <f>'Stats Global'!AF15</f>
        <v>0.18181818181818182</v>
      </c>
      <c r="V9" s="110">
        <f>'Stats Global'!AG15</f>
        <v>7</v>
      </c>
      <c r="W9" s="110">
        <f>'Stats Global'!AH15</f>
        <v>0.63636363636363635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0.54545454545454541</v>
      </c>
      <c r="R10" s="110">
        <f>'Stats Global'!AC24</f>
        <v>4</v>
      </c>
      <c r="S10" s="110">
        <f>'Stats Global'!AD24</f>
        <v>0.36363636363636365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9.0909090909090912E-2</v>
      </c>
      <c r="X10" s="110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Global'!I25</f>
        <v>0</v>
      </c>
      <c r="C24" s="82">
        <f>'Stats Global'!J25+'Stats Global'!K25</f>
        <v>0</v>
      </c>
      <c r="D24" s="82">
        <f>'Stats Global'!P25</f>
        <v>0</v>
      </c>
      <c r="E24" s="86"/>
      <c r="F24" s="80"/>
      <c r="H24" s="87"/>
      <c r="J24" s="83"/>
      <c r="L24" s="84">
        <f>'Stats Global'!N25</f>
        <v>0</v>
      </c>
      <c r="M24" s="84">
        <f>'Stats Global'!K25</f>
        <v>0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0.40935672514619881</v>
      </c>
      <c r="J41" s="83"/>
      <c r="K41" s="76" t="s">
        <v>94</v>
      </c>
      <c r="L41" s="97">
        <f>SUM(L7:L40)</f>
        <v>35</v>
      </c>
      <c r="M41" s="97">
        <f>SUM(M7:M40)</f>
        <v>55</v>
      </c>
      <c r="N41" s="83"/>
      <c r="O41" s="83"/>
      <c r="P41" s="56"/>
    </row>
    <row r="42" spans="1:16" ht="14.25" customHeight="1" x14ac:dyDescent="0.45">
      <c r="L42" s="88">
        <f>L41/(M41+L41)</f>
        <v>0.3888888888888889</v>
      </c>
      <c r="P42" s="56"/>
    </row>
    <row r="43" spans="1:16" ht="14.25" customHeight="1" x14ac:dyDescent="0.45">
      <c r="J43" s="89" t="str">
        <f>L43&amp;H3&amp;","&amp;I3&amp;","&amp;J3&amp;"],"</f>
        <v>"PartA":[70,101,31],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4.4000000000000004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"PartB":[19,"Michael Iffland",16,"Rudy Hoschke",8,"Ryan Pattemore",7,"Clarrie Jones"],</v>
      </c>
      <c r="L44" s="76" t="s">
        <v>136</v>
      </c>
      <c r="N44" s="91">
        <f>MAX(Table1113[Points])</f>
        <v>19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"PartC":[4.4,2.1,1.1,0.6,4.1,5.9],</v>
      </c>
      <c r="L45" s="76" t="s">
        <v>137</v>
      </c>
      <c r="N45" s="91">
        <f>MAX(Table1113[Finishes])</f>
        <v>16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"PartD":[35,46,43.2,35,55,38.9],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7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4.0999999999999996</v>
      </c>
    </row>
    <row r="48" spans="1:16" ht="14.25" customHeight="1" x14ac:dyDescent="0.45">
      <c r="P48" s="76">
        <f>ROUND(I3/'Stats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109</v>
      </c>
      <c r="I3" s="81">
        <f>SUM(C7:C40)</f>
        <v>83</v>
      </c>
      <c r="J3" s="78">
        <f>SUM(D7:D40)</f>
        <v>38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59</v>
      </c>
      <c r="N5" s="93">
        <f>'Stats Global'!AB17</f>
        <v>3.6875</v>
      </c>
      <c r="O5" s="93">
        <f>'Stats Global'!AC17</f>
        <v>15</v>
      </c>
      <c r="P5" s="93">
        <f>'Stats Global'!AD17</f>
        <v>0.9375</v>
      </c>
      <c r="Q5" s="93">
        <f>'Stats Global'!AE17</f>
        <v>34</v>
      </c>
      <c r="R5" s="93">
        <f>'Stats Global'!AF17</f>
        <v>2.125</v>
      </c>
      <c r="S5" s="93">
        <f>'Stats Global'!AG17</f>
        <v>5</v>
      </c>
      <c r="T5" s="93">
        <f>'Stats Global'!AH17</f>
        <v>0.3125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30</v>
      </c>
      <c r="N6" s="93">
        <f>'Stats Global'!AB10</f>
        <v>3.3333333333333335</v>
      </c>
      <c r="O6" s="93">
        <f>'Stats Global'!AC10</f>
        <v>28</v>
      </c>
      <c r="P6" s="93">
        <f>'Stats Global'!AD10</f>
        <v>3.1111111111111112</v>
      </c>
      <c r="Q6" s="93">
        <f>'Stats Global'!AE10</f>
        <v>0</v>
      </c>
      <c r="R6" s="93">
        <f>'Stats Global'!AF10</f>
        <v>0</v>
      </c>
      <c r="S6" s="93">
        <f>'Stats Global'!AG10</f>
        <v>1</v>
      </c>
      <c r="T6" s="93">
        <f>'Stats Global'!AH10</f>
        <v>0.1111111111111111</v>
      </c>
      <c r="U6" s="93">
        <f>'Stats Global'!AJ10</f>
        <v>8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13</v>
      </c>
      <c r="N7" s="93">
        <f>'Stats Global'!AB13</f>
        <v>0.9285714285714286</v>
      </c>
      <c r="O7" s="93">
        <f>'Stats Global'!AC13</f>
        <v>10</v>
      </c>
      <c r="P7" s="93">
        <f>'Stats Global'!AD13</f>
        <v>0.7142857142857143</v>
      </c>
      <c r="Q7" s="93">
        <f>'Stats Global'!AE13</f>
        <v>3</v>
      </c>
      <c r="R7" s="93">
        <f>'Stats Global'!AF13</f>
        <v>0.21428571428571427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11</v>
      </c>
      <c r="N8" s="93">
        <f>'Stats Global'!AB14</f>
        <v>0.6470588235294118</v>
      </c>
      <c r="O8" s="93">
        <f>'Stats Global'!AC14</f>
        <v>6</v>
      </c>
      <c r="P8" s="93">
        <f>'Stats Global'!AD14</f>
        <v>0.35294117647058826</v>
      </c>
      <c r="Q8" s="93">
        <f>'Stats Global'!AE14</f>
        <v>3</v>
      </c>
      <c r="R8" s="93">
        <f>'Stats Global'!AF14</f>
        <v>0.17647058823529413</v>
      </c>
      <c r="S8" s="93">
        <f>'Stats Global'!AG14</f>
        <v>1</v>
      </c>
      <c r="T8" s="93">
        <f>'Stats Global'!AH14</f>
        <v>5.8823529411764705E-2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0.16666666666666666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0.16666666666666666</v>
      </c>
      <c r="S9" s="93">
        <f>'Stats Global'!AG19</f>
        <v>0</v>
      </c>
      <c r="T9" s="93">
        <f>'Stats Global'!AH19</f>
        <v>0</v>
      </c>
      <c r="U9" s="93">
        <f>'Stats Global'!AJ19</f>
        <v>11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5.8823529411764705E-2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5.8823529411764705E-2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>
        <f>'Stats Global'!B25</f>
        <v>0</v>
      </c>
      <c r="B24" s="82">
        <f>'Stats Global'!L25</f>
        <v>0</v>
      </c>
      <c r="C24" s="82">
        <f>'Stats Global'!M25+'Stats Global'!N25</f>
        <v>0</v>
      </c>
      <c r="D24" s="82">
        <f>'Stats Global'!Q25</f>
        <v>0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"PartA":[109,83,38],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"PartB":[59,"Samuel McConaghy",28,"Alexander Galt",34,"Samuel McConaghy",5,"Samuel McConaghy"],</v>
      </c>
      <c r="M33" s="76" t="s">
        <v>136</v>
      </c>
      <c r="O33" s="91">
        <f>MAX(Table11[Points])</f>
        <v>59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3.7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"PartC":[7.1,3.7,2.4,0.5,6.4,4.9],</v>
      </c>
      <c r="M34" s="76" t="s">
        <v>137</v>
      </c>
      <c r="O34" s="91">
        <f>MAX(Table11[Finishes])</f>
        <v>28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2.4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"PartD":[54,48,52.9,55,35,61.1],</v>
      </c>
      <c r="M35" s="76" t="s">
        <v>138</v>
      </c>
      <c r="O35" s="91">
        <f>MAX(Table11[Midranges])</f>
        <v>34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0.5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6.4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4.9000000000000004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0.56770833333333337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C31" activeCellId="3" sqref="C6:E10 C13:E21 C24:E28 C31:E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SfW</vt:lpstr>
      <vt:lpstr>Stats Global</vt:lpstr>
      <vt:lpstr>Statistics LG</vt:lpstr>
      <vt:lpstr>Statistics WW</vt:lpstr>
      <vt:lpstr>Statistics 5M</vt:lpstr>
      <vt:lpstr>Template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2023-08-17T04:25:07Z</dcterms:modified>
</cp:coreProperties>
</file>