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BE09D0D-8520-42D8-A3B0-08D6C4E2920B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3107" sheetId="18" r:id="rId7"/>
    <sheet name="2707" sheetId="17" r:id="rId8"/>
    <sheet name="2607" sheetId="16" r:id="rId9"/>
    <sheet name="2407" sheetId="15" r:id="rId10"/>
    <sheet name="2007" sheetId="14" r:id="rId11"/>
    <sheet name="1907" sheetId="13" r:id="rId12"/>
    <sheet name="1807" sheetId="12" r:id="rId13"/>
    <sheet name="1707" sheetId="11" r:id="rId14"/>
    <sheet name="Preseason 3" sheetId="10" r:id="rId15"/>
    <sheet name="Preseason 2" sheetId="9" r:id="rId16"/>
    <sheet name="Preseason 1" sheetId="8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3" l="1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10" i="18" l="1"/>
  <c r="R30" i="18" s="1"/>
  <c r="R17" i="18"/>
  <c r="R37" i="18" s="1"/>
  <c r="R8" i="18"/>
  <c r="R28" i="18" s="1"/>
  <c r="R6" i="18"/>
  <c r="R26" i="18" s="1"/>
  <c r="G45" i="18"/>
  <c r="G15" i="3" s="1"/>
  <c r="AV3" i="3"/>
  <c r="AY8" i="3" s="1"/>
  <c r="AO64" i="3"/>
  <c r="AS64" i="3" s="1"/>
  <c r="AO62" i="3"/>
  <c r="AS62" i="3" s="1"/>
  <c r="AO60" i="3"/>
  <c r="AO58" i="3"/>
  <c r="AO56" i="3"/>
  <c r="AS56" i="3" s="1"/>
  <c r="AO54" i="3"/>
  <c r="AS54" i="3" s="1"/>
  <c r="AO52" i="3"/>
  <c r="AS52" i="3" s="1"/>
  <c r="AO50" i="3"/>
  <c r="AS50" i="3" s="1"/>
  <c r="T47" i="18"/>
  <c r="M45" i="18"/>
  <c r="M15" i="3" s="1"/>
  <c r="R9" i="18"/>
  <c r="R14" i="18"/>
  <c r="AO49" i="3"/>
  <c r="AN64" i="3"/>
  <c r="AR64" i="3" s="1"/>
  <c r="AN62" i="3"/>
  <c r="AR62" i="3" s="1"/>
  <c r="AN60" i="3"/>
  <c r="AN58" i="3"/>
  <c r="AR58" i="3" s="1"/>
  <c r="AN56" i="3"/>
  <c r="AR56" i="3" s="1"/>
  <c r="AN54" i="3"/>
  <c r="AN52" i="3"/>
  <c r="AN50" i="3"/>
  <c r="AR50" i="3" s="1"/>
  <c r="AN49" i="3"/>
  <c r="AR49" i="3" s="1"/>
  <c r="AM64" i="3"/>
  <c r="AQ64" i="3" s="1"/>
  <c r="AM62" i="3"/>
  <c r="AQ62" i="3" s="1"/>
  <c r="AM60" i="3"/>
  <c r="AQ60" i="3" s="1"/>
  <c r="AM58" i="3"/>
  <c r="AQ58" i="3" s="1"/>
  <c r="AM56" i="3"/>
  <c r="AM54" i="3"/>
  <c r="AQ54" i="3" s="1"/>
  <c r="AM52" i="3"/>
  <c r="AQ52" i="3" s="1"/>
  <c r="AM50" i="3"/>
  <c r="AQ50" i="3" s="1"/>
  <c r="K45" i="18"/>
  <c r="K15" i="3" s="1"/>
  <c r="R7" i="18"/>
  <c r="AM49" i="3"/>
  <c r="AL56" i="3"/>
  <c r="AP56" i="3" s="1"/>
  <c r="AO65" i="3"/>
  <c r="AS65" i="3" s="1"/>
  <c r="AO63" i="3"/>
  <c r="AS63" i="3" s="1"/>
  <c r="AO61" i="3"/>
  <c r="AS61" i="3" s="1"/>
  <c r="AO59" i="3"/>
  <c r="AS59" i="3" s="1"/>
  <c r="AO57" i="3"/>
  <c r="AS57" i="3" s="1"/>
  <c r="AO55" i="3"/>
  <c r="AS55" i="3" s="1"/>
  <c r="AO53" i="3"/>
  <c r="AS53" i="3" s="1"/>
  <c r="AO51" i="3"/>
  <c r="AN65" i="3"/>
  <c r="AR65" i="3" s="1"/>
  <c r="AN63" i="3"/>
  <c r="AR63" i="3" s="1"/>
  <c r="AN61" i="3"/>
  <c r="AR61" i="3" s="1"/>
  <c r="AN59" i="3"/>
  <c r="AR59" i="3" s="1"/>
  <c r="AN57" i="3"/>
  <c r="AR57" i="3" s="1"/>
  <c r="AN55" i="3"/>
  <c r="AR55" i="3" s="1"/>
  <c r="AN53" i="3"/>
  <c r="AR53" i="3" s="1"/>
  <c r="AN51" i="3"/>
  <c r="AR51" i="3" s="1"/>
  <c r="E45" i="18"/>
  <c r="E15" i="3" s="1"/>
  <c r="R4" i="18"/>
  <c r="AM65" i="3"/>
  <c r="AQ65" i="3" s="1"/>
  <c r="AM63" i="3"/>
  <c r="AM61" i="3"/>
  <c r="AQ61" i="3" s="1"/>
  <c r="AM59" i="3"/>
  <c r="AQ59" i="3" s="1"/>
  <c r="AM57" i="3"/>
  <c r="AQ57" i="3" s="1"/>
  <c r="AM55" i="3"/>
  <c r="AM53" i="3"/>
  <c r="AQ53" i="3" s="1"/>
  <c r="AM51" i="3"/>
  <c r="AQ51" i="3" s="1"/>
  <c r="R18" i="18"/>
  <c r="R3" i="18"/>
  <c r="R16" i="18"/>
  <c r="AL63" i="3"/>
  <c r="AP63" i="3" s="1"/>
  <c r="AL61" i="3"/>
  <c r="AP61" i="3" s="1"/>
  <c r="AS51" i="3"/>
  <c r="AQ63" i="3"/>
  <c r="AJ9" i="3"/>
  <c r="AP9" i="3" s="1"/>
  <c r="AS49" i="3"/>
  <c r="AQ49" i="3"/>
  <c r="AJ8" i="3"/>
  <c r="AY5" i="3" s="1"/>
  <c r="AQ55" i="3"/>
  <c r="AR54" i="3"/>
  <c r="AS58" i="3"/>
  <c r="AR60" i="3"/>
  <c r="AR52" i="3"/>
  <c r="AS60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A21" i="3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Z17" i="3"/>
  <c r="BA11" i="3"/>
  <c r="BA6" i="3"/>
  <c r="AY14" i="3"/>
  <c r="G45" i="17"/>
  <c r="G14" i="3" s="1"/>
  <c r="AD49" i="3"/>
  <c r="AC64" i="3"/>
  <c r="AC62" i="3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E62" i="3" s="1"/>
  <c r="AA54" i="3"/>
  <c r="AA50" i="3"/>
  <c r="AD65" i="3"/>
  <c r="AD63" i="3"/>
  <c r="AD61" i="3"/>
  <c r="AD59" i="3"/>
  <c r="AD57" i="3"/>
  <c r="AD55" i="3"/>
  <c r="AH55" i="3" s="1"/>
  <c r="AD53" i="3"/>
  <c r="AH53" i="3" s="1"/>
  <c r="AD51" i="3"/>
  <c r="AH51" i="3" s="1"/>
  <c r="N5" i="17"/>
  <c r="R10" i="17"/>
  <c r="R15" i="17"/>
  <c r="AC65" i="3"/>
  <c r="AC63" i="3"/>
  <c r="AC61" i="3"/>
  <c r="AG61" i="3" s="1"/>
  <c r="AC59" i="3"/>
  <c r="AG59" i="3" s="1"/>
  <c r="AC57" i="3"/>
  <c r="AG57" i="3" s="1"/>
  <c r="AC55" i="3"/>
  <c r="AC53" i="3"/>
  <c r="AC51" i="3"/>
  <c r="E45" i="17"/>
  <c r="E14" i="3" s="1"/>
  <c r="C45" i="17"/>
  <c r="C14" i="3" s="1"/>
  <c r="AB65" i="3"/>
  <c r="AF65" i="3" s="1"/>
  <c r="AB63" i="3"/>
  <c r="AB61" i="3"/>
  <c r="AF61" i="3" s="1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D58" i="3"/>
  <c r="AD56" i="3"/>
  <c r="AD54" i="3"/>
  <c r="AD52" i="3"/>
  <c r="AH52" i="3" s="1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M45" i="15"/>
  <c r="M12" i="3" s="1"/>
  <c r="AH60" i="3"/>
  <c r="AH58" i="3"/>
  <c r="AH56" i="3"/>
  <c r="AH54" i="3"/>
  <c r="AH50" i="3"/>
  <c r="T47" i="15"/>
  <c r="G45" i="15"/>
  <c r="G12" i="3" s="1"/>
  <c r="R8" i="15"/>
  <c r="AG64" i="3"/>
  <c r="AG62" i="3"/>
  <c r="AG60" i="3"/>
  <c r="AG52" i="3"/>
  <c r="AG50" i="3"/>
  <c r="AF64" i="3"/>
  <c r="AF62" i="3"/>
  <c r="AF54" i="3"/>
  <c r="AF52" i="3"/>
  <c r="AF57" i="3"/>
  <c r="N4" i="15"/>
  <c r="R6" i="15"/>
  <c r="AF49" i="3"/>
  <c r="R18" i="15"/>
  <c r="AH65" i="3"/>
  <c r="AH61" i="3"/>
  <c r="AH57" i="3"/>
  <c r="K45" i="15"/>
  <c r="K12" i="3" s="1"/>
  <c r="N3" i="15"/>
  <c r="R4" i="15"/>
  <c r="R3" i="15"/>
  <c r="AG65" i="3"/>
  <c r="AG63" i="3"/>
  <c r="AG53" i="3"/>
  <c r="AG51" i="3"/>
  <c r="AH63" i="3"/>
  <c r="AF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L54" i="3" l="1"/>
  <c r="AP54" i="3" s="1"/>
  <c r="AL52" i="3"/>
  <c r="AP52" i="3" s="1"/>
  <c r="D45" i="18"/>
  <c r="D15" i="3" s="1"/>
  <c r="C15" i="3"/>
  <c r="R33" i="18"/>
  <c r="AL59" i="3"/>
  <c r="AP59" i="3" s="1"/>
  <c r="R34" i="18"/>
  <c r="AL60" i="3"/>
  <c r="AP60" i="3" s="1"/>
  <c r="O4" i="18"/>
  <c r="Q45" i="18" s="1"/>
  <c r="Q15" i="3" s="1"/>
  <c r="R25" i="18"/>
  <c r="AL51" i="3"/>
  <c r="AP51" i="3" s="1"/>
  <c r="R29" i="18"/>
  <c r="AL55" i="3"/>
  <c r="AP55" i="3" s="1"/>
  <c r="R32" i="18"/>
  <c r="AL58" i="3"/>
  <c r="AP58" i="3" s="1"/>
  <c r="R36" i="18"/>
  <c r="AL62" i="3"/>
  <c r="AP62" i="3" s="1"/>
  <c r="R23" i="18"/>
  <c r="AL49" i="3"/>
  <c r="AP49" i="3" s="1"/>
  <c r="R31" i="18"/>
  <c r="AL57" i="3"/>
  <c r="AP57" i="3" s="1"/>
  <c r="R24" i="18"/>
  <c r="AL50" i="3"/>
  <c r="AP50" i="3" s="1"/>
  <c r="R39" i="18"/>
  <c r="AL65" i="3"/>
  <c r="AP65" i="3" s="1"/>
  <c r="R38" i="18"/>
  <c r="AL64" i="3"/>
  <c r="AP64" i="3" s="1"/>
  <c r="R27" i="18"/>
  <c r="AL53" i="3"/>
  <c r="AP53" i="3" s="1"/>
  <c r="O3" i="18"/>
  <c r="O45" i="18" s="1"/>
  <c r="O15" i="3" s="1"/>
  <c r="O5" i="18"/>
  <c r="P45" i="18" s="1"/>
  <c r="P15" i="3" s="1"/>
  <c r="AA53" i="3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8" l="1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5" l="1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<sst xmlns="http://schemas.openxmlformats.org/spreadsheetml/2006/main" count="2209" uniqueCount="260">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</sst>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1"/>
    <xf numFmtId="9" fontId="20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22" fillId="0" borderId="0" xfId="0" applyFont="1"/>
    <xf numFmtId="0" fontId="21" fillId="0" borderId="1" xfId="0" applyFont="1" applyBorder="1"/>
    <xf numFmtId="2" fontId="21" fillId="0" borderId="0" xfId="0" applyNumberFormat="1" applyFont="1"/>
    <xf numFmtId="164" fontId="23" fillId="0" borderId="0" xfId="0" applyNumberFormat="1" applyFont="1"/>
    <xf numFmtId="0" fontId="22" fillId="0" borderId="0" xfId="0" applyFont="1" applyAlignment="1"/>
    <xf numFmtId="2" fontId="20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10" fontId="21" fillId="0" borderId="0" xfId="0" applyNumberFormat="1" applyFont="1"/>
    <xf numFmtId="0" fontId="20" fillId="0" borderId="0" xfId="0" applyFont="1"/>
    <xf numFmtId="16" fontId="20" fillId="0" borderId="0" xfId="0" applyNumberFormat="1" applyFont="1" applyAlignment="1"/>
    <xf numFmtId="0" fontId="25" fillId="0" borderId="0" xfId="0" applyFont="1" applyAlignment="1"/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5" fillId="0" borderId="3" xfId="0" applyFont="1" applyFill="1" applyBorder="1"/>
    <xf numFmtId="0" fontId="25" fillId="0" borderId="4" xfId="0" applyFont="1" applyFill="1" applyBorder="1"/>
    <xf numFmtId="0" fontId="25" fillId="0" borderId="4" xfId="0" applyFont="1" applyFill="1" applyBorder="1" applyAlignment="1"/>
    <xf numFmtId="0" fontId="26" fillId="0" borderId="4" xfId="0" applyFont="1" applyFill="1" applyBorder="1" applyAlignment="1"/>
    <xf numFmtId="0" fontId="22" fillId="0" borderId="5" xfId="0" applyFont="1" applyFill="1" applyBorder="1"/>
    <xf numFmtId="0" fontId="0" fillId="0" borderId="0" xfId="0"/>
    <xf numFmtId="0" fontId="31" fillId="0" borderId="0" xfId="0" applyFont="1"/>
    <xf numFmtId="9" fontId="0" fillId="0" borderId="0" xfId="2" applyFont="1" applyAlignment="1"/>
    <xf numFmtId="0" fontId="25" fillId="0" borderId="0" xfId="0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1" fontId="0" fillId="0" borderId="0" xfId="0" quotePrefix="1" applyNumberFormat="1" applyFont="1" applyFill="1" applyAlignment="1"/>
    <xf numFmtId="2" fontId="21" fillId="0" borderId="0" xfId="0" applyNumberFormat="1" applyFont="1" applyFill="1"/>
    <xf numFmtId="1" fontId="20" fillId="0" borderId="0" xfId="0" applyNumberFormat="1" applyFont="1" applyFill="1" applyAlignment="1"/>
    <xf numFmtId="0" fontId="20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6" fillId="0" borderId="5" xfId="0" applyFont="1" applyFill="1" applyBorder="1" applyAlignment="1"/>
    <xf numFmtId="9" fontId="0" fillId="0" borderId="0" xfId="0" applyNumberFormat="1" applyFont="1" applyAlignment="1"/>
    <xf numFmtId="0" fontId="2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5" fillId="0" borderId="0" xfId="0" applyFont="1" applyAlignment="1">
      <alignment horizontal="center"/>
    </xf>
    <xf numFmtId="0" fontId="19" fillId="0" borderId="0" xfId="0" applyFont="1" applyAlignment="1"/>
    <xf numFmtId="165" fontId="31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7" fillId="0" borderId="0" xfId="0" applyFont="1" applyAlignment="1"/>
    <xf numFmtId="16" fontId="18" fillId="0" borderId="0" xfId="0" applyNumberFormat="1" applyFont="1" applyAlignment="1"/>
    <xf numFmtId="0" fontId="20" fillId="0" borderId="0" xfId="0" applyFont="1" applyFill="1" applyAlignment="1"/>
    <xf numFmtId="0" fontId="29" fillId="0" borderId="1" xfId="1" applyNumberFormat="1"/>
    <xf numFmtId="0" fontId="30" fillId="0" borderId="1" xfId="0" applyFont="1" applyBorder="1" applyAlignment="1">
      <alignment horizontal="center"/>
    </xf>
    <xf numFmtId="49" fontId="21" fillId="0" borderId="0" xfId="0" applyNumberFormat="1" applyFont="1"/>
    <xf numFmtId="0" fontId="22" fillId="3" borderId="0" xfId="0" applyFont="1" applyFill="1"/>
    <xf numFmtId="0" fontId="20" fillId="3" borderId="0" xfId="0" applyFont="1" applyFill="1"/>
    <xf numFmtId="0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2" fillId="0" borderId="1" xfId="0" applyFont="1" applyFill="1" applyBorder="1"/>
    <xf numFmtId="9" fontId="0" fillId="0" borderId="1" xfId="2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0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1" fillId="0" borderId="2" xfId="0" applyNumberFormat="1" applyFont="1" applyFill="1" applyBorder="1"/>
    <xf numFmtId="1" fontId="20" fillId="0" borderId="2" xfId="0" applyNumberFormat="1" applyFont="1" applyFill="1" applyBorder="1" applyAlignment="1"/>
    <xf numFmtId="0" fontId="20" fillId="0" borderId="2" xfId="0" applyFont="1" applyFill="1" applyBorder="1"/>
    <xf numFmtId="1" fontId="21" fillId="0" borderId="6" xfId="0" applyNumberFormat="1" applyFont="1" applyFill="1" applyBorder="1"/>
    <xf numFmtId="0" fontId="11" fillId="0" borderId="0" xfId="0" applyFont="1" applyAlignment="1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1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1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9" fontId="21" fillId="0" borderId="1" xfId="2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20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" fontId="21" fillId="0" borderId="1" xfId="0" applyNumberFormat="1" applyFont="1" applyFill="1" applyBorder="1" applyAlignment="1">
      <alignment vertical="center"/>
    </xf>
    <xf numFmtId="0" fontId="30" fillId="0" borderId="1" xfId="0" applyFont="1" applyBorder="1" applyAlignment="1"/>
    <xf numFmtId="0" fontId="10" fillId="0" borderId="0" xfId="0" applyFont="1" applyAlignment="1"/>
    <xf numFmtId="0" fontId="10" fillId="0" borderId="0" xfId="0" applyFont="1"/>
    <xf numFmtId="0" fontId="21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" xfId="0" applyFont="1" applyFill="1" applyBorder="1"/>
    <xf numFmtId="0" fontId="33" fillId="0" borderId="1" xfId="0" applyFont="1" applyFill="1" applyBorder="1" applyAlignment="1"/>
    <xf numFmtId="0" fontId="34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3" borderId="2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1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1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9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7" fillId="0" borderId="0" xfId="0" applyNumberFormat="1" applyFont="1"/>
    <xf numFmtId="16" fontId="21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1" fontId="20" fillId="0" borderId="0" xfId="0" applyNumberFormat="1" applyFont="1" applyFill="1"/>
    <xf numFmtId="0" fontId="0" fillId="0" borderId="1" xfId="2" applyNumberFormat="1" applyFont="1" applyFill="1" applyBorder="1" applyAlignment="1"/>
    <xf numFmtId="10" fontId="25" fillId="0" borderId="1" xfId="2" applyNumberFormat="1" applyFont="1" applyFill="1" applyBorder="1" applyAlignment="1"/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0" fillId="3" borderId="2" xfId="0" applyNumberFormat="1" applyFont="1" applyFill="1" applyBorder="1" applyAlignment="1"/>
    <xf numFmtId="0" fontId="21" fillId="3" borderId="2" xfId="0" applyNumberFormat="1" applyFont="1" applyFill="1" applyBorder="1"/>
    <xf numFmtId="1" fontId="16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2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" fillId="0" borderId="0" xfId="0" applyFont="1" applyAlignment="1"/>
    <xf numFmtId="0" fontId="3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0.67567567567567566</c:v>
                </c:pt>
                <c:pt idx="1">
                  <c:v>0.1891891891891892</c:v>
                </c:pt>
                <c:pt idx="2">
                  <c:v>0.13513513513513514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1">
  <autoFilter ref="AU4:BA21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</calculatedColumnFormula>
    </tableColumn>
    <tableColumn id="3" xr3:uid="{6CA15B41-F560-4B43-8836-163F5BB5689C}" name="Finishes" dataDxfId="97">
      <calculatedColumnFormula>'3107'!S3</calculatedColumnFormula>
    </tableColumn>
    <tableColumn id="4" xr3:uid="{8FF05262-0051-44F7-966E-8D405318BA69}" name="Midranges" dataDxfId="96">
      <calculatedColumnFormula>'3107'!T3</calculatedColumnFormula>
    </tableColumn>
    <tableColumn id="5" xr3:uid="{F0D843FC-7A93-4C9A-BCCF-E789F7811B3B}" name="Threes" dataDxfId="95">
      <calculatedColumnFormula>'3107'!U3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0.375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0.375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1.1428571428571428</v>
      </c>
      <c r="E4" s="12">
        <f>'Stats Global'!AA9</f>
        <v>8</v>
      </c>
      <c r="F4" s="8">
        <f>'Stats Global'!AD9</f>
        <v>1.1428571428571428</v>
      </c>
      <c r="G4" s="12">
        <f>'Stats Global'!AC9</f>
        <v>8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0.66666666666666663</v>
      </c>
      <c r="E7" s="12">
        <f>'Stats Global'!AA12</f>
        <v>4</v>
      </c>
      <c r="F7" s="8">
        <f>'Stats Global'!AD12</f>
        <v>0.16666666666666666</v>
      </c>
      <c r="G7" s="12">
        <f>'Stats Global'!AC12</f>
        <v>1</v>
      </c>
      <c r="H7" s="8">
        <f>'Stats Global'!AF12</f>
        <v>0.16666666666666666</v>
      </c>
      <c r="I7" s="12">
        <f>'Stats Global'!AE12</f>
        <v>1</v>
      </c>
      <c r="J7" s="8">
        <f>'Stats Global'!AH12</f>
        <v>0.16666666666666666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0.42857142857142855</v>
      </c>
      <c r="E8" s="12">
        <f>'Stats Global'!AA13</f>
        <v>3</v>
      </c>
      <c r="F8" s="8">
        <f>'Stats Global'!AD13</f>
        <v>0.2857142857142857</v>
      </c>
      <c r="G8" s="12">
        <f>'Stats Global'!AC13</f>
        <v>2</v>
      </c>
      <c r="H8" s="8">
        <f>'Stats Global'!AF13</f>
        <v>0.14285714285714285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</v>
      </c>
      <c r="E9" s="12">
        <f>'Stats Global'!AA14</f>
        <v>4</v>
      </c>
      <c r="F9" s="8">
        <f>'Stats Global'!AD14</f>
        <v>0.375</v>
      </c>
      <c r="G9" s="12">
        <f>'Stats Global'!AC14</f>
        <v>3</v>
      </c>
      <c r="H9" s="8">
        <f>'Stats Global'!AF14</f>
        <v>0.125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2.125</v>
      </c>
      <c r="E11" s="12">
        <f>'Stats Global'!AA16</f>
        <v>17</v>
      </c>
      <c r="F11" s="8">
        <f>'Stats Global'!AD16</f>
        <v>0.875</v>
      </c>
      <c r="G11" s="12">
        <f>'Stats Global'!AC16</f>
        <v>7</v>
      </c>
      <c r="H11" s="8">
        <f>'Stats Global'!AF16</f>
        <v>0.75</v>
      </c>
      <c r="I11" s="12">
        <f>'Stats Global'!AE16</f>
        <v>6</v>
      </c>
      <c r="J11" s="8">
        <f>'Stats Global'!AH16</f>
        <v>0.25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16</v>
      </c>
      <c r="F12" s="8">
        <f>'Stats Global'!AD17</f>
        <v>0.25</v>
      </c>
      <c r="G12" s="12">
        <f>'Stats Global'!AC17</f>
        <v>2</v>
      </c>
      <c r="H12" s="8">
        <f>'Stats Global'!AF17</f>
        <v>1.5</v>
      </c>
      <c r="I12" s="12">
        <f>'Stats Global'!AE17</f>
        <v>12</v>
      </c>
      <c r="J12" s="8">
        <f>'Stats Global'!AH17</f>
        <v>0.125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0.75</v>
      </c>
      <c r="E13" s="12">
        <f>'Stats Global'!AA18</f>
        <v>6</v>
      </c>
      <c r="F13" s="8">
        <f>'Stats Global'!AD18</f>
        <v>0.125</v>
      </c>
      <c r="G13" s="12">
        <f>'Stats Global'!AC18</f>
        <v>1</v>
      </c>
      <c r="H13" s="8">
        <f>'Stats Global'!AF18</f>
        <v>0.625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0.5</v>
      </c>
      <c r="E15" s="12">
        <f>'Stats Global'!AA20</f>
        <v>4</v>
      </c>
      <c r="F15" s="8">
        <f>'Stats Global'!AD20</f>
        <v>0.375</v>
      </c>
      <c r="G15" s="12">
        <f>'Stats Global'!AC20</f>
        <v>3</v>
      </c>
      <c r="H15" s="8">
        <f>'Stats Global'!AF20</f>
        <v>0.125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1.25</v>
      </c>
      <c r="E16" s="12">
        <f>'Stats Global'!AA21</f>
        <v>10</v>
      </c>
      <c r="F16" s="8">
        <f>'Stats Global'!AD21</f>
        <v>0.75</v>
      </c>
      <c r="G16" s="12">
        <f>'Stats Global'!AC21</f>
        <v>6</v>
      </c>
      <c r="H16" s="8">
        <f>'Stats Global'!AF21</f>
        <v>0.25</v>
      </c>
      <c r="I16" s="12">
        <f>'Stats Global'!AE21</f>
        <v>2</v>
      </c>
      <c r="J16" s="8">
        <f>'Stats Global'!AH21</f>
        <v>0.125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3.125</v>
      </c>
      <c r="E17" s="12">
        <f>'Stats Global'!AA22</f>
        <v>25</v>
      </c>
      <c r="F17" s="8">
        <f>'Stats Global'!AD22</f>
        <v>1.5</v>
      </c>
      <c r="G17" s="12">
        <f>'Stats Global'!AC22</f>
        <v>12</v>
      </c>
      <c r="H17" s="8">
        <f>'Stats Global'!AF22</f>
        <v>0.875</v>
      </c>
      <c r="I17" s="12">
        <f>'Stats Global'!AE22</f>
        <v>7</v>
      </c>
      <c r="J17" s="8">
        <f>'Stats Global'!AH22</f>
        <v>0.375</v>
      </c>
      <c r="K17" s="12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0.125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0.125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6" t="s">
        <v>119</v>
      </c>
      <c r="C22" s="156"/>
      <c r="D22" s="102"/>
      <c r="X22" s="2" t="s">
        <v>70</v>
      </c>
    </row>
    <row r="23" spans="2:24" ht="14.25" customHeight="1" x14ac:dyDescent="0.9">
      <c r="B23" s="156"/>
      <c r="C23" s="156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"PPG":[0.38,1.14,4,1,0.67,0.43,0.5,1,2.13,2,0.75,0,0.5,1.25,3.13,0.13,0],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"TP":[3,8,12,5,4,3,4,2,17,16,6,0,4,10,25,1,0],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"FPG":[0,1.14,3.33,1,0.17,0.29,0.38,0,0.88,0.25,0.13,0,0.38,0.75,1.5,0,0],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"TF":[0,8,10,5,1,2,3,0,7,2,1,0,3,6,12,0,0],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"MPG":[0.38,0,0,0,0.17,0.14,0.13,0,0.75,1.5,0.63,0,0.13,0.25,0.88,0.13,0],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"TM":[3,0,0,0,1,1,1,0,6,12,5,0,1,2,7,1,0],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"TPG":[0,0,0.33,0,0.17,0,0,0.5,0.25,0.13,0,0,0,0.13,0.38,0,0],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"TT":[0,0,1,0,1,0,0,1,2,1,0,0,0,1,3,0,0],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0.38,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0.38,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1.14,</v>
      </c>
      <c r="E51" s="18" t="str">
        <f t="shared" si="7"/>
        <v>8,</v>
      </c>
      <c r="F51" s="18" t="str">
        <f t="shared" si="8"/>
        <v>1.14,</v>
      </c>
      <c r="G51" s="18" t="str">
        <f t="shared" si="9"/>
        <v>8,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0.67,</v>
      </c>
      <c r="E54" s="18" t="str">
        <f t="shared" si="7"/>
        <v>4,</v>
      </c>
      <c r="F54" s="18" t="str">
        <f t="shared" si="8"/>
        <v>0.17,</v>
      </c>
      <c r="G54" s="18" t="str">
        <f t="shared" si="9"/>
        <v>1,</v>
      </c>
      <c r="H54" s="18" t="str">
        <f t="shared" si="10"/>
        <v>0.17,</v>
      </c>
      <c r="I54" s="18" t="str">
        <f t="shared" si="11"/>
        <v>1,</v>
      </c>
      <c r="J54" s="18" t="str">
        <f t="shared" si="12"/>
        <v>0.17,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0.43,</v>
      </c>
      <c r="E55" s="18" t="str">
        <f t="shared" si="7"/>
        <v>3,</v>
      </c>
      <c r="F55" s="18" t="str">
        <f t="shared" si="8"/>
        <v>0.29,</v>
      </c>
      <c r="G55" s="18" t="str">
        <f t="shared" si="9"/>
        <v>2,</v>
      </c>
      <c r="H55" s="18" t="str">
        <f t="shared" si="10"/>
        <v>0.14,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0.5,</v>
      </c>
      <c r="E56" s="18" t="str">
        <f t="shared" si="7"/>
        <v>4,</v>
      </c>
      <c r="F56" s="18" t="str">
        <f t="shared" si="8"/>
        <v>0.38,</v>
      </c>
      <c r="G56" s="18" t="str">
        <f t="shared" si="9"/>
        <v>3,</v>
      </c>
      <c r="H56" s="18" t="str">
        <f t="shared" si="10"/>
        <v>0.13,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2.13,</v>
      </c>
      <c r="E58" s="18" t="str">
        <f t="shared" si="7"/>
        <v>17,</v>
      </c>
      <c r="F58" s="18" t="str">
        <f t="shared" si="8"/>
        <v>0.88,</v>
      </c>
      <c r="G58" s="18" t="str">
        <f t="shared" si="9"/>
        <v>7,</v>
      </c>
      <c r="H58" s="18" t="str">
        <f t="shared" si="10"/>
        <v>0.75,</v>
      </c>
      <c r="I58" s="18" t="str">
        <f t="shared" si="11"/>
        <v>6,</v>
      </c>
      <c r="J58" s="18" t="str">
        <f t="shared" si="12"/>
        <v>0.25,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16,</v>
      </c>
      <c r="F59" s="18" t="str">
        <f t="shared" si="8"/>
        <v>0.25,</v>
      </c>
      <c r="G59" s="18" t="str">
        <f t="shared" si="9"/>
        <v>2,</v>
      </c>
      <c r="H59" s="18" t="str">
        <f t="shared" si="10"/>
        <v>1.5,</v>
      </c>
      <c r="I59" s="18" t="str">
        <f t="shared" si="11"/>
        <v>12,</v>
      </c>
      <c r="J59" s="18" t="str">
        <f t="shared" si="12"/>
        <v>0.13,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0.75,</v>
      </c>
      <c r="E60" s="18" t="str">
        <f t="shared" si="7"/>
        <v>6,</v>
      </c>
      <c r="F60" s="18" t="str">
        <f t="shared" si="8"/>
        <v>0.13,</v>
      </c>
      <c r="G60" s="18" t="str">
        <f t="shared" si="9"/>
        <v>1,</v>
      </c>
      <c r="H60" s="18" t="str">
        <f t="shared" si="10"/>
        <v>0.63,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0.5,</v>
      </c>
      <c r="E62" s="18" t="str">
        <f t="shared" si="7"/>
        <v>4,</v>
      </c>
      <c r="F62" s="18" t="str">
        <f t="shared" si="8"/>
        <v>0.38,</v>
      </c>
      <c r="G62" s="18" t="str">
        <f t="shared" si="9"/>
        <v>3,</v>
      </c>
      <c r="H62" s="18" t="str">
        <f t="shared" si="10"/>
        <v>0.13,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1.25,</v>
      </c>
      <c r="E63" s="18" t="str">
        <f t="shared" si="7"/>
        <v>10,</v>
      </c>
      <c r="F63" s="18" t="str">
        <f t="shared" si="8"/>
        <v>0.75,</v>
      </c>
      <c r="G63" s="18" t="str">
        <f t="shared" si="9"/>
        <v>6,</v>
      </c>
      <c r="H63" s="18" t="str">
        <f t="shared" si="10"/>
        <v>0.25,</v>
      </c>
      <c r="I63" s="18" t="str">
        <f t="shared" si="11"/>
        <v>2,</v>
      </c>
      <c r="J63" s="18" t="str">
        <f t="shared" si="12"/>
        <v>0.13,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3.13,</v>
      </c>
      <c r="E64" s="18" t="str">
        <f t="shared" si="7"/>
        <v>25,</v>
      </c>
      <c r="F64" s="18" t="str">
        <f t="shared" si="8"/>
        <v>1.5,</v>
      </c>
      <c r="G64" s="18" t="str">
        <f t="shared" si="9"/>
        <v>12,</v>
      </c>
      <c r="H64" s="18" t="str">
        <f t="shared" si="10"/>
        <v>0.88,</v>
      </c>
      <c r="I64" s="18" t="str">
        <f t="shared" si="11"/>
        <v>7,</v>
      </c>
      <c r="J64" s="18" t="str">
        <f t="shared" si="12"/>
        <v>0.38,</v>
      </c>
      <c r="K64" s="18" t="str">
        <f t="shared" si="13"/>
        <v>3,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0.13,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0.13,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6" t="s">
        <v>119</v>
      </c>
      <c r="U41" s="156"/>
      <c r="V41" s="156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topLeftCell="D24" zoomScale="70" zoomScaleNormal="70" workbookViewId="0">
      <selection activeCell="AL48" sqref="AL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AA6-3</f>
        <v>5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0.42105263157894735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0.6</v>
      </c>
      <c r="AZ5" s="17">
        <f>Table4[[#This Row],[Total A]]/$AV$3</f>
        <v>0.2</v>
      </c>
      <c r="BA5" s="17">
        <f>Table4[[#This Row],[Total S]]/$AV$3</f>
        <v>0.6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13.875</v>
      </c>
      <c r="T6" s="126">
        <f>AVERAGE(C8:C40)</f>
        <v>9.375</v>
      </c>
      <c r="U6" s="126">
        <f t="shared" ref="U6:V6" si="0">AVERAGE(D8:D40)</f>
        <v>2.625</v>
      </c>
      <c r="V6" s="126">
        <f t="shared" si="0"/>
        <v>1.875</v>
      </c>
      <c r="Z6" s="72" t="s">
        <v>167</v>
      </c>
      <c r="AA6" s="9">
        <f>AA47+AA67+AL27+AL47+AL67+AA87+AL87</f>
        <v>8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2.6</v>
      </c>
      <c r="AZ6" s="17">
        <f>Table4[[#This Row],[Total A]]/$AV$3</f>
        <v>0</v>
      </c>
      <c r="BA6" s="17">
        <f>Table4[[#This Row],[Total S]]/$AV$3</f>
        <v>0.6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0.67567567567567566</v>
      </c>
      <c r="U7" s="6">
        <f>U6/$S$6</f>
        <v>0.1891891891891892</v>
      </c>
      <c r="V7" s="6">
        <f>V6/$S$6</f>
        <v>0.13513513513513514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</v>
      </c>
      <c r="AZ7" s="17">
        <f>Table4[[#This Row],[Total A]]/$AV$3</f>
        <v>0.6</v>
      </c>
      <c r="BA7" s="17">
        <f>Table4[[#This Row],[Total S]]/$AV$3</f>
        <v>0.4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0.375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0.375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1.1169467787114846</v>
      </c>
      <c r="AN8" s="132">
        <f>MEDIAN(Table1[Average])</f>
        <v>0.75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</v>
      </c>
      <c r="AZ8" s="17">
        <f>Table4[[#This Row],[Total A]]/$AV$3</f>
        <v>0.2</v>
      </c>
      <c r="BA8" s="17">
        <f>Table4[[#This Row],[Total S]]/$AV$3</f>
        <v>0.4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8</v>
      </c>
      <c r="AB9" s="68">
        <f>IF($AA$6-Table1[[#This Row],[Missed Games]]=0, 0,Table1[[#This Row],[Points]]/($AA$6-Table1[[#This Row],[Missed Games]]))</f>
        <v>1.1428571428571428</v>
      </c>
      <c r="AC9" s="69">
        <f t="shared" si="2"/>
        <v>8</v>
      </c>
      <c r="AD9" s="70">
        <f>IF($AA$6-Table1[[#This Row],[Missed Games]]=0, 0,Table1[[#This Row],[Finishes]]/($AA$6-Table1[[#This Row],[Missed Games]]))</f>
        <v>1.1428571428571428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3.5294117647058822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0.72727272727272729</v>
      </c>
      <c r="AR9" s="143">
        <f>AP9-Table1[[#This Row],[Points]]</f>
        <v>3</v>
      </c>
      <c r="AS9" s="149">
        <f>Table1[[#This Row],[Points]]/(20-AA$5-Table1[[#This Row],[Missed Games]])</f>
        <v>0.44444444444444442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1.2</v>
      </c>
      <c r="AZ9" s="17">
        <f>Table4[[#This Row],[Total A]]/$AV$3</f>
        <v>0.2</v>
      </c>
      <c r="BA9" s="17">
        <f>Table4[[#This Row],[Total S]]/$AV$3</f>
        <v>0.2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12</v>
      </c>
      <c r="AB10" s="68">
        <f>IF($AA$6-Table1[[#This Row],[Missed Games]]=0, 0,Table1[[#This Row],[Points]]/($AA$6-Table1[[#This Row],[Missed Games]]))</f>
        <v>4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1</v>
      </c>
      <c r="AH10" s="70">
        <f>IF($AA$6-Table1[[#This Row],[Missed Games]]=0, 0,Table1[[#This Row],[Threes]]/($AA$6-Table1[[#This Row],[Missed Games]]))</f>
        <v>0.33333333333333331</v>
      </c>
      <c r="AI10" s="66" t="str">
        <f>SfW!C5</f>
        <v>5 Musketeers</v>
      </c>
      <c r="AJ10" s="71">
        <f t="shared" si="5"/>
        <v>5</v>
      </c>
      <c r="AK10" s="65"/>
      <c r="AL10" s="133" t="s">
        <v>220</v>
      </c>
      <c r="AM10" s="132">
        <f>AVERAGE(Table1[Midranges])</f>
        <v>2.3529411764705883</v>
      </c>
      <c r="AN10" s="132">
        <f>MEDIAN(Table1[Midranges])</f>
        <v>1</v>
      </c>
      <c r="AO10" s="37"/>
      <c r="AP10" s="19">
        <f>_xlfn.CEILING.MATH('[1]Stats Global'!R10*(20-$AA$5-$AJ10))</f>
        <v>44</v>
      </c>
      <c r="AQ10" s="28">
        <f>Table1[[#This Row],[Points]]/AP10</f>
        <v>0.27272727272727271</v>
      </c>
      <c r="AR10" s="143">
        <f>AP10-Table1[[#This Row],[Points]]</f>
        <v>32</v>
      </c>
      <c r="AS10" s="149">
        <f>Table1[[#This Row],[Points]]/(20-AA$5-Table1[[#This Row],[Missed Games]])</f>
        <v>0.8571428571428571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1.2</v>
      </c>
      <c r="AZ10" s="17">
        <f>Table4[[#This Row],[Total A]]/$AV$3</f>
        <v>0.4</v>
      </c>
      <c r="BA10" s="17">
        <f>Table4[[#This Row],[Total S]]/$AV$3</f>
        <v>0.2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3</v>
      </c>
      <c r="AK11" s="65"/>
      <c r="AL11" s="133" t="s">
        <v>3</v>
      </c>
      <c r="AM11" s="132">
        <f>AVERAGE(Table1[Threes])</f>
        <v>0.58823529411764708</v>
      </c>
      <c r="AN11" s="132">
        <f>MEDIAN(Table1[Threes])</f>
        <v>0</v>
      </c>
      <c r="AO11" s="37"/>
      <c r="AP11" s="19">
        <f>_xlfn.CEILING.MATH('[1]Stats Global'!R11*(20-$AA$5-$AJ11))</f>
        <v>45</v>
      </c>
      <c r="AQ11" s="28">
        <f>Table1[[#This Row],[Points]]/AP11</f>
        <v>0.1111111111111111</v>
      </c>
      <c r="AR11" s="143">
        <f>AP11-Table1[[#This Row],[Points]]</f>
        <v>40</v>
      </c>
      <c r="AS11" s="149">
        <f>Table1[[#This Row],[Points]]/(20-AA$5-Table1[[#This Row],[Missed Games]])</f>
        <v>0.3125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1.8</v>
      </c>
      <c r="AZ11" s="17">
        <f>Table4[[#This Row],[Total A]]/$AV$3</f>
        <v>0</v>
      </c>
      <c r="BA11" s="17">
        <f>Table4[[#This Row],[Total S]]/$AV$3</f>
        <v>0.4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4</v>
      </c>
      <c r="AB12" s="68">
        <f>IF($AA$6-Table1[[#This Row],[Missed Games]]=0, 0,Table1[[#This Row],[Points]]/($AA$6-Table1[[#This Row],[Missed Games]]))</f>
        <v>0.66666666666666663</v>
      </c>
      <c r="AC12" s="69">
        <f t="shared" si="2"/>
        <v>1</v>
      </c>
      <c r="AD12" s="70">
        <f>IF($AA$6-Table1[[#This Row],[Missed Games]]=0, 0,Table1[[#This Row],[Finishes]]/($AA$6-Table1[[#This Row],[Missed Games]]))</f>
        <v>0.16666666666666666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0.16666666666666666</v>
      </c>
      <c r="AG12" s="69">
        <f t="shared" si="4"/>
        <v>1</v>
      </c>
      <c r="AH12" s="70">
        <f>IF($AA$6-Table1[[#This Row],[Missed Games]]=0, 0,Table1[[#This Row],[Threes]]/($AA$6-Table1[[#This Row],[Missed Games]]))</f>
        <v>0.16666666666666666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0.11428571428571428</v>
      </c>
      <c r="AR12" s="143">
        <f>AP12-Table1[[#This Row],[Points]]</f>
        <v>31</v>
      </c>
      <c r="AS12" s="149">
        <f>Table1[[#This Row],[Points]]/(20-AA$5-Table1[[#This Row],[Missed Games]])</f>
        <v>0.23529411764705882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0.42857142857142855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0.2857142857142857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0.14285714285714285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2.8</v>
      </c>
      <c r="AZ13" s="17">
        <f>Table4[[#This Row],[Total A]]/$AV$3</f>
        <v>0.6</v>
      </c>
      <c r="BA13" s="17">
        <f>Table4[[#This Row],[Total S]]/$AV$3</f>
        <v>0.4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</v>
      </c>
      <c r="AC14" s="69">
        <f t="shared" si="2"/>
        <v>3</v>
      </c>
      <c r="AD14" s="70">
        <f>IF($AA$6-Table1[[#This Row],[Missed Games]]=0, 0,Table1[[#This Row],[Finishes]]/($AA$6-Table1[[#This Row],[Missed Games]]))</f>
        <v>0.375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0.125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2.8</v>
      </c>
      <c r="AZ14" s="17">
        <f>Table4[[#This Row],[Total A]]/$AV$3</f>
        <v>0.4</v>
      </c>
      <c r="BA14" s="17">
        <f>Table4[[#This Row],[Total S]]/$AV$3</f>
        <v>0</v>
      </c>
    </row>
    <row r="15" spans="2:53" ht="14.25" customHeight="1" x14ac:dyDescent="0.45">
      <c r="B15" s="122" t="str">
        <f>'3107'!B45</f>
        <v>31-July</v>
      </c>
      <c r="C15" s="122">
        <f>'3107'!C45</f>
        <v>9</v>
      </c>
      <c r="D15" s="122">
        <f>'3107'!D45</f>
        <v>4</v>
      </c>
      <c r="E15" s="122">
        <f>'3107'!E45</f>
        <v>3</v>
      </c>
      <c r="F15" s="122">
        <f>'3107'!F45</f>
        <v>9</v>
      </c>
      <c r="G15" s="122">
        <f>'3107'!G45</f>
        <v>2</v>
      </c>
      <c r="H15" s="122">
        <f>'3107'!H45</f>
        <v>1</v>
      </c>
      <c r="I15" s="122">
        <f>'3107'!I45</f>
        <v>4</v>
      </c>
      <c r="J15" s="122">
        <f>'3107'!J45</f>
        <v>4</v>
      </c>
      <c r="K15" s="122">
        <f>'3107'!K45</f>
        <v>2</v>
      </c>
      <c r="L15" s="122">
        <f>'3107'!L45</f>
        <v>3</v>
      </c>
      <c r="M15" s="122">
        <f>'3107'!M45</f>
        <v>5</v>
      </c>
      <c r="N15" s="122">
        <f>'3107'!N45</f>
        <v>2</v>
      </c>
      <c r="O15" s="122">
        <f>'3107'!O45</f>
        <v>3</v>
      </c>
      <c r="P15" s="122">
        <f>'3107'!P45</f>
        <v>2</v>
      </c>
      <c r="Q15" s="122">
        <f>'3107'!Q45</f>
        <v>1</v>
      </c>
      <c r="Z15" s="75" t="s">
        <v>63</v>
      </c>
      <c r="AA15" s="67">
        <f t="shared" si="1"/>
        <v>2</v>
      </c>
      <c r="AB15" s="68">
        <f>IF($AA$6-Table1[[#This Row],[Missed Games]]=0, 0,Table1[[#This Row],[Points]]/($AA$6-Table1[[#This Row],[Missed Games]]))</f>
        <v>1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1</v>
      </c>
      <c r="AH15" s="70">
        <f>IF($AA$6-Table1[[#This Row],[Missed Games]]=0, 0,Table1[[#This Row],[Threes]]/($AA$6-Table1[[#This Row],[Missed Games]]))</f>
        <v>0.5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9.5238095238095233E-2</v>
      </c>
      <c r="AR15" s="143">
        <f>AP15-Table1[[#This Row],[Points]]</f>
        <v>19</v>
      </c>
      <c r="AS15" s="149">
        <f>Table1[[#This Row],[Points]]/(20-AA$5-Table1[[#This Row],[Missed Games]])</f>
        <v>0.15384615384615385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</v>
      </c>
      <c r="AZ15" s="17">
        <f>Table4[[#This Row],[Total A]]/$AV$3</f>
        <v>0</v>
      </c>
      <c r="BA15" s="17">
        <f>Table4[[#This Row],[Total S]]/$AV$3</f>
        <v>1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17</v>
      </c>
      <c r="AB16" s="68">
        <f>IF($AA$6-Table1[[#This Row],[Missed Games]]=0, 0,Table1[[#This Row],[Points]]/($AA$6-Table1[[#This Row],[Missed Games]]))</f>
        <v>2.125</v>
      </c>
      <c r="AC16" s="69">
        <f t="shared" si="2"/>
        <v>7</v>
      </c>
      <c r="AD16" s="70">
        <f>IF($AA$6-Table1[[#This Row],[Missed Games]]=0, 0,Table1[[#This Row],[Finishes]]/($AA$6-Table1[[#This Row],[Missed Games]]))</f>
        <v>0.875</v>
      </c>
      <c r="AE16" s="69">
        <f t="shared" si="3"/>
        <v>6</v>
      </c>
      <c r="AF16" s="70">
        <f>IF($AA$6-Table1[[#This Row],[Missed Games]]=0, 0,Table1[[#This Row],[Midranges]]/($AA$6-Table1[[#This Row],[Missed Games]]))</f>
        <v>0.75</v>
      </c>
      <c r="AG16" s="69">
        <f t="shared" si="4"/>
        <v>2</v>
      </c>
      <c r="AH16" s="70">
        <f>IF($AA$6-Table1[[#This Row],[Missed Games]]=0, 0,Table1[[#This Row],[Threes]]/($AA$6-Table1[[#This Row],[Missed Games]]))</f>
        <v>0.25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0.62962962962962965</v>
      </c>
      <c r="AR16" s="143">
        <f>AP16-Table1[[#This Row],[Points]]</f>
        <v>10</v>
      </c>
      <c r="AS16" s="149">
        <f>Table1[[#This Row],[Points]]/(20-AA$5-Table1[[#This Row],[Missed Games]])</f>
        <v>0.89473684210526316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0.6</v>
      </c>
      <c r="AZ16" s="17">
        <f>Table4[[#This Row],[Total A]]/$AV$3</f>
        <v>0.2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16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0.25</v>
      </c>
      <c r="AE17" s="69">
        <f t="shared" si="3"/>
        <v>12</v>
      </c>
      <c r="AF17" s="70">
        <f>IF($AA$6-Table1[[#This Row],[Missed Games]]=0, 0,Table1[[#This Row],[Midranges]]/($AA$6-Table1[[#This Row],[Missed Games]]))</f>
        <v>1.5</v>
      </c>
      <c r="AG17" s="69">
        <f t="shared" si="4"/>
        <v>1</v>
      </c>
      <c r="AH17" s="70">
        <f>IF($AA$6-Table1[[#This Row],[Missed Games]]=0, 0,Table1[[#This Row],[Threes]]/($AA$6-Table1[[#This Row],[Missed Games]]))</f>
        <v>0.125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0.32653061224489793</v>
      </c>
      <c r="AR17" s="143">
        <f>AP17-Table1[[#This Row],[Points]]</f>
        <v>33</v>
      </c>
      <c r="AS17" s="149">
        <f>Table1[[#This Row],[Points]]/(20-AA$5-Table1[[#This Row],[Missed Games]])</f>
        <v>0.84210526315789469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1.6</v>
      </c>
      <c r="AZ17" s="17">
        <f>Table4[[#This Row],[Total A]]/$AV$3</f>
        <v>0.2</v>
      </c>
      <c r="BA17" s="17">
        <f>Table4[[#This Row],[Total S]]/$AV$3</f>
        <v>0.6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0.75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0.125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0.625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2.4</v>
      </c>
      <c r="AZ18" s="17">
        <f>Table4[[#This Row],[Total A]]/$AV$3</f>
        <v>0.4</v>
      </c>
      <c r="BA18" s="17">
        <f>Table4[[#This Row],[Total S]]/$AV$3</f>
        <v>0.4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4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2.2000000000000002</v>
      </c>
      <c r="AZ19" s="17">
        <f>Table4[[#This Row],[Total A]]/$AV$3</f>
        <v>1.4</v>
      </c>
      <c r="BA19" s="17">
        <f>Table4[[#This Row],[Total S]]/$AV$3</f>
        <v>0.6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4</v>
      </c>
      <c r="AB20" s="68">
        <f>IF($AA$6-Table1[[#This Row],[Missed Games]]=0, 0,Table1[[#This Row],[Points]]/($AA$6-Table1[[#This Row],[Missed Games]]))</f>
        <v>0.5</v>
      </c>
      <c r="AC20" s="69">
        <f t="shared" si="2"/>
        <v>3</v>
      </c>
      <c r="AD20" s="119">
        <f>IF($AA$6-Table1[[#This Row],[Missed Games]]=0, 0,Table1[[#This Row],[Finishes]]/($AA$6-Table1[[#This Row],[Missed Games]]))</f>
        <v>0.375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0.125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0.19047619047619047</v>
      </c>
      <c r="AR20" s="143">
        <f>AP20-Table1[[#This Row],[Points]]</f>
        <v>17</v>
      </c>
      <c r="AS20" s="149">
        <f>Table1[[#This Row],[Points]]/(20-AA$5-Table1[[#This Row],[Missed Games]])</f>
        <v>0.21052631578947367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0.8</v>
      </c>
      <c r="AZ20" s="17">
        <f>Table4[[#This Row],[Total A]]/$AV$3</f>
        <v>0.2</v>
      </c>
      <c r="BA20" s="17">
        <f>Table4[[#This Row],[Total S]]/$AV$3</f>
        <v>0.4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10</v>
      </c>
      <c r="AB21" s="68">
        <f>IF($AA$6-Table1[[#This Row],[Missed Games]]=0, 0,Table1[[#This Row],[Points]]/($AA$6-Table1[[#This Row],[Missed Games]]))</f>
        <v>1.25</v>
      </c>
      <c r="AC21" s="69">
        <f t="shared" si="2"/>
        <v>6</v>
      </c>
      <c r="AD21" s="119">
        <f>IF($AA$6-Table1[[#This Row],[Missed Games]]=0, 0,Table1[[#This Row],[Finishes]]/($AA$6-Table1[[#This Row],[Missed Games]]))</f>
        <v>0.75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0.25</v>
      </c>
      <c r="AG21" s="69">
        <f t="shared" si="4"/>
        <v>1</v>
      </c>
      <c r="AH21" s="119">
        <f>IF($AA$6-Table1[[#This Row],[Missed Games]]=0, 0,Table1[[#This Row],[Threes]]/($AA$6-Table1[[#This Row],[Missed Games]]))</f>
        <v>0.125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0.47619047619047616</v>
      </c>
      <c r="AR21" s="143">
        <f>AP21-Table1[[#This Row],[Points]]</f>
        <v>11</v>
      </c>
      <c r="AS21" s="149">
        <f>Table1[[#This Row],[Points]]/(20-AA$5-Table1[[#This Row],[Missed Games]])</f>
        <v>0.52631578947368418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25</v>
      </c>
      <c r="AB22" s="68">
        <f>IF($AA$6-Table1[[#This Row],[Missed Games]]=0, 0,Table1[[#This Row],[Points]]/($AA$6-Table1[[#This Row],[Missed Games]]))</f>
        <v>3.125</v>
      </c>
      <c r="AC22" s="69">
        <f t="shared" si="2"/>
        <v>12</v>
      </c>
      <c r="AD22" s="119">
        <f>IF($AA$6-Table1[[#This Row],[Missed Games]]=0, 0,Table1[[#This Row],[Finishes]]/($AA$6-Table1[[#This Row],[Missed Games]]))</f>
        <v>1.5</v>
      </c>
      <c r="AE22" s="69">
        <f t="shared" si="3"/>
        <v>7</v>
      </c>
      <c r="AF22" s="119">
        <f>IF($AA$6-Table1[[#This Row],[Missed Games]]=0, 0,Table1[[#This Row],[Midranges]]/($AA$6-Table1[[#This Row],[Missed Games]]))</f>
        <v>0.875</v>
      </c>
      <c r="AG22" s="69">
        <f t="shared" si="4"/>
        <v>3</v>
      </c>
      <c r="AH22" s="119">
        <f>IF($AA$6-Table1[[#This Row],[Missed Games]]=0, 0,Table1[[#This Row],[Threes]]/($AA$6-Table1[[#This Row],[Missed Games]]))</f>
        <v>0.375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0.53191489361702127</v>
      </c>
      <c r="AR22" s="143">
        <f>AP22-Table1[[#This Row],[Points]]</f>
        <v>22</v>
      </c>
      <c r="AS22" s="149">
        <f>Table1[[#This Row],[Points]]/(20-AA$5-Table1[[#This Row],[Missed Games]])</f>
        <v>1.3157894736842106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0.125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0.125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20</v>
      </c>
      <c r="T41" s="139">
        <f>S41/SUM(S41:S43)</f>
        <v>0.41666666666666669</v>
      </c>
      <c r="U41" s="145">
        <v>0.32188841201716739</v>
      </c>
      <c r="V41" s="45">
        <v>0.36899999999999999</v>
      </c>
      <c r="W41">
        <f>T41*(6*(20-AA$5))</f>
        <v>47.5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11</v>
      </c>
      <c r="T42" s="145">
        <f>S42/SUM(S41:S43)</f>
        <v>0.22916666666666666</v>
      </c>
      <c r="U42" s="145">
        <v>0.35193133047210301</v>
      </c>
      <c r="V42" s="45">
        <v>0.26200000000000001</v>
      </c>
      <c r="W42" s="17">
        <f t="shared" ref="W42:W43" si="6">T42*(6*(20-AA$5))</f>
        <v>26.125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17</v>
      </c>
      <c r="T43" s="145">
        <f>S43/SUM(S41:S43)</f>
        <v>0.35416666666666669</v>
      </c>
      <c r="U43" s="145">
        <v>0.3261802575107296</v>
      </c>
      <c r="V43" s="45">
        <v>0.36899999999999999</v>
      </c>
      <c r="W43" s="17">
        <f t="shared" si="6"/>
        <v>40.375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1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60</v>
      </c>
      <c r="V49" s="18">
        <f>U49/AA6</f>
        <v>7.5</v>
      </c>
      <c r="W49" s="28">
        <f>U49/SUM($U$49:$U$51)</f>
        <v>0.54545454545454541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>
        <f>'3107'!R3</f>
        <v>0</v>
      </c>
      <c r="AM49" s="32">
        <f>'3107'!S3</f>
        <v>0</v>
      </c>
      <c r="AN49" s="32">
        <f>'3107'!T3</f>
        <v>0</v>
      </c>
      <c r="AO49" s="32">
        <f>'3107'!U3</f>
        <v>0</v>
      </c>
      <c r="AP49" s="32">
        <f>AL49/($AL$47-Table21124[[#This Row],[Missed Games]])</f>
        <v>0</v>
      </c>
      <c r="AQ49" s="32">
        <f>AM49/($AL$47-Table21124[[#This Row],[Missed Games]])</f>
        <v>0</v>
      </c>
      <c r="AR49" s="32">
        <f>AN49/($AL$47-Table21124[[#This Row],[Missed Games]])</f>
        <v>0</v>
      </c>
      <c r="AS49" s="32">
        <f>AO49/($AL$47-Table21124[[#This Row],[Missed Games]])</f>
        <v>0</v>
      </c>
      <c r="AT49" s="32">
        <f>COUNTIF('3107'!V3, "TRUE")</f>
        <v>0</v>
      </c>
    </row>
    <row r="50" spans="19:46" ht="14.25" customHeight="1" x14ac:dyDescent="0.45">
      <c r="T50" s="14" t="s">
        <v>2</v>
      </c>
      <c r="U50" s="19">
        <f>SUM(Table1[Midranges])</f>
        <v>40</v>
      </c>
      <c r="V50" s="18">
        <f>U50/AA6</f>
        <v>5</v>
      </c>
      <c r="W50" s="28">
        <f>U50/SUM($U$49:$U$51)</f>
        <v>0.36363636363636365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>
        <f>'3107'!R4</f>
        <v>1</v>
      </c>
      <c r="AM50" s="32">
        <f>'3107'!S4</f>
        <v>1</v>
      </c>
      <c r="AN50" s="32">
        <f>'3107'!T4</f>
        <v>0</v>
      </c>
      <c r="AO50" s="32">
        <f>'3107'!U4</f>
        <v>0</v>
      </c>
      <c r="AP50" s="32">
        <f>AL50/($AL$47-Table21124[[#This Row],[Missed Games]])</f>
        <v>1</v>
      </c>
      <c r="AQ50" s="32">
        <f>AM50/($AL$47-Table21124[[#This Row],[Missed Games]])</f>
        <v>1</v>
      </c>
      <c r="AR50" s="32">
        <f>AN50/($AL$47-Table21124[[#This Row],[Missed Games]])</f>
        <v>0</v>
      </c>
      <c r="AS50" s="32">
        <f>AO50/($AL$47-Table21124[[#This Row],[Missed Games]])</f>
        <v>0</v>
      </c>
      <c r="AT50" s="32">
        <f>COUNTIF('3107'!V4, "TRUE")</f>
        <v>0</v>
      </c>
    </row>
    <row r="51" spans="19:46" ht="14.25" customHeight="1" x14ac:dyDescent="0.45">
      <c r="T51" s="14" t="s">
        <v>3</v>
      </c>
      <c r="U51" s="19">
        <f>SUM(Table1[Threes])</f>
        <v>10</v>
      </c>
      <c r="V51" s="18">
        <f>U51/AA6</f>
        <v>1.25</v>
      </c>
      <c r="W51" s="28">
        <f>U51/SUM($U$49:$U$51)</f>
        <v>9.0909090909090912E-2</v>
      </c>
      <c r="Z51" s="49" t="s">
        <v>51</v>
      </c>
      <c r="AA51" s="32">
        <f>'2407'!R5+'2607'!R5+'2707'!R5</f>
        <v>12</v>
      </c>
      <c r="AB51" s="32">
        <f>'2407'!S5+'2607'!S5+'2707'!S5</f>
        <v>10</v>
      </c>
      <c r="AC51" s="32">
        <f>'2407'!T5+'2607'!T5+'2707'!T5</f>
        <v>0</v>
      </c>
      <c r="AD51" s="32">
        <f>'2407'!U5+'2607'!U5+'2707'!U5</f>
        <v>1</v>
      </c>
      <c r="AE51" s="154">
        <f>Table21123[[#This Row],[Points]]/($AA$47-Table21123[[#This Row],[Missed Games]])</f>
        <v>4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0.33333333333333331</v>
      </c>
      <c r="AI51" s="32">
        <f>COUNTIF('2407'!V5, "TRUE")+COUNTIF('2607'!V5, "TRUE")+COUNTIF('2707'!V5, "TRUE")</f>
        <v>0</v>
      </c>
      <c r="AJ51" s="36"/>
      <c r="AK51" s="49" t="s">
        <v>51</v>
      </c>
      <c r="AL51" s="32">
        <f>'3107'!R5</f>
        <v>0</v>
      </c>
      <c r="AM51" s="32">
        <f>'3107'!S5</f>
        <v>0</v>
      </c>
      <c r="AN51" s="32">
        <f>'3107'!T5</f>
        <v>0</v>
      </c>
      <c r="AO51" s="32">
        <f>'3107'!U5</f>
        <v>0</v>
      </c>
      <c r="AP51" s="32" t="e">
        <f>AL51/($AL$47-Table21124[[#This Row],[Missed Games]])</f>
        <v>#DIV/0!</v>
      </c>
      <c r="AQ51" s="32" t="e">
        <f>AM51/($AL$47-Table21124[[#This Row],[Missed Games]])</f>
        <v>#DIV/0!</v>
      </c>
      <c r="AR51" s="32" t="e">
        <f>AN51/($AL$47-Table21124[[#This Row],[Missed Games]])</f>
        <v>#DIV/0!</v>
      </c>
      <c r="AS51" s="32" t="e">
        <f>AO51/($AL$47-Table21124[[#This Row],[Missed Games]])</f>
        <v>#DIV/0!</v>
      </c>
      <c r="AT51" s="32">
        <f>COUNTIF('3107'!V5, "TRUE")</f>
        <v>1</v>
      </c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>
        <f>'3107'!R6</f>
        <v>0</v>
      </c>
      <c r="AM52" s="32">
        <f>'3107'!S6</f>
        <v>0</v>
      </c>
      <c r="AN52" s="32">
        <f>'3107'!T6</f>
        <v>0</v>
      </c>
      <c r="AO52" s="32">
        <f>'3107'!U6</f>
        <v>0</v>
      </c>
      <c r="AP52" s="32" t="e">
        <f>AL52/($AL$47-Table21124[[#This Row],[Missed Games]])</f>
        <v>#DIV/0!</v>
      </c>
      <c r="AQ52" s="32" t="e">
        <f>AM52/($AL$47-Table21124[[#This Row],[Missed Games]])</f>
        <v>#DIV/0!</v>
      </c>
      <c r="AR52" s="32" t="e">
        <f>AN52/($AL$47-Table21124[[#This Row],[Missed Games]])</f>
        <v>#DIV/0!</v>
      </c>
      <c r="AS52" s="32" t="e">
        <f>AO52/($AL$47-Table21124[[#This Row],[Missed Games]])</f>
        <v>#DIV/0!</v>
      </c>
      <c r="AT52" s="32">
        <f>COUNTIF('3107'!V6, "TRUE")</f>
        <v>1</v>
      </c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>
        <f>'3107'!R7</f>
        <v>3</v>
      </c>
      <c r="AM53" s="32">
        <f>'3107'!S7</f>
        <v>1</v>
      </c>
      <c r="AN53" s="32">
        <f>'3107'!T7</f>
        <v>0</v>
      </c>
      <c r="AO53" s="32">
        <f>'3107'!U7</f>
        <v>1</v>
      </c>
      <c r="AP53" s="32">
        <f>AL53/($AL$47-Table21124[[#This Row],[Missed Games]])</f>
        <v>3</v>
      </c>
      <c r="AQ53" s="32">
        <f>AM53/($AL$47-Table21124[[#This Row],[Missed Games]])</f>
        <v>1</v>
      </c>
      <c r="AR53" s="32">
        <f>AN53/($AL$47-Table21124[[#This Row],[Missed Games]])</f>
        <v>0</v>
      </c>
      <c r="AS53" s="32">
        <f>AO53/($AL$47-Table21124[[#This Row],[Missed Games]])</f>
        <v>1</v>
      </c>
      <c r="AT53" s="32">
        <f>COUNTIF('3107'!V7, "TRUE")</f>
        <v>0</v>
      </c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>
        <f>'3107'!R8</f>
        <v>0</v>
      </c>
      <c r="AM54" s="32">
        <f>'3107'!S8</f>
        <v>0</v>
      </c>
      <c r="AN54" s="32">
        <f>'3107'!T8</f>
        <v>0</v>
      </c>
      <c r="AO54" s="32">
        <f>'3107'!U8</f>
        <v>0</v>
      </c>
      <c r="AP54" s="32">
        <f>AL54/($AL$47-Table21124[[#This Row],[Missed Games]])</f>
        <v>0</v>
      </c>
      <c r="AQ54" s="32">
        <f>AM54/($AL$47-Table21124[[#This Row],[Missed Games]])</f>
        <v>0</v>
      </c>
      <c r="AR54" s="32">
        <f>AN54/($AL$47-Table21124[[#This Row],[Missed Games]])</f>
        <v>0</v>
      </c>
      <c r="AS54" s="32">
        <f>AO54/($AL$47-Table21124[[#This Row],[Missed Games]])</f>
        <v>0</v>
      </c>
      <c r="AT54" s="32">
        <f>COUNTIF('3107'!V8, "TRUE")</f>
        <v>0</v>
      </c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0.76923076923076927</v>
      </c>
      <c r="V55" s="39">
        <f>'Statistics LG'!O42</f>
        <v>0.61363636363636365</v>
      </c>
      <c r="W55" s="39">
        <f>AVERAGE(U55:V55)</f>
        <v>0.69143356643356646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>
        <f>'3107'!R9</f>
        <v>0</v>
      </c>
      <c r="AM55" s="32">
        <f>'3107'!S9</f>
        <v>0</v>
      </c>
      <c r="AN55" s="32">
        <f>'3107'!T9</f>
        <v>0</v>
      </c>
      <c r="AO55" s="32">
        <f>'3107'!U9</f>
        <v>0</v>
      </c>
      <c r="AP55" s="32">
        <f>AL55/($AL$47-Table21124[[#This Row],[Missed Games]])</f>
        <v>0</v>
      </c>
      <c r="AQ55" s="32">
        <f>AM55/($AL$47-Table21124[[#This Row],[Missed Games]])</f>
        <v>0</v>
      </c>
      <c r="AR55" s="32">
        <f>AN55/($AL$47-Table21124[[#This Row],[Missed Games]])</f>
        <v>0</v>
      </c>
      <c r="AS55" s="32">
        <f>AO55/($AL$47-Table21124[[#This Row],[Missed Games]])</f>
        <v>0</v>
      </c>
      <c r="AT55" s="32">
        <f>COUNTIF('3107'!V9, "TRUE")</f>
        <v>0</v>
      </c>
    </row>
    <row r="56" spans="19:46" ht="14.25" customHeight="1" x14ac:dyDescent="0.45">
      <c r="S56" s="14" t="s">
        <v>133</v>
      </c>
      <c r="T56" s="39">
        <f>1-'Statistics LG'!L42</f>
        <v>0.23076923076923073</v>
      </c>
      <c r="U56" s="42" t="s">
        <v>131</v>
      </c>
      <c r="V56" s="39">
        <f>'Statistics WW'!L42</f>
        <v>0.39285714285714285</v>
      </c>
      <c r="W56" s="39">
        <f>AVERAGE(T56:V56)</f>
        <v>0.31181318681318682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>
        <f>'3107'!R10</f>
        <v>2</v>
      </c>
      <c r="AM56" s="32">
        <f>'3107'!S10</f>
        <v>0</v>
      </c>
      <c r="AN56" s="32">
        <f>'3107'!T10</f>
        <v>0</v>
      </c>
      <c r="AO56" s="32">
        <f>'3107'!U10</f>
        <v>1</v>
      </c>
      <c r="AP56" s="32">
        <f>AL56/($AL$47-Table21124[[#This Row],[Missed Games]])</f>
        <v>2</v>
      </c>
      <c r="AQ56" s="32">
        <f>AM56/($AL$47-Table21124[[#This Row],[Missed Games]])</f>
        <v>0</v>
      </c>
      <c r="AR56" s="32">
        <f>AN56/($AL$47-Table21124[[#This Row],[Missed Games]])</f>
        <v>0</v>
      </c>
      <c r="AS56" s="32">
        <f>AO56/($AL$47-Table21124[[#This Row],[Missed Games]])</f>
        <v>1</v>
      </c>
      <c r="AT56" s="32">
        <f>COUNTIF('3107'!V10, "TRUE")</f>
        <v>0</v>
      </c>
    </row>
    <row r="57" spans="19:46" ht="14.25" customHeight="1" x14ac:dyDescent="0.45">
      <c r="S57" s="14" t="s">
        <v>134</v>
      </c>
      <c r="T57" s="39">
        <f>1-V55</f>
        <v>0.38636363636363635</v>
      </c>
      <c r="U57" s="39">
        <f>1-V56</f>
        <v>0.60714285714285721</v>
      </c>
      <c r="V57" s="42" t="s">
        <v>131</v>
      </c>
      <c r="W57" s="39">
        <f>AVERAGE(T57:V57)</f>
        <v>0.49675324675324678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>
        <f>'3107'!R11</f>
        <v>4</v>
      </c>
      <c r="AM57" s="32">
        <f>'3107'!S11</f>
        <v>3</v>
      </c>
      <c r="AN57" s="32">
        <f>'3107'!T11</f>
        <v>1</v>
      </c>
      <c r="AO57" s="32">
        <f>'3107'!U11</f>
        <v>0</v>
      </c>
      <c r="AP57" s="32">
        <f>AL57/($AL$47-Table21124[[#This Row],[Missed Games]])</f>
        <v>4</v>
      </c>
      <c r="AQ57" s="32">
        <f>AM57/($AL$47-Table21124[[#This Row],[Missed Games]])</f>
        <v>3</v>
      </c>
      <c r="AR57" s="32">
        <f>AN57/($AL$47-Table21124[[#This Row],[Missed Games]])</f>
        <v>1</v>
      </c>
      <c r="AS57" s="32">
        <f>AO57/($AL$47-Table21124[[#This Row],[Missed Games]])</f>
        <v>0</v>
      </c>
      <c r="AT57" s="32">
        <f>COUNTIF('3107'!V11, "TRUE")</f>
        <v>0</v>
      </c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>
        <f>'3107'!R12</f>
        <v>2</v>
      </c>
      <c r="AM58" s="32">
        <f>'3107'!S12</f>
        <v>0</v>
      </c>
      <c r="AN58" s="32">
        <f>'3107'!T12</f>
        <v>2</v>
      </c>
      <c r="AO58" s="32">
        <f>'3107'!U12</f>
        <v>0</v>
      </c>
      <c r="AP58" s="32">
        <f>AL58/($AL$47-Table21124[[#This Row],[Missed Games]])</f>
        <v>2</v>
      </c>
      <c r="AQ58" s="32">
        <f>AM58/($AL$47-Table21124[[#This Row],[Missed Games]])</f>
        <v>0</v>
      </c>
      <c r="AR58" s="32">
        <f>AN58/($AL$47-Table21124[[#This Row],[Missed Games]])</f>
        <v>2</v>
      </c>
      <c r="AS58" s="32">
        <f>AO58/($AL$47-Table21124[[#This Row],[Missed Games]])</f>
        <v>0</v>
      </c>
      <c r="AT58" s="32">
        <f>COUNTIF('3107'!V12, "TRUE")</f>
        <v>0</v>
      </c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>
        <f>'3107'!R13</f>
        <v>0</v>
      </c>
      <c r="AM59" s="32">
        <f>'3107'!S13</f>
        <v>0</v>
      </c>
      <c r="AN59" s="32">
        <f>'3107'!T13</f>
        <v>0</v>
      </c>
      <c r="AO59" s="32">
        <f>'3107'!U13</f>
        <v>0</v>
      </c>
      <c r="AP59" s="32">
        <f>AL59/($AL$47-Table21124[[#This Row],[Missed Games]])</f>
        <v>0</v>
      </c>
      <c r="AQ59" s="32">
        <f>AM59/($AL$47-Table21124[[#This Row],[Missed Games]])</f>
        <v>0</v>
      </c>
      <c r="AR59" s="32">
        <f>AN59/($AL$47-Table21124[[#This Row],[Missed Games]])</f>
        <v>0</v>
      </c>
      <c r="AS59" s="32">
        <f>AO59/($AL$47-Table21124[[#This Row],[Missed Games]])</f>
        <v>0</v>
      </c>
      <c r="AT59" s="32">
        <f>COUNTIF('3107'!V13, "TRUE")</f>
        <v>0</v>
      </c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>
        <f>'3107'!R14</f>
        <v>0</v>
      </c>
      <c r="AM60" s="32">
        <f>'3107'!S14</f>
        <v>0</v>
      </c>
      <c r="AN60" s="32">
        <f>'3107'!T14</f>
        <v>0</v>
      </c>
      <c r="AO60" s="32">
        <f>'3107'!U14</f>
        <v>0</v>
      </c>
      <c r="AP60" s="32" t="e">
        <f>AL60/($AL$47-Table21124[[#This Row],[Missed Games]])</f>
        <v>#DIV/0!</v>
      </c>
      <c r="AQ60" s="32" t="e">
        <f>AM60/($AL$47-Table21124[[#This Row],[Missed Games]])</f>
        <v>#DIV/0!</v>
      </c>
      <c r="AR60" s="32" t="e">
        <f>AN60/($AL$47-Table21124[[#This Row],[Missed Games]])</f>
        <v>#DIV/0!</v>
      </c>
      <c r="AS60" s="32" t="e">
        <f>AO60/($AL$47-Table21124[[#This Row],[Missed Games]])</f>
        <v>#DIV/0!</v>
      </c>
      <c r="AT60" s="32">
        <f>COUNTIF('3107'!V14, "TRUE")</f>
        <v>1</v>
      </c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>
        <f>'3107'!R15</f>
        <v>1</v>
      </c>
      <c r="AM61" s="32">
        <f>'3107'!S15</f>
        <v>1</v>
      </c>
      <c r="AN61" s="32">
        <f>'3107'!T15</f>
        <v>0</v>
      </c>
      <c r="AO61" s="32">
        <f>'3107'!U15</f>
        <v>0</v>
      </c>
      <c r="AP61" s="32">
        <f>AL61/($AL$47-Table21124[[#This Row],[Missed Games]])</f>
        <v>1</v>
      </c>
      <c r="AQ61" s="32">
        <f>AM61/($AL$47-Table21124[[#This Row],[Missed Games]])</f>
        <v>1</v>
      </c>
      <c r="AR61" s="32">
        <f>AN61/($AL$47-Table21124[[#This Row],[Missed Games]])</f>
        <v>0</v>
      </c>
      <c r="AS61" s="32">
        <f>AO61/($AL$47-Table21124[[#This Row],[Missed Games]])</f>
        <v>0</v>
      </c>
      <c r="AT61" s="32">
        <f>COUNTIF('3107'!V15, "TRUE")</f>
        <v>0</v>
      </c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>
        <f>'3107'!R16</f>
        <v>1</v>
      </c>
      <c r="AM62" s="32">
        <f>'3107'!S16</f>
        <v>1</v>
      </c>
      <c r="AN62" s="32">
        <f>'3107'!T16</f>
        <v>0</v>
      </c>
      <c r="AO62" s="32">
        <f>'3107'!U16</f>
        <v>0</v>
      </c>
      <c r="AP62" s="32">
        <f>AL62/($AL$47-Table21124[[#This Row],[Missed Games]])</f>
        <v>1</v>
      </c>
      <c r="AQ62" s="32">
        <f>AM62/($AL$47-Table21124[[#This Row],[Missed Games]])</f>
        <v>1</v>
      </c>
      <c r="AR62" s="32">
        <f>AN62/($AL$47-Table21124[[#This Row],[Missed Games]])</f>
        <v>0</v>
      </c>
      <c r="AS62" s="32">
        <f>AO62/($AL$47-Table21124[[#This Row],[Missed Games]])</f>
        <v>0</v>
      </c>
      <c r="AT62" s="32">
        <f>COUNTIF('3107'!V16, "TRUE")</f>
        <v>0</v>
      </c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>
        <f>'3107'!R17</f>
        <v>4</v>
      </c>
      <c r="AM63" s="32">
        <f>'3107'!S17</f>
        <v>1</v>
      </c>
      <c r="AN63" s="32">
        <f>'3107'!T17</f>
        <v>1</v>
      </c>
      <c r="AO63" s="32">
        <f>'3107'!U17</f>
        <v>1</v>
      </c>
      <c r="AP63" s="32">
        <f>AL63/($AL$47-Table21124[[#This Row],[Missed Games]])</f>
        <v>4</v>
      </c>
      <c r="AQ63" s="32">
        <f>AM63/($AL$47-Table21124[[#This Row],[Missed Games]])</f>
        <v>1</v>
      </c>
      <c r="AR63" s="32">
        <f>AN63/($AL$47-Table21124[[#This Row],[Missed Games]])</f>
        <v>1</v>
      </c>
      <c r="AS63" s="32">
        <f>AO63/($AL$47-Table21124[[#This Row],[Missed Games]])</f>
        <v>1</v>
      </c>
      <c r="AT63" s="32">
        <f>COUNTIF('3107'!V17, "TRUE")</f>
        <v>0</v>
      </c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>
        <f>'3107'!R18</f>
        <v>0</v>
      </c>
      <c r="AM64" s="32">
        <f>'3107'!S18</f>
        <v>0</v>
      </c>
      <c r="AN64" s="32">
        <f>'3107'!T18</f>
        <v>0</v>
      </c>
      <c r="AO64" s="32">
        <f>'3107'!U18</f>
        <v>0</v>
      </c>
      <c r="AP64" s="32">
        <f>AL64/($AL$47-Table21124[[#This Row],[Missed Games]])</f>
        <v>0</v>
      </c>
      <c r="AQ64" s="32">
        <f>AM64/($AL$47-Table21124[[#This Row],[Missed Games]])</f>
        <v>0</v>
      </c>
      <c r="AR64" s="32">
        <f>AN64/($AL$47-Table21124[[#This Row],[Missed Games]])</f>
        <v>0</v>
      </c>
      <c r="AS64" s="32">
        <f>AO64/($AL$47-Table21124[[#This Row],[Missed Games]])</f>
        <v>0</v>
      </c>
      <c r="AT64" s="32">
        <f>COUNTIF('3107'!V18, "TRUE")</f>
        <v>0</v>
      </c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>
        <f>'3107'!R19</f>
        <v>0</v>
      </c>
      <c r="AM65" s="32">
        <f>'3107'!S19</f>
        <v>0</v>
      </c>
      <c r="AN65" s="32">
        <f>'3107'!T19</f>
        <v>0</v>
      </c>
      <c r="AO65" s="32">
        <f>'3107'!U19</f>
        <v>0</v>
      </c>
      <c r="AP65" s="32">
        <f>AL65/($AL$47-Table21124[[#This Row],[Missed Games]])</f>
        <v>0</v>
      </c>
      <c r="AQ65" s="32">
        <f>AM65/($AL$47-Table21124[[#This Row],[Missed Games]])</f>
        <v>0</v>
      </c>
      <c r="AR65" s="32">
        <f>AN65/($AL$47-Table21124[[#This Row],[Missed Games]])</f>
        <v>0</v>
      </c>
      <c r="AS65" s="32">
        <f>AO65/($AL$47-Table21124[[#This Row],[Missed Games]])</f>
        <v>0</v>
      </c>
      <c r="AT65" s="32">
        <f>COUNTIF('3107'!V19, "TRUE")</f>
        <v>0</v>
      </c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20</v>
      </c>
      <c r="U85" s="17">
        <f>U84+'Statistics WW'!D14</f>
        <v>11</v>
      </c>
      <c r="V85" s="17">
        <f>V84+'Statistics 5M'!D14</f>
        <v>17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20</v>
      </c>
      <c r="U86" s="17">
        <f>U85+'Statistics WW'!D15</f>
        <v>11</v>
      </c>
      <c r="V86" s="17">
        <f>V85+'Statistics 5M'!D15</f>
        <v>17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>
        <f>T86+'Statistics LG'!D16</f>
        <v>20</v>
      </c>
      <c r="U87" s="17">
        <f>U86+'Statistics WW'!D16</f>
        <v>11</v>
      </c>
      <c r="V87" s="17">
        <f>V86+'Statistics 5M'!D16</f>
        <v>17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 t="str">
        <f>'Statistics LG'!A14</f>
        <v>31-July</v>
      </c>
      <c r="T88" s="17">
        <f>T87+'Statistics LG'!D17</f>
        <v>20</v>
      </c>
      <c r="U88" s="17">
        <f>U87+'Statistics WW'!D17</f>
        <v>11</v>
      </c>
      <c r="V88" s="17">
        <f>V87+'Statistics 5M'!D17</f>
        <v>17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20</v>
      </c>
      <c r="U89" s="17">
        <f>U88+'Statistics WW'!D18</f>
        <v>11</v>
      </c>
      <c r="V89" s="17">
        <f>V88+'Statistics 5M'!D18</f>
        <v>17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20</v>
      </c>
      <c r="U90" s="17">
        <f>U89+'Statistics WW'!D19</f>
        <v>11</v>
      </c>
      <c r="V90" s="17">
        <f>V89+'Statistics 5M'!D19</f>
        <v>17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20</v>
      </c>
      <c r="U91" s="17">
        <f>U90+'Statistics WW'!D20</f>
        <v>11</v>
      </c>
      <c r="V91" s="17">
        <f>V90+'Statistics 5M'!D20</f>
        <v>17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20</v>
      </c>
      <c r="U92" s="17">
        <f>U91+'Statistics WW'!D21</f>
        <v>11</v>
      </c>
      <c r="V92" s="17">
        <f>V91+'Statistics 5M'!D21</f>
        <v>17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8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57</v>
      </c>
      <c r="I3" s="84">
        <f>SUM(C7:C40)</f>
        <v>26</v>
      </c>
      <c r="J3" s="81">
        <f>SUM(D7:D40)</f>
        <v>20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25</v>
      </c>
      <c r="T4" s="101">
        <f>'Stats Global'!AB22</f>
        <v>3.125</v>
      </c>
      <c r="U4" s="101">
        <f>'Stats Global'!AC22</f>
        <v>12</v>
      </c>
      <c r="V4" s="101">
        <f>'Stats Global'!AD22</f>
        <v>1.5</v>
      </c>
      <c r="W4" s="101">
        <f>'Stats Global'!AE22</f>
        <v>7</v>
      </c>
      <c r="X4" s="101">
        <f>'Stats Global'!AF22</f>
        <v>0.875</v>
      </c>
      <c r="Y4" s="101">
        <f>'Stats Global'!AG22</f>
        <v>3</v>
      </c>
      <c r="Z4" s="101">
        <f>'Stats Global'!AH22</f>
        <v>0.375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17</v>
      </c>
      <c r="T5" s="101">
        <f>'Stats Global'!AB16</f>
        <v>2.125</v>
      </c>
      <c r="U5" s="101">
        <f>'Stats Global'!AC16</f>
        <v>7</v>
      </c>
      <c r="V5" s="101">
        <f>'Stats Global'!AD16</f>
        <v>0.875</v>
      </c>
      <c r="W5" s="101">
        <f>'Stats Global'!AE16</f>
        <v>6</v>
      </c>
      <c r="X5" s="101">
        <f>'Stats Global'!AF16</f>
        <v>0.75</v>
      </c>
      <c r="Y5" s="101">
        <f>'Stats Global'!AG16</f>
        <v>2</v>
      </c>
      <c r="Z5" s="101">
        <f>'Stats Global'!AH16</f>
        <v>0.25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10</v>
      </c>
      <c r="T6" s="101">
        <f>'Stats Global'!AB21</f>
        <v>1.25</v>
      </c>
      <c r="U6" s="101">
        <f>'Stats Global'!AC21</f>
        <v>6</v>
      </c>
      <c r="V6" s="101">
        <f>'Stats Global'!AD21</f>
        <v>0.75</v>
      </c>
      <c r="W6" s="101">
        <f>'Stats Global'!AE21</f>
        <v>2</v>
      </c>
      <c r="X6" s="101">
        <f>'Stats Global'!AF21</f>
        <v>0.25</v>
      </c>
      <c r="Y6" s="101">
        <f>'Stats Global'!AG21</f>
        <v>1</v>
      </c>
      <c r="Z6" s="101">
        <f>'Stats Global'!AH21</f>
        <v>0.125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0.375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0.375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8</v>
      </c>
      <c r="T8" s="101">
        <f>'Stats Global'!AB9</f>
        <v>1.1428571428571428</v>
      </c>
      <c r="U8" s="101">
        <f>'Stats Global'!AC9</f>
        <v>8</v>
      </c>
      <c r="V8" s="101">
        <f>'Stats Global'!AD9</f>
        <v>1.1428571428571428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 t="str">
        <f>'Stats Global'!B15</f>
        <v>31-July</v>
      </c>
      <c r="B14" s="86">
        <f>'Stats Global'!F15</f>
        <v>9</v>
      </c>
      <c r="C14" s="86">
        <f>'Stats Global'!G15+'Stats Global'!H15</f>
        <v>3</v>
      </c>
      <c r="D14" s="86">
        <f>'Stats Global'!O15</f>
        <v>3</v>
      </c>
      <c r="E14" s="83" t="s">
        <v>61</v>
      </c>
      <c r="F14" s="83" t="s">
        <v>46</v>
      </c>
      <c r="J14" s="87"/>
      <c r="L14" s="88">
        <f>'Stats Global'!J15</f>
        <v>4</v>
      </c>
      <c r="M14" s="88">
        <f>'Stats Global'!G15</f>
        <v>2</v>
      </c>
      <c r="N14" s="89"/>
      <c r="O14" s="88">
        <f>'Stats Global'!M15</f>
        <v>5</v>
      </c>
      <c r="P14" s="88">
        <f>'Stats Global'!H15</f>
        <v>1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0.68674698795180722</v>
      </c>
      <c r="J41" s="87"/>
      <c r="K41" s="84" t="s">
        <v>94</v>
      </c>
      <c r="L41" s="105">
        <f>SUM(L7:L40)</f>
        <v>30</v>
      </c>
      <c r="M41" s="105">
        <f>SUM(M7:M40)</f>
        <v>9</v>
      </c>
      <c r="N41" s="87"/>
      <c r="O41" s="105">
        <f>SUM(O7:O40)</f>
        <v>27</v>
      </c>
      <c r="P41" s="105">
        <f>SUM(P7:P40)</f>
        <v>17</v>
      </c>
    </row>
    <row r="42" spans="1:16" ht="14.25" customHeight="1" x14ac:dyDescent="0.45">
      <c r="L42" s="96">
        <f>L41/(M41+L41)</f>
        <v>0.76923076923076927</v>
      </c>
      <c r="O42" s="96">
        <f>O41/(P41+O41)</f>
        <v>0.61363636363636365</v>
      </c>
    </row>
    <row r="43" spans="1:16" ht="14.25" customHeight="1" x14ac:dyDescent="0.45">
      <c r="I43" s="97" t="str">
        <f>K43&amp;H3&amp;","&amp;I3&amp;"],"</f>
        <v>"PartA":[57,26],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7.9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"PartB":[25,"Angus Walker",12,"Angus Walker",7,"Angus Walker",3,"Angus Walker"],</v>
      </c>
      <c r="K44" s="79" t="s">
        <v>136</v>
      </c>
      <c r="M44" s="99">
        <f>MAX(Table1114[Points])</f>
        <v>25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9" t="str">
        <f>K45&amp;O43&amp;","&amp;O44&amp;","&amp;O45&amp;","&amp;O46&amp;","&amp;O47&amp;","&amp;O48&amp;"],"</f>
        <v>"PartC":[7.9,4.1,2.3,0.8,7.1,3.3],</v>
      </c>
      <c r="K45" s="79" t="s">
        <v>137</v>
      </c>
      <c r="M45" s="99">
        <f>MAX(Table1114[Finishes])</f>
        <v>12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"PartD":[30,9,76.9,27,17,61.4],</v>
      </c>
      <c r="K46" s="79" t="s">
        <v>138</v>
      </c>
      <c r="M46" s="99">
        <f>MAX(Table1114[Midranges])</f>
        <v>7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0.8</v>
      </c>
    </row>
    <row r="47" spans="1:16" ht="14.25" customHeight="1" x14ac:dyDescent="0.45">
      <c r="M47" s="99">
        <f>MAX(Table1114[Threes])</f>
        <v>3</v>
      </c>
      <c r="N47" s="79" t="str">
        <f>IF(M47&lt;&gt;0,IF(M47=Y4,R4,IF(M47=Y5,R5,IF(Y6=M47,R6,IF(Y7=M47,R7,R8)))),"N/A")</f>
        <v>Angus Walker</v>
      </c>
      <c r="O47" s="79">
        <f>ROUND(H3/'Stats Global'!AA6,1)</f>
        <v>7.1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4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20</v>
      </c>
      <c r="I4" s="84">
        <f>SUM(C7:C40)</f>
        <v>47</v>
      </c>
      <c r="J4" s="81">
        <f>SUM(D7:D40)</f>
        <v>11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3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4</v>
      </c>
      <c r="Q5" s="101">
        <f>'Stats Global'!AB12</f>
        <v>0.66666666666666663</v>
      </c>
      <c r="R5" s="101">
        <f>'Stats Global'!AC12</f>
        <v>1</v>
      </c>
      <c r="S5" s="101">
        <f>'Stats Global'!AD12</f>
        <v>0.16666666666666666</v>
      </c>
      <c r="T5" s="101">
        <f>'Stats Global'!AE12</f>
        <v>1</v>
      </c>
      <c r="U5" s="101">
        <f>'Stats Global'!AF12</f>
        <v>0.16666666666666666</v>
      </c>
      <c r="V5" s="101">
        <f>'Stats Global'!AG12</f>
        <v>1</v>
      </c>
      <c r="W5" s="101">
        <f>'Stats Global'!AH12</f>
        <v>0.16666666666666666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0.42857142857142855</v>
      </c>
      <c r="R6" s="101">
        <f>'Stats Global'!AC13</f>
        <v>2</v>
      </c>
      <c r="S6" s="101">
        <f>'Stats Global'!AD13</f>
        <v>0.2857142857142857</v>
      </c>
      <c r="T6" s="101">
        <f>'Stats Global'!AE13</f>
        <v>1</v>
      </c>
      <c r="U6" s="101">
        <f>'Stats Global'!AF13</f>
        <v>0.14285714285714285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0.75</v>
      </c>
      <c r="R7" s="101">
        <f>'Stats Global'!AC18</f>
        <v>1</v>
      </c>
      <c r="S7" s="101">
        <f>'Stats Global'!AD18</f>
        <v>0.125</v>
      </c>
      <c r="T7" s="101">
        <f>'Stats Global'!AE18</f>
        <v>5</v>
      </c>
      <c r="U7" s="101">
        <f>'Stats Global'!AF18</f>
        <v>0.625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0.125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0.125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2</v>
      </c>
      <c r="Q9" s="121">
        <f>'Stats Global'!AB15</f>
        <v>1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1</v>
      </c>
      <c r="W9" s="121">
        <f>'Stats Global'!AH15</f>
        <v>0.5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Global'!I15</f>
        <v>4</v>
      </c>
      <c r="C14" s="86">
        <f>'Stats Global'!J15+'Stats Global'!K15</f>
        <v>6</v>
      </c>
      <c r="D14" s="86">
        <f>'Stats Global'!P15</f>
        <v>2</v>
      </c>
      <c r="E14" s="83" t="s">
        <v>258</v>
      </c>
      <c r="F14" s="83" t="s">
        <v>37</v>
      </c>
      <c r="J14" s="87"/>
      <c r="L14" s="88">
        <f>'Stats Global'!N15</f>
        <v>2</v>
      </c>
      <c r="M14" s="88">
        <f>'Stats Global'!K15</f>
        <v>2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0.29850746268656714</v>
      </c>
      <c r="J41" s="87"/>
      <c r="K41" s="79" t="s">
        <v>94</v>
      </c>
      <c r="L41" s="105">
        <f>SUM(L7:L40)</f>
        <v>11</v>
      </c>
      <c r="M41" s="105">
        <f>SUM(M7:M40)</f>
        <v>17</v>
      </c>
      <c r="N41" s="87"/>
      <c r="O41" s="87"/>
      <c r="P41" s="58"/>
    </row>
    <row r="42" spans="1:16" ht="14.25" customHeight="1" x14ac:dyDescent="0.45">
      <c r="L42" s="96">
        <f>L41/(M41+L41)</f>
        <v>0.39285714285714285</v>
      </c>
      <c r="P42" s="58"/>
    </row>
    <row r="43" spans="1:16" ht="14.25" customHeight="1" x14ac:dyDescent="0.45">
      <c r="J43" s="97" t="str">
        <f>L43&amp;H4&amp;","&amp;I4&amp;"],"</f>
        <v>"PartA":[20,47],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2.6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Pattemore",1,"Michael Iffland"],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1.1000000000000001</v>
      </c>
    </row>
    <row r="45" spans="1:16" ht="14.25" customHeight="1" x14ac:dyDescent="0.45">
      <c r="J45" s="79" t="str">
        <f>L45&amp;P43&amp;","&amp;P44&amp;","&amp;P45&amp;","&amp;P46&amp;","&amp;P47&amp;","&amp;P48&amp;"],"</f>
        <v>"PartC":[2.6,1.1,1,0.3,2.5,5.9],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"PartD":[9,30,23.1,11,17,39.3],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0.3</v>
      </c>
    </row>
    <row r="47" spans="1:16" ht="14.25" customHeight="1" x14ac:dyDescent="0.45">
      <c r="N47" s="99">
        <f>MAX(Table1113[Threes])</f>
        <v>1</v>
      </c>
      <c r="O47" s="106" t="str">
        <f>IF(N47&lt;&gt;0,IF(N47=V4,O4,IF(N47=V5,O5,IF(V6=N47,O6,IF(V7=N47,O7,IF(V8=N47,O8,IF(V9=N47,O9,O10)))))),"N/A")</f>
        <v>Michael Iffland</v>
      </c>
      <c r="P47" s="79">
        <f>ROUND(H4/'Stats Global'!AA6,1)</f>
        <v>2.5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4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34</v>
      </c>
      <c r="I4" s="84">
        <f>SUM(C7:C40)</f>
        <v>38</v>
      </c>
      <c r="J4" s="81">
        <f>SUM(D7:D40)</f>
        <v>17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16</v>
      </c>
      <c r="N5" s="101">
        <f>'Stats Global'!AB17</f>
        <v>2</v>
      </c>
      <c r="O5" s="101">
        <f>'Stats Global'!AC17</f>
        <v>2</v>
      </c>
      <c r="P5" s="101">
        <f>'Stats Global'!AD17</f>
        <v>0.25</v>
      </c>
      <c r="Q5" s="101">
        <f>'Stats Global'!AE17</f>
        <v>12</v>
      </c>
      <c r="R5" s="101">
        <f>'Stats Global'!AF17</f>
        <v>1.5</v>
      </c>
      <c r="S5" s="101">
        <f>'Stats Global'!AG17</f>
        <v>1</v>
      </c>
      <c r="T5" s="101">
        <f>'Stats Global'!AH17</f>
        <v>0.125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12</v>
      </c>
      <c r="N6" s="101">
        <f>'Stats Global'!AB10</f>
        <v>4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0</v>
      </c>
      <c r="R6" s="101">
        <f>'Stats Global'!AF10</f>
        <v>0</v>
      </c>
      <c r="S6" s="101">
        <f>'Stats Global'!AG10</f>
        <v>1</v>
      </c>
      <c r="T6" s="101">
        <f>'Stats Global'!AH10</f>
        <v>0.33333333333333331</v>
      </c>
      <c r="U6" s="101">
        <f>'Stats Global'!AJ10</f>
        <v>5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4</v>
      </c>
      <c r="N7" s="101">
        <f>'Stats Global'!AB20</f>
        <v>0.5</v>
      </c>
      <c r="O7" s="101">
        <f>'Stats Global'!AC20</f>
        <v>3</v>
      </c>
      <c r="P7" s="101">
        <f>'Stats Global'!AD20</f>
        <v>0.375</v>
      </c>
      <c r="Q7" s="101">
        <f>'Stats Global'!AE20</f>
        <v>1</v>
      </c>
      <c r="R7" s="101">
        <f>'Stats Global'!AF20</f>
        <v>0.125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</v>
      </c>
      <c r="O8" s="101">
        <f>'Stats Global'!AC14</f>
        <v>3</v>
      </c>
      <c r="P8" s="101">
        <f>'Stats Global'!AD14</f>
        <v>0.375</v>
      </c>
      <c r="Q8" s="101">
        <f>'Stats Global'!AE14</f>
        <v>1</v>
      </c>
      <c r="R8" s="101">
        <f>'Stats Global'!AF14</f>
        <v>0.125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4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Global'!L15</f>
        <v>3</v>
      </c>
      <c r="C14" s="86">
        <f>'Stats Global'!M15+'Stats Global'!N15</f>
        <v>7</v>
      </c>
      <c r="D14" s="86">
        <f>'Stats Global'!Q15</f>
        <v>1</v>
      </c>
      <c r="E14" s="83" t="s">
        <v>50</v>
      </c>
      <c r="F14" s="83" t="s">
        <v>259</v>
      </c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"PartA":[34,38],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4.5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"PartB":[16,"Samuel McConaghy",10,"Alexander Galt",12,"Samuel McConaghy",1,"Samuel McConaghy"],</v>
      </c>
      <c r="M33" s="79" t="s">
        <v>136</v>
      </c>
      <c r="O33" s="99">
        <f>MAX(Table11[Points])</f>
        <v>16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2.2999999999999998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"PartC":[4.5,2.3,1.8,0.3,4.3,4.8],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1.8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"PartD":[17,27,38.6,17,11,60.7],</v>
      </c>
      <c r="M35" s="79" t="s">
        <v>138</v>
      </c>
      <c r="O35" s="99">
        <f>MAX(Table11[Midranges])</f>
        <v>12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4.8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0.47222222222222221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7" t="str">
        <f>C2</f>
        <v>12-August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3</v>
      </c>
      <c r="N3" s="11">
        <f>L3/(L3+M3)</f>
        <v>0.75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7</v>
      </c>
      <c r="N4" s="11">
        <f t="shared" ref="N4:N5" si="4">L4/(L4+M4)</f>
        <v>0.3</v>
      </c>
      <c r="O4" s="12">
        <f>IF(AND(N4&gt;N3, N4&gt;N5), 3, IF(OR(N4&gt;N3, N4&gt;N5), 2, 1))</f>
        <v>1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WW/5M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46</v>
      </c>
      <c r="F5" s="26" t="s">
        <v>205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6</v>
      </c>
      <c r="N5" s="11">
        <f t="shared" si="4"/>
        <v>0.4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46</v>
      </c>
      <c r="F6" s="26" t="s">
        <v>205</v>
      </c>
      <c r="G6" s="26">
        <v>2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47</v>
      </c>
      <c r="E7" s="26" t="s">
        <v>44</v>
      </c>
      <c r="F7" s="26" t="s">
        <v>206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1</v>
      </c>
      <c r="T7" s="10">
        <f t="shared" si="2"/>
        <v>0</v>
      </c>
      <c r="U7" s="10">
        <f t="shared" si="3"/>
        <v>1</v>
      </c>
      <c r="V7" s="27" t="b">
        <v>0</v>
      </c>
      <c r="X7" s="54" t="str">
        <f t="shared" si="5"/>
        <v/>
      </c>
      <c r="Y7" s="54" t="str">
        <f t="shared" si="6"/>
        <v>WW/LG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28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206</v>
      </c>
      <c r="G10" s="26">
        <v>2</v>
      </c>
      <c r="H10" s="26">
        <v>2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99</v>
      </c>
      <c r="G11" s="26">
        <v>3</v>
      </c>
      <c r="H11" s="26">
        <v>2</v>
      </c>
      <c r="I11" s="26">
        <v>2</v>
      </c>
      <c r="Q11" s="2" t="s">
        <v>46</v>
      </c>
      <c r="R11" s="9">
        <f t="shared" si="0"/>
        <v>4</v>
      </c>
      <c r="S11" s="10">
        <f t="shared" si="1"/>
        <v>3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58</v>
      </c>
      <c r="F12" s="26" t="s">
        <v>205</v>
      </c>
      <c r="G12" s="26">
        <v>4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99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6</v>
      </c>
      <c r="H14" s="26">
        <v>4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205</v>
      </c>
      <c r="G15" s="26">
        <v>7</v>
      </c>
      <c r="H15" s="26">
        <v>4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31</v>
      </c>
      <c r="D16" s="26" t="s">
        <v>47</v>
      </c>
      <c r="E16" s="26" t="s">
        <v>37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>WW/LG</v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31</v>
      </c>
      <c r="E17" s="26" t="s">
        <v>50</v>
      </c>
      <c r="F17" s="26" t="s">
        <v>99</v>
      </c>
      <c r="G17" s="26">
        <v>1</v>
      </c>
      <c r="H17" s="26">
        <v>1</v>
      </c>
      <c r="I17" s="26">
        <v>1</v>
      </c>
      <c r="Q17" s="2" t="s">
        <v>61</v>
      </c>
      <c r="R17" s="9">
        <f t="shared" si="0"/>
        <v>4</v>
      </c>
      <c r="S17" s="10">
        <f t="shared" si="1"/>
        <v>1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5M/WW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50</v>
      </c>
      <c r="F18" s="26" t="s">
        <v>99</v>
      </c>
      <c r="G18" s="26">
        <v>2</v>
      </c>
      <c r="H18" s="26">
        <v>2</v>
      </c>
      <c r="I18" s="26">
        <v>2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31</v>
      </c>
      <c r="D19" s="26" t="s">
        <v>26</v>
      </c>
      <c r="E19" s="26" t="s">
        <v>257</v>
      </c>
      <c r="F19" s="26" t="s">
        <v>257</v>
      </c>
      <c r="G19" s="26">
        <v>1</v>
      </c>
      <c r="H19" s="26">
        <v>1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>WW/5M</v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3,</v>
      </c>
      <c r="S27" s="17" t="str">
        <f t="shared" si="9"/>
        <v>1,</v>
      </c>
      <c r="T27" s="17" t="str">
        <f t="shared" si="9"/>
        <v>0,</v>
      </c>
      <c r="U27" s="17" t="str">
        <f t="shared" si="9"/>
        <v>1,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2,</v>
      </c>
      <c r="S30" s="17" t="str">
        <f t="shared" si="9"/>
        <v>0,</v>
      </c>
      <c r="T30" s="17" t="str">
        <f t="shared" si="9"/>
        <v>0,</v>
      </c>
      <c r="U30" s="17" t="str">
        <f t="shared" si="9"/>
        <v>1,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4,</v>
      </c>
      <c r="S31" s="17" t="str">
        <f t="shared" si="9"/>
        <v>3,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1,</v>
      </c>
      <c r="T37" s="17" t="str">
        <f t="shared" si="9"/>
        <v>1,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7" t="str">
        <f>C2</f>
        <v>31-July</v>
      </c>
      <c r="C45" s="17">
        <f>MAX(L3:L5)</f>
        <v>9</v>
      </c>
      <c r="D45" s="17">
        <f>COUNT(B4:B42)-C45-E45</f>
        <v>4</v>
      </c>
      <c r="E45" s="17">
        <f>MIN(L3:L5)</f>
        <v>3</v>
      </c>
      <c r="F45" s="17">
        <f>L3</f>
        <v>9</v>
      </c>
      <c r="G45" s="17">
        <f>COUNTIF(Y4:Y39, "WW/LG")</f>
        <v>2</v>
      </c>
      <c r="H45" s="17">
        <f>COUNTIF(Z4:Z39, "5M/LG")</f>
        <v>1</v>
      </c>
      <c r="I45" s="17">
        <f>L5</f>
        <v>4</v>
      </c>
      <c r="J45" s="17">
        <f>COUNTIF(X4:X39, "LG/WW")</f>
        <v>4</v>
      </c>
      <c r="K45" s="17">
        <f>COUNTIF(Z4:Z39, "5M/WW")</f>
        <v>2</v>
      </c>
      <c r="L45" s="17">
        <f>L4</f>
        <v>3</v>
      </c>
      <c r="M45" s="17">
        <f>COUNTIF(X4:X39, "LG/5M")</f>
        <v>5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206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SfW</vt:lpstr>
      <vt:lpstr>Stats Global</vt:lpstr>
      <vt:lpstr>Statistics LG</vt:lpstr>
      <vt:lpstr>Statistics WW</vt:lpstr>
      <vt:lpstr>Statistics 5M</vt:lpstr>
      <vt:lpstr>Template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2023-07-31T04:30:35Z</dcterms:modified>
</cp:coreProperties>
</file>