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AA69D429-9847-40B3-93CB-804B6BAD85E9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Finals 1" sheetId="28" r:id="rId7"/>
    <sheet name="1708" sheetId="27" r:id="rId8"/>
    <sheet name="1508" sheetId="26" r:id="rId9"/>
    <sheet name="1408" sheetId="25" r:id="rId10"/>
    <sheet name="1008" sheetId="24" r:id="rId11"/>
    <sheet name="0908" sheetId="23" r:id="rId12"/>
    <sheet name="0808" sheetId="22" r:id="rId13"/>
    <sheet name="0308" sheetId="21" r:id="rId14"/>
    <sheet name="0208" sheetId="20" r:id="rId15"/>
    <sheet name="0108" sheetId="19" r:id="rId16"/>
    <sheet name="3107" sheetId="18" r:id="rId17"/>
    <sheet name="2707" sheetId="17" r:id="rId18"/>
    <sheet name="2607" sheetId="16" r:id="rId19"/>
    <sheet name="2407" sheetId="15" r:id="rId20"/>
    <sheet name="2007" sheetId="14" r:id="rId21"/>
    <sheet name="1907" sheetId="13" r:id="rId22"/>
    <sheet name="1807" sheetId="12" r:id="rId23"/>
    <sheet name="1707" sheetId="11" r:id="rId24"/>
    <sheet name="Preseason 3" sheetId="10" r:id="rId25"/>
    <sheet name="Preseason 2" sheetId="9" r:id="rId26"/>
    <sheet name="Preseason 1" sheetId="8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28" l="1"/>
  <c r="U4" i="28"/>
  <c r="V4" i="28"/>
  <c r="S4" i="28" s="1"/>
  <c r="S24" i="28" s="1"/>
  <c r="T5" i="28"/>
  <c r="U5" i="28"/>
  <c r="V5" i="28"/>
  <c r="V25" i="28" s="1"/>
  <c r="T6" i="28"/>
  <c r="U6" i="28"/>
  <c r="U26" i="28" s="1"/>
  <c r="V6" i="28"/>
  <c r="S6" i="28" s="1"/>
  <c r="T7" i="28"/>
  <c r="U7" i="28"/>
  <c r="V7" i="28"/>
  <c r="S7" i="28" s="1"/>
  <c r="T8" i="28"/>
  <c r="U8" i="28"/>
  <c r="U28" i="28" s="1"/>
  <c r="V8" i="28"/>
  <c r="S8" i="28" s="1"/>
  <c r="T9" i="28"/>
  <c r="U9" i="28"/>
  <c r="V9" i="28"/>
  <c r="V29" i="28" s="1"/>
  <c r="T10" i="28"/>
  <c r="U10" i="28"/>
  <c r="U30" i="28" s="1"/>
  <c r="V10" i="28"/>
  <c r="S10" i="28" s="1"/>
  <c r="S30" i="28" s="1"/>
  <c r="T11" i="28"/>
  <c r="U11" i="28"/>
  <c r="V11" i="28"/>
  <c r="S11" i="28" s="1"/>
  <c r="S31" i="28" s="1"/>
  <c r="T12" i="28"/>
  <c r="T32" i="28" s="1"/>
  <c r="U12" i="28"/>
  <c r="V12" i="28"/>
  <c r="S12" i="28" s="1"/>
  <c r="S32" i="28" s="1"/>
  <c r="T13" i="28"/>
  <c r="U13" i="28"/>
  <c r="V13" i="28"/>
  <c r="V33" i="28" s="1"/>
  <c r="T14" i="28"/>
  <c r="T34" i="28" s="1"/>
  <c r="U14" i="28"/>
  <c r="U34" i="28" s="1"/>
  <c r="V14" i="28"/>
  <c r="S14" i="28" s="1"/>
  <c r="T15" i="28"/>
  <c r="U15" i="28"/>
  <c r="V15" i="28"/>
  <c r="S15" i="28" s="1"/>
  <c r="T16" i="28"/>
  <c r="T36" i="28" s="1"/>
  <c r="U16" i="28"/>
  <c r="V16" i="28"/>
  <c r="S16" i="28" s="1"/>
  <c r="T17" i="28"/>
  <c r="U17" i="28"/>
  <c r="V17" i="28"/>
  <c r="V37" i="28" s="1"/>
  <c r="T18" i="28"/>
  <c r="T38" i="28" s="1"/>
  <c r="U18" i="28"/>
  <c r="U38" i="28" s="1"/>
  <c r="V18" i="28"/>
  <c r="S18" i="28" s="1"/>
  <c r="S38" i="28" s="1"/>
  <c r="T19" i="28"/>
  <c r="U19" i="28"/>
  <c r="V19" i="28"/>
  <c r="S19" i="28" s="1"/>
  <c r="V3" i="28"/>
  <c r="U3" i="28"/>
  <c r="T3" i="28"/>
  <c r="T23" i="28" s="1"/>
  <c r="S3" i="28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B45" i="28"/>
  <c r="B25" i="3" s="1"/>
  <c r="T44" i="28"/>
  <c r="AA39" i="28"/>
  <c r="Z39" i="28"/>
  <c r="Y39" i="28"/>
  <c r="AA38" i="28"/>
  <c r="Z38" i="28"/>
  <c r="Y38" i="28"/>
  <c r="AA37" i="28"/>
  <c r="Z37" i="28"/>
  <c r="Y37" i="28"/>
  <c r="AA36" i="28"/>
  <c r="Z36" i="28"/>
  <c r="Y36" i="28"/>
  <c r="AG35" i="28"/>
  <c r="AF35" i="28"/>
  <c r="AE35" i="28"/>
  <c r="AA35" i="28"/>
  <c r="Z35" i="28"/>
  <c r="Y35" i="28"/>
  <c r="AG34" i="28"/>
  <c r="AF34" i="28"/>
  <c r="AE34" i="28"/>
  <c r="AA34" i="28"/>
  <c r="Z34" i="28"/>
  <c r="Y34" i="28"/>
  <c r="AG33" i="28"/>
  <c r="AF33" i="28"/>
  <c r="AD33" i="28" s="1"/>
  <c r="AE33" i="28"/>
  <c r="AA33" i="28"/>
  <c r="Z33" i="28"/>
  <c r="Y33" i="28"/>
  <c r="AG32" i="28"/>
  <c r="AF32" i="28"/>
  <c r="AE32" i="28"/>
  <c r="AA32" i="28"/>
  <c r="Z32" i="28"/>
  <c r="Y32" i="28"/>
  <c r="AG31" i="28"/>
  <c r="AF31" i="28"/>
  <c r="AE31" i="28"/>
  <c r="AA31" i="28"/>
  <c r="Z31" i="28"/>
  <c r="Y31" i="28"/>
  <c r="AG30" i="28"/>
  <c r="AF30" i="28"/>
  <c r="AE30" i="28"/>
  <c r="AA30" i="28"/>
  <c r="Z30" i="28"/>
  <c r="Y30" i="28"/>
  <c r="AG29" i="28"/>
  <c r="AF29" i="28"/>
  <c r="AE29" i="28"/>
  <c r="AA29" i="28"/>
  <c r="Z29" i="28"/>
  <c r="Y29" i="28"/>
  <c r="AG28" i="28"/>
  <c r="AF28" i="28"/>
  <c r="AE28" i="28"/>
  <c r="AA28" i="28"/>
  <c r="Z28" i="28"/>
  <c r="Y28" i="28"/>
  <c r="AG27" i="28"/>
  <c r="AF27" i="28"/>
  <c r="AE27" i="28"/>
  <c r="AA27" i="28"/>
  <c r="Z27" i="28"/>
  <c r="Y27" i="28"/>
  <c r="AG26" i="28"/>
  <c r="AF26" i="28"/>
  <c r="AE26" i="28"/>
  <c r="AA26" i="28"/>
  <c r="Z26" i="28"/>
  <c r="Y26" i="28"/>
  <c r="AG25" i="28"/>
  <c r="AF25" i="28"/>
  <c r="AE25" i="28"/>
  <c r="AD25" i="28"/>
  <c r="AA25" i="28"/>
  <c r="Z25" i="28"/>
  <c r="Y25" i="28"/>
  <c r="AG24" i="28"/>
  <c r="AF24" i="28"/>
  <c r="AE24" i="28"/>
  <c r="AA24" i="28"/>
  <c r="Z24" i="28"/>
  <c r="Y24" i="28"/>
  <c r="AA23" i="28"/>
  <c r="Z23" i="28"/>
  <c r="Y23" i="28"/>
  <c r="AA22" i="28"/>
  <c r="Z22" i="28"/>
  <c r="Y22" i="28"/>
  <c r="AA21" i="28"/>
  <c r="Z21" i="28"/>
  <c r="Y21" i="28"/>
  <c r="AA20" i="28"/>
  <c r="Z20" i="28"/>
  <c r="Y20" i="28"/>
  <c r="AA19" i="28"/>
  <c r="Z19" i="28"/>
  <c r="Y19" i="28"/>
  <c r="U39" i="28"/>
  <c r="T39" i="28"/>
  <c r="AA18" i="28"/>
  <c r="Z18" i="28"/>
  <c r="Y18" i="28"/>
  <c r="AA17" i="28"/>
  <c r="Z17" i="28"/>
  <c r="Y17" i="28"/>
  <c r="U37" i="28"/>
  <c r="T37" i="28"/>
  <c r="AA16" i="28"/>
  <c r="Z16" i="28"/>
  <c r="Y16" i="28"/>
  <c r="V36" i="28"/>
  <c r="U36" i="28"/>
  <c r="AA15" i="28"/>
  <c r="Z15" i="28"/>
  <c r="Y15" i="28"/>
  <c r="U35" i="28"/>
  <c r="T35" i="28"/>
  <c r="AA14" i="28"/>
  <c r="Z14" i="28"/>
  <c r="Y14" i="28"/>
  <c r="V34" i="28"/>
  <c r="AA13" i="28"/>
  <c r="Z13" i="28"/>
  <c r="Y13" i="28"/>
  <c r="U33" i="28"/>
  <c r="T33" i="28"/>
  <c r="AA12" i="28"/>
  <c r="Z12" i="28"/>
  <c r="Y12" i="28"/>
  <c r="V32" i="28"/>
  <c r="U32" i="28"/>
  <c r="AA11" i="28"/>
  <c r="Z11" i="28"/>
  <c r="Y11" i="28"/>
  <c r="U31" i="28"/>
  <c r="T31" i="28"/>
  <c r="AA10" i="28"/>
  <c r="Z10" i="28"/>
  <c r="Y10" i="28"/>
  <c r="T30" i="28"/>
  <c r="AA9" i="28"/>
  <c r="Z9" i="28"/>
  <c r="Y9" i="28"/>
  <c r="U29" i="28"/>
  <c r="T29" i="28"/>
  <c r="AA8" i="28"/>
  <c r="Z8" i="28"/>
  <c r="Y8" i="28"/>
  <c r="V28" i="28"/>
  <c r="T28" i="28"/>
  <c r="AA7" i="28"/>
  <c r="Z7" i="28"/>
  <c r="Y7" i="28"/>
  <c r="U27" i="28"/>
  <c r="T27" i="28"/>
  <c r="AA6" i="28"/>
  <c r="Z6" i="28"/>
  <c r="Y6" i="28"/>
  <c r="V26" i="28"/>
  <c r="T26" i="28"/>
  <c r="AA5" i="28"/>
  <c r="Z5" i="28"/>
  <c r="Y5" i="28"/>
  <c r="U25" i="28"/>
  <c r="T25" i="28"/>
  <c r="I45" i="28"/>
  <c r="I25" i="3" s="1"/>
  <c r="AA4" i="28"/>
  <c r="K45" i="28" s="1"/>
  <c r="K25" i="3" s="1"/>
  <c r="Z4" i="28"/>
  <c r="G45" i="28" s="1"/>
  <c r="G25" i="3" s="1"/>
  <c r="Y4" i="28"/>
  <c r="U24" i="28"/>
  <c r="T24" i="28"/>
  <c r="L45" i="28"/>
  <c r="L25" i="3" s="1"/>
  <c r="V23" i="28"/>
  <c r="U23" i="28"/>
  <c r="E45" i="28"/>
  <c r="E25" i="3" s="1"/>
  <c r="L49" i="2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B24" i="3"/>
  <c r="B45" i="27"/>
  <c r="T44" i="27"/>
  <c r="Z39" i="27"/>
  <c r="Y39" i="27"/>
  <c r="X39" i="27"/>
  <c r="Z38" i="27"/>
  <c r="Y38" i="27"/>
  <c r="X38" i="27"/>
  <c r="Z37" i="27"/>
  <c r="Y37" i="27"/>
  <c r="X37" i="27"/>
  <c r="Z36" i="27"/>
  <c r="Y36" i="27"/>
  <c r="X36" i="27"/>
  <c r="AF35" i="27"/>
  <c r="AE35" i="27"/>
  <c r="AD35" i="27"/>
  <c r="AC35" i="27" s="1"/>
  <c r="Z35" i="27"/>
  <c r="Y35" i="27"/>
  <c r="X35" i="27"/>
  <c r="AF34" i="27"/>
  <c r="AE34" i="27"/>
  <c r="AD34" i="27"/>
  <c r="AC34" i="27" s="1"/>
  <c r="Z34" i="27"/>
  <c r="Y34" i="27"/>
  <c r="X34" i="27"/>
  <c r="AF33" i="27"/>
  <c r="AC33" i="27" s="1"/>
  <c r="AE33" i="27"/>
  <c r="AD33" i="27"/>
  <c r="Z33" i="27"/>
  <c r="Y33" i="27"/>
  <c r="X33" i="27"/>
  <c r="AF32" i="27"/>
  <c r="AE32" i="27"/>
  <c r="AD32" i="27"/>
  <c r="AC32" i="27" s="1"/>
  <c r="Z32" i="27"/>
  <c r="Y32" i="27"/>
  <c r="X32" i="27"/>
  <c r="AF31" i="27"/>
  <c r="AE31" i="27"/>
  <c r="AD31" i="27"/>
  <c r="Z31" i="27"/>
  <c r="Y31" i="27"/>
  <c r="X31" i="27"/>
  <c r="AF30" i="27"/>
  <c r="AE30" i="27"/>
  <c r="AD30" i="27"/>
  <c r="AC30" i="27" s="1"/>
  <c r="Z30" i="27"/>
  <c r="Y30" i="27"/>
  <c r="X30" i="27"/>
  <c r="AF29" i="27"/>
  <c r="AE29" i="27"/>
  <c r="AD29" i="27"/>
  <c r="Z29" i="27"/>
  <c r="Y29" i="27"/>
  <c r="X29" i="27"/>
  <c r="AF28" i="27"/>
  <c r="AE28" i="27"/>
  <c r="AD28" i="27"/>
  <c r="AC28" i="27" s="1"/>
  <c r="Z28" i="27"/>
  <c r="Y28" i="27"/>
  <c r="X28" i="27"/>
  <c r="AF27" i="27"/>
  <c r="AE27" i="27"/>
  <c r="AD27" i="27"/>
  <c r="Z27" i="27"/>
  <c r="Y27" i="27"/>
  <c r="X27" i="27"/>
  <c r="AF26" i="27"/>
  <c r="AE26" i="27"/>
  <c r="AD26" i="27"/>
  <c r="Z26" i="27"/>
  <c r="Y26" i="27"/>
  <c r="X26" i="27"/>
  <c r="AF25" i="27"/>
  <c r="AC25" i="27" s="1"/>
  <c r="AE25" i="27"/>
  <c r="AD25" i="27"/>
  <c r="Z25" i="27"/>
  <c r="Y25" i="27"/>
  <c r="X25" i="27"/>
  <c r="AF24" i="27"/>
  <c r="AE24" i="27"/>
  <c r="AD24" i="27"/>
  <c r="AC24" i="27" s="1"/>
  <c r="Z24" i="27"/>
  <c r="Y24" i="27"/>
  <c r="X24" i="27"/>
  <c r="Z23" i="27"/>
  <c r="Y23" i="27"/>
  <c r="X23" i="27"/>
  <c r="Z22" i="27"/>
  <c r="Y22" i="27"/>
  <c r="X22" i="27"/>
  <c r="Z21" i="27"/>
  <c r="Y21" i="27"/>
  <c r="X21" i="27"/>
  <c r="Z20" i="27"/>
  <c r="Y20" i="27"/>
  <c r="X20" i="27"/>
  <c r="Z19" i="27"/>
  <c r="Y19" i="27"/>
  <c r="X19" i="27"/>
  <c r="U19" i="27"/>
  <c r="U39" i="27" s="1"/>
  <c r="T19" i="27"/>
  <c r="T39" i="27" s="1"/>
  <c r="S19" i="27"/>
  <c r="S39" i="27" s="1"/>
  <c r="Z18" i="27"/>
  <c r="Y18" i="27"/>
  <c r="X18" i="27"/>
  <c r="U18" i="27"/>
  <c r="U38" i="27" s="1"/>
  <c r="T18" i="27"/>
  <c r="T38" i="27" s="1"/>
  <c r="S18" i="27"/>
  <c r="S38" i="27" s="1"/>
  <c r="R18" i="27"/>
  <c r="R38" i="27" s="1"/>
  <c r="Z17" i="27"/>
  <c r="Y17" i="27"/>
  <c r="X17" i="27"/>
  <c r="U17" i="27"/>
  <c r="R17" i="27" s="1"/>
  <c r="R37" i="27" s="1"/>
  <c r="T17" i="27"/>
  <c r="T37" i="27" s="1"/>
  <c r="S17" i="27"/>
  <c r="S37" i="27" s="1"/>
  <c r="Z16" i="27"/>
  <c r="Y16" i="27"/>
  <c r="X16" i="27"/>
  <c r="U16" i="27"/>
  <c r="U36" i="27" s="1"/>
  <c r="T16" i="27"/>
  <c r="T36" i="27" s="1"/>
  <c r="S16" i="27"/>
  <c r="S36" i="27" s="1"/>
  <c r="R16" i="27"/>
  <c r="R36" i="27" s="1"/>
  <c r="Z15" i="27"/>
  <c r="Y15" i="27"/>
  <c r="X15" i="27"/>
  <c r="U15" i="27"/>
  <c r="U35" i="27" s="1"/>
  <c r="T15" i="27"/>
  <c r="T35" i="27" s="1"/>
  <c r="S15" i="27"/>
  <c r="S35" i="27" s="1"/>
  <c r="Z14" i="27"/>
  <c r="Y14" i="27"/>
  <c r="X14" i="27"/>
  <c r="U14" i="27"/>
  <c r="U34" i="27" s="1"/>
  <c r="T14" i="27"/>
  <c r="T34" i="27" s="1"/>
  <c r="S14" i="27"/>
  <c r="S34" i="27" s="1"/>
  <c r="R14" i="27"/>
  <c r="R34" i="27" s="1"/>
  <c r="Z13" i="27"/>
  <c r="Y13" i="27"/>
  <c r="X13" i="27"/>
  <c r="U13" i="27"/>
  <c r="R13" i="27" s="1"/>
  <c r="R33" i="27" s="1"/>
  <c r="T13" i="27"/>
  <c r="T33" i="27" s="1"/>
  <c r="S13" i="27"/>
  <c r="S33" i="27" s="1"/>
  <c r="Z12" i="27"/>
  <c r="Y12" i="27"/>
  <c r="X12" i="27"/>
  <c r="U12" i="27"/>
  <c r="U32" i="27" s="1"/>
  <c r="T12" i="27"/>
  <c r="T32" i="27" s="1"/>
  <c r="S12" i="27"/>
  <c r="S32" i="27" s="1"/>
  <c r="Z11" i="27"/>
  <c r="Y11" i="27"/>
  <c r="X11" i="27"/>
  <c r="U11" i="27"/>
  <c r="R11" i="27" s="1"/>
  <c r="R31" i="27" s="1"/>
  <c r="T11" i="27"/>
  <c r="T31" i="27" s="1"/>
  <c r="S11" i="27"/>
  <c r="S31" i="27" s="1"/>
  <c r="Z10" i="27"/>
  <c r="Y10" i="27"/>
  <c r="X10" i="27"/>
  <c r="U10" i="27"/>
  <c r="U30" i="27" s="1"/>
  <c r="T10" i="27"/>
  <c r="T30" i="27" s="1"/>
  <c r="S10" i="27"/>
  <c r="S30" i="27" s="1"/>
  <c r="Z9" i="27"/>
  <c r="Y9" i="27"/>
  <c r="X9" i="27"/>
  <c r="U9" i="27"/>
  <c r="R9" i="27" s="1"/>
  <c r="R29" i="27" s="1"/>
  <c r="T9" i="27"/>
  <c r="T29" i="27" s="1"/>
  <c r="S9" i="27"/>
  <c r="S29" i="27" s="1"/>
  <c r="Z8" i="27"/>
  <c r="Y8" i="27"/>
  <c r="X8" i="27"/>
  <c r="U8" i="27"/>
  <c r="U28" i="27" s="1"/>
  <c r="T8" i="27"/>
  <c r="T28" i="27" s="1"/>
  <c r="S8" i="27"/>
  <c r="S28" i="27" s="1"/>
  <c r="R8" i="27"/>
  <c r="R28" i="27" s="1"/>
  <c r="Z7" i="27"/>
  <c r="Y7" i="27"/>
  <c r="X7" i="27"/>
  <c r="U7" i="27"/>
  <c r="U27" i="27" s="1"/>
  <c r="T7" i="27"/>
  <c r="T27" i="27" s="1"/>
  <c r="S7" i="27"/>
  <c r="S27" i="27" s="1"/>
  <c r="R7" i="27"/>
  <c r="R27" i="27" s="1"/>
  <c r="Z6" i="27"/>
  <c r="Y6" i="27"/>
  <c r="X6" i="27"/>
  <c r="U6" i="27"/>
  <c r="U26" i="27" s="1"/>
  <c r="T6" i="27"/>
  <c r="T26" i="27" s="1"/>
  <c r="S6" i="27"/>
  <c r="S26" i="27" s="1"/>
  <c r="R6" i="27"/>
  <c r="R26" i="27" s="1"/>
  <c r="Z5" i="27"/>
  <c r="Y5" i="27"/>
  <c r="X5" i="27"/>
  <c r="U5" i="27"/>
  <c r="R5" i="27" s="1"/>
  <c r="R25" i="27" s="1"/>
  <c r="T5" i="27"/>
  <c r="T25" i="27" s="1"/>
  <c r="S5" i="27"/>
  <c r="S25" i="27" s="1"/>
  <c r="M5" i="27"/>
  <c r="N5" i="27" s="1"/>
  <c r="L5" i="27"/>
  <c r="I45" i="27" s="1"/>
  <c r="I24" i="3" s="1"/>
  <c r="Z4" i="27"/>
  <c r="Y4" i="27"/>
  <c r="X4" i="27"/>
  <c r="M45" i="27" s="1"/>
  <c r="M24" i="3" s="1"/>
  <c r="U4" i="27"/>
  <c r="U24" i="27" s="1"/>
  <c r="T4" i="27"/>
  <c r="T24" i="27" s="1"/>
  <c r="S4" i="27"/>
  <c r="S24" i="27" s="1"/>
  <c r="R4" i="27"/>
  <c r="R24" i="27" s="1"/>
  <c r="M4" i="27"/>
  <c r="L4" i="27"/>
  <c r="L45" i="27" s="1"/>
  <c r="L24" i="3" s="1"/>
  <c r="U3" i="27"/>
  <c r="U23" i="27" s="1"/>
  <c r="T3" i="27"/>
  <c r="T23" i="27" s="1"/>
  <c r="S3" i="27"/>
  <c r="S23" i="27" s="1"/>
  <c r="M3" i="27"/>
  <c r="L3" i="27"/>
  <c r="E45" i="27" s="1"/>
  <c r="E24" i="3" s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45" i="26"/>
  <c r="T44" i="26"/>
  <c r="Z39" i="26"/>
  <c r="Y39" i="26"/>
  <c r="X39" i="26"/>
  <c r="Z38" i="26"/>
  <c r="Y38" i="26"/>
  <c r="X38" i="26"/>
  <c r="Z37" i="26"/>
  <c r="Y37" i="26"/>
  <c r="X37" i="26"/>
  <c r="Z36" i="26"/>
  <c r="Y36" i="26"/>
  <c r="X36" i="26"/>
  <c r="AF35" i="26"/>
  <c r="AE35" i="26"/>
  <c r="AD35" i="26"/>
  <c r="Z35" i="26"/>
  <c r="Y35" i="26"/>
  <c r="X35" i="26"/>
  <c r="AF34" i="26"/>
  <c r="AE34" i="26"/>
  <c r="AD34" i="26"/>
  <c r="Z34" i="26"/>
  <c r="Y34" i="26"/>
  <c r="X34" i="26"/>
  <c r="AF33" i="26"/>
  <c r="AE33" i="26"/>
  <c r="AD33" i="26"/>
  <c r="AC33" i="26"/>
  <c r="Z33" i="26"/>
  <c r="Y33" i="26"/>
  <c r="X33" i="26"/>
  <c r="AF32" i="26"/>
  <c r="AE32" i="26"/>
  <c r="AD32" i="26"/>
  <c r="AC32" i="26" s="1"/>
  <c r="Z32" i="26"/>
  <c r="Y32" i="26"/>
  <c r="X32" i="26"/>
  <c r="AF31" i="26"/>
  <c r="AE31" i="26"/>
  <c r="AD31" i="26"/>
  <c r="Z31" i="26"/>
  <c r="Y31" i="26"/>
  <c r="X31" i="26"/>
  <c r="AF30" i="26"/>
  <c r="AE30" i="26"/>
  <c r="AD30" i="26"/>
  <c r="AC30" i="26" s="1"/>
  <c r="Z30" i="26"/>
  <c r="Y30" i="26"/>
  <c r="X30" i="26"/>
  <c r="AF29" i="26"/>
  <c r="AE29" i="26"/>
  <c r="AD29" i="26"/>
  <c r="Z29" i="26"/>
  <c r="Y29" i="26"/>
  <c r="X29" i="26"/>
  <c r="AF28" i="26"/>
  <c r="AE28" i="26"/>
  <c r="AD28" i="26"/>
  <c r="AC28" i="26" s="1"/>
  <c r="Z28" i="26"/>
  <c r="Y28" i="26"/>
  <c r="X28" i="26"/>
  <c r="AF27" i="26"/>
  <c r="AE27" i="26"/>
  <c r="AD27" i="26"/>
  <c r="Z27" i="26"/>
  <c r="Y27" i="26"/>
  <c r="X27" i="26"/>
  <c r="AF26" i="26"/>
  <c r="AE26" i="26"/>
  <c r="AD26" i="26"/>
  <c r="Z26" i="26"/>
  <c r="Y26" i="26"/>
  <c r="X26" i="26"/>
  <c r="AF25" i="26"/>
  <c r="AE25" i="26"/>
  <c r="AC25" i="26" s="1"/>
  <c r="AD25" i="26"/>
  <c r="Z25" i="26"/>
  <c r="Y25" i="26"/>
  <c r="X25" i="26"/>
  <c r="AF24" i="26"/>
  <c r="AE24" i="26"/>
  <c r="AD24" i="26"/>
  <c r="AC24" i="26" s="1"/>
  <c r="Z24" i="26"/>
  <c r="Y24" i="26"/>
  <c r="X24" i="26"/>
  <c r="Z23" i="26"/>
  <c r="Y23" i="26"/>
  <c r="X23" i="26"/>
  <c r="Z22" i="26"/>
  <c r="Y22" i="26"/>
  <c r="X22" i="26"/>
  <c r="Z21" i="26"/>
  <c r="Y21" i="26"/>
  <c r="X21" i="26"/>
  <c r="Z20" i="26"/>
  <c r="Y20" i="26"/>
  <c r="X20" i="26"/>
  <c r="Z19" i="26"/>
  <c r="Y19" i="26"/>
  <c r="X19" i="26"/>
  <c r="U19" i="26"/>
  <c r="U39" i="26" s="1"/>
  <c r="T19" i="26"/>
  <c r="T39" i="26" s="1"/>
  <c r="S19" i="26"/>
  <c r="S39" i="26" s="1"/>
  <c r="Z18" i="26"/>
  <c r="Y18" i="26"/>
  <c r="X18" i="26"/>
  <c r="U18" i="26"/>
  <c r="R18" i="26" s="1"/>
  <c r="R38" i="26" s="1"/>
  <c r="T18" i="26"/>
  <c r="T38" i="26" s="1"/>
  <c r="S18" i="26"/>
  <c r="S38" i="26" s="1"/>
  <c r="Z17" i="26"/>
  <c r="Y17" i="26"/>
  <c r="X17" i="26"/>
  <c r="U17" i="26"/>
  <c r="U37" i="26" s="1"/>
  <c r="T17" i="26"/>
  <c r="T37" i="26" s="1"/>
  <c r="S17" i="26"/>
  <c r="S37" i="26" s="1"/>
  <c r="R17" i="26"/>
  <c r="R37" i="26" s="1"/>
  <c r="Z16" i="26"/>
  <c r="Y16" i="26"/>
  <c r="X16" i="26"/>
  <c r="U16" i="26"/>
  <c r="U36" i="26" s="1"/>
  <c r="T16" i="26"/>
  <c r="T36" i="26" s="1"/>
  <c r="S16" i="26"/>
  <c r="S36" i="26" s="1"/>
  <c r="R16" i="26"/>
  <c r="R36" i="26" s="1"/>
  <c r="Z15" i="26"/>
  <c r="Y15" i="26"/>
  <c r="X15" i="26"/>
  <c r="U15" i="26"/>
  <c r="U35" i="26" s="1"/>
  <c r="T15" i="26"/>
  <c r="T35" i="26" s="1"/>
  <c r="S15" i="26"/>
  <c r="S35" i="26" s="1"/>
  <c r="R15" i="26"/>
  <c r="R35" i="26" s="1"/>
  <c r="Z14" i="26"/>
  <c r="Y14" i="26"/>
  <c r="X14" i="26"/>
  <c r="U14" i="26"/>
  <c r="U34" i="26" s="1"/>
  <c r="T14" i="26"/>
  <c r="T34" i="26" s="1"/>
  <c r="S14" i="26"/>
  <c r="S34" i="26" s="1"/>
  <c r="R14" i="26"/>
  <c r="R34" i="26" s="1"/>
  <c r="Z13" i="26"/>
  <c r="Y13" i="26"/>
  <c r="X13" i="26"/>
  <c r="U13" i="26"/>
  <c r="R13" i="26" s="1"/>
  <c r="R33" i="26" s="1"/>
  <c r="T13" i="26"/>
  <c r="T33" i="26" s="1"/>
  <c r="S13" i="26"/>
  <c r="S33" i="26" s="1"/>
  <c r="Z12" i="26"/>
  <c r="Y12" i="26"/>
  <c r="X12" i="26"/>
  <c r="U12" i="26"/>
  <c r="U32" i="26" s="1"/>
  <c r="T12" i="26"/>
  <c r="T32" i="26" s="1"/>
  <c r="S12" i="26"/>
  <c r="S32" i="26" s="1"/>
  <c r="Z11" i="26"/>
  <c r="Y11" i="26"/>
  <c r="X11" i="26"/>
  <c r="U11" i="26"/>
  <c r="R11" i="26" s="1"/>
  <c r="R31" i="26" s="1"/>
  <c r="T11" i="26"/>
  <c r="T31" i="26" s="1"/>
  <c r="S11" i="26"/>
  <c r="S31" i="26" s="1"/>
  <c r="Z10" i="26"/>
  <c r="Y10" i="26"/>
  <c r="X10" i="26"/>
  <c r="U10" i="26"/>
  <c r="R10" i="26" s="1"/>
  <c r="R30" i="26" s="1"/>
  <c r="T10" i="26"/>
  <c r="T30" i="26" s="1"/>
  <c r="S10" i="26"/>
  <c r="S30" i="26" s="1"/>
  <c r="Z9" i="26"/>
  <c r="Y9" i="26"/>
  <c r="X9" i="26"/>
  <c r="U9" i="26"/>
  <c r="U29" i="26" s="1"/>
  <c r="T9" i="26"/>
  <c r="T29" i="26" s="1"/>
  <c r="S9" i="26"/>
  <c r="S29" i="26" s="1"/>
  <c r="Z8" i="26"/>
  <c r="Y8" i="26"/>
  <c r="X8" i="26"/>
  <c r="U8" i="26"/>
  <c r="U28" i="26" s="1"/>
  <c r="T8" i="26"/>
  <c r="T28" i="26" s="1"/>
  <c r="S8" i="26"/>
  <c r="S28" i="26" s="1"/>
  <c r="Z7" i="26"/>
  <c r="Y7" i="26"/>
  <c r="X7" i="26"/>
  <c r="U7" i="26"/>
  <c r="U27" i="26" s="1"/>
  <c r="T7" i="26"/>
  <c r="T27" i="26" s="1"/>
  <c r="S7" i="26"/>
  <c r="S27" i="26" s="1"/>
  <c r="Z6" i="26"/>
  <c r="Y6" i="26"/>
  <c r="X6" i="26"/>
  <c r="U6" i="26"/>
  <c r="U26" i="26" s="1"/>
  <c r="T6" i="26"/>
  <c r="T26" i="26" s="1"/>
  <c r="S6" i="26"/>
  <c r="S26" i="26" s="1"/>
  <c r="Z5" i="26"/>
  <c r="Y5" i="26"/>
  <c r="X5" i="26"/>
  <c r="U5" i="26"/>
  <c r="U25" i="26" s="1"/>
  <c r="T5" i="26"/>
  <c r="T25" i="26" s="1"/>
  <c r="S5" i="26"/>
  <c r="S25" i="26" s="1"/>
  <c r="R5" i="26"/>
  <c r="R25" i="26" s="1"/>
  <c r="M5" i="26"/>
  <c r="L5" i="26"/>
  <c r="I45" i="26" s="1"/>
  <c r="Z4" i="26"/>
  <c r="Y4" i="26"/>
  <c r="X4" i="26"/>
  <c r="U4" i="26"/>
  <c r="R4" i="26" s="1"/>
  <c r="R24" i="26" s="1"/>
  <c r="T4" i="26"/>
  <c r="T24" i="26" s="1"/>
  <c r="S4" i="26"/>
  <c r="S24" i="26" s="1"/>
  <c r="M4" i="26"/>
  <c r="L4" i="26"/>
  <c r="L45" i="26" s="1"/>
  <c r="U3" i="26"/>
  <c r="U23" i="26" s="1"/>
  <c r="T3" i="26"/>
  <c r="T23" i="26" s="1"/>
  <c r="S3" i="26"/>
  <c r="S23" i="26" s="1"/>
  <c r="M3" i="26"/>
  <c r="L3" i="26"/>
  <c r="B22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V27" i="28" l="1"/>
  <c r="V35" i="28"/>
  <c r="V39" i="28"/>
  <c r="S17" i="28"/>
  <c r="S37" i="28" s="1"/>
  <c r="S13" i="28"/>
  <c r="S9" i="28"/>
  <c r="S5" i="28"/>
  <c r="S25" i="28" s="1"/>
  <c r="S26" i="28"/>
  <c r="AD28" i="28"/>
  <c r="AD32" i="28"/>
  <c r="S34" i="28"/>
  <c r="AD27" i="28"/>
  <c r="AD35" i="28"/>
  <c r="S28" i="28"/>
  <c r="AD30" i="28"/>
  <c r="AD34" i="28"/>
  <c r="AD24" i="28"/>
  <c r="AD29" i="28"/>
  <c r="AD89" i="3"/>
  <c r="AH89" i="3" s="1"/>
  <c r="AC104" i="3"/>
  <c r="AG104" i="3" s="1"/>
  <c r="AC102" i="3"/>
  <c r="AG102" i="3" s="1"/>
  <c r="AC100" i="3"/>
  <c r="AG100" i="3" s="1"/>
  <c r="AC98" i="3"/>
  <c r="AG98" i="3" s="1"/>
  <c r="AC96" i="3"/>
  <c r="AG96" i="3" s="1"/>
  <c r="AC94" i="3"/>
  <c r="AG94" i="3" s="1"/>
  <c r="AC92" i="3"/>
  <c r="AG92" i="3" s="1"/>
  <c r="AC90" i="3"/>
  <c r="AG90" i="3" s="1"/>
  <c r="T47" i="28"/>
  <c r="M45" i="28"/>
  <c r="M25" i="3" s="1"/>
  <c r="AC89" i="3"/>
  <c r="AG89" i="3" s="1"/>
  <c r="AB104" i="3"/>
  <c r="AF104" i="3" s="1"/>
  <c r="AB102" i="3"/>
  <c r="AF102" i="3" s="1"/>
  <c r="AB100" i="3"/>
  <c r="AF100" i="3" s="1"/>
  <c r="AB98" i="3"/>
  <c r="AF98" i="3" s="1"/>
  <c r="AB96" i="3"/>
  <c r="AF96" i="3" s="1"/>
  <c r="AB94" i="3"/>
  <c r="AF94" i="3" s="1"/>
  <c r="AB92" i="3"/>
  <c r="AF92" i="3" s="1"/>
  <c r="AB90" i="3"/>
  <c r="AF90" i="3" s="1"/>
  <c r="AB89" i="3"/>
  <c r="AF89" i="3" s="1"/>
  <c r="AA104" i="3"/>
  <c r="AE104" i="3" s="1"/>
  <c r="AA98" i="3"/>
  <c r="AE98" i="3" s="1"/>
  <c r="AA96" i="3"/>
  <c r="AE96" i="3" s="1"/>
  <c r="AA92" i="3"/>
  <c r="AE92" i="3" s="1"/>
  <c r="AA90" i="3"/>
  <c r="AE90" i="3" s="1"/>
  <c r="AD105" i="3"/>
  <c r="AH105" i="3" s="1"/>
  <c r="AD103" i="3"/>
  <c r="AH103" i="3" s="1"/>
  <c r="AD101" i="3"/>
  <c r="AH101" i="3" s="1"/>
  <c r="AD99" i="3"/>
  <c r="AH99" i="3" s="1"/>
  <c r="AD97" i="3"/>
  <c r="AH97" i="3" s="1"/>
  <c r="AD95" i="3"/>
  <c r="AH95" i="3" s="1"/>
  <c r="AD93" i="3"/>
  <c r="AH93" i="3" s="1"/>
  <c r="AD91" i="3"/>
  <c r="AH91" i="3" s="1"/>
  <c r="AD31" i="28"/>
  <c r="AC105" i="3"/>
  <c r="AG105" i="3" s="1"/>
  <c r="AC103" i="3"/>
  <c r="AG103" i="3" s="1"/>
  <c r="AC101" i="3"/>
  <c r="AG101" i="3" s="1"/>
  <c r="AC99" i="3"/>
  <c r="AG99" i="3" s="1"/>
  <c r="AC97" i="3"/>
  <c r="AG97" i="3" s="1"/>
  <c r="AC95" i="3"/>
  <c r="AG95" i="3" s="1"/>
  <c r="AC93" i="3"/>
  <c r="AG93" i="3" s="1"/>
  <c r="AC91" i="3"/>
  <c r="AG91" i="3" s="1"/>
  <c r="AD26" i="28"/>
  <c r="AB105" i="3"/>
  <c r="AF105" i="3" s="1"/>
  <c r="AB103" i="3"/>
  <c r="AF103" i="3" s="1"/>
  <c r="AB101" i="3"/>
  <c r="AF101" i="3" s="1"/>
  <c r="AB99" i="3"/>
  <c r="AF99" i="3" s="1"/>
  <c r="AB97" i="3"/>
  <c r="AF97" i="3" s="1"/>
  <c r="AB95" i="3"/>
  <c r="AF95" i="3" s="1"/>
  <c r="AB93" i="3"/>
  <c r="AF93" i="3" s="1"/>
  <c r="AB91" i="3"/>
  <c r="AF91" i="3" s="1"/>
  <c r="AA97" i="3"/>
  <c r="AE97" i="3" s="1"/>
  <c r="AD104" i="3"/>
  <c r="AH104" i="3" s="1"/>
  <c r="AD102" i="3"/>
  <c r="AH102" i="3" s="1"/>
  <c r="AD100" i="3"/>
  <c r="AH100" i="3" s="1"/>
  <c r="AD98" i="3"/>
  <c r="AH98" i="3" s="1"/>
  <c r="AD96" i="3"/>
  <c r="AH96" i="3" s="1"/>
  <c r="AD94" i="3"/>
  <c r="AH94" i="3" s="1"/>
  <c r="AD92" i="3"/>
  <c r="AH92" i="3" s="1"/>
  <c r="AD90" i="3"/>
  <c r="AH90" i="3" s="1"/>
  <c r="T46" i="28"/>
  <c r="O5" i="28"/>
  <c r="V30" i="28"/>
  <c r="V38" i="28"/>
  <c r="F45" i="28"/>
  <c r="F25" i="3" s="1"/>
  <c r="N45" i="28"/>
  <c r="N25" i="3" s="1"/>
  <c r="H45" i="28"/>
  <c r="H25" i="3" s="1"/>
  <c r="V31" i="28"/>
  <c r="J45" i="28"/>
  <c r="J25" i="3" s="1"/>
  <c r="O3" i="28"/>
  <c r="O4" i="28"/>
  <c r="C45" i="28"/>
  <c r="V24" i="28"/>
  <c r="T47" i="27"/>
  <c r="R10" i="27"/>
  <c r="R15" i="27"/>
  <c r="AN85" i="3"/>
  <c r="AN83" i="3"/>
  <c r="AN81" i="3"/>
  <c r="AN79" i="3"/>
  <c r="AN77" i="3"/>
  <c r="AN75" i="3"/>
  <c r="AN73" i="3"/>
  <c r="AR73" i="3" s="1"/>
  <c r="AN71" i="3"/>
  <c r="AM85" i="3"/>
  <c r="AM83" i="3"/>
  <c r="AM81" i="3"/>
  <c r="AM79" i="3"/>
  <c r="AM77" i="3"/>
  <c r="AM75" i="3"/>
  <c r="AQ75" i="3" s="1"/>
  <c r="AM73" i="3"/>
  <c r="AQ73" i="3" s="1"/>
  <c r="AM71" i="3"/>
  <c r="G45" i="27"/>
  <c r="G24" i="3" s="1"/>
  <c r="AC31" i="27"/>
  <c r="AL83" i="3"/>
  <c r="AL79" i="3"/>
  <c r="AL77" i="3"/>
  <c r="AL75" i="3"/>
  <c r="AL73" i="3"/>
  <c r="AL71" i="3"/>
  <c r="O4" i="27"/>
  <c r="Q45" i="27" s="1"/>
  <c r="Q24" i="3" s="1"/>
  <c r="K45" i="27"/>
  <c r="K24" i="3" s="1"/>
  <c r="AC27" i="27"/>
  <c r="AO84" i="3"/>
  <c r="AO82" i="3"/>
  <c r="AO80" i="3"/>
  <c r="AO78" i="3"/>
  <c r="AS78" i="3" s="1"/>
  <c r="AO76" i="3"/>
  <c r="AO74" i="3"/>
  <c r="AO72" i="3"/>
  <c r="AO70" i="3"/>
  <c r="N4" i="27"/>
  <c r="AC26" i="27"/>
  <c r="AO69" i="3"/>
  <c r="AS69" i="3" s="1"/>
  <c r="AN84" i="3"/>
  <c r="AN82" i="3"/>
  <c r="AN80" i="3"/>
  <c r="AN78" i="3"/>
  <c r="AN76" i="3"/>
  <c r="AN74" i="3"/>
  <c r="AN72" i="3"/>
  <c r="AR72" i="3" s="1"/>
  <c r="AN70" i="3"/>
  <c r="AR70" i="3" s="1"/>
  <c r="N3" i="27"/>
  <c r="O5" i="27" s="1"/>
  <c r="P45" i="27" s="1"/>
  <c r="P24" i="3" s="1"/>
  <c r="AN69" i="3"/>
  <c r="AR69" i="3" s="1"/>
  <c r="AM84" i="3"/>
  <c r="AM82" i="3"/>
  <c r="AM80" i="3"/>
  <c r="AM78" i="3"/>
  <c r="AM76" i="3"/>
  <c r="AQ76" i="3" s="1"/>
  <c r="AM74" i="3"/>
  <c r="AQ74" i="3" s="1"/>
  <c r="AM72" i="3"/>
  <c r="AM70" i="3"/>
  <c r="AQ70" i="3" s="1"/>
  <c r="R3" i="27"/>
  <c r="AC29" i="27"/>
  <c r="AM69" i="3"/>
  <c r="AL84" i="3"/>
  <c r="AL82" i="3"/>
  <c r="AP82" i="3" s="1"/>
  <c r="AL80" i="3"/>
  <c r="AL74" i="3"/>
  <c r="AL72" i="3"/>
  <c r="AL70" i="3"/>
  <c r="AO85" i="3"/>
  <c r="AO83" i="3"/>
  <c r="AO81" i="3"/>
  <c r="AS81" i="3" s="1"/>
  <c r="AO79" i="3"/>
  <c r="AS79" i="3" s="1"/>
  <c r="AO77" i="3"/>
  <c r="AO75" i="3"/>
  <c r="AS75" i="3" s="1"/>
  <c r="AO73" i="3"/>
  <c r="AO71" i="3"/>
  <c r="T46" i="27"/>
  <c r="F45" i="27"/>
  <c r="F24" i="3" s="1"/>
  <c r="N45" i="27"/>
  <c r="N24" i="3" s="1"/>
  <c r="U25" i="27"/>
  <c r="T48" i="27" s="1"/>
  <c r="U33" i="27"/>
  <c r="U37" i="27"/>
  <c r="H45" i="27"/>
  <c r="H24" i="3" s="1"/>
  <c r="R12" i="27"/>
  <c r="U31" i="27"/>
  <c r="R19" i="27"/>
  <c r="J45" i="27"/>
  <c r="J24" i="3" s="1"/>
  <c r="U29" i="27"/>
  <c r="C45" i="27"/>
  <c r="AC34" i="26"/>
  <c r="M45" i="26"/>
  <c r="AC29" i="26"/>
  <c r="G45" i="26"/>
  <c r="R9" i="26"/>
  <c r="R29" i="26" s="1"/>
  <c r="K45" i="26"/>
  <c r="R8" i="26"/>
  <c r="R28" i="26" s="1"/>
  <c r="AC27" i="26"/>
  <c r="R7" i="26"/>
  <c r="R27" i="26" s="1"/>
  <c r="E45" i="26"/>
  <c r="R6" i="26"/>
  <c r="R26" i="26" s="1"/>
  <c r="AC26" i="26"/>
  <c r="AC31" i="26"/>
  <c r="AC35" i="26"/>
  <c r="T46" i="26"/>
  <c r="T47" i="26"/>
  <c r="U30" i="26"/>
  <c r="U38" i="26"/>
  <c r="F45" i="26"/>
  <c r="N45" i="26"/>
  <c r="U33" i="26"/>
  <c r="N5" i="26"/>
  <c r="O5" i="26" s="1"/>
  <c r="P45" i="26" s="1"/>
  <c r="H45" i="26"/>
  <c r="R12" i="26"/>
  <c r="R32" i="26" s="1"/>
  <c r="U31" i="26"/>
  <c r="R19" i="26"/>
  <c r="R39" i="26" s="1"/>
  <c r="J45" i="26"/>
  <c r="N3" i="26"/>
  <c r="O3" i="26" s="1"/>
  <c r="O45" i="26" s="1"/>
  <c r="N4" i="26"/>
  <c r="C45" i="26"/>
  <c r="D45" i="26" s="1"/>
  <c r="U24" i="26"/>
  <c r="R3" i="26"/>
  <c r="R23" i="26" s="1"/>
  <c r="G45" i="25"/>
  <c r="G22" i="3" s="1"/>
  <c r="R8" i="25"/>
  <c r="AS77" i="3"/>
  <c r="K45" i="25"/>
  <c r="K22" i="3" s="1"/>
  <c r="R18" i="25"/>
  <c r="AC27" i="25"/>
  <c r="AR81" i="3"/>
  <c r="AR77" i="3"/>
  <c r="N4" i="25"/>
  <c r="O4" i="25" s="1"/>
  <c r="Q45" i="25" s="1"/>
  <c r="Q22" i="3" s="1"/>
  <c r="AC31" i="25"/>
  <c r="AQ81" i="3"/>
  <c r="AQ79" i="3"/>
  <c r="AQ77" i="3"/>
  <c r="AC35" i="25"/>
  <c r="AP79" i="3"/>
  <c r="AP77" i="3"/>
  <c r="AP71" i="3"/>
  <c r="R3" i="25"/>
  <c r="AS82" i="3"/>
  <c r="AS80" i="3"/>
  <c r="AS74" i="3"/>
  <c r="R10" i="25"/>
  <c r="R15" i="25"/>
  <c r="AR80" i="3"/>
  <c r="R14" i="25"/>
  <c r="AQ84" i="3"/>
  <c r="AC28" i="25"/>
  <c r="AP70" i="3"/>
  <c r="AQ69" i="3"/>
  <c r="AR82" i="3"/>
  <c r="AQ82" i="3"/>
  <c r="AS76" i="3"/>
  <c r="AR76" i="3"/>
  <c r="AR75" i="3"/>
  <c r="AP75" i="3"/>
  <c r="AR74" i="3"/>
  <c r="AQ80" i="3"/>
  <c r="AR79" i="3"/>
  <c r="AP72" i="3"/>
  <c r="AS72" i="3"/>
  <c r="AQ72" i="3"/>
  <c r="AP73" i="3"/>
  <c r="AS73" i="3"/>
  <c r="AS85" i="3"/>
  <c r="AR85" i="3"/>
  <c r="AQ85" i="3"/>
  <c r="AR78" i="3"/>
  <c r="AQ78" i="3"/>
  <c r="AS71" i="3"/>
  <c r="AR71" i="3"/>
  <c r="AQ71" i="3"/>
  <c r="AS84" i="3"/>
  <c r="AR84" i="3"/>
  <c r="AS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Q49" i="3"/>
  <c r="AJ8" i="3"/>
  <c r="L3" i="2" s="1"/>
  <c r="L50" i="2" s="1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O45" i="28" l="1"/>
  <c r="O25" i="3" s="1"/>
  <c r="T48" i="28"/>
  <c r="AA103" i="3"/>
  <c r="AE103" i="3" s="1"/>
  <c r="AA91" i="3"/>
  <c r="AE91" i="3" s="1"/>
  <c r="P45" i="28"/>
  <c r="P25" i="3" s="1"/>
  <c r="AA94" i="3"/>
  <c r="AE94" i="3" s="1"/>
  <c r="Q45" i="28"/>
  <c r="Q25" i="3" s="1"/>
  <c r="AA100" i="3"/>
  <c r="AE100" i="3" s="1"/>
  <c r="S36" i="28"/>
  <c r="AA102" i="3"/>
  <c r="AE102" i="3" s="1"/>
  <c r="S33" i="28"/>
  <c r="AA99" i="3"/>
  <c r="AE99" i="3" s="1"/>
  <c r="S23" i="28"/>
  <c r="AA89" i="3"/>
  <c r="AE89" i="3" s="1"/>
  <c r="D45" i="28"/>
  <c r="D25" i="3" s="1"/>
  <c r="C25" i="3"/>
  <c r="S29" i="28"/>
  <c r="AA95" i="3"/>
  <c r="AE95" i="3" s="1"/>
  <c r="S39" i="28"/>
  <c r="AA105" i="3"/>
  <c r="AE105" i="3" s="1"/>
  <c r="S27" i="28"/>
  <c r="AA93" i="3"/>
  <c r="AE93" i="3" s="1"/>
  <c r="S35" i="28"/>
  <c r="AA101" i="3"/>
  <c r="AE101" i="3" s="1"/>
  <c r="AP9" i="3"/>
  <c r="L4" i="2"/>
  <c r="L51" i="2" s="1"/>
  <c r="R39" i="27"/>
  <c r="AL85" i="3"/>
  <c r="O3" i="27"/>
  <c r="O45" i="27" s="1"/>
  <c r="O24" i="3" s="1"/>
  <c r="R32" i="27"/>
  <c r="AL78" i="3"/>
  <c r="R23" i="27"/>
  <c r="AL69" i="3"/>
  <c r="D45" i="27"/>
  <c r="D24" i="3" s="1"/>
  <c r="C24" i="3"/>
  <c r="R35" i="27"/>
  <c r="AL81" i="3"/>
  <c r="R30" i="27"/>
  <c r="AL76" i="3"/>
  <c r="O4" i="26"/>
  <c r="Q45" i="26" s="1"/>
  <c r="T48" i="26"/>
  <c r="T45" i="26"/>
  <c r="O3" i="25"/>
  <c r="O45" i="25" s="1"/>
  <c r="O22" i="3" s="1"/>
  <c r="R39" i="25"/>
  <c r="AP85" i="3"/>
  <c r="R34" i="25"/>
  <c r="AP80" i="3"/>
  <c r="R38" i="25"/>
  <c r="AP84" i="3"/>
  <c r="R32" i="25"/>
  <c r="AP78" i="3"/>
  <c r="R35" i="25"/>
  <c r="AP81" i="3"/>
  <c r="R30" i="25"/>
  <c r="AP76" i="3"/>
  <c r="R23" i="25"/>
  <c r="AP69" i="3"/>
  <c r="R28" i="25"/>
  <c r="AP74" i="3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8" l="1"/>
  <c r="T45" i="27"/>
  <c r="T45" i="25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L13" i="2" s="1"/>
  <c r="L60" i="2" s="1"/>
  <c r="AJ24" i="3"/>
  <c r="L19" i="2" s="1"/>
  <c r="L66" i="2" s="1"/>
  <c r="AP21" i="3" l="1"/>
  <c r="L16" i="2"/>
  <c r="L63" i="2" s="1"/>
  <c r="AP22" i="3"/>
  <c r="L17" i="2"/>
  <c r="L64" i="2" s="1"/>
  <c r="AP16" i="3"/>
  <c r="L11" i="2"/>
  <c r="L58" i="2" s="1"/>
  <c r="AP15" i="3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61" i="2"/>
  <c r="C61" i="2"/>
  <c r="M61" i="2"/>
  <c r="N61" i="2"/>
  <c r="O61" i="2"/>
  <c r="P61" i="2"/>
  <c r="Q61" i="2"/>
  <c r="R61" i="2"/>
  <c r="S61" i="2"/>
  <c r="T61" i="2"/>
  <c r="U61" i="2"/>
  <c r="V14" i="2"/>
  <c r="V61" i="2" s="1"/>
  <c r="W14" i="2"/>
  <c r="W61" i="2" s="1"/>
  <c r="V15" i="2"/>
  <c r="W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35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50" i="2"/>
  <c r="P66" i="2"/>
  <c r="Q66" i="2"/>
  <c r="R66" i="2"/>
  <c r="S66" i="2"/>
  <c r="T66" i="2"/>
  <c r="M66" i="2"/>
  <c r="N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U66" i="2"/>
  <c r="O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B41" i="2" s="1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U65" i="2"/>
  <c r="M49" i="2"/>
  <c r="W9" i="2"/>
  <c r="W56" i="2" s="1"/>
  <c r="V4" i="2"/>
  <c r="V51" i="2" s="1"/>
  <c r="V5" i="2"/>
  <c r="V52" i="2" s="1"/>
  <c r="V6" i="2"/>
  <c r="V53" i="2" s="1"/>
  <c r="V7" i="2"/>
  <c r="V54" i="2" s="1"/>
  <c r="V8" i="2"/>
  <c r="V55" i="2" s="1"/>
  <c r="V9" i="2"/>
  <c r="V56" i="2" s="1"/>
  <c r="V10" i="2"/>
  <c r="V57" i="2" s="1"/>
  <c r="V11" i="2"/>
  <c r="V58" i="2" s="1"/>
  <c r="V12" i="2"/>
  <c r="V59" i="2" s="1"/>
  <c r="V13" i="2"/>
  <c r="V60" i="2" s="1"/>
  <c r="V62" i="2"/>
  <c r="V16" i="2"/>
  <c r="V63" i="2" s="1"/>
  <c r="V17" i="2"/>
  <c r="V64" i="2" s="1"/>
  <c r="V18" i="2"/>
  <c r="V65" i="2" s="1"/>
  <c r="V19" i="2"/>
  <c r="V66" i="2" s="1"/>
  <c r="V3" i="2"/>
  <c r="V50" i="2" s="1"/>
  <c r="B38" i="2" l="1"/>
  <c r="B25" i="2"/>
  <c r="B43" i="2"/>
  <c r="B42" i="2"/>
  <c r="B40" i="2"/>
  <c r="B39" i="2"/>
  <c r="B36" i="2"/>
  <c r="B37" i="2"/>
  <c r="Q34" i="6"/>
  <c r="P45" i="5"/>
  <c r="Q33" i="6"/>
  <c r="Q35" i="6"/>
  <c r="P44" i="5"/>
  <c r="P46" i="5"/>
  <c r="B45" i="2"/>
  <c r="B44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9" i="2"/>
  <c r="W66" i="2" s="1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<sst xmlns="http://schemas.openxmlformats.org/spreadsheetml/2006/main" count="4048" uniqueCount="294">
  <si>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</si>
  <si>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</si>
  <si>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</si>
  <si>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</si>
  <si>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</si>
  <si>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</si>
  <si>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</si>
  <si>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</si>
  <si>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</si>
  <si>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</si>
  <si>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</si>
  <si>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</si>
  <si>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</si>
  <si>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</si>
  <si>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</si>
  <si>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</si>
  <si>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</si>
  <si>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</si>
  <si>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</si>
  <si>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</si>
  <si>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</si>
  <si>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</si>
  <si>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</si>
  <si>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</si>
  <si>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</si>
  <si>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</si>
  <si>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</si>
  <si>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</si>
  <si>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</si>
  <si>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</si>
  <si>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</si>
  <si>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</si>
  <si>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</si>
  <si>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</si>
  <si>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</si>
  <si>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</si>
  <si>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</si>
  <si>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</si>
  <si>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</si>
  <si>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</si>
  <si>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</si>
  <si>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</si>
  <si>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</si>
  <si>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</si>
  <si>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</si>
  <si>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</si>
  <si>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</si>
  <si>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</si>
  <si>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</si>
  <si>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</si>
  <si>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</si>
  <si>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</si>
  <si>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</si>
  <si>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</si>
  <si>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</si>
  <si>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</si>
  <si>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</si>
  <si>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</si>
  <si>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</si>
  <si>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</si>
  <si>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</si>
  <si>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</si>
  <si>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</si>
  <si>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</si>
  <si>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</si>
  <si>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</si>
  <si>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</si>
  <si>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</si>
  <si>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</si>
  <si>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</si>
  <si>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</si>
  <si>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</si>
  <si>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</si>
  <si>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</si>
  <si>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</si>
  <si>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</si>
  <si>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</si>
  <si>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</si>
  <si>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</si>
  <si>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</si>
  <si>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</si>
  <si>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</si>
  <si>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</si>
  <si>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</si>
  <si>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</si>
  <si>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</si>
  <si>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</si>
  <si>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</si>
  <si>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</si>
  <si>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</si>
  <si>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</si>
  <si>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</si>
  <si>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</si>
  <si>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</si>
  <si>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</si>
  <si>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</si>
  <si>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</si>
  <si>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</si>
  <si>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</si>
  <si>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</si>
  <si>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</si>
  <si>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</si>
  <si>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</si>
  <si>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</si>
  <si>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</si>
  <si>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</si>
  <si>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</si>
  <si>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</si>
  <si>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</si>
  <si>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</si>
  <si>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</si>
  <si>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</si>
  <si>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</si>
  <si>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</si>
  <si>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</si>
  <si>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</si>
  <si>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</si>
  <si>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</si>
  <si>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</si>
  <si>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</si>
  <si>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</si>
  <si>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</si>
  <si>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</si>
  <si>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</si>
  <si>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</si>
  <si>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</si>
  <si>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</si>
  <si>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</si>
  <si>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</si>
  <si>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</si>
  <si>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</si>
  <si>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</si>
  <si>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</si>
  <si>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</si>
  <si>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</si>
  <si>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</si>
  <si>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</si>
  <si>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</si>
  <si>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</si>
  <si>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</si>
  <si>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</si>
  <si>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</si>
  <si>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</si>
  <si>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</si>
  <si>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</si>
  <si>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</si>
  <si>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</si>
  <si>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</si>
  <si>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</si>
  <si>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</si>
  <si>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</si>
  <si>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</si>
  <si>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</si>
  <si>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</si>
  <si>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</si>
  <si>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</si>
  <si>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</si>
  <si>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</si>
  <si>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</si>
  <si>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</si>
  <si>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</si>
  <si>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</si>
  <si>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</si>
  <si>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</si>
  <si>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</si>
  <si>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</si>
  <si>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</si>
  <si>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</si>
  <si>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</si>
  <si>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</si>
  <si>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</si>
  <si>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</si>
  <si>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</si>
  <si>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</si>
  <si>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</si>
  <si>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</si>
  <si>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</si>
  <si>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</si>
  <si>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</si>
  <si>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</si>
  <si>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</si>
  <si>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</si>
  <si>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</si>
  <si>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</si>
  <si>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</si>
  <si>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</si>
  <si>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</si>
  <si>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</si>
  <si>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</si>
  <si>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</si>
  <si>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</si>
  <si>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</si>
  <si>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</si>
  <si>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</si>
  <si>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</si>
  <si>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</si>
  <si>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</si>
  <si>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</si>
  <si>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</si>
  <si>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</si>
  <si>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</si>
  <si>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</si>
  <si>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</si>
  <si>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</si>
  <si>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</si>
  <si>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</si>
  <si>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</si>
  <si>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</si>
  <si>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</si>
  <si>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</si>
  <si>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</si>
  <si>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</si>
  <si>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</si>
  <si>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</si>
  <si>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</si>
  <si>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</si>
  <si>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</si>
  <si>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</si>
  <si>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</si>
  <si>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</si>
  <si>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</si>
  <si>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</si>
  <si>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</si>
  <si>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</si>
  <si>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</si>
  <si>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</si>
  <si>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</si>
  <si>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</si>
  <si>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</si>
  <si>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</si>
  <si>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</si>
  <si>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</si>
  <si>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</si>
  <si>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</si>
  <si>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</si>
  <si>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</si>
  <si>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</si>
  <si>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</si>
  <si>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</si>
  <si>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</si>
  <si>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</si>
  <si>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</si>
  <si>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</si>
  <si>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</si>
  <si>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</si>
  <si>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</si>
  <si>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</si>
  <si>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</si>
  <si>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</si>
  <si>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</si>
  <si>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</si>
  <si>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</si>
  <si>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</si>
  <si>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</si>
  <si>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</si>
  <si>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</si>
  <si>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</si>
  <si>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</si>
  <si>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</si>
  <si>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</si>
  <si>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</si>
  <si>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</si>
  <si>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</si>
  <si>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</si>
  <si>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</si>
  <si>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</si>
  <si>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</si>
  <si>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</si>
  <si>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</si>
  <si>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</si>
  <si>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</si>
  <si>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</si>
  <si>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</si>
  <si>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</si>
  <si>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</si>
  <si>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</si>
  <si>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</si>
  <si>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</si>
  <si>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</si>
  <si>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</si>
  <si>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</si>
  <si>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</si>
  <si>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</si>
  <si>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</si>
  <si>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</si>
  <si>
    <t>15-August</t>
  </si>
  <si>
    <t>17-August</t>
  </si>
  <si>
    <t>1-0</t>
  </si>
  <si>
    <t>-</t>
  </si>
  <si>
    <t>1-1</t>
  </si>
  <si>
    <t>2-1</t>
  </si>
  <si>
    <t>2-0</t>
  </si>
  <si>
    <t>Score</t>
  </si>
  <si>
    <t>Finals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</si>
</sst>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4" fillId="0" borderId="1"/>
    <xf numFmtId="9" fontId="25" fillId="0" borderId="0" applyFont="0" applyFill="0" applyBorder="0" applyAlignment="0" applyProtection="0"/>
  </cellStyleXfs>
  <cellXfs count="190">
    <xf numFmtId="0" fontId="0" fillId="0" borderId="0" xfId="0" applyFont="1" applyAlignment="1"/>
    <xf numFmtId="0" fontId="25" fillId="0" borderId="0" xfId="0" applyFont="1"/>
    <xf numFmtId="0" fontId="25" fillId="0" borderId="0" xfId="0" applyFont="1" applyAlignment="1"/>
    <xf numFmtId="0" fontId="27" fillId="0" borderId="0" xfId="0" applyFont="1"/>
    <xf numFmtId="2" fontId="26" fillId="0" borderId="0" xfId="0" applyNumberFormat="1" applyFont="1"/>
    <xf numFmtId="164" fontId="28" fillId="0" borderId="0" xfId="0" applyNumberFormat="1" applyFont="1"/>
    <xf numFmtId="0" fontId="27" fillId="0" borderId="0" xfId="0" applyFont="1" applyAlignment="1"/>
    <xf numFmtId="2" fontId="25" fillId="0" borderId="0" xfId="0" applyNumberFormat="1" applyFont="1"/>
    <xf numFmtId="1" fontId="25" fillId="0" borderId="0" xfId="0" applyNumberFormat="1" applyFont="1"/>
    <xf numFmtId="1" fontId="26" fillId="0" borderId="0" xfId="0" applyNumberFormat="1" applyFont="1"/>
    <xf numFmtId="10" fontId="26" fillId="0" borderId="0" xfId="0" applyNumberFormat="1" applyFont="1"/>
    <xf numFmtId="0" fontId="25" fillId="0" borderId="0" xfId="0" applyFont="1"/>
    <xf numFmtId="16" fontId="25" fillId="0" borderId="0" xfId="0" applyNumberFormat="1" applyFont="1" applyAlignment="1"/>
    <xf numFmtId="0" fontId="30" fillId="0" borderId="0" xfId="0" applyFont="1" applyAlignment="1"/>
    <xf numFmtId="0" fontId="32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30" fillId="0" borderId="3" xfId="0" applyFont="1" applyFill="1" applyBorder="1"/>
    <xf numFmtId="0" fontId="30" fillId="0" borderId="4" xfId="0" applyFont="1" applyFill="1" applyBorder="1"/>
    <xf numFmtId="0" fontId="30" fillId="0" borderId="4" xfId="0" applyFont="1" applyFill="1" applyBorder="1" applyAlignment="1"/>
    <xf numFmtId="0" fontId="31" fillId="0" borderId="4" xfId="0" applyFont="1" applyFill="1" applyBorder="1" applyAlignment="1"/>
    <xf numFmtId="0" fontId="27" fillId="0" borderId="5" xfId="0" applyFont="1" applyFill="1" applyBorder="1"/>
    <xf numFmtId="0" fontId="0" fillId="0" borderId="0" xfId="0"/>
    <xf numFmtId="0" fontId="36" fillId="0" borderId="0" xfId="0" applyFont="1"/>
    <xf numFmtId="9" fontId="0" fillId="0" borderId="0" xfId="2" applyFont="1" applyAlignment="1"/>
    <xf numFmtId="0" fontId="30" fillId="0" borderId="0" xfId="0" applyFont="1" applyFill="1"/>
    <xf numFmtId="0" fontId="30" fillId="0" borderId="0" xfId="0" applyFont="1" applyFill="1" applyAlignment="1"/>
    <xf numFmtId="0" fontId="31" fillId="0" borderId="0" xfId="0" applyFont="1" applyFill="1" applyAlignment="1"/>
    <xf numFmtId="1" fontId="0" fillId="0" borderId="0" xfId="0" quotePrefix="1" applyNumberFormat="1" applyFont="1" applyFill="1" applyAlignment="1"/>
    <xf numFmtId="2" fontId="26" fillId="0" borderId="0" xfId="0" applyNumberFormat="1" applyFont="1" applyFill="1"/>
    <xf numFmtId="1" fontId="25" fillId="0" borderId="0" xfId="0" applyNumberFormat="1" applyFont="1" applyFill="1" applyAlignment="1"/>
    <xf numFmtId="0" fontId="25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1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24" fillId="0" borderId="0" xfId="0" applyFont="1" applyAlignment="1"/>
    <xf numFmtId="165" fontId="36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2" fillId="0" borderId="0" xfId="0" applyFont="1" applyAlignment="1"/>
    <xf numFmtId="16" fontId="23" fillId="0" borderId="0" xfId="0" applyNumberFormat="1" applyFont="1" applyAlignment="1"/>
    <xf numFmtId="0" fontId="25" fillId="0" borderId="0" xfId="0" applyFont="1" applyFill="1" applyAlignment="1"/>
    <xf numFmtId="0" fontId="34" fillId="0" borderId="1" xfId="1" applyNumberFormat="1"/>
    <xf numFmtId="0" fontId="35" fillId="0" borderId="1" xfId="0" applyFont="1" applyBorder="1" applyAlignment="1">
      <alignment horizontal="center"/>
    </xf>
    <xf numFmtId="49" fontId="26" fillId="0" borderId="0" xfId="0" applyNumberFormat="1" applyFont="1"/>
    <xf numFmtId="0" fontId="27" fillId="3" borderId="0" xfId="0" applyFont="1" applyFill="1"/>
    <xf numFmtId="0" fontId="25" fillId="3" borderId="0" xfId="0" applyFont="1" applyFill="1"/>
    <xf numFmtId="0" fontId="30" fillId="0" borderId="0" xfId="0" applyNumberFormat="1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7" fillId="0" borderId="1" xfId="0" applyFont="1" applyFill="1" applyBorder="1" applyAlignment="1">
      <alignment vertical="center"/>
    </xf>
    <xf numFmtId="0" fontId="31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5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6" fillId="0" borderId="2" xfId="0" applyNumberFormat="1" applyFont="1" applyFill="1" applyBorder="1"/>
    <xf numFmtId="1" fontId="25" fillId="0" borderId="2" xfId="0" applyNumberFormat="1" applyFont="1" applyFill="1" applyBorder="1" applyAlignment="1"/>
    <xf numFmtId="0" fontId="25" fillId="0" borderId="2" xfId="0" applyFont="1" applyFill="1" applyBorder="1"/>
    <xf numFmtId="1" fontId="26" fillId="0" borderId="6" xfId="0" applyNumberFormat="1" applyFont="1" applyFill="1" applyBorder="1"/>
    <xf numFmtId="0" fontId="20" fillId="0" borderId="0" xfId="0" applyFont="1" applyAlignment="1"/>
    <xf numFmtId="0" fontId="27" fillId="0" borderId="0" xfId="0" applyFont="1" applyFill="1"/>
    <xf numFmtId="0" fontId="26" fillId="0" borderId="0" xfId="0" applyFont="1" applyFill="1" applyAlignment="1">
      <alignment horizontal="center"/>
    </xf>
    <xf numFmtId="0" fontId="20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6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0" applyFont="1" applyFill="1" applyAlignment="1">
      <alignment vertical="center"/>
    </xf>
    <xf numFmtId="0" fontId="25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vertical="center"/>
    </xf>
    <xf numFmtId="9" fontId="26" fillId="0" borderId="1" xfId="2" applyFont="1" applyFill="1" applyBorder="1" applyAlignment="1">
      <alignment vertical="center"/>
    </xf>
    <xf numFmtId="0" fontId="29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9" fontId="26" fillId="0" borderId="0" xfId="0" applyNumberFormat="1" applyFont="1" applyAlignment="1">
      <alignment vertical="center"/>
    </xf>
    <xf numFmtId="0" fontId="25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1" fontId="26" fillId="0" borderId="1" xfId="0" applyNumberFormat="1" applyFont="1" applyFill="1" applyBorder="1" applyAlignment="1">
      <alignment vertical="center"/>
    </xf>
    <xf numFmtId="0" fontId="35" fillId="0" borderId="1" xfId="0" applyFont="1" applyBorder="1" applyAlignment="1"/>
    <xf numFmtId="0" fontId="19" fillId="0" borderId="0" xfId="0" applyFont="1" applyAlignment="1"/>
    <xf numFmtId="0" fontId="19" fillId="0" borderId="0" xfId="0" applyFont="1"/>
    <xf numFmtId="0" fontId="26" fillId="4" borderId="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1" xfId="0" applyFont="1" applyFill="1" applyBorder="1"/>
    <xf numFmtId="0" fontId="38" fillId="0" borderId="1" xfId="0" applyFont="1" applyFill="1" applyBorder="1" applyAlignment="1"/>
    <xf numFmtId="0" fontId="39" fillId="0" borderId="1" xfId="0" applyFont="1" applyFill="1" applyBorder="1" applyAlignment="1"/>
    <xf numFmtId="0" fontId="36" fillId="0" borderId="1" xfId="0" applyFont="1" applyFill="1" applyBorder="1" applyAlignment="1">
      <alignment vertical="center"/>
    </xf>
    <xf numFmtId="0" fontId="30" fillId="3" borderId="2" xfId="0" applyFont="1" applyFill="1" applyBorder="1" applyAlignment="1"/>
    <xf numFmtId="0" fontId="18" fillId="0" borderId="0" xfId="0" applyFont="1" applyAlignment="1"/>
    <xf numFmtId="0" fontId="17" fillId="0" borderId="0" xfId="0" applyFont="1" applyAlignment="1"/>
    <xf numFmtId="0" fontId="17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6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4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6" fillId="0" borderId="0" xfId="0" applyNumberFormat="1" applyFont="1"/>
    <xf numFmtId="16" fontId="26" fillId="5" borderId="0" xfId="0" applyNumberFormat="1" applyFont="1" applyFill="1" applyAlignment="1">
      <alignment vertical="center"/>
    </xf>
    <xf numFmtId="0" fontId="26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6" fillId="6" borderId="1" xfId="0" applyFont="1" applyFill="1" applyBorder="1" applyAlignment="1">
      <alignment vertical="center"/>
    </xf>
    <xf numFmtId="1" fontId="25" fillId="0" borderId="0" xfId="0" applyNumberFormat="1" applyFont="1" applyFill="1"/>
    <xf numFmtId="0" fontId="0" fillId="0" borderId="1" xfId="2" applyNumberFormat="1" applyFont="1" applyFill="1" applyBorder="1" applyAlignment="1"/>
    <xf numFmtId="10" fontId="30" fillId="0" borderId="1" xfId="2" applyNumberFormat="1" applyFont="1" applyFill="1" applyBorder="1" applyAlignment="1"/>
    <xf numFmtId="0" fontId="15" fillId="0" borderId="0" xfId="0" applyFont="1" applyAlignment="1"/>
    <xf numFmtId="0" fontId="14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1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13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2" fillId="0" borderId="0" xfId="0" applyFont="1" applyAlignment="1"/>
    <xf numFmtId="0" fontId="12" fillId="0" borderId="0" xfId="0" applyFont="1"/>
    <xf numFmtId="0" fontId="26" fillId="0" borderId="0" xfId="0" applyFont="1" applyFill="1" applyAlignment="1">
      <alignment vertical="center"/>
    </xf>
    <xf numFmtId="0" fontId="11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36" fillId="0" borderId="1" xfId="0" applyFont="1" applyFill="1" applyBorder="1"/>
    <xf numFmtId="166" fontId="26" fillId="0" borderId="1" xfId="0" applyNumberFormat="1" applyFont="1" applyFill="1" applyBorder="1"/>
    <xf numFmtId="0" fontId="8" fillId="0" borderId="0" xfId="0" applyFont="1" applyAlignment="1"/>
    <xf numFmtId="0" fontId="7" fillId="3" borderId="0" xfId="0" applyFont="1" applyFill="1" applyAlignment="1">
      <alignment vertical="center"/>
    </xf>
    <xf numFmtId="49" fontId="26" fillId="3" borderId="2" xfId="0" applyNumberFormat="1" applyFont="1" applyFill="1" applyBorder="1"/>
    <xf numFmtId="0" fontId="6" fillId="3" borderId="0" xfId="0" applyFont="1" applyFill="1" applyAlignment="1">
      <alignment vertical="center"/>
    </xf>
    <xf numFmtId="0" fontId="5" fillId="0" borderId="0" xfId="0" applyFont="1" applyAlignment="1"/>
    <xf numFmtId="0" fontId="34" fillId="0" borderId="1" xfId="1" applyNumberFormat="1"/>
    <xf numFmtId="0" fontId="4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2" xfId="0" applyFont="1" applyFill="1" applyBorder="1" applyAlignment="1"/>
    <xf numFmtId="0" fontId="3" fillId="7" borderId="8" xfId="0" applyFont="1" applyFill="1" applyBorder="1" applyAlignment="1"/>
    <xf numFmtId="0" fontId="3" fillId="0" borderId="8" xfId="0" applyFont="1" applyBorder="1" applyAlignment="1"/>
    <xf numFmtId="0" fontId="3" fillId="7" borderId="9" xfId="0" applyFont="1" applyFill="1" applyBorder="1" applyAlignment="1"/>
    <xf numFmtId="0" fontId="3" fillId="0" borderId="9" xfId="0" applyFont="1" applyBorder="1" applyAlignment="1"/>
    <xf numFmtId="0" fontId="3" fillId="0" borderId="13" xfId="0" applyFont="1" applyBorder="1" applyAlignment="1"/>
    <xf numFmtId="0" fontId="3" fillId="0" borderId="10" xfId="0" applyFont="1" applyBorder="1" applyAlignment="1"/>
    <xf numFmtId="0" fontId="3" fillId="8" borderId="11" xfId="0" applyFont="1" applyFill="1" applyBorder="1" applyAlignment="1"/>
    <xf numFmtId="9" fontId="3" fillId="8" borderId="12" xfId="0" applyNumberFormat="1" applyFont="1" applyFill="1" applyBorder="1" applyAlignment="1"/>
    <xf numFmtId="0" fontId="3" fillId="8" borderId="12" xfId="0" applyFont="1" applyFill="1" applyBorder="1" applyAlignment="1"/>
    <xf numFmtId="0" fontId="3" fillId="7" borderId="8" xfId="0" applyNumberFormat="1" applyFont="1" applyFill="1" applyBorder="1" applyAlignment="1"/>
    <xf numFmtId="0" fontId="3" fillId="0" borderId="8" xfId="0" applyNumberFormat="1" applyFont="1" applyBorder="1" applyAlignment="1"/>
    <xf numFmtId="0" fontId="3" fillId="0" borderId="10" xfId="0" applyNumberFormat="1" applyFont="1" applyBorder="1" applyAlignment="1"/>
    <xf numFmtId="2" fontId="3" fillId="0" borderId="12" xfId="0" applyNumberFormat="1" applyFont="1" applyFill="1" applyBorder="1" applyAlignment="1"/>
    <xf numFmtId="2" fontId="3" fillId="0" borderId="8" xfId="0" applyNumberFormat="1" applyFont="1" applyFill="1" applyBorder="1" applyAlignment="1"/>
    <xf numFmtId="2" fontId="3" fillId="0" borderId="10" xfId="0" applyNumberFormat="1" applyFont="1" applyFill="1" applyBorder="1" applyAlignment="1"/>
    <xf numFmtId="0" fontId="34" fillId="0" borderId="1" xfId="1" applyNumberFormat="1"/>
    <xf numFmtId="0" fontId="34" fillId="0" borderId="1" xfId="1" applyNumberFormat="1" applyFill="1"/>
    <xf numFmtId="0" fontId="2" fillId="3" borderId="0" xfId="0" applyFont="1" applyFill="1" applyAlignment="1">
      <alignment vertical="center"/>
    </xf>
    <xf numFmtId="0" fontId="41" fillId="0" borderId="2" xfId="0" applyFont="1" applyFill="1" applyBorder="1" applyAlignment="1"/>
    <xf numFmtId="1" fontId="41" fillId="0" borderId="2" xfId="0" quotePrefix="1" applyNumberFormat="1" applyFont="1" applyFill="1" applyBorder="1" applyAlignment="1"/>
    <xf numFmtId="2" fontId="42" fillId="0" borderId="2" xfId="0" applyNumberFormat="1" applyFont="1" applyFill="1" applyBorder="1"/>
    <xf numFmtId="1" fontId="41" fillId="0" borderId="2" xfId="0" applyNumberFormat="1" applyFont="1" applyFill="1" applyBorder="1" applyAlignment="1"/>
    <xf numFmtId="0" fontId="41" fillId="0" borderId="2" xfId="0" applyFont="1" applyFill="1" applyBorder="1"/>
    <xf numFmtId="1" fontId="42" fillId="0" borderId="6" xfId="0" applyNumberFormat="1" applyFont="1" applyFill="1" applyBorder="1"/>
    <xf numFmtId="0" fontId="41" fillId="0" borderId="2" xfId="0" applyNumberFormat="1" applyFont="1" applyFill="1" applyBorder="1"/>
    <xf numFmtId="0" fontId="41" fillId="0" borderId="7" xfId="0" applyFont="1" applyFill="1" applyBorder="1" applyAlignment="1"/>
    <xf numFmtId="2" fontId="42" fillId="0" borderId="7" xfId="0" applyNumberFormat="1" applyFont="1" applyFill="1" applyBorder="1"/>
    <xf numFmtId="0" fontId="41" fillId="0" borderId="7" xfId="0" applyNumberFormat="1" applyFont="1" applyFill="1" applyBorder="1"/>
    <xf numFmtId="0" fontId="34" fillId="0" borderId="1" xfId="1" applyNumberFormat="1"/>
    <xf numFmtId="0" fontId="36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4" fillId="0" borderId="1" xfId="1" applyNumberFormat="1"/>
  </cellXfs>
  <cellStyles count="3">
    <cellStyle name="Normal" xfId="0" builtinId="0"/>
    <cellStyle name="Normal 2" xfId="1" xr:uid="{E4ED72E7-E964-4884-BAF1-D3A03BDB6523}"/>
    <cellStyle name="Percent" xfId="2" builtinId="5"/>
  </cellStyles>
  <dxfs count="3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0.59863945578231303</c:v>
                </c:pt>
                <c:pt idx="1">
                  <c:v>0.27551020408163268</c:v>
                </c:pt>
                <c:pt idx="2">
                  <c:v>0.12585034013605442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Global'!$T$78:$T$91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Global'!$U$78:$U$91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Global'!$V$78:$V$91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371" dataDxfId="369" headerRowBorderDxfId="370" tableBorderDxfId="368" totalsRowBorderDxfId="367">
  <autoFilter ref="Z7:AJ24" xr:uid="{598ECA3B-99B4-4CAB-8F81-5D711AA5A7FC}"/>
  <tableColumns count="11">
    <tableColumn id="1" xr3:uid="{9B036617-5450-4894-9268-827D2E0914FF}" name="Scoring" dataDxfId="366"/>
    <tableColumn id="2" xr3:uid="{6662CE93-E9C4-47DE-9476-E46126825B0A}" name="Points" dataDxfId="365">
      <calculatedColumnFormula>SUM(AL29,AA49,AL49,AA69,AL69,AA89,AL89)</calculatedColumnFormula>
    </tableColumn>
    <tableColumn id="3" xr3:uid="{8FDDFCB0-2692-4EB0-948C-7B877263B55B}" name="Average" dataDxfId="364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363">
      <calculatedColumnFormula>SUM(AM29,AB49,AM49,AB69,AM69,AB89,AM89)</calculatedColumnFormula>
    </tableColumn>
    <tableColumn id="5" xr3:uid="{5F324C66-956D-4EDC-870F-8EDE96C328C8}" name="Averages" dataDxfId="362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361">
      <calculatedColumnFormula>SUM(AN29,AC49,AN49,AC69,AN69,AC89,AN89)</calculatedColumnFormula>
    </tableColumn>
    <tableColumn id="7" xr3:uid="{8E7E6B37-23A0-4556-8839-B9D7834E3E68}" name="Averages2" dataDxfId="360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59">
      <calculatedColumnFormula>SUM(AO29,AD49,AO49,AD69,AO69,AD89,AO89)</calculatedColumnFormula>
    </tableColumn>
    <tableColumn id="9" xr3:uid="{E0C0BF1C-40E8-4137-8E0F-BB238D651DAE}" name="Averages3" dataDxfId="358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57">
      <calculatedColumnFormula>SfW!C3</calculatedColumnFormula>
    </tableColumn>
    <tableColumn id="11" xr3:uid="{E167D7FA-56F9-4571-B292-FF3869585F59}" name="Missed Games" dataDxfId="356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259">
  <autoFilter ref="AW7:BC24" xr:uid="{96B06DCA-2A57-491D-9968-278FF3FBD78A}"/>
  <tableColumns count="7">
    <tableColumn id="1" xr3:uid="{FE52DA28-AC9B-4385-A502-8DDB5D1FBA9E}" name="Name" dataDxfId="258"/>
    <tableColumn id="2" xr3:uid="{D93DA907-1A5C-4FC6-A721-6072347E34BF}" name="Total R" dataDxfId="257">
      <calculatedColumnFormula>'1707'!AC4+'1807'!AC4+'2407'!AC4+'2607'!AC4</calculatedColumnFormula>
    </tableColumn>
    <tableColumn id="3" xr3:uid="{EBD2E9CC-2367-4D50-957C-38F9CE276205}" name="Total A" dataDxfId="256">
      <calculatedColumnFormula>'1707'!AD4+'1807'!AD4+'2407'!AD4+'2607'!AD4</calculatedColumnFormula>
    </tableColumn>
    <tableColumn id="4" xr3:uid="{7DF9F4A1-F7D8-44DD-8445-ABFA3454613B}" name="Total S" dataDxfId="255">
      <calculatedColumnFormula>'1707'!AE4+'1807'!AE4+'2407'!AE4+'2607'!AE4</calculatedColumnFormula>
    </tableColumn>
    <tableColumn id="5" xr3:uid="{1AAD62E4-FA3F-4F41-8BD0-85F54409C489}" name="Avg R" dataDxfId="254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53" dataDxfId="252">
  <autoFilter ref="R3:AA8" xr:uid="{744FF78C-74B5-4798-AD3D-741E3ACB43CF}"/>
  <tableColumns count="10">
    <tableColumn id="1" xr3:uid="{B3B5C08C-655A-460A-A171-B3B0C826FF04}" name="Name" dataDxfId="251"/>
    <tableColumn id="2" xr3:uid="{427944B0-44CA-4325-A406-29F83026BA5E}" name="Points" dataDxfId="250">
      <calculatedColumnFormula>'Stats Global'!AA22</calculatedColumnFormula>
    </tableColumn>
    <tableColumn id="3" xr3:uid="{5E06D173-4DBE-4045-9072-0A0A77D19C84}" name="Average" dataDxfId="249"/>
    <tableColumn id="4" xr3:uid="{E74131A4-1DCA-4A89-8989-A4CF80175582}" name="Finishes" dataDxfId="248"/>
    <tableColumn id="5" xr3:uid="{FC3336D4-2CB5-4673-A345-7C9CCED7ADEE}" name="Averages" dataDxfId="247"/>
    <tableColumn id="6" xr3:uid="{BD6313A7-5D92-4B66-9B85-7ABC12DE9691}" name="Midranges" dataDxfId="246"/>
    <tableColumn id="7" xr3:uid="{6D0293BC-7E06-45CE-9D4B-FE4769DF9D9F}" name="Averages2" dataDxfId="245"/>
    <tableColumn id="8" xr3:uid="{89C1C64B-DD66-482C-BCDE-8B912D2676EF}" name="Threes" dataDxfId="244"/>
    <tableColumn id="9" xr3:uid="{7748B87C-1833-4BD6-9162-76373407E655}" name="Averages3" dataDxfId="243"/>
    <tableColumn id="10" xr3:uid="{D870E191-A52F-442E-AA52-A42CFAD05573}" name="Missed Games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41" dataDxfId="240" tableBorderDxfId="239">
  <autoFilter ref="AC2:AO14" xr:uid="{1FFC47C7-DFD7-4A9F-A1A5-1CA685184237}"/>
  <tableColumns count="13">
    <tableColumn id="1" xr3:uid="{FB71619C-EB39-4988-B4DB-5EDC829403C2}" name="Against Us" dataDxfId="238"/>
    <tableColumn id="2" xr3:uid="{A05D2E0F-7123-4E1F-B29C-F30D2F0BF127}" name="Points" dataDxfId="237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36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235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234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233">
      <calculatedColumnFormula>Table3[[#This Row],[Points]]/('Stats Global'!$AA$6-'Stats Global'!$AJ$10)</calculatedColumnFormula>
    </tableColumn>
    <tableColumn id="7" xr3:uid="{C5F438D0-3649-45D5-96FD-9D3510FBA489}" name="AVG F" dataDxfId="232"/>
    <tableColumn id="8" xr3:uid="{4FE2170E-9694-4785-914B-948DCD739ABA}" name="AVG M" dataDxfId="231"/>
    <tableColumn id="9" xr3:uid="{2E746532-8EE6-4676-8881-EEE8EA96A6B2}" name="AVG T" dataDxfId="230"/>
    <tableColumn id="10" xr3:uid="{12C6BBBE-13C7-4FFC-B357-00756FCC2217}" name="Difference P" dataDxfId="229">
      <calculatedColumnFormula>'Stats Global'!AB10-Table3[[#This Row],[AVG P]]</calculatedColumnFormula>
    </tableColumn>
    <tableColumn id="11" xr3:uid="{B6506F90-A35B-444D-8607-68FB9AC442F9}" name="Difference F" dataDxfId="228"/>
    <tableColumn id="12" xr3:uid="{090A7971-5A51-4381-ADE6-805EDA460DAB}" name="Difference M" dataDxfId="227"/>
    <tableColumn id="13" xr3:uid="{455AB6FD-A12D-42D6-A826-A5BA8E9EE48E}" name="Difference T" dataDxfId="2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25" dataDxfId="224">
  <autoFilter ref="O3:X10" xr:uid="{54759C84-3153-4DC9-9240-E2749AA0D92B}"/>
  <tableColumns count="10">
    <tableColumn id="1" xr3:uid="{7790729E-C8E5-45C1-8784-25212A2654AA}" name="Name" dataDxfId="223"/>
    <tableColumn id="2" xr3:uid="{52A67B2B-967C-4970-8D83-8F8E9CC61522}" name="Points" dataDxfId="222"/>
    <tableColumn id="3" xr3:uid="{BA1FA2C8-AEC0-4644-83DB-5097750D7188}" name="Average" dataDxfId="221"/>
    <tableColumn id="4" xr3:uid="{4CF66F5D-BF10-4CBD-88FF-CCD38730E1CD}" name="Finishes" dataDxfId="220"/>
    <tableColumn id="5" xr3:uid="{BC246D5B-7E78-41A6-B796-C93ED8E53DF9}" name="Averages" dataDxfId="219"/>
    <tableColumn id="6" xr3:uid="{AB819419-CC06-4A40-8DED-E231125129C0}" name="Midranges" dataDxfId="218"/>
    <tableColumn id="7" xr3:uid="{064AA562-C451-4362-805E-D12DC76C3530}" name="Averages2" dataDxfId="217"/>
    <tableColumn id="8" xr3:uid="{BD0D8BAE-15E4-4B38-87FE-B682D7BAEE75}" name="Threes" dataDxfId="216"/>
    <tableColumn id="9" xr3:uid="{541E391B-4B08-4E98-A63F-753C11193269}" name="Averages3" dataDxfId="215"/>
    <tableColumn id="10" xr3:uid="{999BB5D2-D6FB-4EB9-A268-D62EA72F939D}" name="Missed Games" dataDxfId="2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13" dataDxfId="212">
  <autoFilter ref="L4:U10" xr:uid="{C12CFC3F-7D59-4C0F-8D43-3F8ACD58C2BD}"/>
  <tableColumns count="10">
    <tableColumn id="1" xr3:uid="{CE15C23D-9493-4B21-9D40-1A25D210C18E}" name="Name" dataDxfId="211"/>
    <tableColumn id="2" xr3:uid="{6BB170B1-AA38-4699-9B96-400D2947EE9C}" name="Points" dataDxfId="210"/>
    <tableColumn id="3" xr3:uid="{EC8B6CBB-FCC9-416C-AEA6-738419DFE531}" name="Average" dataDxfId="209"/>
    <tableColumn id="4" xr3:uid="{315DA055-9A43-468A-A501-1092626F523F}" name="Finishes" dataDxfId="208"/>
    <tableColumn id="5" xr3:uid="{56B6FF4D-95D4-4550-88E4-C781ABDA83A6}" name="Averages" dataDxfId="207"/>
    <tableColumn id="6" xr3:uid="{F7B5C0B8-FBE2-44B0-A372-112C7776FCCF}" name="Midranges" dataDxfId="206"/>
    <tableColumn id="7" xr3:uid="{1A1C2126-FEB1-408F-8523-049E53028B4E}" name="Averages2" dataDxfId="205"/>
    <tableColumn id="8" xr3:uid="{AE94036B-3777-4C1B-97D5-7BFA1037C0BF}" name="Threes" dataDxfId="204"/>
    <tableColumn id="9" xr3:uid="{448B0903-7F66-40BA-809F-74ADBF397B45}" name="Averages3" dataDxfId="203"/>
    <tableColumn id="10" xr3:uid="{E0CAC55D-8398-4928-A219-C01706996D48}" name="Missed Games" dataDxfId="2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201" dataDxfId="199" headerRowBorderDxfId="200" tableBorderDxfId="198" totalsRowBorderDxfId="197">
  <autoFilter ref="AB23:AF35" xr:uid="{13FD7CD8-C40D-411F-89C3-F53649174B3A}"/>
  <tableColumns count="5">
    <tableColumn id="1" xr3:uid="{55112290-2A71-4FFD-A96D-ED94D1FAD6CA}" name="Name" dataDxfId="196"/>
    <tableColumn id="2" xr3:uid="{92074427-DAC9-482D-B452-A84499E2326C}" name="Points" dataDxfId="195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194">
      <calculatedColumnFormula>COUNTIFS(E$4:E$35,AB24,F$4:F$35,"Finish")</calculatedColumnFormula>
    </tableColumn>
    <tableColumn id="4" xr3:uid="{F5E1BC98-B8DA-4352-AA36-948EEFB2D6BE}" name="Midranges" dataDxfId="193">
      <calculatedColumnFormula>COUNTIFS(E$4:E$35,AB24,F$4:F$35,"Midrange")</calculatedColumnFormula>
    </tableColumn>
    <tableColumn id="5" xr3:uid="{792FABB2-60F3-4593-AE66-08C16949FD78}" name="Threes" dataDxfId="19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E990EEA-BFE3-4E06-B0FA-752B92E60DBD}" name="Table63134" displayName="Table63134" ref="AC23:AG35" totalsRowShown="0" headerRowDxfId="191" dataDxfId="189" headerRowBorderDxfId="190" tableBorderDxfId="188" totalsRowBorderDxfId="187">
  <autoFilter ref="AC23:AG35" xr:uid="{13FD7CD8-C40D-411F-89C3-F53649174B3A}"/>
  <tableColumns count="5">
    <tableColumn id="1" xr3:uid="{5722898C-8B7C-4F0E-B206-8584C19CF3F0}" name="Name" dataDxfId="186"/>
    <tableColumn id="2" xr3:uid="{0B64D802-5FC2-4AA1-A62E-B6CF28717633}" name="Points" dataDxfId="185">
      <calculatedColumnFormula>Table63134[[#This Row],[Finishes]]+Table63134[[#This Row],[Midranges]]+Table63134[[#This Row],[Threes]]+Table63134[[#This Row],[Threes]]</calculatedColumnFormula>
    </tableColumn>
    <tableColumn id="3" xr3:uid="{B7BF31E5-7B67-4CBC-A36E-37978A20C40F}" name="Finishes" dataDxfId="184">
      <calculatedColumnFormula>COUNTIFS(E$4:E$35,AC24,F$4:F$35,"Finish")</calculatedColumnFormula>
    </tableColumn>
    <tableColumn id="4" xr3:uid="{1EB8037A-001D-4FEE-A67C-37F522BB9F3B}" name="Midranges" dataDxfId="183">
      <calculatedColumnFormula>COUNTIFS(E$4:E$35,AC24,F$4:F$35,"Midrange")</calculatedColumnFormula>
    </tableColumn>
    <tableColumn id="5" xr3:uid="{21DC8F64-C38B-4516-B315-723E408E3841}" name="Threes" dataDxfId="182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4460559-EE55-4CF5-85D3-F8A1545DCA0F}" name="Table63133" displayName="Table63133" ref="AB23:AF35" totalsRowShown="0" headerRowDxfId="181" dataDxfId="179" headerRowBorderDxfId="180" tableBorderDxfId="178" totalsRowBorderDxfId="177">
  <autoFilter ref="AB23:AF35" xr:uid="{13FD7CD8-C40D-411F-89C3-F53649174B3A}"/>
  <tableColumns count="5">
    <tableColumn id="1" xr3:uid="{574C6AFA-0DD5-4E48-92F8-1F51665EBF50}" name="Name" dataDxfId="176"/>
    <tableColumn id="2" xr3:uid="{73CC7313-6932-4808-B503-006EA032F725}" name="Points" dataDxfId="175">
      <calculatedColumnFormula>Table63133[[#This Row],[Finishes]]+Table63133[[#This Row],[Midranges]]+Table63133[[#This Row],[Threes]]+Table63133[[#This Row],[Threes]]</calculatedColumnFormula>
    </tableColumn>
    <tableColumn id="3" xr3:uid="{8ED0236E-CA3C-46C1-90EE-E9237B6994E8}" name="Finishes" dataDxfId="174">
      <calculatedColumnFormula>COUNTIFS(E$4:E$35,AB24,F$4:F$35,"Finish")</calculatedColumnFormula>
    </tableColumn>
    <tableColumn id="4" xr3:uid="{5B87B6E1-7107-49A4-83EF-5808FD74997E}" name="Midranges" dataDxfId="173">
      <calculatedColumnFormula>COUNTIFS(E$4:E$35,AB24,F$4:F$35,"Midrange")</calculatedColumnFormula>
    </tableColumn>
    <tableColumn id="5" xr3:uid="{325B3640-0298-4E89-A2F0-E49C7B0A3C4C}" name="Threes" dataDxfId="17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24D180-39C3-4F3D-96E3-77D487A24A65}" name="Table63132" displayName="Table63132" ref="AB23:AF35" totalsRowShown="0" headerRowDxfId="171" dataDxfId="169" headerRowBorderDxfId="170" tableBorderDxfId="168" totalsRowBorderDxfId="167">
  <autoFilter ref="AB23:AF35" xr:uid="{13FD7CD8-C40D-411F-89C3-F53649174B3A}"/>
  <tableColumns count="5">
    <tableColumn id="1" xr3:uid="{91C5C250-A408-4754-A8CE-26D442D6CDAA}" name="Name" dataDxfId="166"/>
    <tableColumn id="2" xr3:uid="{30358CE6-D7D2-4D5C-8B2B-68CC2496D5EE}" name="Points" dataDxfId="165">
      <calculatedColumnFormula>Table63132[[#This Row],[Finishes]]+Table63132[[#This Row],[Midranges]]+Table63132[[#This Row],[Threes]]+Table63132[[#This Row],[Threes]]</calculatedColumnFormula>
    </tableColumn>
    <tableColumn id="3" xr3:uid="{F78A778B-268E-44CD-92E3-050552424A21}" name="Finishes" dataDxfId="164">
      <calculatedColumnFormula>COUNTIFS(E$4:E$35,AB24,F$4:F$35,"Finish")</calculatedColumnFormula>
    </tableColumn>
    <tableColumn id="4" xr3:uid="{A81D1110-5FEE-4844-939E-93EEBD082E97}" name="Midranges" dataDxfId="163">
      <calculatedColumnFormula>COUNTIFS(E$4:E$35,AB24,F$4:F$35,"Midrange")</calculatedColumnFormula>
    </tableColumn>
    <tableColumn id="5" xr3:uid="{21615588-C03B-492D-9E7F-96AAEBF7CCB0}" name="Threes" dataDxfId="16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61" dataDxfId="159" headerRowBorderDxfId="160" tableBorderDxfId="158" totalsRowBorderDxfId="157">
  <autoFilter ref="AB23:AF35" xr:uid="{13FD7CD8-C40D-411F-89C3-F53649174B3A}"/>
  <tableColumns count="5">
    <tableColumn id="1" xr3:uid="{72B8CB40-987E-41F5-A060-5823CF015223}" name="Name" dataDxfId="156"/>
    <tableColumn id="2" xr3:uid="{33F2A167-F049-4052-A26F-5C3D436136E1}" name="Points" dataDxfId="155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54">
      <calculatedColumnFormula>COUNTIFS(E$4:E$35,AB24,F$4:F$35,"Finish")</calculatedColumnFormula>
    </tableColumn>
    <tableColumn id="4" xr3:uid="{8C55320D-B379-4351-AC73-977A4AAF9956}" name="Midranges" dataDxfId="153">
      <calculatedColumnFormula>COUNTIFS(E$4:E$35,AB24,F$4:F$35,"Midrange")</calculatedColumnFormula>
    </tableColumn>
    <tableColumn id="5" xr3:uid="{9ED51C54-01E7-4718-9C8E-3E59C8E64B2E}" name="Threes" dataDxfId="15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55" dataDxfId="354">
  <autoFilter ref="Z28:AI45" xr:uid="{84D0C431-52CF-4ABD-AA3E-D31975A289B1}"/>
  <tableColumns count="10">
    <tableColumn id="1" xr3:uid="{4DB7A2B8-7BD8-4BD7-8F53-2A7873A4EAAE}" name="Scoring" dataDxfId="353"/>
    <tableColumn id="2" xr3:uid="{BE8EBD49-660A-4C9F-970E-230EBB942EF1}" name="Points" dataDxfId="352">
      <calculatedColumnFormula>'Preseason 1'!R3+'Preseason 2'!R3+'Preseason 3'!R3</calculatedColumnFormula>
    </tableColumn>
    <tableColumn id="3" xr3:uid="{C2C49EF0-4D8C-4F8C-8D19-CDD1481D9568}" name="Finishes" dataDxfId="351">
      <calculatedColumnFormula>'Preseason 1'!S3+'Preseason 2'!S3+'Preseason 3'!S3</calculatedColumnFormula>
    </tableColumn>
    <tableColumn id="4" xr3:uid="{7E789F8C-B8F3-4D6E-AB6C-C9454835B062}" name="Midranges" dataDxfId="350">
      <calculatedColumnFormula>'Preseason 1'!T3+'Preseason 2'!T3+'Preseason 3'!T3</calculatedColumnFormula>
    </tableColumn>
    <tableColumn id="5" xr3:uid="{18C990F2-A6D0-4F57-B96A-D00066DCC8D8}" name="Threes" dataDxfId="349">
      <calculatedColumnFormula>'Preseason 1'!U3+'Preseason 2'!U3+'Preseason 3'!U3</calculatedColumnFormula>
    </tableColumn>
    <tableColumn id="6" xr3:uid="{40526534-76CA-42BA-A8B6-AB092D9CE18F}" name="Avg P" dataDxfId="348">
      <calculatedColumnFormula>AA29/($AA$27-Table2[[#This Row],[Missed Games]])</calculatedColumnFormula>
    </tableColumn>
    <tableColumn id="7" xr3:uid="{693AF117-21F6-4887-B78D-D59235BABA44}" name="Avg F" dataDxfId="347">
      <calculatedColumnFormula>AB29/($AA$27-Table2[[#This Row],[Missed Games]])</calculatedColumnFormula>
    </tableColumn>
    <tableColumn id="8" xr3:uid="{02AC8FBF-EBB3-4AFC-BAC5-B773E33B7279}" name="Avg M" dataDxfId="346">
      <calculatedColumnFormula>AC29/($AA$27-Table2[[#This Row],[Missed Games]])</calculatedColumnFormula>
    </tableColumn>
    <tableColumn id="9" xr3:uid="{CCF75EB4-34C4-4D47-9D51-E8D85C07E38B}" name="Avg T" dataDxfId="345">
      <calculatedColumnFormula>AD29/($AA$27-Table2[[#This Row],[Missed Games]])</calculatedColumnFormula>
    </tableColumn>
    <tableColumn id="10" xr3:uid="{1A786A5C-D0C2-4ABC-904C-983180542D5F}" name="Missed Games" dataDxfId="344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51" dataDxfId="149" headerRowBorderDxfId="150" tableBorderDxfId="148" totalsRowBorderDxfId="147">
  <autoFilter ref="AB23:AF35" xr:uid="{A58502EA-6343-4A42-B904-BF5AA09EF1C9}"/>
  <tableColumns count="5">
    <tableColumn id="1" xr3:uid="{C42AD260-96D1-4BAD-8582-9EB233D448AD}" name="Name" dataDxfId="146"/>
    <tableColumn id="2" xr3:uid="{119BAC15-6DB1-4EED-9491-B9735D1A1CCD}" name="Points" dataDxfId="145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44">
      <calculatedColumnFormula>COUNTIFS(E$4:E$35,AB24,F$4:F$35,"Finish")</calculatedColumnFormula>
    </tableColumn>
    <tableColumn id="4" xr3:uid="{28ADA3B1-482E-43CA-AD2A-02F7A09CACFD}" name="Midranges" dataDxfId="143">
      <calculatedColumnFormula>COUNTIFS(E$4:E$35,AB24,F$4:F$35,"Midrange")</calculatedColumnFormula>
    </tableColumn>
    <tableColumn id="5" xr3:uid="{C9AC02A1-010E-43D2-BDCE-C22B864C549F}" name="Threes" dataDxfId="14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41" dataDxfId="139" headerRowBorderDxfId="140" tableBorderDxfId="138" totalsRowBorderDxfId="137">
  <autoFilter ref="AB23:AF35" xr:uid="{6E76429B-169B-468D-824D-A87B796442C0}"/>
  <tableColumns count="5">
    <tableColumn id="1" xr3:uid="{702D6C1A-EF35-4C14-A8EC-BBE79BC5BE81}" name="Name" dataDxfId="136"/>
    <tableColumn id="2" xr3:uid="{9BD04D9B-64B3-4165-9C75-3A9A0F304D9A}" name="Points" dataDxfId="135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34">
      <calculatedColumnFormula>COUNTIFS(E$4:E$35,AB24,F$4:F$35,"Finish")</calculatedColumnFormula>
    </tableColumn>
    <tableColumn id="4" xr3:uid="{179483FA-F4DC-46F6-9EBD-2B72684FBED5}" name="Midranges" dataDxfId="133">
      <calculatedColumnFormula>COUNTIFS(E$4:E$35,AB24,F$4:F$35,"Midrange")</calculatedColumnFormula>
    </tableColumn>
    <tableColumn id="5" xr3:uid="{82BFCC2E-BA97-42C7-9C9C-9D4A2257CC8D}" name="Threes" dataDxfId="13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31" dataDxfId="129" headerRowBorderDxfId="130" tableBorderDxfId="128" totalsRowBorderDxfId="127">
  <autoFilter ref="AB23:AF35" xr:uid="{711C1840-2FF8-49B4-9F4B-8223C0525289}"/>
  <tableColumns count="5">
    <tableColumn id="1" xr3:uid="{0B03E012-9A8E-4767-A04A-C16CD3CCDC33}" name="Name" dataDxfId="126"/>
    <tableColumn id="2" xr3:uid="{A2B7E625-74CD-4FF7-8B9D-7F3ACC55103A}" name="Points" dataDxfId="125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24">
      <calculatedColumnFormula>COUNTIFS(E$4:E$35,AB24,F$4:F$35,"Finish")</calculatedColumnFormula>
    </tableColumn>
    <tableColumn id="4" xr3:uid="{D078A61B-1896-43FA-8563-E4D3FCD6B4DD}" name="Midranges" dataDxfId="123">
      <calculatedColumnFormula>COUNTIFS(E$4:E$35,AB24,F$4:F$35,"Midrange")</calculatedColumnFormula>
    </tableColumn>
    <tableColumn id="5" xr3:uid="{A9701953-19FF-4D79-8455-76372461AB88}" name="Threes" dataDxfId="12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21" dataDxfId="119" headerRowBorderDxfId="120" tableBorderDxfId="118" totalsRowBorderDxfId="117">
  <autoFilter ref="AB23:AF35" xr:uid="{AE26177D-8CDE-4D62-99F6-2C9B80BCEAD6}"/>
  <tableColumns count="5">
    <tableColumn id="1" xr3:uid="{4C6C9C10-76EC-4EDA-B740-1EF5587C01D1}" name="Name" dataDxfId="116"/>
    <tableColumn id="2" xr3:uid="{6B881634-AC7D-412B-9F02-D156A1201211}" name="Points" dataDxfId="115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14">
      <calculatedColumnFormula>COUNTIFS(E$4:E$35,AB24,F$4:F$35,"Finish")</calculatedColumnFormula>
    </tableColumn>
    <tableColumn id="4" xr3:uid="{B1AB5C9D-3E0B-4B27-ADFF-1DF93EE6CC84}" name="Midranges" dataDxfId="113">
      <calculatedColumnFormula>COUNTIFS(E$4:E$35,AB24,F$4:F$35,"Midrange")</calculatedColumnFormula>
    </tableColumn>
    <tableColumn id="5" xr3:uid="{7C0B5A5A-E056-494F-86B0-CBEB8D1475C9}" name="Threes" dataDxfId="11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111" dataDxfId="109" headerRowBorderDxfId="110" tableBorderDxfId="108" totalsRowBorderDxfId="107">
  <autoFilter ref="AB23:AF35" xr:uid="{A35046DB-B0F1-42B0-86FE-D063621EE515}"/>
  <tableColumns count="5">
    <tableColumn id="1" xr3:uid="{27893731-032B-4D12-B452-2AA29EA44EC6}" name="Name" dataDxfId="106"/>
    <tableColumn id="2" xr3:uid="{E8C49AAC-F230-4F21-AC21-34B9ED55BD7B}" name="Points" dataDxfId="105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104">
      <calculatedColumnFormula>COUNTIFS(E$4:E$35,AB24,F$4:F$35,"Finish")</calculatedColumnFormula>
    </tableColumn>
    <tableColumn id="4" xr3:uid="{74575A80-2AA7-42B7-B656-A6420844C111}" name="Midranges" dataDxfId="103">
      <calculatedColumnFormula>COUNTIFS(E$4:E$35,AB24,F$4:F$35,"Midrange")</calculatedColumnFormula>
    </tableColumn>
    <tableColumn id="5" xr3:uid="{FF198C28-8745-4B95-8E6C-BFE1083D2908}" name="Threes" dataDxfId="10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101" dataDxfId="99" headerRowBorderDxfId="100" tableBorderDxfId="98" totalsRowBorderDxfId="97">
  <autoFilter ref="AB23:AF35" xr:uid="{1714D4D3-70C5-4A24-9A4E-A2AAB9CF35E3}"/>
  <tableColumns count="5">
    <tableColumn id="1" xr3:uid="{B8B5BD79-26B0-4FEE-85E2-FC16FA5B1C5A}" name="Name" dataDxfId="96"/>
    <tableColumn id="2" xr3:uid="{34EEB8C6-0E0C-432C-AC65-35959B908E48}" name="Points" dataDxfId="95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94">
      <calculatedColumnFormula>COUNTIFS(E$4:E$35,AB24,F$4:F$35,"Finish")</calculatedColumnFormula>
    </tableColumn>
    <tableColumn id="4" xr3:uid="{8013E110-47EC-40EA-9D63-E2D90CA59A8E}" name="Midranges" dataDxfId="93">
      <calculatedColumnFormula>COUNTIFS(E$4:E$35,AB24,F$4:F$35,"Midrange")</calculatedColumnFormula>
    </tableColumn>
    <tableColumn id="5" xr3:uid="{48311BF4-567F-401E-B8D3-DAB12DC49017}" name="Threes" dataDxfId="9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91" dataDxfId="89" headerRowBorderDxfId="90" tableBorderDxfId="88" totalsRowBorderDxfId="87">
  <autoFilter ref="AB23:AF35" xr:uid="{303E2669-BFE0-4C11-83AB-A66D3AD911D5}"/>
  <tableColumns count="5">
    <tableColumn id="1" xr3:uid="{0ACC658A-A2E6-4822-B4CF-E42B064307EC}" name="Name" dataDxfId="86"/>
    <tableColumn id="2" xr3:uid="{69E1B66B-C7C3-4733-9803-F7800D41C7AE}" name="Points" dataDxfId="85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84">
      <calculatedColumnFormula>COUNTIFS(E$4:E$35,AB24,F$4:F$35,"Finish")</calculatedColumnFormula>
    </tableColumn>
    <tableColumn id="4" xr3:uid="{ADB45E9B-AC7D-4069-B639-5DC6C0CF2238}" name="Midranges" dataDxfId="83">
      <calculatedColumnFormula>COUNTIFS(E$4:E$35,AB24,F$4:F$35,"Midrange")</calculatedColumnFormula>
    </tableColumn>
    <tableColumn id="5" xr3:uid="{551A75D2-68CD-46CD-B2A5-EA83451074D7}" name="Threes" dataDxfId="8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81" dataDxfId="79" headerRowBorderDxfId="80" tableBorderDxfId="78" totalsRowBorderDxfId="77">
  <autoFilter ref="AB23:AF35" xr:uid="{2C607A1D-5CBE-4AF6-B74F-A17EBEC2C394}"/>
  <tableColumns count="5">
    <tableColumn id="1" xr3:uid="{CA259BF9-3B7B-4C35-8EB0-8FC507F52620}" name="Name" dataDxfId="76"/>
    <tableColumn id="2" xr3:uid="{ACDF4FA4-A3AA-4EBC-A234-FB46076B438E}" name="Points" dataDxfId="75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74">
      <calculatedColumnFormula>COUNTIFS(E$4:E$35,AB24,F$4:F$35,"Finish")</calculatedColumnFormula>
    </tableColumn>
    <tableColumn id="4" xr3:uid="{0A3A77CE-3099-4A7B-981B-6A0F44B14D11}" name="Midranges" dataDxfId="73">
      <calculatedColumnFormula>COUNTIFS(E$4:E$35,AB24,F$4:F$35,"Midrange")</calculatedColumnFormula>
    </tableColumn>
    <tableColumn id="5" xr3:uid="{013E6D90-7B5B-4FB5-B0D3-D87F11C976DB}" name="Threes" dataDxfId="7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71" dataDxfId="69" headerRowBorderDxfId="70" tableBorderDxfId="68" totalsRowBorderDxfId="67">
  <autoFilter ref="AB23:AF35" xr:uid="{68118DB3-D0FB-483A-9EB4-32A2F2A95163}"/>
  <tableColumns count="5">
    <tableColumn id="1" xr3:uid="{CE47220C-0A23-4BEF-BE09-10F142B36862}" name="Name" dataDxfId="66"/>
    <tableColumn id="2" xr3:uid="{DF770B97-23E2-457C-9D37-5E9A3C3679DB}" name="Points" dataDxfId="65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64">
      <calculatedColumnFormula>COUNTIFS(E$4:E$35,AB24,F$4:F$35,"Finish")</calculatedColumnFormula>
    </tableColumn>
    <tableColumn id="4" xr3:uid="{9D32120F-F6FF-46CE-AE03-4EFA07E2703A}" name="Midranges" dataDxfId="63">
      <calculatedColumnFormula>COUNTIFS(E$4:E$35,AB24,F$4:F$35,"Midrange")</calculatedColumnFormula>
    </tableColumn>
    <tableColumn id="5" xr3:uid="{B0534804-3982-48F8-9692-9B112C42BBA4}" name="Threes" dataDxfId="6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61" dataDxfId="59" headerRowBorderDxfId="60" tableBorderDxfId="58" totalsRowBorderDxfId="57">
  <autoFilter ref="AB23:AF35" xr:uid="{9EF1906A-B3B3-4BEF-9867-FBF932269708}"/>
  <tableColumns count="5">
    <tableColumn id="1" xr3:uid="{19D780D9-93BA-439D-92CE-5E0011FC94C9}" name="Name" dataDxfId="56"/>
    <tableColumn id="2" xr3:uid="{F8FAB1B7-4D3F-462E-A255-9B298AE0F23D}" name="Points" dataDxfId="55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54">
      <calculatedColumnFormula>COUNTIFS(E$4:E$35,AB24,F$4:F$35,"Finish")</calculatedColumnFormula>
    </tableColumn>
    <tableColumn id="4" xr3:uid="{B84E09E7-4B7B-46CB-A382-B3A5B718B665}" name="Midranges" dataDxfId="53">
      <calculatedColumnFormula>COUNTIFS(E$4:E$35,AB24,F$4:F$35,"Midrange")</calculatedColumnFormula>
    </tableColumn>
    <tableColumn id="5" xr3:uid="{E05FF50D-26D5-4849-BD53-F8BE653947F2}" name="Threes" dataDxfId="5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43" dataDxfId="342">
  <autoFilter ref="AK28:AT45" xr:uid="{46F39EBA-1E74-46F4-A6E5-473672128124}"/>
  <tableColumns count="10">
    <tableColumn id="1" xr3:uid="{5D003608-C1C2-4694-9447-8632FB8D7348}" name="Scoring" dataDxfId="341"/>
    <tableColumn id="2" xr3:uid="{D15F4085-CED5-4CDD-B43B-BF7EB59B45A3}" name="Points" dataDxfId="340">
      <calculatedColumnFormula>'1707'!R3+'1807'!R3+'1907'!R3+'2007'!R3</calculatedColumnFormula>
    </tableColumn>
    <tableColumn id="3" xr3:uid="{2D436F37-54B6-4820-9145-F48B4EF9B294}" name="Finishes" dataDxfId="339">
      <calculatedColumnFormula>'1707'!S3+'1807'!S3+'1907'!S3+'2007'!S3</calculatedColumnFormula>
    </tableColumn>
    <tableColumn id="4" xr3:uid="{1D9B6A22-B682-47F3-B738-7C138F317A41}" name="Midranges" dataDxfId="338">
      <calculatedColumnFormula>'1707'!T3+'1807'!T3+'1907'!T3+'2007'!T3</calculatedColumnFormula>
    </tableColumn>
    <tableColumn id="5" xr3:uid="{9966C9A0-3872-44E9-BB39-05DE197EAA68}" name="Threes" dataDxfId="337">
      <calculatedColumnFormula>'1707'!U3+'1807'!U3+'1907'!U3+'2007'!U3</calculatedColumnFormula>
    </tableColumn>
    <tableColumn id="6" xr3:uid="{CC4AB646-735F-425F-8528-C5EFE7FE11DC}" name="Avg P" dataDxfId="336">
      <calculatedColumnFormula>AL29/($AL$27-Table211[[#This Row],[Missed Games]])</calculatedColumnFormula>
    </tableColumn>
    <tableColumn id="7" xr3:uid="{F8D0247E-C6F7-467A-9F38-46084D44F8AB}" name="Avg F" dataDxfId="335">
      <calculatedColumnFormula>AM29/($AL$27-Table211[[#This Row],[Missed Games]])</calculatedColumnFormula>
    </tableColumn>
    <tableColumn id="8" xr3:uid="{7CCF1C77-9DB0-4EB2-B7D0-FD0BDBEBFA0E}" name="Avg M" dataDxfId="334">
      <calculatedColumnFormula>AN29/($AL$27-Table211[[#This Row],[Missed Games]])</calculatedColumnFormula>
    </tableColumn>
    <tableColumn id="9" xr3:uid="{582A1A4E-5383-4383-A480-735408867046}" name="Avg T" dataDxfId="333">
      <calculatedColumnFormula>AO29/($AL$27-Table211[[#This Row],[Missed Games]])</calculatedColumnFormula>
    </tableColumn>
    <tableColumn id="10" xr3:uid="{E547AEB5-F9BA-4C5F-8DCE-34B6A8FF303A}" name="Missed Games" dataDxfId="332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51" dataDxfId="49" headerRowBorderDxfId="50" tableBorderDxfId="48" totalsRowBorderDxfId="47">
  <autoFilter ref="AB23:AF35" xr:uid="{3CDAA49A-970D-45E7-8776-FCD763C64D3D}"/>
  <tableColumns count="5">
    <tableColumn id="1" xr3:uid="{BE7D80F2-C167-4417-ABD8-DE86C19C3613}" name="Name" dataDxfId="46"/>
    <tableColumn id="2" xr3:uid="{073E7847-0F0B-4218-ADFE-40B8292E2D26}" name="Points" dataDxfId="45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44">
      <calculatedColumnFormula>COUNTIFS(E$4:E$35,AB24,F$4:F$35,"Finish")</calculatedColumnFormula>
    </tableColumn>
    <tableColumn id="4" xr3:uid="{64DD9251-F793-4491-85A1-6DBBF9E100BF}" name="Midranges" dataDxfId="43">
      <calculatedColumnFormula>COUNTIFS(E$4:E$35,AB24,F$4:F$35,"Midrange")</calculatedColumnFormula>
    </tableColumn>
    <tableColumn id="5" xr3:uid="{762904B8-CD39-408A-B16D-C23402BF9CDD}" name="Threes" dataDxfId="4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41" dataDxfId="39" headerRowBorderDxfId="40" tableBorderDxfId="38" totalsRowBorderDxfId="37">
  <autoFilter ref="AB23:AF35" xr:uid="{C6A4DFB5-74A3-4A64-AACD-91CE9502F555}"/>
  <tableColumns count="5">
    <tableColumn id="1" xr3:uid="{0299C96A-7BCA-47EB-AD86-241664A4F514}" name="Name" dataDxfId="36"/>
    <tableColumn id="2" xr3:uid="{5098BEB7-25CA-4164-914A-AC4AFA7BF2BC}" name="Points" dataDxfId="35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34">
      <calculatedColumnFormula>COUNTIFS(E$4:E$35,AB24,F$4:F$35,"Finish")</calculatedColumnFormula>
    </tableColumn>
    <tableColumn id="4" xr3:uid="{AB612CFA-1FA9-4ADE-AE53-130B2B192FB9}" name="Midranges" dataDxfId="33">
      <calculatedColumnFormula>COUNTIFS(E$4:E$35,AB24,F$4:F$35,"Midrange")</calculatedColumnFormula>
    </tableColumn>
    <tableColumn id="5" xr3:uid="{7E81C066-5B3D-4F5F-AA57-F66CFF5F91A1}" name="Threes" dataDxfId="3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31" dataDxfId="29" headerRowBorderDxfId="30" tableBorderDxfId="28" totalsRowBorderDxfId="27">
  <autoFilter ref="AB23:AF35" xr:uid="{AD350964-0408-4154-ACAC-3710508D9D87}"/>
  <tableColumns count="5">
    <tableColumn id="1" xr3:uid="{16BEA131-6137-4539-A2D9-4DB11B2311B6}" name="Name" dataDxfId="26"/>
    <tableColumn id="2" xr3:uid="{6AEC6A03-BBB8-42C1-A1C9-687F7E0DE182}" name="Points" dataDxfId="25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24">
      <calculatedColumnFormula>COUNTIFS(E$4:E$35,AB24,F$4:F$35,"Finish")</calculatedColumnFormula>
    </tableColumn>
    <tableColumn id="4" xr3:uid="{01AC69BC-B8B8-4D13-9632-3DA4330300C1}" name="Midranges" dataDxfId="23">
      <calculatedColumnFormula>COUNTIFS(E$4:E$35,AB24,F$4:F$35,"Midrange")</calculatedColumnFormula>
    </tableColumn>
    <tableColumn id="5" xr3:uid="{563C2D33-CBB1-4A24-AD12-1F7EB0B8E5B4}" name="Threes" dataDxfId="2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21" dataDxfId="19" headerRowBorderDxfId="20" tableBorderDxfId="18" totalsRowBorderDxfId="17">
  <autoFilter ref="AB23:AF35" xr:uid="{BA72D610-9C91-48B2-AE6A-0F3391E34A4D}"/>
  <tableColumns count="5">
    <tableColumn id="1" xr3:uid="{51F1B0CF-10E2-4194-85E6-583F7CE73389}" name="Name" dataDxfId="16"/>
    <tableColumn id="2" xr3:uid="{45797C8D-217B-47BB-9393-DBE33DBFD489}" name="Points" dataDxfId="15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14">
      <calculatedColumnFormula>COUNTIFS(E$4:E$35,AB24,F$4:F$35,"Finish")</calculatedColumnFormula>
    </tableColumn>
    <tableColumn id="4" xr3:uid="{67931CF6-4491-412B-9EC1-E1177336345D}" name="Midranges" dataDxfId="13">
      <calculatedColumnFormula>COUNTIFS(E$4:E$35,AB24,F$4:F$35,"Midrange")</calculatedColumnFormula>
    </tableColumn>
    <tableColumn id="5" xr3:uid="{55B3E858-EE70-46D9-B721-DC47897AA8BB}" name="Threes" dataDxfId="1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331" dataDxfId="330">
  <autoFilter ref="Z48:AI65" xr:uid="{D27C125F-71B2-44D9-9F7A-9BED67755DD3}"/>
  <tableColumns count="10">
    <tableColumn id="1" xr3:uid="{0B0344E8-2677-4FAB-9B03-4745991FB5AE}" name="Scoring" dataDxfId="329"/>
    <tableColumn id="2" xr3:uid="{58CA1107-8BB4-4A5D-BA00-31619C8D3973}" name="Points" dataDxfId="328">
      <calculatedColumnFormula>'2407'!R3+'2607'!R3+'2707'!R3</calculatedColumnFormula>
    </tableColumn>
    <tableColumn id="3" xr3:uid="{8090861E-1FDF-44F4-9DB6-BB814E32C754}" name="Finishes" dataDxfId="327">
      <calculatedColumnFormula>'2407'!S3+'2607'!S3+'2707'!S3</calculatedColumnFormula>
    </tableColumn>
    <tableColumn id="4" xr3:uid="{972D0347-DAB3-4985-A738-E5D78740D498}" name="Midranges" dataDxfId="326">
      <calculatedColumnFormula>'2407'!T3+'2607'!T3+'2707'!T3</calculatedColumnFormula>
    </tableColumn>
    <tableColumn id="5" xr3:uid="{48F5F884-1753-4988-9056-632B5EB6BBCB}" name="Threes" dataDxfId="325">
      <calculatedColumnFormula>'2407'!U3+'2607'!U3+'2707'!U3</calculatedColumnFormula>
    </tableColumn>
    <tableColumn id="6" xr3:uid="{6953B627-EA05-418F-A758-FD59263EA60D}" name="Avg P" dataDxfId="324">
      <calculatedColumnFormula>Table21123[[#This Row],[Points]]/($AA$47-Table21123[[#This Row],[Missed Games]])</calculatedColumnFormula>
    </tableColumn>
    <tableColumn id="7" xr3:uid="{BE057C9C-5ECD-4AC2-A9C0-18C89CFB52BC}" name="Avg F" dataDxfId="323">
      <calculatedColumnFormula>Table21123[[#This Row],[Finishes]]/($AA$47-Table21123[[#This Row],[Missed Games]])</calculatedColumnFormula>
    </tableColumn>
    <tableColumn id="8" xr3:uid="{0FDEBEE7-CD5E-4A44-A0AE-74F044F1FF46}" name="Avg M" dataDxfId="322">
      <calculatedColumnFormula>Table21123[[#This Row],[Midranges]]/($AA$47-Table21123[[#This Row],[Missed Games]])</calculatedColumnFormula>
    </tableColumn>
    <tableColumn id="9" xr3:uid="{76975BB6-3677-41A8-BC24-7536B1D876D3}" name="Avg T" dataDxfId="321">
      <calculatedColumnFormula>Table21123[[#This Row],[Threes]]/($AA$47-Table21123[[#This Row],[Missed Games]])</calculatedColumnFormula>
    </tableColumn>
    <tableColumn id="10" xr3:uid="{E5ADB69B-3BA2-4019-8C83-8B02221F187E}" name="Missed Games" dataDxfId="320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319" dataDxfId="318">
  <autoFilter ref="AK48:AT65" xr:uid="{22B89D2C-1B74-4036-A4ED-A5E61F1B3AAC}"/>
  <tableColumns count="10">
    <tableColumn id="1" xr3:uid="{3D35891E-3654-497A-8DB2-BF0BD916CA29}" name="Scoring" dataDxfId="317"/>
    <tableColumn id="2" xr3:uid="{54B5B6AF-372A-4E07-B4D6-DFC66F7E20C5}" name="Points" dataDxfId="316">
      <calculatedColumnFormula>'3107'!R3+'0108'!R3+'0208'!R3+'0308'!R3</calculatedColumnFormula>
    </tableColumn>
    <tableColumn id="3" xr3:uid="{6CA15B41-F560-4B43-8836-163F5BB5689C}" name="Finishes" dataDxfId="315">
      <calculatedColumnFormula>'3107'!S3+'0108'!S3+'0208'!S3+'0308'!S3</calculatedColumnFormula>
    </tableColumn>
    <tableColumn id="4" xr3:uid="{8FF05262-0051-44F7-966E-8D405318BA69}" name="Midranges" dataDxfId="314">
      <calculatedColumnFormula>'3107'!T3+'0108'!T3+'0208'!T3+'0308'!T3</calculatedColumnFormula>
    </tableColumn>
    <tableColumn id="5" xr3:uid="{F0D843FC-7A93-4C9A-BCCF-E789F7811B3B}" name="Threes" dataDxfId="313">
      <calculatedColumnFormula>'3107'!U3+'0108'!U3+'0208'!U3+'0308'!U3</calculatedColumnFormula>
    </tableColumn>
    <tableColumn id="6" xr3:uid="{F0498F8A-F646-4C1F-A3CF-E89E73750FC1}" name="Avg P" dataDxfId="312">
      <calculatedColumnFormula>AL49/($AL$47-Table21124[[#This Row],[Missed Games]])</calculatedColumnFormula>
    </tableColumn>
    <tableColumn id="7" xr3:uid="{A387BC88-F45C-4386-8503-EFEA33BDAC38}" name="Avg F" dataDxfId="311">
      <calculatedColumnFormula>AM49/($AL$47-Table21124[[#This Row],[Missed Games]])</calculatedColumnFormula>
    </tableColumn>
    <tableColumn id="8" xr3:uid="{BEA82919-0828-4351-A01A-D72E13E63FAB}" name="Avg M" dataDxfId="310">
      <calculatedColumnFormula>AN49/($AL$47-Table21124[[#This Row],[Missed Games]])</calculatedColumnFormula>
    </tableColumn>
    <tableColumn id="9" xr3:uid="{ABEBCE01-BCA4-4342-966C-27301889B607}" name="Avg T" dataDxfId="309">
      <calculatedColumnFormula>AO49/($AL$47-Table21124[[#This Row],[Missed Games]])</calculatedColumnFormula>
    </tableColumn>
    <tableColumn id="10" xr3:uid="{65E7A8E7-4C51-42E4-AB0F-B7FF6099D70A}" name="Missed Games" dataDxfId="308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307" dataDxfId="306">
  <autoFilter ref="AK68:AT85" xr:uid="{18C7D514-96DE-4BA6-B019-3E860ED143EC}"/>
  <tableColumns count="10">
    <tableColumn id="1" xr3:uid="{D144EF14-69FD-4E71-90C7-56F49F45FAE5}" name="Scoring" dataDxfId="305"/>
    <tableColumn id="2" xr3:uid="{34D1D392-F3E0-4C36-9EED-849D5B1149E6}" name="Points" dataDxfId="304">
      <calculatedColumnFormula>'1408'!R3+'1508'!R3+'1708'!R3</calculatedColumnFormula>
    </tableColumn>
    <tableColumn id="3" xr3:uid="{E91D98A2-80BD-4E5C-9036-2FCC8185369F}" name="Finishes" dataDxfId="303">
      <calculatedColumnFormula>'1408'!S3+'1508'!S3+'1708'!S3</calculatedColumnFormula>
    </tableColumn>
    <tableColumn id="4" xr3:uid="{D2E5029E-4811-4E9B-9A2D-5F5F8F322B0D}" name="Midranges" dataDxfId="302">
      <calculatedColumnFormula>'1408'!T3+'1508'!T3+'1708'!T3</calculatedColumnFormula>
    </tableColumn>
    <tableColumn id="5" xr3:uid="{B3E76CEE-33DA-4B18-8DCE-8EBC7EE592D7}" name="Threes" dataDxfId="301">
      <calculatedColumnFormula>'1408'!U3+'1508'!U3+'1708'!U3</calculatedColumnFormula>
    </tableColumn>
    <tableColumn id="6" xr3:uid="{6ABE1879-8018-4498-A9A1-22CF831F0364}" name="Avg P" dataDxfId="300">
      <calculatedColumnFormula>Table21125[[#This Row],[Points]]/($AL$67-Table21125[[#This Row],[Missed Games]])</calculatedColumnFormula>
    </tableColumn>
    <tableColumn id="7" xr3:uid="{8DA4DD79-8A2A-49E4-996F-C1ACCED3C565}" name="Avg F" dataDxfId="299">
      <calculatedColumnFormula>Table21125[[#This Row],[Finishes]]/($AL$67-Table21125[[#This Row],[Missed Games]])</calculatedColumnFormula>
    </tableColumn>
    <tableColumn id="8" xr3:uid="{256EA4BC-BA61-49E2-969F-0786AA9AA6EA}" name="Avg M" dataDxfId="298">
      <calculatedColumnFormula>Table21125[[#This Row],[Midranges]]/($AL$67-Table21125[[#This Row],[Missed Games]])</calculatedColumnFormula>
    </tableColumn>
    <tableColumn id="9" xr3:uid="{0E5566B2-99EC-4B03-A074-8705C4EDA484}" name="Avg T" dataDxfId="297">
      <calculatedColumnFormula>Table21125[[#This Row],[Threes]]/($AL$67-Table21125[[#This Row],[Missed Games]])</calculatedColumnFormula>
    </tableColumn>
    <tableColumn id="10" xr3:uid="{3E2357F0-493E-401D-AC75-9AAB260F684E}" name="Missed Games" dataDxfId="296">
      <calculatedColumnFormula>COUNTIF('1408'!V3, TRUE)+COUNTIF('1508'!V3, TRUE)+COUNTIF('1708'!V3,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295" dataDxfId="294">
  <autoFilter ref="Z68:AI85" xr:uid="{F118BED8-7AAF-4E55-A61F-C75C69A64AAE}"/>
  <tableColumns count="10">
    <tableColumn id="1" xr3:uid="{7723929D-65B3-40BB-8FDD-C4533243706C}" name="Scoring" dataDxfId="293"/>
    <tableColumn id="2" xr3:uid="{EC28DE3D-619E-4930-A3AF-7AD1BE1D4843}" name="Points" dataDxfId="292">
      <calculatedColumnFormula>'0808'!R3+'0908'!R3+'1008'!R3</calculatedColumnFormula>
    </tableColumn>
    <tableColumn id="3" xr3:uid="{9537269D-8C1D-42B5-866F-D03CE61A8512}" name="Finishes" dataDxfId="291">
      <calculatedColumnFormula>'0808'!S3+'0908'!S3+'1008'!S3</calculatedColumnFormula>
    </tableColumn>
    <tableColumn id="4" xr3:uid="{AC590DDB-BE19-4A14-8B98-1E5E2430AA45}" name="Midranges" dataDxfId="290">
      <calculatedColumnFormula>'0808'!T3+'0908'!T3+'1008'!T3</calculatedColumnFormula>
    </tableColumn>
    <tableColumn id="5" xr3:uid="{C96D3ACD-F34D-477E-86DE-4650EE56BC94}" name="Threes" dataDxfId="289">
      <calculatedColumnFormula>'0808'!U3+'0908'!U3+'1008'!U3</calculatedColumnFormula>
    </tableColumn>
    <tableColumn id="6" xr3:uid="{A43DE5E9-BB01-49FA-A204-66EE7BAA2E9F}" name="Avg P" dataDxfId="288">
      <calculatedColumnFormula>Table21126[[#This Row],[Points]]/($AA$67-Table21126[[#This Row],[Missed Games]])</calculatedColumnFormula>
    </tableColumn>
    <tableColumn id="7" xr3:uid="{C75A19FF-6041-45C2-BACB-E347F06B6329}" name="Avg F" dataDxfId="287">
      <calculatedColumnFormula>Table21126[[#This Row],[Finishes]]/($AA$67-Table21126[[#This Row],[Missed Games]])</calculatedColumnFormula>
    </tableColumn>
    <tableColumn id="8" xr3:uid="{00D3FCFC-C9C5-4C96-BE0E-8E1FDC95D07C}" name="Avg M" dataDxfId="286">
      <calculatedColumnFormula>Table21126[[#This Row],[Midranges]]/($AA$67-Table21126[[#This Row],[Missed Games]])</calculatedColumnFormula>
    </tableColumn>
    <tableColumn id="9" xr3:uid="{0448FF4E-9D2D-47F6-89B7-F17D36B05E8A}" name="Avg T" dataDxfId="285">
      <calculatedColumnFormula>Table21126[[#This Row],[Threes]]/($AA$67-Table21126[[#This Row],[Missed Games]])</calculatedColumnFormula>
    </tableColumn>
    <tableColumn id="10" xr3:uid="{D5BDFA2D-095B-44F8-8567-15B3B1520E5A}" name="Missed Games" dataDxfId="284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283" dataDxfId="282">
  <autoFilter ref="Z88:AI105" xr:uid="{BDD2E472-3925-41A7-BECD-3315E6E71ECC}"/>
  <tableColumns count="10">
    <tableColumn id="1" xr3:uid="{9DBD966D-620C-4B97-A502-29D00ABE150B}" name="Scoring" dataDxfId="281"/>
    <tableColumn id="2" xr3:uid="{F8F81F0E-16B3-4472-9D90-A92149C763E4}" name="Points" dataDxfId="280">
      <calculatedColumnFormula>'Finals 1'!S3</calculatedColumnFormula>
    </tableColumn>
    <tableColumn id="3" xr3:uid="{09859CE1-290D-4977-B02C-46F4E5A6FDC2}" name="Finishes" dataDxfId="279">
      <calculatedColumnFormula>'Finals 1'!T3</calculatedColumnFormula>
    </tableColumn>
    <tableColumn id="4" xr3:uid="{7D751A0E-2895-46DF-B5E2-5A8AA5531CD2}" name="Midranges" dataDxfId="278">
      <calculatedColumnFormula>'Finals 1'!U3</calculatedColumnFormula>
    </tableColumn>
    <tableColumn id="5" xr3:uid="{591CDC71-B0EA-413B-B6C1-77884E7E50D4}" name="Threes" dataDxfId="277">
      <calculatedColumnFormula>'Finals 1'!V3</calculatedColumnFormula>
    </tableColumn>
    <tableColumn id="6" xr3:uid="{52ED768C-5557-42DC-9824-7A4D9B547153}" name="Avg P" dataDxfId="276">
      <calculatedColumnFormula>Table21127[[#This Row],[Points]]/($AA$87-Table21127[[#This Row],[Missed Games]])</calculatedColumnFormula>
    </tableColumn>
    <tableColumn id="7" xr3:uid="{FC79BE87-72E2-4F5E-83D6-CDCE645EB943}" name="Avg F" dataDxfId="275">
      <calculatedColumnFormula>Table21127[[#This Row],[Finishes]]/($AA$87-Table21127[[#This Row],[Missed Games]])</calculatedColumnFormula>
    </tableColumn>
    <tableColumn id="8" xr3:uid="{BA012C22-0D65-4C11-98A7-4F958703D04B}" name="Avg M" dataDxfId="274">
      <calculatedColumnFormula>Table21127[[#This Row],[Midranges]]/($AA$87-Table21127[[#This Row],[Missed Games]])</calculatedColumnFormula>
    </tableColumn>
    <tableColumn id="9" xr3:uid="{63344F2B-5D94-417D-85E2-C2BFBACE3E7E}" name="Avg T" dataDxfId="273">
      <calculatedColumnFormula>Table21127[[#This Row],[Threes]]/($AA$87-Table21127[[#This Row],[Missed Games]])</calculatedColumnFormula>
    </tableColumn>
    <tableColumn id="10" xr3:uid="{1AD5A604-8909-45B3-8E43-11D407451CEA}" name="Missed Games" dataDxfId="272">
      <calculatedColumnFormula>COUNTIF('Finals 1'!W3, TRUE)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271" dataDxfId="270">
  <autoFilter ref="AK88:AT105" xr:uid="{F9183685-60DE-4163-AA62-BE4F563EE570}"/>
  <tableColumns count="10">
    <tableColumn id="1" xr3:uid="{E62FBAA0-D6F6-4997-96C9-B6B13FAA9B6E}" name="Scoring" dataDxfId="269"/>
    <tableColumn id="2" xr3:uid="{0A655F6F-9A21-4167-85B6-B9F7DC2070CA}" name="Points" dataDxfId="268">
      <calculatedColumnFormula>Template!AC63</calculatedColumnFormula>
    </tableColumn>
    <tableColumn id="3" xr3:uid="{460771D3-3BD8-4DA3-AF1B-1A0F98EF1499}" name="Finishes" dataDxfId="267">
      <calculatedColumnFormula>Template!AD63</calculatedColumnFormula>
    </tableColumn>
    <tableColumn id="4" xr3:uid="{3C08B2D7-823D-49C3-A627-A5848E664B2F}" name="Midranges" dataDxfId="266">
      <calculatedColumnFormula>Template!AE63</calculatedColumnFormula>
    </tableColumn>
    <tableColumn id="5" xr3:uid="{E88F45FB-4C46-4674-86D5-74808E7E5368}" name="Threes" dataDxfId="265">
      <calculatedColumnFormula>Template!AF63</calculatedColumnFormula>
    </tableColumn>
    <tableColumn id="6" xr3:uid="{0C0E8016-1E6E-4F25-9675-4EE061FFD0F7}" name="Avg P" dataDxfId="264">
      <calculatedColumnFormula>AL89/$AA$27</calculatedColumnFormula>
    </tableColumn>
    <tableColumn id="7" xr3:uid="{F7AC350B-AE4B-4912-B21D-16D99E2AE8BF}" name="Avg F" dataDxfId="263">
      <calculatedColumnFormula>AM89/$AA$27</calculatedColumnFormula>
    </tableColumn>
    <tableColumn id="8" xr3:uid="{F451E5CA-B9C4-4EFA-A647-CEDB2FB39550}" name="Avg M" dataDxfId="262">
      <calculatedColumnFormula>AN89/$AA$27</calculatedColumnFormula>
    </tableColumn>
    <tableColumn id="9" xr3:uid="{ED1D92B5-05F1-40CE-A89F-E6627FAB4A59}" name="Avg T" dataDxfId="261">
      <calculatedColumnFormula>AO89/$AA$27</calculatedColumnFormula>
    </tableColumn>
    <tableColumn id="10" xr3:uid="{48A4808A-3DE6-4644-83F5-C2AEDDFC3E5E}" name="Missed Games" dataDxfId="260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40" zoomScaleNormal="40" workbookViewId="0">
      <selection activeCell="B27" sqref="B27:B3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225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06" t="s">
        <v>47</v>
      </c>
      <c r="D3" s="7">
        <f>'Stats Global'!AB8</f>
        <v>0.16666666666666666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0.16666666666666666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" t="s">
        <v>196</v>
      </c>
      <c r="V3" s="1" t="str">
        <f t="shared" ref="V3:V19" si="0">IF(C3="5 Musketeers", $Y$3, IF(C3="Loose Gooses", $Y$4, IF(C3="Wet Willies", $Y$5, $Y$6)))</f>
        <v>../Images/LG_Final.png</v>
      </c>
      <c r="W3" s="1" t="str">
        <f t="shared" ref="W3:W19" si="1">Y$8&amp;Y10&amp;".png"</f>
        <v>../Images/Players/Jasper.png</v>
      </c>
      <c r="Y3" s="2" t="s">
        <v>27</v>
      </c>
    </row>
    <row r="4" spans="2:25" ht="14.25" customHeight="1" x14ac:dyDescent="0.45">
      <c r="B4" s="2" t="s">
        <v>28</v>
      </c>
      <c r="C4" s="106" t="s">
        <v>47</v>
      </c>
      <c r="D4" s="7">
        <f>'Stats Global'!AB9</f>
        <v>0.75</v>
      </c>
      <c r="E4" s="11">
        <f>'Stats Global'!AA9</f>
        <v>12</v>
      </c>
      <c r="F4" s="7">
        <f>'Stats Global'!AD9</f>
        <v>0.75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L4" s="18">
        <f>'Stats Global'!AJ9</f>
        <v>2</v>
      </c>
      <c r="U4" s="11" t="s">
        <v>196</v>
      </c>
      <c r="V4" s="11" t="str">
        <f t="shared" si="0"/>
        <v>../Images/LG_Final.png</v>
      </c>
      <c r="W4" s="1" t="str">
        <f t="shared" si="1"/>
        <v>../Images/Players/Conor.png</v>
      </c>
      <c r="Y4" s="2" t="s">
        <v>29</v>
      </c>
    </row>
    <row r="5" spans="2:25" ht="14.25" customHeight="1" x14ac:dyDescent="0.45">
      <c r="B5" s="2" t="s">
        <v>30</v>
      </c>
      <c r="C5" s="105" t="s">
        <v>26</v>
      </c>
      <c r="D5" s="7">
        <f>'Stats Global'!AB10</f>
        <v>3.5</v>
      </c>
      <c r="E5" s="11">
        <f>'Stats Global'!AA10</f>
        <v>35</v>
      </c>
      <c r="F5" s="7">
        <f>'Stats Global'!AD10</f>
        <v>3.2</v>
      </c>
      <c r="G5" s="11">
        <f>'Stats Global'!AC10</f>
        <v>32</v>
      </c>
      <c r="H5" s="7">
        <f>'Stats Global'!AF10</f>
        <v>0.1</v>
      </c>
      <c r="I5" s="11">
        <f>'Stats Global'!AE10</f>
        <v>1</v>
      </c>
      <c r="J5" s="7">
        <f>'Stats Global'!AH10</f>
        <v>0.1</v>
      </c>
      <c r="K5" s="11">
        <f>'Stats Global'!AG10</f>
        <v>1</v>
      </c>
      <c r="L5" s="18">
        <f>'Stats Global'!AJ10</f>
        <v>8</v>
      </c>
      <c r="M5" s="2" t="s">
        <v>32</v>
      </c>
      <c r="N5" s="2" t="s">
        <v>33</v>
      </c>
      <c r="O5" s="16" t="s">
        <v>153</v>
      </c>
      <c r="P5" s="16" t="s">
        <v>154</v>
      </c>
      <c r="U5" s="1" t="s">
        <v>193</v>
      </c>
      <c r="V5" s="11" t="str">
        <f t="shared" si="0"/>
        <v>../Images/5M_Final.png</v>
      </c>
      <c r="W5" s="1" t="str">
        <f t="shared" si="1"/>
        <v>../Images/Players/Alex.png</v>
      </c>
      <c r="Y5" s="2" t="s">
        <v>34</v>
      </c>
    </row>
    <row r="6" spans="2:25" ht="14.25" customHeight="1" x14ac:dyDescent="0.45">
      <c r="B6" s="2" t="s">
        <v>35</v>
      </c>
      <c r="C6" s="2" t="s">
        <v>31</v>
      </c>
      <c r="D6" s="7">
        <f>'Stats Global'!AB11</f>
        <v>1.3846153846153846</v>
      </c>
      <c r="E6" s="11">
        <f>'Stats Global'!AA11</f>
        <v>18</v>
      </c>
      <c r="F6" s="7">
        <f>'Stats Global'!AD11</f>
        <v>1.3846153846153846</v>
      </c>
      <c r="G6" s="11">
        <f>'Stats Global'!AC11</f>
        <v>18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18">
        <f>'Stats Global'!AJ11</f>
        <v>5</v>
      </c>
      <c r="M6" s="2" t="s">
        <v>36</v>
      </c>
      <c r="N6" s="2" t="s">
        <v>32</v>
      </c>
      <c r="O6" s="2" t="s">
        <v>33</v>
      </c>
      <c r="P6" s="16" t="s">
        <v>153</v>
      </c>
      <c r="Q6" s="16" t="s">
        <v>154</v>
      </c>
      <c r="R6" s="16" t="s">
        <v>157</v>
      </c>
      <c r="S6" s="16" t="s">
        <v>40</v>
      </c>
      <c r="U6" s="95" t="s">
        <v>189</v>
      </c>
      <c r="V6" s="11" t="str">
        <f t="shared" si="0"/>
        <v>../Images/WW_Final.png</v>
      </c>
      <c r="W6" s="1" t="str">
        <f t="shared" si="1"/>
        <v>../Images/Players/Rudy.png</v>
      </c>
      <c r="Y6" s="2" t="s">
        <v>163</v>
      </c>
    </row>
    <row r="7" spans="2:25" ht="14.25" customHeight="1" x14ac:dyDescent="0.45">
      <c r="B7" s="2" t="s">
        <v>37</v>
      </c>
      <c r="C7" s="105" t="s">
        <v>31</v>
      </c>
      <c r="D7" s="7">
        <f>'Stats Global'!AB12</f>
        <v>1.1875</v>
      </c>
      <c r="E7" s="11">
        <f>'Stats Global'!AA12</f>
        <v>19</v>
      </c>
      <c r="F7" s="7">
        <f>'Stats Global'!AD12</f>
        <v>0.5</v>
      </c>
      <c r="G7" s="11">
        <f>'Stats Global'!AC12</f>
        <v>8</v>
      </c>
      <c r="H7" s="7">
        <f>'Stats Global'!AF12</f>
        <v>0.4375</v>
      </c>
      <c r="I7" s="11">
        <f>'Stats Global'!AE12</f>
        <v>7</v>
      </c>
      <c r="J7" s="7">
        <f>'Stats Global'!AH12</f>
        <v>0.125</v>
      </c>
      <c r="K7" s="11">
        <f>'Stats Global'!AG12</f>
        <v>2</v>
      </c>
      <c r="L7" s="18">
        <f>'Stats Global'!AJ12</f>
        <v>2</v>
      </c>
      <c r="M7" s="2" t="s">
        <v>38</v>
      </c>
      <c r="N7" s="2" t="s">
        <v>39</v>
      </c>
      <c r="O7" s="16" t="s">
        <v>153</v>
      </c>
      <c r="P7" s="16" t="s">
        <v>155</v>
      </c>
      <c r="U7" s="105" t="s">
        <v>194</v>
      </c>
      <c r="V7" s="11" t="str">
        <f t="shared" si="0"/>
        <v>../Images/WW_Final.png</v>
      </c>
      <c r="W7" s="1" t="str">
        <f t="shared" si="1"/>
        <v>../Images/Players/Michael.png</v>
      </c>
    </row>
    <row r="8" spans="2:25" ht="14.25" customHeight="1" x14ac:dyDescent="0.45">
      <c r="B8" s="2" t="s">
        <v>42</v>
      </c>
      <c r="C8" s="141" t="s">
        <v>26</v>
      </c>
      <c r="D8" s="7">
        <f>'Stats Global'!AB13</f>
        <v>0.93333333333333335</v>
      </c>
      <c r="E8" s="11">
        <f>'Stats Global'!AA13</f>
        <v>14</v>
      </c>
      <c r="F8" s="7">
        <f>'Stats Global'!AD13</f>
        <v>0.73333333333333328</v>
      </c>
      <c r="G8" s="11">
        <f>'Stats Global'!AC13</f>
        <v>11</v>
      </c>
      <c r="H8" s="7">
        <f>'Stats Global'!AF13</f>
        <v>0.2</v>
      </c>
      <c r="I8" s="11">
        <f>'Stats Global'!AE13</f>
        <v>3</v>
      </c>
      <c r="J8" s="7">
        <f>'Stats Global'!AH13</f>
        <v>0</v>
      </c>
      <c r="K8" s="11">
        <f>'Stats Global'!AG13</f>
        <v>0</v>
      </c>
      <c r="L8" s="18">
        <f>'Stats Global'!AJ13</f>
        <v>3</v>
      </c>
      <c r="M8" s="2" t="s">
        <v>43</v>
      </c>
      <c r="N8" s="2" t="s">
        <v>36</v>
      </c>
      <c r="O8" s="16" t="s">
        <v>156</v>
      </c>
      <c r="U8" s="141" t="s">
        <v>239</v>
      </c>
      <c r="V8" s="11" t="str">
        <f t="shared" si="0"/>
        <v>../Images/5M_Final.png</v>
      </c>
      <c r="W8" s="1" t="str">
        <f t="shared" si="1"/>
        <v>../Images/Players/Lukas.png</v>
      </c>
      <c r="Y8" s="2" t="s">
        <v>41</v>
      </c>
    </row>
    <row r="9" spans="2:25" ht="14.25" customHeight="1" x14ac:dyDescent="0.45">
      <c r="B9" s="16" t="s">
        <v>115</v>
      </c>
      <c r="C9" s="106" t="s">
        <v>26</v>
      </c>
      <c r="D9" s="7">
        <f>'Stats Global'!AB14</f>
        <v>0.66666666666666663</v>
      </c>
      <c r="E9" s="11">
        <f>'Stats Global'!AA14</f>
        <v>12</v>
      </c>
      <c r="F9" s="7">
        <f>'Stats Global'!AD14</f>
        <v>0.33333333333333331</v>
      </c>
      <c r="G9" s="11">
        <f>'Stats Global'!AC14</f>
        <v>6</v>
      </c>
      <c r="H9" s="7">
        <f>'Stats Global'!AF14</f>
        <v>0.22222222222222221</v>
      </c>
      <c r="I9" s="11">
        <f>'Stats Global'!AE14</f>
        <v>4</v>
      </c>
      <c r="J9" s="7">
        <f>'Stats Global'!AH14</f>
        <v>5.5555555555555552E-2</v>
      </c>
      <c r="K9" s="11">
        <f>'Stats Global'!AG14</f>
        <v>1</v>
      </c>
      <c r="L9" s="18">
        <f>'Stats Global'!AJ14</f>
        <v>0</v>
      </c>
      <c r="M9" s="16" t="s">
        <v>212</v>
      </c>
      <c r="N9" s="16" t="s">
        <v>158</v>
      </c>
      <c r="U9" s="106" t="s">
        <v>199</v>
      </c>
      <c r="V9" s="11" t="str">
        <f t="shared" si="0"/>
        <v>../Images/5M_Final.png</v>
      </c>
      <c r="W9" s="11" t="str">
        <f t="shared" si="1"/>
        <v>../Images/Players/SamJ.png</v>
      </c>
    </row>
    <row r="10" spans="2:25" ht="14.25" customHeight="1" x14ac:dyDescent="0.45">
      <c r="B10" s="2" t="s">
        <v>44</v>
      </c>
      <c r="C10" s="106" t="s">
        <v>31</v>
      </c>
      <c r="D10" s="7">
        <f>'Stats Global'!AB15</f>
        <v>1.4166666666666667</v>
      </c>
      <c r="E10" s="11">
        <f>'Stats Global'!AA15</f>
        <v>17</v>
      </c>
      <c r="F10" s="7">
        <f>'Stats Global'!AD15</f>
        <v>8.3333333333333329E-2</v>
      </c>
      <c r="G10" s="11">
        <f>'Stats Global'!AC15</f>
        <v>1</v>
      </c>
      <c r="H10" s="7">
        <f>'Stats Global'!AF15</f>
        <v>0.16666666666666666</v>
      </c>
      <c r="I10" s="11">
        <f>'Stats Global'!AE15</f>
        <v>2</v>
      </c>
      <c r="J10" s="7">
        <f>'Stats Global'!AH15</f>
        <v>0.58333333333333337</v>
      </c>
      <c r="K10" s="11">
        <f>'Stats Global'!AG15</f>
        <v>7</v>
      </c>
      <c r="L10" s="18">
        <f>'Stats Global'!AJ15</f>
        <v>6</v>
      </c>
      <c r="M10" s="16" t="s">
        <v>161</v>
      </c>
      <c r="N10" s="2" t="s">
        <v>33</v>
      </c>
      <c r="O10" s="2" t="s">
        <v>160</v>
      </c>
      <c r="P10" s="16" t="s">
        <v>152</v>
      </c>
      <c r="Q10" s="16" t="s">
        <v>156</v>
      </c>
      <c r="R10" s="16" t="s">
        <v>155</v>
      </c>
      <c r="S10" s="16" t="s">
        <v>158</v>
      </c>
      <c r="U10" s="106" t="s">
        <v>198</v>
      </c>
      <c r="V10" s="11" t="str">
        <f t="shared" si="0"/>
        <v>../Images/WW_Final.png</v>
      </c>
      <c r="W10" s="1" t="str">
        <f t="shared" si="1"/>
        <v>../Images/Players/Clarrie.png</v>
      </c>
      <c r="Y10" s="2" t="s">
        <v>45</v>
      </c>
    </row>
    <row r="11" spans="2:25" ht="14.25" customHeight="1" x14ac:dyDescent="0.45">
      <c r="B11" s="2" t="s">
        <v>46</v>
      </c>
      <c r="C11" s="105" t="s">
        <v>47</v>
      </c>
      <c r="D11" s="7">
        <f>'Stats Global'!AB16</f>
        <v>1.9375</v>
      </c>
      <c r="E11" s="11">
        <f>'Stats Global'!AA16</f>
        <v>31</v>
      </c>
      <c r="F11" s="7">
        <f>'Stats Global'!AD16</f>
        <v>0.8125</v>
      </c>
      <c r="G11" s="11">
        <f>'Stats Global'!AC16</f>
        <v>13</v>
      </c>
      <c r="H11" s="7">
        <f>'Stats Global'!AF16</f>
        <v>0.75</v>
      </c>
      <c r="I11" s="11">
        <f>'Stats Global'!AE16</f>
        <v>12</v>
      </c>
      <c r="J11" s="7">
        <f>'Stats Global'!AH16</f>
        <v>0.1875</v>
      </c>
      <c r="K11" s="11">
        <f>'Stats Global'!AG16</f>
        <v>3</v>
      </c>
      <c r="L11" s="18">
        <f>'Stats Global'!AJ16</f>
        <v>2</v>
      </c>
      <c r="M11" s="2" t="s">
        <v>48</v>
      </c>
      <c r="N11" s="2" t="s">
        <v>36</v>
      </c>
      <c r="O11" s="2" t="s">
        <v>32</v>
      </c>
      <c r="P11" s="16" t="s">
        <v>156</v>
      </c>
      <c r="Q11" s="16" t="s">
        <v>154</v>
      </c>
      <c r="R11" s="16" t="s">
        <v>158</v>
      </c>
      <c r="S11" s="16" t="s">
        <v>159</v>
      </c>
      <c r="U11" s="11" t="s">
        <v>195</v>
      </c>
      <c r="V11" s="11" t="str">
        <f t="shared" si="0"/>
        <v>../Images/LG_Final.png</v>
      </c>
      <c r="W11" s="1" t="str">
        <f t="shared" si="1"/>
        <v>../Images/Players/Kimmy.png</v>
      </c>
      <c r="Y11" s="2" t="s">
        <v>49</v>
      </c>
    </row>
    <row r="12" spans="2:25" ht="14.25" customHeight="1" x14ac:dyDescent="0.45">
      <c r="B12" s="2" t="s">
        <v>50</v>
      </c>
      <c r="C12" s="2" t="s">
        <v>26</v>
      </c>
      <c r="D12" s="7">
        <f>'Stats Global'!AB17</f>
        <v>3.7058823529411766</v>
      </c>
      <c r="E12" s="11">
        <f>'Stats Global'!AA17</f>
        <v>63</v>
      </c>
      <c r="F12" s="7">
        <f>'Stats Global'!AD17</f>
        <v>0.88235294117647056</v>
      </c>
      <c r="G12" s="11">
        <f>'Stats Global'!AC17</f>
        <v>15</v>
      </c>
      <c r="H12" s="7">
        <f>'Stats Global'!AF17</f>
        <v>2.2352941176470589</v>
      </c>
      <c r="I12" s="11">
        <f>'Stats Global'!AE17</f>
        <v>38</v>
      </c>
      <c r="J12" s="7">
        <f>'Stats Global'!AH17</f>
        <v>0.29411764705882354</v>
      </c>
      <c r="K12" s="11">
        <f>'Stats Global'!AG17</f>
        <v>5</v>
      </c>
      <c r="L12" s="18">
        <f>'Stats Global'!AJ17</f>
        <v>1</v>
      </c>
      <c r="M12" s="2" t="s">
        <v>40</v>
      </c>
      <c r="N12" s="2" t="s">
        <v>36</v>
      </c>
      <c r="O12" s="2" t="s">
        <v>32</v>
      </c>
      <c r="P12" s="16" t="s">
        <v>153</v>
      </c>
      <c r="Q12" s="16" t="s">
        <v>154</v>
      </c>
      <c r="U12" s="96" t="s">
        <v>190</v>
      </c>
      <c r="V12" s="11" t="str">
        <f t="shared" si="0"/>
        <v>../Images/5M_Final.png</v>
      </c>
      <c r="W12" s="1" t="str">
        <f t="shared" si="1"/>
        <v>../Images/Players/SamM.png</v>
      </c>
      <c r="Y12" s="2" t="s">
        <v>51</v>
      </c>
    </row>
    <row r="13" spans="2:25" ht="14.25" customHeight="1" x14ac:dyDescent="0.45">
      <c r="B13" s="2" t="s">
        <v>52</v>
      </c>
      <c r="C13" s="106" t="s">
        <v>31</v>
      </c>
      <c r="D13" s="7">
        <f>'Stats Global'!AB18</f>
        <v>0.55555555555555558</v>
      </c>
      <c r="E13" s="11">
        <f>'Stats Global'!AA18</f>
        <v>10</v>
      </c>
      <c r="F13" s="7">
        <f>'Stats Global'!AD18</f>
        <v>0.1111111111111111</v>
      </c>
      <c r="G13" s="11">
        <f>'Stats Global'!AC18</f>
        <v>2</v>
      </c>
      <c r="H13" s="7">
        <f>'Stats Global'!AF18</f>
        <v>0.44444444444444442</v>
      </c>
      <c r="I13" s="11">
        <f>'Stats Global'!AE18</f>
        <v>8</v>
      </c>
      <c r="J13" s="7">
        <f>'Stats Global'!AH18</f>
        <v>0</v>
      </c>
      <c r="K13" s="11">
        <f>'Stats Global'!AG18</f>
        <v>0</v>
      </c>
      <c r="L13" s="18">
        <f>'Stats Global'!AJ18</f>
        <v>0</v>
      </c>
      <c r="M13" s="2" t="s">
        <v>53</v>
      </c>
      <c r="N13" s="2" t="s">
        <v>33</v>
      </c>
      <c r="O13" s="16"/>
      <c r="U13" s="107" t="s">
        <v>197</v>
      </c>
      <c r="V13" s="11" t="str">
        <f t="shared" si="0"/>
        <v>../Images/WW_Final.png</v>
      </c>
      <c r="W13" s="1" t="str">
        <f t="shared" si="1"/>
        <v>../Images/Players/Ryan.png</v>
      </c>
      <c r="Y13" s="2" t="s">
        <v>54</v>
      </c>
    </row>
    <row r="14" spans="2:25" ht="14.25" customHeight="1" x14ac:dyDescent="0.45">
      <c r="B14" s="2" t="s">
        <v>200</v>
      </c>
      <c r="C14" s="135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8">
        <f>'Stats Global'!AJ19</f>
        <v>12</v>
      </c>
      <c r="M14" s="16" t="s">
        <v>211</v>
      </c>
      <c r="N14" s="2"/>
      <c r="O14" s="16"/>
      <c r="P14" s="16"/>
      <c r="Q14" s="16"/>
      <c r="R14" s="16"/>
      <c r="S14" s="16"/>
      <c r="T14" s="16"/>
      <c r="U14" s="136" t="s">
        <v>239</v>
      </c>
      <c r="V14" s="11" t="str">
        <f t="shared" si="0"/>
        <v>../Images/5M_Final.png</v>
      </c>
      <c r="W14" s="11" t="str">
        <f t="shared" si="1"/>
        <v>../Images/Players/Will.png</v>
      </c>
      <c r="Y14" s="2" t="s">
        <v>57</v>
      </c>
    </row>
    <row r="15" spans="2:25" ht="14.25" customHeight="1" x14ac:dyDescent="0.45">
      <c r="B15" s="2" t="s">
        <v>55</v>
      </c>
      <c r="C15" s="141" t="s">
        <v>31</v>
      </c>
      <c r="D15" s="7">
        <f>'Stats Global'!AB20</f>
        <v>0.8</v>
      </c>
      <c r="E15" s="11">
        <f>'Stats Global'!AA20</f>
        <v>12</v>
      </c>
      <c r="F15" s="7">
        <f>'Stats Global'!AD20</f>
        <v>0.6</v>
      </c>
      <c r="G15" s="11">
        <f>'Stats Global'!AC20</f>
        <v>9</v>
      </c>
      <c r="H15" s="7">
        <f>'Stats Global'!AF20</f>
        <v>6.6666666666666666E-2</v>
      </c>
      <c r="I15" s="11">
        <f>'Stats Global'!AE20</f>
        <v>1</v>
      </c>
      <c r="J15" s="7">
        <f>'Stats Global'!AH20</f>
        <v>6.6666666666666666E-2</v>
      </c>
      <c r="K15" s="11">
        <f>'Stats Global'!AG20</f>
        <v>1</v>
      </c>
      <c r="L15" s="18">
        <f>'Stats Global'!AJ20</f>
        <v>3</v>
      </c>
      <c r="M15" s="2" t="s">
        <v>56</v>
      </c>
      <c r="N15" s="2" t="s">
        <v>33</v>
      </c>
      <c r="O15" s="16" t="s">
        <v>150</v>
      </c>
      <c r="P15" s="16" t="s">
        <v>151</v>
      </c>
      <c r="Q15" s="16" t="s">
        <v>156</v>
      </c>
      <c r="R15" s="16" t="s">
        <v>155</v>
      </c>
      <c r="U15" s="142" t="s">
        <v>238</v>
      </c>
      <c r="V15" s="11" t="str">
        <f t="shared" si="0"/>
        <v>../Images/WW_Final.png</v>
      </c>
      <c r="W15" s="1" t="str">
        <f t="shared" si="1"/>
        <v>../Images/Players/Nick.png</v>
      </c>
      <c r="Y15" s="2" t="s">
        <v>60</v>
      </c>
    </row>
    <row r="16" spans="2:25" ht="14.25" customHeight="1" x14ac:dyDescent="0.45">
      <c r="B16" s="2" t="s">
        <v>58</v>
      </c>
      <c r="C16" s="106" t="s">
        <v>47</v>
      </c>
      <c r="D16" s="7">
        <f>'Stats Global'!AB21</f>
        <v>1.1111111111111112</v>
      </c>
      <c r="E16" s="11">
        <f>'Stats Global'!AA21</f>
        <v>20</v>
      </c>
      <c r="F16" s="7">
        <f>'Stats Global'!AD21</f>
        <v>0.72222222222222221</v>
      </c>
      <c r="G16" s="11">
        <f>'Stats Global'!AC21</f>
        <v>13</v>
      </c>
      <c r="H16" s="7">
        <f>'Stats Global'!AF21</f>
        <v>0.27777777777777779</v>
      </c>
      <c r="I16" s="11">
        <f>'Stats Global'!AE21</f>
        <v>5</v>
      </c>
      <c r="J16" s="7">
        <f>'Stats Global'!AH21</f>
        <v>5.5555555555555552E-2</v>
      </c>
      <c r="K16" s="11">
        <f>'Stats Global'!AG21</f>
        <v>1</v>
      </c>
      <c r="L16" s="18">
        <f>'Stats Global'!AJ21</f>
        <v>0</v>
      </c>
      <c r="M16" s="2" t="s">
        <v>59</v>
      </c>
      <c r="N16" s="16" t="s">
        <v>147</v>
      </c>
      <c r="O16" s="16" t="s">
        <v>148</v>
      </c>
      <c r="P16" s="16" t="s">
        <v>156</v>
      </c>
      <c r="Q16" s="16" t="s">
        <v>155</v>
      </c>
      <c r="R16" s="16" t="s">
        <v>158</v>
      </c>
      <c r="U16" s="107" t="s">
        <v>196</v>
      </c>
      <c r="V16" s="11" t="str">
        <f t="shared" si="0"/>
        <v>../Images/LG_Final.png</v>
      </c>
      <c r="W16" s="1" t="str">
        <f t="shared" si="1"/>
        <v>../Images/Players/Chris.png</v>
      </c>
      <c r="Y16" s="16" t="s">
        <v>93</v>
      </c>
    </row>
    <row r="17" spans="2:25" ht="14.25" customHeight="1" x14ac:dyDescent="0.45">
      <c r="B17" s="2" t="s">
        <v>61</v>
      </c>
      <c r="C17" s="2" t="s">
        <v>47</v>
      </c>
      <c r="D17" s="7">
        <f>'Stats Global'!AB22</f>
        <v>2.7647058823529411</v>
      </c>
      <c r="E17" s="11">
        <f>'Stats Global'!AA22</f>
        <v>47</v>
      </c>
      <c r="F17" s="7">
        <f>'Stats Global'!AD22</f>
        <v>1.4705882352941178</v>
      </c>
      <c r="G17" s="11">
        <f>'Stats Global'!AC22</f>
        <v>25</v>
      </c>
      <c r="H17" s="7">
        <f>'Stats Global'!AF22</f>
        <v>0.47058823529411764</v>
      </c>
      <c r="I17" s="11">
        <f>'Stats Global'!AE22</f>
        <v>8</v>
      </c>
      <c r="J17" s="7">
        <f>'Stats Global'!AH22</f>
        <v>0.41176470588235292</v>
      </c>
      <c r="K17" s="11">
        <f>'Stats Global'!AG22</f>
        <v>7</v>
      </c>
      <c r="L17" s="18">
        <f>'Stats Global'!AJ22</f>
        <v>1</v>
      </c>
      <c r="M17" s="2" t="s">
        <v>162</v>
      </c>
      <c r="N17" s="2" t="s">
        <v>40</v>
      </c>
      <c r="O17" s="2" t="s">
        <v>36</v>
      </c>
      <c r="P17" s="2" t="s">
        <v>32</v>
      </c>
      <c r="Q17" s="2" t="s">
        <v>62</v>
      </c>
      <c r="R17" s="16" t="s">
        <v>153</v>
      </c>
      <c r="S17" s="16" t="s">
        <v>154</v>
      </c>
      <c r="T17" s="16" t="s">
        <v>158</v>
      </c>
      <c r="U17" s="95" t="s">
        <v>191</v>
      </c>
      <c r="V17" s="11" t="str">
        <f t="shared" si="0"/>
        <v>../Images/LG_Final.png</v>
      </c>
      <c r="W17" s="1" t="str">
        <f t="shared" si="1"/>
        <v>../Images/Players/Angus.png</v>
      </c>
      <c r="Y17" s="2" t="s">
        <v>63</v>
      </c>
    </row>
    <row r="18" spans="2:25" ht="14.25" customHeight="1" x14ac:dyDescent="0.45">
      <c r="B18" s="2" t="s">
        <v>64</v>
      </c>
      <c r="C18" s="149" t="s">
        <v>26</v>
      </c>
      <c r="D18" s="7">
        <f>'Stats Global'!AB23</f>
        <v>5.5555555555555552E-2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5.5555555555555552E-2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65</v>
      </c>
      <c r="N18" s="2" t="s">
        <v>33</v>
      </c>
      <c r="O18" s="16" t="s">
        <v>149</v>
      </c>
      <c r="U18" s="149" t="s">
        <v>269</v>
      </c>
      <c r="V18" s="11" t="str">
        <f t="shared" si="0"/>
        <v>../Images/5M_Final.png</v>
      </c>
      <c r="W18" s="1" t="str">
        <f t="shared" si="1"/>
        <v>../Images/Players/Willie.png</v>
      </c>
      <c r="Y18" s="2" t="s">
        <v>66</v>
      </c>
    </row>
    <row r="19" spans="2:25" ht="14.25" customHeight="1" x14ac:dyDescent="0.45">
      <c r="B19" s="2" t="s">
        <v>67</v>
      </c>
      <c r="C19" s="135" t="s">
        <v>31</v>
      </c>
      <c r="D19" s="7">
        <f>'Stats Global'!AB24</f>
        <v>0.5</v>
      </c>
      <c r="E19" s="11">
        <f>'Stats Global'!AA24</f>
        <v>6</v>
      </c>
      <c r="F19" s="7">
        <f>'Stats Global'!AD24</f>
        <v>0.33333333333333331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8.3333333333333329E-2</v>
      </c>
      <c r="K19" s="11">
        <f>'Stats Global'!AG24</f>
        <v>1</v>
      </c>
      <c r="L19" s="18">
        <f>'Stats Global'!AJ24</f>
        <v>6</v>
      </c>
      <c r="M19" s="16" t="s">
        <v>155</v>
      </c>
      <c r="N19" s="16" t="s">
        <v>158</v>
      </c>
      <c r="U19" s="135" t="s">
        <v>238</v>
      </c>
      <c r="V19" s="11" t="str">
        <f t="shared" si="0"/>
        <v>../Images/WW_Final.png</v>
      </c>
      <c r="W19" s="1" t="str">
        <f t="shared" si="1"/>
        <v>../Images/Players/Mitch.png</v>
      </c>
      <c r="Y19" s="2" t="s">
        <v>68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69</v>
      </c>
    </row>
    <row r="21" spans="2:25" ht="14.25" customHeight="1" x14ac:dyDescent="0.45">
      <c r="Y21" s="16" t="s">
        <v>210</v>
      </c>
    </row>
    <row r="22" spans="2:25" ht="14.25" customHeight="1" x14ac:dyDescent="0.9">
      <c r="B22" s="187" t="s">
        <v>119</v>
      </c>
      <c r="C22" s="187"/>
      <c r="D22" s="94"/>
      <c r="Y22" s="2" t="s">
        <v>70</v>
      </c>
    </row>
    <row r="23" spans="2:25" ht="14.25" customHeight="1" x14ac:dyDescent="0.9">
      <c r="B23" s="187"/>
      <c r="C23" s="187"/>
      <c r="D23" s="94"/>
      <c r="Y23" s="2" t="s">
        <v>71</v>
      </c>
    </row>
    <row r="24" spans="2:25" ht="14.25" customHeight="1" x14ac:dyDescent="0.9">
      <c r="B24" s="16"/>
      <c r="C24" s="49"/>
      <c r="D24" s="49"/>
      <c r="X24" s="16"/>
      <c r="Y24" s="2" t="s">
        <v>73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74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 t="s">
        <v>75</v>
      </c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"PPG":[0.17,0.75,3.5,1.38,1.19,0.93,0.67,1.42,1.94,3.71,0.56,0.17,0.8,1.11,2.76,0.06,0.5],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"TP":[3,12,35,18,19,14,12,17,31,63,10,1,12,20,47,1,6],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"FPG":[0,0.75,3.2,1.38,0.5,0.73,0.33,0.08,0.81,0.88,0.11,0,0.6,0.72,1.47,0,0.33],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"TF":[0,12,32,18,8,11,6,1,13,15,2,0,9,13,25,0,4],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"MPG":[0.17,0,0.1,0,0.44,0.2,0.22,0.17,0.75,2.24,0.44,0.17,0.07,0.28,0.47,0.06,0],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"TM":[3,0,1,0,7,3,4,2,12,38,8,1,1,5,8,1,0],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"TPG":[0,0,0.1,0,0.13,0,0.06,0.58,0.19,0.29,0,0,0.07,0.06,0.41,0,0.08],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"TT":[0,0,1,0,2,0,1,7,3,5,0,0,1,1,7,0,1],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"Missed":[0,2,8,5,2,3,0,6,2,1,0,12,3,0,1,0,6],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"AccoladesFive":["","","","All-Defence Team T2","","","","All-2nd-Offence Team T2","All-Defence Team T2","All-Defence Team T2","","","All-2nd-Offence Team T2","All-2nd-Defence Team T2","Scoring Champ T1","",""],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"AccoladesSix":["","","","Scoring Champ T2","","","","All-2nd-Defence Team T2","Champion T2","","","","All-2nd-Defence Team T2","Champion T2","All-Offence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"AccoladesSeven":["","","","GM","","","","Champion T2","Finals MVP T2","","","","","","All-Defence Team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"AccoladesEight":["","","","","","","","","","","","","","","Champion T2","",""],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W49&amp;":["&amp;W50&amp;W51&amp;W52&amp;W53&amp;W54&amp;W55&amp;W56&amp;W57&amp;W58&amp;W59&amp;W60&amp;W61&amp;W62&amp;W63&amp;W64&amp;W65&amp;W66&amp;"],"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5" si="3">CHAR(34)&amp;B3&amp;CHAR(34)&amp;","</f>
        <v>"Jasper Collier",</v>
      </c>
      <c r="C50" s="17" t="str">
        <f t="shared" si="3"/>
        <v>"Loose Gooses",</v>
      </c>
      <c r="D50" s="17" t="str">
        <f t="shared" ref="D50:D65" si="4">ROUND(D3,2)&amp;","</f>
        <v>0.17,</v>
      </c>
      <c r="E50" s="17" t="str">
        <f t="shared" ref="E50:E65" si="5">E3&amp;","</f>
        <v>3,</v>
      </c>
      <c r="F50" s="17" t="str">
        <f t="shared" ref="F50:F65" si="6">ROUND(F3,2)&amp;","</f>
        <v>0,</v>
      </c>
      <c r="G50" s="17" t="str">
        <f t="shared" ref="G50:G65" si="7">G3&amp;","</f>
        <v>0,</v>
      </c>
      <c r="H50" s="17" t="str">
        <f t="shared" ref="H50:H65" si="8">ROUND(H3,2)&amp;","</f>
        <v>0.17,</v>
      </c>
      <c r="I50" s="17" t="str">
        <f t="shared" ref="I50:I65" si="9">I3&amp;","</f>
        <v>3,</v>
      </c>
      <c r="J50" s="17" t="str">
        <f t="shared" ref="J50:J65" si="10">ROUND(J3,2)&amp;","</f>
        <v>0,</v>
      </c>
      <c r="K50" s="17" t="str">
        <f t="shared" ref="K50:L65" si="11">K3&amp;","</f>
        <v>0,</v>
      </c>
      <c r="L50" s="17" t="str">
        <f t="shared" si="11"/>
        <v>0,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Loose Gooses",</v>
      </c>
      <c r="V50" s="17" t="str">
        <f t="shared" si="12"/>
        <v>"../Images/LG_Final.png",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"Loose Gooses",</v>
      </c>
      <c r="D51" s="17" t="str">
        <f t="shared" si="4"/>
        <v>0.75,</v>
      </c>
      <c r="E51" s="17" t="str">
        <f t="shared" si="5"/>
        <v>12,</v>
      </c>
      <c r="F51" s="17" t="str">
        <f t="shared" si="6"/>
        <v>0.75,</v>
      </c>
      <c r="G51" s="17" t="str">
        <f t="shared" si="7"/>
        <v>12,</v>
      </c>
      <c r="H51" s="17" t="str">
        <f t="shared" si="8"/>
        <v>0,</v>
      </c>
      <c r="I51" s="17" t="str">
        <f t="shared" si="9"/>
        <v>0,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2,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"Drafted by Loose Gooses",</v>
      </c>
      <c r="V51" s="17" t="str">
        <f t="shared" si="13"/>
        <v>"../Images/LG_Final.png",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"5 Musketeers",</v>
      </c>
      <c r="D52" s="17" t="str">
        <f t="shared" si="4"/>
        <v>3.5,</v>
      </c>
      <c r="E52" s="17" t="str">
        <f t="shared" si="5"/>
        <v>35,</v>
      </c>
      <c r="F52" s="17" t="str">
        <f t="shared" si="6"/>
        <v>3.2,</v>
      </c>
      <c r="G52" s="17" t="str">
        <f t="shared" si="7"/>
        <v>32,</v>
      </c>
      <c r="H52" s="17" t="str">
        <f t="shared" si="8"/>
        <v>0.1,</v>
      </c>
      <c r="I52" s="17" t="str">
        <f t="shared" si="9"/>
        <v>1,</v>
      </c>
      <c r="J52" s="17" t="str">
        <f t="shared" si="10"/>
        <v>0.1,</v>
      </c>
      <c r="K52" s="17" t="str">
        <f t="shared" si="11"/>
        <v>1,</v>
      </c>
      <c r="L52" s="17" t="str">
        <f t="shared" si="11"/>
        <v>8,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"Retained by 5 Musketeers",</v>
      </c>
      <c r="V52" s="17" t="str">
        <f t="shared" si="14"/>
        <v>"../Images/5M_Final.png",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"Wet Willies",</v>
      </c>
      <c r="D53" s="17" t="str">
        <f t="shared" si="4"/>
        <v>1.38,</v>
      </c>
      <c r="E53" s="17" t="str">
        <f t="shared" si="5"/>
        <v>18,</v>
      </c>
      <c r="F53" s="17" t="str">
        <f t="shared" si="6"/>
        <v>1.38,</v>
      </c>
      <c r="G53" s="17" t="str">
        <f t="shared" si="7"/>
        <v>18,</v>
      </c>
      <c r="H53" s="17" t="str">
        <f t="shared" si="8"/>
        <v>0,</v>
      </c>
      <c r="I53" s="17" t="str">
        <f t="shared" si="9"/>
        <v>0,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5,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"GM of Wet Willies",</v>
      </c>
      <c r="V53" s="17" t="str">
        <f t="shared" si="15"/>
        <v>"../Images/WW_Final.png",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"Wet Willies",</v>
      </c>
      <c r="D54" s="17" t="str">
        <f t="shared" si="4"/>
        <v>1.19,</v>
      </c>
      <c r="E54" s="17" t="str">
        <f t="shared" si="5"/>
        <v>19,</v>
      </c>
      <c r="F54" s="17" t="str">
        <f t="shared" si="6"/>
        <v>0.5,</v>
      </c>
      <c r="G54" s="17" t="str">
        <f t="shared" si="7"/>
        <v>8,</v>
      </c>
      <c r="H54" s="17" t="str">
        <f t="shared" si="8"/>
        <v>0.44,</v>
      </c>
      <c r="I54" s="17" t="str">
        <f t="shared" si="9"/>
        <v>7,</v>
      </c>
      <c r="J54" s="17" t="str">
        <f t="shared" si="10"/>
        <v>0.13,</v>
      </c>
      <c r="K54" s="17" t="str">
        <f t="shared" si="11"/>
        <v>2,</v>
      </c>
      <c r="L54" s="17" t="str">
        <f t="shared" si="11"/>
        <v>2,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"Retained by Wet Willies",</v>
      </c>
      <c r="V54" s="17" t="str">
        <f t="shared" si="16"/>
        <v>"../Images/WW_Final.png",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"5 Musketeers",</v>
      </c>
      <c r="D55" s="17" t="str">
        <f t="shared" si="4"/>
        <v>0.93,</v>
      </c>
      <c r="E55" s="17" t="str">
        <f t="shared" si="5"/>
        <v>14,</v>
      </c>
      <c r="F55" s="17" t="str">
        <f t="shared" si="6"/>
        <v>0.73,</v>
      </c>
      <c r="G55" s="17" t="str">
        <f t="shared" si="7"/>
        <v>11,</v>
      </c>
      <c r="H55" s="17" t="str">
        <f t="shared" si="8"/>
        <v>0.2,</v>
      </c>
      <c r="I55" s="17" t="str">
        <f t="shared" si="9"/>
        <v>3,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3,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Wet Willies. Traded to 5 Musketeers",</v>
      </c>
      <c r="V55" s="17" t="str">
        <f t="shared" si="17"/>
        <v>"../Images/5M_Final.png",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"5 Musketeers",</v>
      </c>
      <c r="D56" s="17" t="str">
        <f t="shared" si="4"/>
        <v>0.67,</v>
      </c>
      <c r="E56" s="17" t="str">
        <f t="shared" si="5"/>
        <v>12,</v>
      </c>
      <c r="F56" s="17" t="str">
        <f t="shared" si="6"/>
        <v>0.33,</v>
      </c>
      <c r="G56" s="17" t="str">
        <f t="shared" si="7"/>
        <v>6,</v>
      </c>
      <c r="H56" s="17" t="str">
        <f t="shared" si="8"/>
        <v>0.22,</v>
      </c>
      <c r="I56" s="17" t="str">
        <f t="shared" si="9"/>
        <v>4,</v>
      </c>
      <c r="J56" s="17" t="str">
        <f t="shared" si="10"/>
        <v>0.06,</v>
      </c>
      <c r="K56" s="17" t="str">
        <f t="shared" si="11"/>
        <v>1,</v>
      </c>
      <c r="L56" s="17" t="str">
        <f t="shared" si="11"/>
        <v>0,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5 Musketeers",</v>
      </c>
      <c r="V56" s="17" t="str">
        <f t="shared" si="18"/>
        <v>"../Images/5M_Final.png",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"Wet Willies",</v>
      </c>
      <c r="D57" s="17" t="str">
        <f t="shared" si="4"/>
        <v>1.42,</v>
      </c>
      <c r="E57" s="17" t="str">
        <f t="shared" si="5"/>
        <v>17,</v>
      </c>
      <c r="F57" s="17" t="str">
        <f t="shared" si="6"/>
        <v>0.08,</v>
      </c>
      <c r="G57" s="17" t="str">
        <f t="shared" si="7"/>
        <v>1,</v>
      </c>
      <c r="H57" s="17" t="str">
        <f t="shared" si="8"/>
        <v>0.17,</v>
      </c>
      <c r="I57" s="17" t="str">
        <f t="shared" si="9"/>
        <v>2,</v>
      </c>
      <c r="J57" s="17" t="str">
        <f t="shared" si="10"/>
        <v>0.58,</v>
      </c>
      <c r="K57" s="17" t="str">
        <f t="shared" si="11"/>
        <v>7,</v>
      </c>
      <c r="L57" s="17" t="str">
        <f t="shared" si="11"/>
        <v>6,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"Out due to injury. Signed by Wet Willies",</v>
      </c>
      <c r="V57" s="17" t="str">
        <f t="shared" si="19"/>
        <v>"../Images/WW_Final.png",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"Loose Gooses",</v>
      </c>
      <c r="D58" s="17" t="str">
        <f t="shared" si="4"/>
        <v>1.94,</v>
      </c>
      <c r="E58" s="17" t="str">
        <f t="shared" si="5"/>
        <v>31,</v>
      </c>
      <c r="F58" s="17" t="str">
        <f t="shared" si="6"/>
        <v>0.81,</v>
      </c>
      <c r="G58" s="17" t="str">
        <f t="shared" si="7"/>
        <v>13,</v>
      </c>
      <c r="H58" s="17" t="str">
        <f t="shared" si="8"/>
        <v>0.75,</v>
      </c>
      <c r="I58" s="17" t="str">
        <f t="shared" si="9"/>
        <v>12,</v>
      </c>
      <c r="J58" s="17" t="str">
        <f t="shared" si="10"/>
        <v>0.19,</v>
      </c>
      <c r="K58" s="17" t="str">
        <f t="shared" si="11"/>
        <v>3,</v>
      </c>
      <c r="L58" s="17" t="str">
        <f t="shared" si="11"/>
        <v>2,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"Retained by Loose Gooses",</v>
      </c>
      <c r="V58" s="17" t="str">
        <f t="shared" si="20"/>
        <v>"../Images/LG_Final.png",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"5 Musketeers",</v>
      </c>
      <c r="D59" s="17" t="str">
        <f t="shared" si="4"/>
        <v>3.71,</v>
      </c>
      <c r="E59" s="17" t="str">
        <f t="shared" si="5"/>
        <v>63,</v>
      </c>
      <c r="F59" s="17" t="str">
        <f t="shared" si="6"/>
        <v>0.88,</v>
      </c>
      <c r="G59" s="17" t="str">
        <f t="shared" si="7"/>
        <v>15,</v>
      </c>
      <c r="H59" s="17" t="str">
        <f t="shared" si="8"/>
        <v>2.24,</v>
      </c>
      <c r="I59" s="17" t="str">
        <f t="shared" si="9"/>
        <v>38,</v>
      </c>
      <c r="J59" s="17" t="str">
        <f t="shared" si="10"/>
        <v>0.29,</v>
      </c>
      <c r="K59" s="17" t="str">
        <f t="shared" si="11"/>
        <v>5,</v>
      </c>
      <c r="L59" s="17" t="str">
        <f t="shared" si="11"/>
        <v>1,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"GM of 5 Musketeers",</v>
      </c>
      <c r="V59" s="17" t="str">
        <f t="shared" si="21"/>
        <v>"../Images/5M_Final.png",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"Wet Willies",</v>
      </c>
      <c r="D60" s="17" t="str">
        <f t="shared" si="4"/>
        <v>0.56,</v>
      </c>
      <c r="E60" s="17" t="str">
        <f t="shared" si="5"/>
        <v>10,</v>
      </c>
      <c r="F60" s="17" t="str">
        <f t="shared" si="6"/>
        <v>0.11,</v>
      </c>
      <c r="G60" s="17" t="str">
        <f t="shared" si="7"/>
        <v>2,</v>
      </c>
      <c r="H60" s="17" t="str">
        <f t="shared" si="8"/>
        <v>0.44,</v>
      </c>
      <c r="I60" s="17" t="str">
        <f t="shared" si="9"/>
        <v>8,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0,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"Drafted by Wet Willies",</v>
      </c>
      <c r="V60" s="17" t="str">
        <f t="shared" si="22"/>
        <v>"../Images/WW_Final.png",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"5 Musketeers",</v>
      </c>
      <c r="D61" s="17" t="str">
        <f t="shared" si="4"/>
        <v>0.17,</v>
      </c>
      <c r="E61" s="17" t="str">
        <f t="shared" si="5"/>
        <v>1,</v>
      </c>
      <c r="F61" s="17" t="str">
        <f t="shared" si="6"/>
        <v>0,</v>
      </c>
      <c r="G61" s="17" t="str">
        <f t="shared" si="7"/>
        <v>0,</v>
      </c>
      <c r="H61" s="17" t="str">
        <f t="shared" si="8"/>
        <v>0.17,</v>
      </c>
      <c r="I61" s="17" t="str">
        <f t="shared" si="9"/>
        <v>1,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12,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"Drafted by Wet Willies. Traded to 5 Musketeers",</v>
      </c>
      <c r="V61" s="17" t="str">
        <f t="shared" si="23"/>
        <v>"../Images/5M_Final.png",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"Wet Willies",</v>
      </c>
      <c r="D62" s="17" t="str">
        <f t="shared" si="4"/>
        <v>0.8,</v>
      </c>
      <c r="E62" s="17" t="str">
        <f t="shared" si="5"/>
        <v>12,</v>
      </c>
      <c r="F62" s="17" t="str">
        <f t="shared" si="6"/>
        <v>0.6,</v>
      </c>
      <c r="G62" s="17" t="str">
        <f t="shared" si="7"/>
        <v>9,</v>
      </c>
      <c r="H62" s="17" t="str">
        <f t="shared" si="8"/>
        <v>0.07,</v>
      </c>
      <c r="I62" s="17" t="str">
        <f t="shared" si="9"/>
        <v>1,</v>
      </c>
      <c r="J62" s="17" t="str">
        <f t="shared" si="10"/>
        <v>0.07,</v>
      </c>
      <c r="K62" s="17" t="str">
        <f t="shared" si="11"/>
        <v>1,</v>
      </c>
      <c r="L62" s="17" t="str">
        <f t="shared" si="11"/>
        <v>3,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5 Musketeers. Traded to Wet Willies",</v>
      </c>
      <c r="V62" s="17" t="str">
        <f t="shared" si="24"/>
        <v>"../Images/WW_Final.png",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"Loose Gooses",</v>
      </c>
      <c r="D63" s="17" t="str">
        <f t="shared" si="4"/>
        <v>1.11,</v>
      </c>
      <c r="E63" s="17" t="str">
        <f t="shared" si="5"/>
        <v>20,</v>
      </c>
      <c r="F63" s="17" t="str">
        <f t="shared" si="6"/>
        <v>0.72,</v>
      </c>
      <c r="G63" s="17" t="str">
        <f t="shared" si="7"/>
        <v>13,</v>
      </c>
      <c r="H63" s="17" t="str">
        <f t="shared" si="8"/>
        <v>0.28,</v>
      </c>
      <c r="I63" s="17" t="str">
        <f t="shared" si="9"/>
        <v>5,</v>
      </c>
      <c r="J63" s="17" t="str">
        <f t="shared" si="10"/>
        <v>0.06,</v>
      </c>
      <c r="K63" s="17" t="str">
        <f t="shared" si="11"/>
        <v>1,</v>
      </c>
      <c r="L63" s="17" t="str">
        <f t="shared" si="11"/>
        <v>0,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Loose Gooses",</v>
      </c>
      <c r="V63" s="17" t="str">
        <f t="shared" si="25"/>
        <v>"../Images/LG_Final.png",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"Loose Gooses",</v>
      </c>
      <c r="D64" s="17" t="str">
        <f t="shared" si="4"/>
        <v>2.76,</v>
      </c>
      <c r="E64" s="17" t="str">
        <f t="shared" si="5"/>
        <v>47,</v>
      </c>
      <c r="F64" s="17" t="str">
        <f t="shared" si="6"/>
        <v>1.47,</v>
      </c>
      <c r="G64" s="17" t="str">
        <f t="shared" si="7"/>
        <v>25,</v>
      </c>
      <c r="H64" s="17" t="str">
        <f t="shared" si="8"/>
        <v>0.47,</v>
      </c>
      <c r="I64" s="17" t="str">
        <f t="shared" si="9"/>
        <v>8,</v>
      </c>
      <c r="J64" s="17" t="str">
        <f t="shared" si="10"/>
        <v>0.41,</v>
      </c>
      <c r="K64" s="17" t="str">
        <f t="shared" si="11"/>
        <v>7,</v>
      </c>
      <c r="L64" s="17" t="str">
        <f t="shared" si="11"/>
        <v>1,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"GM of Loose Gooses",</v>
      </c>
      <c r="V64" s="17" t="str">
        <f t="shared" si="26"/>
        <v>"../Images/LG_Final.png",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 t="shared" si="3"/>
        <v>"Willie Weekes",</v>
      </c>
      <c r="C65" s="17" t="str">
        <f t="shared" si="3"/>
        <v>"5 Musketeers",</v>
      </c>
      <c r="D65" s="17" t="str">
        <f t="shared" si="4"/>
        <v>0.06,</v>
      </c>
      <c r="E65" s="17" t="str">
        <f t="shared" si="5"/>
        <v>1,</v>
      </c>
      <c r="F65" s="17" t="str">
        <f t="shared" si="6"/>
        <v>0,</v>
      </c>
      <c r="G65" s="17" t="str">
        <f t="shared" si="7"/>
        <v>0,</v>
      </c>
      <c r="H65" s="17" t="str">
        <f t="shared" si="8"/>
        <v>0.06,</v>
      </c>
      <c r="I65" s="17" t="str">
        <f t="shared" si="9"/>
        <v>1,</v>
      </c>
      <c r="J65" s="17" t="str">
        <f t="shared" si="10"/>
        <v>0,</v>
      </c>
      <c r="K65" s="17" t="str">
        <f t="shared" si="11"/>
        <v>0,</v>
      </c>
      <c r="L65" s="17" t="str">
        <f t="shared" si="11"/>
        <v>0,</v>
      </c>
      <c r="M65" s="17" t="str">
        <f t="shared" ref="M65:W65" si="27">CHAR(34)&amp;M18&amp;CHAR(34)&amp;","</f>
        <v>"Teammate T1",</v>
      </c>
      <c r="N65" s="17" t="str">
        <f t="shared" si="27"/>
        <v>"Champion T1",</v>
      </c>
      <c r="O65" s="17" t="str">
        <f t="shared" si="27"/>
        <v>"Teammate T2",</v>
      </c>
      <c r="P65" s="17" t="str">
        <f t="shared" si="27"/>
        <v>"",</v>
      </c>
      <c r="Q65" s="17" t="str">
        <f t="shared" si="27"/>
        <v>"",</v>
      </c>
      <c r="R65" s="17" t="str">
        <f t="shared" si="27"/>
        <v>"",</v>
      </c>
      <c r="S65" s="17" t="str">
        <f t="shared" si="27"/>
        <v>"",</v>
      </c>
      <c r="T65" s="17" t="str">
        <f t="shared" si="27"/>
        <v>"",</v>
      </c>
      <c r="U65" s="17" t="str">
        <f t="shared" si="27"/>
        <v>"Drafted by Wet Willies. Dropped by Wet Willies. Signed by 5 Musketeers",</v>
      </c>
      <c r="V65" s="17" t="str">
        <f t="shared" si="27"/>
        <v>"../Images/5M_Final.png",</v>
      </c>
      <c r="W65" s="17" t="str">
        <f t="shared" si="27"/>
        <v>"../Images/Players/Willie.png",</v>
      </c>
    </row>
    <row r="66" spans="2:23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0.5</v>
      </c>
      <c r="E66" s="17">
        <f>E19</f>
        <v>6</v>
      </c>
      <c r="F66" s="17">
        <f>ROUND(F19,2)</f>
        <v>0.33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0.08</v>
      </c>
      <c r="K66" s="17">
        <f>K19</f>
        <v>1</v>
      </c>
      <c r="L66" s="17">
        <f>L19</f>
        <v>6</v>
      </c>
      <c r="M66" s="17" t="str">
        <f t="shared" ref="M66:W66" si="28">CHAR(34)&amp;M19&amp;CHAR(34)</f>
        <v>"All-2nd-Defence Team T2"</v>
      </c>
      <c r="N66" s="17" t="str">
        <f t="shared" si="28"/>
        <v>"Champion T2"</v>
      </c>
      <c r="O66" s="17" t="str">
        <f t="shared" si="28"/>
        <v>""</v>
      </c>
      <c r="P66" s="17" t="str">
        <f t="shared" si="28"/>
        <v>""</v>
      </c>
      <c r="Q66" s="17" t="str">
        <f t="shared" si="28"/>
        <v>""</v>
      </c>
      <c r="R66" s="17" t="str">
        <f t="shared" si="28"/>
        <v>""</v>
      </c>
      <c r="S66" s="17" t="str">
        <f t="shared" si="28"/>
        <v>""</v>
      </c>
      <c r="T66" s="17" t="str">
        <f t="shared" si="28"/>
        <v>""</v>
      </c>
      <c r="U66" s="17" t="str">
        <f t="shared" si="28"/>
        <v>"Drafted by 5 Musketeers. Traded to Wet Willies"</v>
      </c>
      <c r="V66" s="17" t="str">
        <f t="shared" si="28"/>
        <v>"../Images/WW_Final.png"</v>
      </c>
      <c r="W66" s="17" t="str">
        <f t="shared" si="28"/>
        <v>"../Images/Players/Mitch.png"</v>
      </c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3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1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zoomScale="70" zoomScaleNormal="70" workbookViewId="0">
      <selection activeCell="Q11" sqref="Q1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40" zoomScaleNormal="40" workbookViewId="0">
      <selection activeCell="AA22" sqref="AA22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1.0588235294117647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3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16.333333333333332</v>
      </c>
      <c r="T6" s="115">
        <f>AVERAGE(C8:C40)</f>
        <v>9.7777777777777786</v>
      </c>
      <c r="U6" s="115">
        <f t="shared" ref="U6:V6" si="0">AVERAGE(D8:D40)</f>
        <v>4.5</v>
      </c>
      <c r="V6" s="115">
        <f t="shared" si="0"/>
        <v>2.0555555555555554</v>
      </c>
      <c r="Z6" s="69" t="s">
        <v>166</v>
      </c>
      <c r="AA6" s="8">
        <f>AA47+AA67+AL27+AL47+AL67+AA87+AL87</f>
        <v>18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15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0.59863945578231303</v>
      </c>
      <c r="U7" s="5">
        <f>U6/$S$6</f>
        <v>0.27551020408163268</v>
      </c>
      <c r="V7" s="5">
        <f>V6/$S$6</f>
        <v>0.12585034013605442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0.16666666666666666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0.16666666666666666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0</v>
      </c>
      <c r="AK8" s="62"/>
      <c r="AL8" s="122" t="s">
        <v>0</v>
      </c>
      <c r="AM8" s="121">
        <f>AVERAGE(Table1[Average])</f>
        <v>1.2707309318901017</v>
      </c>
      <c r="AN8" s="121">
        <f>MEDIAN(Table1[Average])</f>
        <v>0.93333333333333335</v>
      </c>
      <c r="AO8" s="36"/>
      <c r="AP8" s="18">
        <f>_xlfn.CEILING.MATH('[1]Stats Global'!R8*(20-$AA$5-$AJ8))</f>
        <v>7</v>
      </c>
      <c r="AQ8" s="27">
        <f>Table1[[#This Row],[Points]]/AP8</f>
        <v>0.42857142857142855</v>
      </c>
      <c r="AR8" s="128">
        <f>AP8-Table1[[#This Row],[Points]]</f>
        <v>4</v>
      </c>
      <c r="AS8" s="134">
        <f>Table1[[#This Row],[Points]]/(20-AA$5-Table1[[#This Row],[Missed Games]])</f>
        <v>0.17647058823529413</v>
      </c>
      <c r="AT8" s="144">
        <f>Table1[[#This Row],[Average]]-'[1]Stats Global'!R8</f>
        <v>-0.24509803921568626</v>
      </c>
      <c r="AU8" s="27">
        <f>(Table1[[#This Row],[Average]]-'[1]Stats Global'!R8)/'[1]Stats Global'!R8</f>
        <v>-0.59523809523809523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0.2</v>
      </c>
      <c r="BB8" s="16">
        <f>Table4[[#This Row],[Total A]]/$AX$6</f>
        <v>6.6666666666666666E-2</v>
      </c>
      <c r="BC8" s="16">
        <f>Table4[[#This Row],[Total S]]/$AX$6</f>
        <v>0.2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12</v>
      </c>
      <c r="AB9" s="176">
        <f>IF($AA$6-Table1[[#This Row],[Missed Games]]=0, 0,Table1[[#This Row],[Points]]/($AA$6-Table1[[#This Row],[Missed Games]]))</f>
        <v>0.75</v>
      </c>
      <c r="AC9" s="177">
        <f t="shared" si="2"/>
        <v>12</v>
      </c>
      <c r="AD9" s="178">
        <f>IF($AA$6-Table1[[#This Row],[Missed Games]]=0, 0,Table1[[#This Row],[Finishes]]/($AA$6-Table1[[#This Row],[Missed Games]]))</f>
        <v>0.75</v>
      </c>
      <c r="AE9" s="177">
        <f t="shared" si="3"/>
        <v>0</v>
      </c>
      <c r="AF9" s="178">
        <f>IF($AA$6-Table1[[#This Row],[Missed Games]]=0, 0,Table1[[#This Row],[Midranges]]/($AA$6-Table1[[#This Row],[Missed Games]]))</f>
        <v>0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2</v>
      </c>
      <c r="AK9" s="62"/>
      <c r="AL9" s="122" t="s">
        <v>1</v>
      </c>
      <c r="AM9" s="121">
        <f>AVERAGE(Table1[Finishes])</f>
        <v>9.9411764705882355</v>
      </c>
      <c r="AN9" s="121">
        <f>MEDIAN(Table1[Finishes])</f>
        <v>9</v>
      </c>
      <c r="AO9" s="129"/>
      <c r="AP9" s="18">
        <f>_xlfn.CEILING.MATH('[1]Stats Global'!R9*(20-$AA$5-$AJ9))</f>
        <v>9</v>
      </c>
      <c r="AQ9" s="27">
        <f>Table1[[#This Row],[Points]]/AP9</f>
        <v>1.3333333333333333</v>
      </c>
      <c r="AR9" s="128">
        <f>AP9-Table1[[#This Row],[Points]]</f>
        <v>-3</v>
      </c>
      <c r="AS9" s="134">
        <f>Table1[[#This Row],[Points]]/(20-AA$5-Table1[[#This Row],[Missed Games]])</f>
        <v>0.8</v>
      </c>
      <c r="AT9" s="144">
        <f>Table1[[#This Row],[Average]]-'[1]Stats Global'!R9</f>
        <v>0.15000000000000002</v>
      </c>
      <c r="AU9" s="27">
        <f>(Table1[[#This Row],[Average]]-'[1]Stats Global'!R9)/'[1]Stats Global'!R9</f>
        <v>0.25000000000000006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0.8666666666666667</v>
      </c>
      <c r="BB9" s="16">
        <f>Table4[[#This Row],[Total A]]/$AX$6</f>
        <v>0</v>
      </c>
      <c r="BC9" s="16">
        <f>Table4[[#This Row],[Total S]]/$AX$6</f>
        <v>0.2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35</v>
      </c>
      <c r="AB10" s="65">
        <f>IF($AA$6-Table1[[#This Row],[Missed Games]]=0, 0,Table1[[#This Row],[Points]]/($AA$6-Table1[[#This Row],[Missed Games]]))</f>
        <v>3.5</v>
      </c>
      <c r="AC10" s="66">
        <f t="shared" si="2"/>
        <v>32</v>
      </c>
      <c r="AD10" s="67">
        <f>IF($AA$6-Table1[[#This Row],[Missed Games]]=0, 0,Table1[[#This Row],[Finishes]]/($AA$6-Table1[[#This Row],[Missed Games]]))</f>
        <v>3.2</v>
      </c>
      <c r="AE10" s="66">
        <f t="shared" si="3"/>
        <v>1</v>
      </c>
      <c r="AF10" s="67">
        <f>IF($AA$6-Table1[[#This Row],[Missed Games]]=0, 0,Table1[[#This Row],[Midranges]]/($AA$6-Table1[[#This Row],[Missed Games]]))</f>
        <v>0.1</v>
      </c>
      <c r="AG10" s="66">
        <f t="shared" si="4"/>
        <v>1</v>
      </c>
      <c r="AH10" s="67">
        <f>IF($AA$6-Table1[[#This Row],[Missed Games]]=0, 0,Table1[[#This Row],[Threes]]/($AA$6-Table1[[#This Row],[Missed Games]]))</f>
        <v>0.1</v>
      </c>
      <c r="AI10" s="63" t="str">
        <f>SfW!C5</f>
        <v>5 Musketeers</v>
      </c>
      <c r="AJ10" s="68">
        <f t="shared" si="5"/>
        <v>8</v>
      </c>
      <c r="AK10" s="62"/>
      <c r="AL10" s="122" t="s">
        <v>219</v>
      </c>
      <c r="AM10" s="121">
        <f>AVERAGE(Table1[Midranges])</f>
        <v>5.5294117647058822</v>
      </c>
      <c r="AN10" s="121">
        <f>MEDIAN(Table1[Midranges])</f>
        <v>3</v>
      </c>
      <c r="AO10" s="36"/>
      <c r="AP10" s="18">
        <f>_xlfn.CEILING.MATH('[1]Stats Global'!R10*(20-$AA$5-$AJ10))</f>
        <v>29</v>
      </c>
      <c r="AQ10" s="27">
        <f>Table1[[#This Row],[Points]]/AP10</f>
        <v>1.2068965517241379</v>
      </c>
      <c r="AR10" s="128">
        <f>AP10-Table1[[#This Row],[Points]]</f>
        <v>-6</v>
      </c>
      <c r="AS10" s="134">
        <f>Table1[[#This Row],[Points]]/(20-AA$5-Table1[[#This Row],[Missed Games]])</f>
        <v>3.8888888888888888</v>
      </c>
      <c r="AT10" s="144">
        <f>Table1[[#This Row],[Average]]-'[1]Stats Global'!R10</f>
        <v>0.35714285714285721</v>
      </c>
      <c r="AU10" s="27">
        <f>(Table1[[#This Row],[Average]]-'[1]Stats Global'!R10)/'[1]Stats Global'!R10</f>
        <v>0.11363636363636366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0.33333333333333331</v>
      </c>
      <c r="BB10" s="16">
        <f>Table4[[#This Row],[Total A]]/$AX$6</f>
        <v>0.2</v>
      </c>
      <c r="BC10" s="16">
        <f>Table4[[#This Row],[Total S]]/$AX$6</f>
        <v>0.13333333333333333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18</v>
      </c>
      <c r="AB11" s="65">
        <f>IF($AA$6-Table1[[#This Row],[Missed Games]]=0, 0,Table1[[#This Row],[Points]]/($AA$6-Table1[[#This Row],[Missed Games]]))</f>
        <v>1.3846153846153846</v>
      </c>
      <c r="AC11" s="66">
        <f t="shared" si="2"/>
        <v>18</v>
      </c>
      <c r="AD11" s="67">
        <f>IF($AA$6-Table1[[#This Row],[Missed Games]]=0, 0,Table1[[#This Row],[Finishes]]/($AA$6-Table1[[#This Row],[Missed Games]]))</f>
        <v>1.3846153846153846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5</v>
      </c>
      <c r="AK11" s="62"/>
      <c r="AL11" s="122" t="s">
        <v>3</v>
      </c>
      <c r="AM11" s="121">
        <f>AVERAGE(Table1[Threes])</f>
        <v>1.7058823529411764</v>
      </c>
      <c r="AN11" s="121">
        <f>MEDIAN(Table1[Threes])</f>
        <v>1</v>
      </c>
      <c r="AO11" s="36"/>
      <c r="AP11" s="18">
        <f>_xlfn.CEILING.MATH('[1]Stats Global'!R11*(20-$AA$5-$AJ11))</f>
        <v>34</v>
      </c>
      <c r="AQ11" s="27">
        <f>Table1[[#This Row],[Points]]/AP11</f>
        <v>0.52941176470588236</v>
      </c>
      <c r="AR11" s="128">
        <f>AP11-Table1[[#This Row],[Points]]</f>
        <v>16</v>
      </c>
      <c r="AS11" s="134">
        <f>Table1[[#This Row],[Points]]/(20-AA$5-Table1[[#This Row],[Missed Games]])</f>
        <v>1.5</v>
      </c>
      <c r="AT11" s="144">
        <f>Table1[[#This Row],[Average]]-'[1]Stats Global'!R11</f>
        <v>-1.4278846153846154</v>
      </c>
      <c r="AU11" s="27">
        <f>(Table1[[#This Row],[Average]]-'[1]Stats Global'!R11)/'[1]Stats Global'!R11</f>
        <v>-0.50769230769230766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0.66666666666666663</v>
      </c>
      <c r="BB11" s="16">
        <f>Table4[[#This Row],[Total A]]/$AX$6</f>
        <v>6.6666666666666666E-2</v>
      </c>
      <c r="BC11" s="16">
        <f>Table4[[#This Row],[Total S]]/$AX$6</f>
        <v>0.13333333333333333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19</v>
      </c>
      <c r="AB12" s="65">
        <f>IF($AA$6-Table1[[#This Row],[Missed Games]]=0, 0,Table1[[#This Row],[Points]]/($AA$6-Table1[[#This Row],[Missed Games]]))</f>
        <v>1.1875</v>
      </c>
      <c r="AC12" s="66">
        <f t="shared" si="2"/>
        <v>8</v>
      </c>
      <c r="AD12" s="67">
        <f>IF($AA$6-Table1[[#This Row],[Missed Games]]=0, 0,Table1[[#This Row],[Finishes]]/($AA$6-Table1[[#This Row],[Missed Games]]))</f>
        <v>0.5</v>
      </c>
      <c r="AE12" s="66">
        <f t="shared" si="3"/>
        <v>7</v>
      </c>
      <c r="AF12" s="67">
        <f>IF($AA$6-Table1[[#This Row],[Missed Games]]=0, 0,Table1[[#This Row],[Midranges]]/($AA$6-Table1[[#This Row],[Missed Games]]))</f>
        <v>0.4375</v>
      </c>
      <c r="AG12" s="66">
        <f t="shared" si="4"/>
        <v>2</v>
      </c>
      <c r="AH12" s="67">
        <f>IF($AA$6-Table1[[#This Row],[Missed Games]]=0, 0,Table1[[#This Row],[Threes]]/($AA$6-Table1[[#This Row],[Missed Games]]))</f>
        <v>0.125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31</v>
      </c>
      <c r="AQ12" s="27">
        <f>Table1[[#This Row],[Points]]/AP12</f>
        <v>0.61290322580645162</v>
      </c>
      <c r="AR12" s="128">
        <f>AP12-Table1[[#This Row],[Points]]</f>
        <v>12</v>
      </c>
      <c r="AS12" s="134">
        <f>Table1[[#This Row],[Points]]/(20-AA$5-Table1[[#This Row],[Missed Games]])</f>
        <v>1.2666666666666666</v>
      </c>
      <c r="AT12" s="144">
        <f>Table1[[#This Row],[Average]]-'[1]Stats Global'!R12</f>
        <v>-0.8713235294117645</v>
      </c>
      <c r="AU12" s="27">
        <f>(Table1[[#This Row],[Average]]-'[1]Stats Global'!R12)/'[1]Stats Global'!R12</f>
        <v>-0.42321428571428565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0.4</v>
      </c>
      <c r="BB12" s="16">
        <f>Table4[[#This Row],[Total A]]/$AX$6</f>
        <v>6.6666666666666666E-2</v>
      </c>
      <c r="BC12" s="16">
        <f>Table4[[#This Row],[Total S]]/$AX$6</f>
        <v>6.6666666666666666E-2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14</v>
      </c>
      <c r="AB13" s="176">
        <f>IF($AA$6-Table1[[#This Row],[Missed Games]]=0, 0,Table1[[#This Row],[Points]]/($AA$6-Table1[[#This Row],[Missed Games]]))</f>
        <v>0.93333333333333335</v>
      </c>
      <c r="AC13" s="177">
        <f t="shared" si="2"/>
        <v>11</v>
      </c>
      <c r="AD13" s="178">
        <f>IF($AA$6-Table1[[#This Row],[Missed Games]]=0, 0,Table1[[#This Row],[Finishes]]/($AA$6-Table1[[#This Row],[Missed Games]]))</f>
        <v>0.73333333333333328</v>
      </c>
      <c r="AE13" s="177">
        <f t="shared" si="3"/>
        <v>3</v>
      </c>
      <c r="AF13" s="178">
        <f>IF($AA$6-Table1[[#This Row],[Missed Games]]=0, 0,Table1[[#This Row],[Midranges]]/($AA$6-Table1[[#This Row],[Missed Games]]))</f>
        <v>0.2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16</v>
      </c>
      <c r="AQ13" s="27">
        <f>Table1[[#This Row],[Points]]/AP13</f>
        <v>0.875</v>
      </c>
      <c r="AR13" s="128">
        <f>AP13-Table1[[#This Row],[Points]]</f>
        <v>2</v>
      </c>
      <c r="AS13" s="134">
        <f>Table1[[#This Row],[Points]]/(20-AA$5-Table1[[#This Row],[Missed Games]])</f>
        <v>1</v>
      </c>
      <c r="AT13" s="144">
        <f>Table1[[#This Row],[Average]]-'[1]Stats Global'!R13</f>
        <v>-0.20952380952380945</v>
      </c>
      <c r="AU13" s="27">
        <f>(Table1[[#This Row],[Average]]-'[1]Stats Global'!R13)/'[1]Stats Global'!R13</f>
        <v>-0.18333333333333326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0.4</v>
      </c>
      <c r="BB13" s="16">
        <f>Table4[[#This Row],[Total A]]/$AX$6</f>
        <v>0.13333333333333333</v>
      </c>
      <c r="BC13" s="16">
        <f>Table4[[#This Row],[Total S]]/$AX$6</f>
        <v>6.6666666666666666E-2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12</v>
      </c>
      <c r="AB14" s="176">
        <f>IF($AA$6-Table1[[#This Row],[Missed Games]]=0, 0,Table1[[#This Row],[Points]]/($AA$6-Table1[[#This Row],[Missed Games]]))</f>
        <v>0.66666666666666663</v>
      </c>
      <c r="AC14" s="177">
        <f t="shared" si="2"/>
        <v>6</v>
      </c>
      <c r="AD14" s="178">
        <f>IF($AA$6-Table1[[#This Row],[Missed Games]]=0, 0,Table1[[#This Row],[Finishes]]/($AA$6-Table1[[#This Row],[Missed Games]]))</f>
        <v>0.33333333333333331</v>
      </c>
      <c r="AE14" s="177">
        <f t="shared" si="3"/>
        <v>4</v>
      </c>
      <c r="AF14" s="178">
        <f>IF($AA$6-Table1[[#This Row],[Missed Games]]=0, 0,Table1[[#This Row],[Midranges]]/($AA$6-Table1[[#This Row],[Missed Games]]))</f>
        <v>0.22222222222222221</v>
      </c>
      <c r="AG14" s="177">
        <f t="shared" si="4"/>
        <v>1</v>
      </c>
      <c r="AH14" s="178">
        <f>IF($AA$6-Table1[[#This Row],[Missed Games]]=0, 0,Table1[[#This Row],[Threes]]/($AA$6-Table1[[#This Row],[Missed Games]]))</f>
        <v>5.5555555555555552E-2</v>
      </c>
      <c r="AI14" s="174" t="str">
        <f>SfW!C9</f>
        <v>5 Musketeers</v>
      </c>
      <c r="AJ14" s="179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2</v>
      </c>
      <c r="AR14" s="128">
        <f>AP14-Table1[[#This Row],[Points]]</f>
        <v>-6</v>
      </c>
      <c r="AS14" s="134">
        <f>Table1[[#This Row],[Points]]/(20-AA$5-Table1[[#This Row],[Missed Games]])</f>
        <v>0.70588235294117652</v>
      </c>
      <c r="AT14" s="144">
        <f>Table1[[#This Row],[Average]]-'[1]Stats Global'!R23</f>
        <v>0.35416666666666663</v>
      </c>
      <c r="AU14" s="27">
        <f>(Table1[[#This Row],[Average]]-'[1]Stats Global'!R23)/'[1]Stats Global'!R23</f>
        <v>1.1333333333333333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0.6</v>
      </c>
      <c r="BB14" s="16">
        <f>Table4[[#This Row],[Total A]]/$AX$6</f>
        <v>0</v>
      </c>
      <c r="BC14" s="16">
        <f>Table4[[#This Row],[Total S]]/$AX$6</f>
        <v>0.13333333333333333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17</v>
      </c>
      <c r="AB15" s="176">
        <f>IF($AA$6-Table1[[#This Row],[Missed Games]]=0, 0,Table1[[#This Row],[Points]]/($AA$6-Table1[[#This Row],[Missed Games]]))</f>
        <v>1.4166666666666667</v>
      </c>
      <c r="AC15" s="177">
        <f t="shared" si="2"/>
        <v>1</v>
      </c>
      <c r="AD15" s="178">
        <f>IF($AA$6-Table1[[#This Row],[Missed Games]]=0, 0,Table1[[#This Row],[Finishes]]/($AA$6-Table1[[#This Row],[Missed Games]]))</f>
        <v>8.3333333333333329E-2</v>
      </c>
      <c r="AE15" s="177">
        <f t="shared" si="3"/>
        <v>2</v>
      </c>
      <c r="AF15" s="178">
        <f>IF($AA$6-Table1[[#This Row],[Missed Games]]=0, 0,Table1[[#This Row],[Midranges]]/($AA$6-Table1[[#This Row],[Missed Games]]))</f>
        <v>0.16666666666666666</v>
      </c>
      <c r="AG15" s="177">
        <f t="shared" si="4"/>
        <v>7</v>
      </c>
      <c r="AH15" s="178">
        <f>IF($AA$6-Table1[[#This Row],[Missed Games]]=0, 0,Table1[[#This Row],[Threes]]/($AA$6-Table1[[#This Row],[Missed Games]]))</f>
        <v>0.58333333333333337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18</v>
      </c>
      <c r="AQ15" s="27">
        <f>Table1[[#This Row],[Points]]/AP15</f>
        <v>0.94444444444444442</v>
      </c>
      <c r="AR15" s="128">
        <f>AP15-Table1[[#This Row],[Points]]</f>
        <v>1</v>
      </c>
      <c r="AS15" s="134">
        <f>Table1[[#This Row],[Points]]/(20-AA$5-Table1[[#This Row],[Missed Games]])</f>
        <v>1.5454545454545454</v>
      </c>
      <c r="AT15" s="144">
        <f>Table1[[#This Row],[Average]]-'[1]Stats Global'!R14</f>
        <v>-0.17156862745098023</v>
      </c>
      <c r="AU15" s="27">
        <f>(Table1[[#This Row],[Average]]-'[1]Stats Global'!R14)/'[1]Stats Global'!R14</f>
        <v>-0.10802469135802459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31</v>
      </c>
      <c r="AB16" s="65">
        <f>IF($AA$6-Table1[[#This Row],[Missed Games]]=0, 0,Table1[[#This Row],[Points]]/($AA$6-Table1[[#This Row],[Missed Games]]))</f>
        <v>1.9375</v>
      </c>
      <c r="AC16" s="66">
        <f t="shared" si="2"/>
        <v>13</v>
      </c>
      <c r="AD16" s="67">
        <f>IF($AA$6-Table1[[#This Row],[Missed Games]]=0, 0,Table1[[#This Row],[Finishes]]/($AA$6-Table1[[#This Row],[Missed Games]]))</f>
        <v>0.8125</v>
      </c>
      <c r="AE16" s="66">
        <f t="shared" si="3"/>
        <v>12</v>
      </c>
      <c r="AF16" s="67">
        <f>IF($AA$6-Table1[[#This Row],[Missed Games]]=0, 0,Table1[[#This Row],[Midranges]]/($AA$6-Table1[[#This Row],[Missed Games]]))</f>
        <v>0.75</v>
      </c>
      <c r="AG16" s="66">
        <f t="shared" si="4"/>
        <v>3</v>
      </c>
      <c r="AH16" s="67">
        <f>IF($AA$6-Table1[[#This Row],[Missed Games]]=0, 0,Table1[[#This Row],[Threes]]/($AA$6-Table1[[#This Row],[Missed Games]]))</f>
        <v>0.1875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22</v>
      </c>
      <c r="AQ16" s="27">
        <f>Table1[[#This Row],[Points]]/AP16</f>
        <v>1.4090909090909092</v>
      </c>
      <c r="AR16" s="128">
        <f>AP16-Table1[[#This Row],[Points]]</f>
        <v>-9</v>
      </c>
      <c r="AS16" s="134">
        <f>Table1[[#This Row],[Points]]/(20-AA$5-Table1[[#This Row],[Missed Games]])</f>
        <v>2.0666666666666669</v>
      </c>
      <c r="AT16" s="144">
        <f>Table1[[#This Row],[Average]]-'[1]Stats Global'!R15</f>
        <v>0.52573529411764697</v>
      </c>
      <c r="AU16" s="27">
        <f>(Table1[[#This Row],[Average]]-'[1]Stats Global'!R15)/'[1]Stats Global'!R15</f>
        <v>0.37239583333333326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0.93333333333333335</v>
      </c>
      <c r="BB16" s="16">
        <f>Table4[[#This Row],[Total A]]/$AX$6</f>
        <v>0.2</v>
      </c>
      <c r="BC16" s="16">
        <f>Table4[[#This Row],[Total S]]/$AX$6</f>
        <v>0.13333333333333333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63</v>
      </c>
      <c r="AB17" s="65">
        <f>IF($AA$6-Table1[[#This Row],[Missed Games]]=0, 0,Table1[[#This Row],[Points]]/($AA$6-Table1[[#This Row],[Missed Games]]))</f>
        <v>3.7058823529411766</v>
      </c>
      <c r="AC17" s="66">
        <f t="shared" si="2"/>
        <v>15</v>
      </c>
      <c r="AD17" s="67">
        <f>IF($AA$6-Table1[[#This Row],[Missed Games]]=0, 0,Table1[[#This Row],[Finishes]]/($AA$6-Table1[[#This Row],[Missed Games]]))</f>
        <v>0.88235294117647056</v>
      </c>
      <c r="AE17" s="66">
        <f t="shared" si="3"/>
        <v>38</v>
      </c>
      <c r="AF17" s="67">
        <f>IF($AA$6-Table1[[#This Row],[Missed Games]]=0, 0,Table1[[#This Row],[Midranges]]/($AA$6-Table1[[#This Row],[Missed Games]]))</f>
        <v>2.2352941176470589</v>
      </c>
      <c r="AG17" s="66">
        <f t="shared" si="4"/>
        <v>5</v>
      </c>
      <c r="AH17" s="67">
        <f>IF($AA$6-Table1[[#This Row],[Missed Games]]=0, 0,Table1[[#This Row],[Threes]]/($AA$6-Table1[[#This Row],[Missed Games]]))</f>
        <v>0.29411764705882354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41</v>
      </c>
      <c r="AQ17" s="27">
        <f>Table1[[#This Row],[Points]]/AP17</f>
        <v>1.5365853658536586</v>
      </c>
      <c r="AR17" s="128">
        <f>AP17-Table1[[#This Row],[Points]]</f>
        <v>-22</v>
      </c>
      <c r="AS17" s="134">
        <f>Table1[[#This Row],[Points]]/(20-AA$5-Table1[[#This Row],[Missed Games]])</f>
        <v>3.9375</v>
      </c>
      <c r="AT17" s="144">
        <f>Table1[[#This Row],[Average]]-'[1]Stats Global'!R16</f>
        <v>1.1725490196078434</v>
      </c>
      <c r="AU17" s="27">
        <f>(Table1[[#This Row],[Average]]-'[1]Stats Global'!R16)/'[1]Stats Global'!R16</f>
        <v>0.46284829721362242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0.93333333333333335</v>
      </c>
      <c r="BB17" s="16">
        <f>Table4[[#This Row],[Total A]]/$AX$6</f>
        <v>0.13333333333333333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10</v>
      </c>
      <c r="AB18" s="176">
        <f>IF($AA$6-Table1[[#This Row],[Missed Games]]=0, 0,Table1[[#This Row],[Points]]/($AA$6-Table1[[#This Row],[Missed Games]]))</f>
        <v>0.55555555555555558</v>
      </c>
      <c r="AC18" s="177">
        <f t="shared" si="2"/>
        <v>2</v>
      </c>
      <c r="AD18" s="178">
        <f>IF($AA$6-Table1[[#This Row],[Missed Games]]=0, 0,Table1[[#This Row],[Finishes]]/($AA$6-Table1[[#This Row],[Missed Games]]))</f>
        <v>0.1111111111111111</v>
      </c>
      <c r="AE18" s="177">
        <f t="shared" si="3"/>
        <v>8</v>
      </c>
      <c r="AF18" s="178">
        <f>IF($AA$6-Table1[[#This Row],[Missed Games]]=0, 0,Table1[[#This Row],[Midranges]]/($AA$6-Table1[[#This Row],[Missed Games]]))</f>
        <v>0.44444444444444442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15</v>
      </c>
      <c r="AQ18" s="27">
        <f>Table1[[#This Row],[Points]]/AP18</f>
        <v>0.66666666666666663</v>
      </c>
      <c r="AR18" s="128">
        <f>AP18-Table1[[#This Row],[Points]]</f>
        <v>5</v>
      </c>
      <c r="AS18" s="134">
        <f>Table1[[#This Row],[Points]]/(20-AA$5-Table1[[#This Row],[Missed Games]])</f>
        <v>0.58823529411764708</v>
      </c>
      <c r="AT18" s="144">
        <f>Table1[[#This Row],[Average]]-'[1]Stats Global'!R17</f>
        <v>-0.31944444444444442</v>
      </c>
      <c r="AU18" s="27">
        <f>(Table1[[#This Row],[Average]]-'[1]Stats Global'!R17)/'[1]Stats Global'!R17</f>
        <v>-0.36507936507936506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6.6666666666666666E-2</v>
      </c>
      <c r="BB18" s="16">
        <f>Table4[[#This Row],[Total A]]/$AX$6</f>
        <v>0</v>
      </c>
      <c r="BC18" s="16">
        <f>Table4[[#This Row],[Total S]]/$AX$6</f>
        <v>0.33333333333333331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0.16666666666666666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0.16666666666666666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12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0.2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0.2</v>
      </c>
      <c r="BB19" s="16">
        <f>Table4[[#This Row],[Total A]]/$AX$6</f>
        <v>6.6666666666666666E-2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12</v>
      </c>
      <c r="AB20" s="176">
        <f>IF($AA$6-Table1[[#This Row],[Missed Games]]=0, 0,Table1[[#This Row],[Points]]/($AA$6-Table1[[#This Row],[Missed Games]]))</f>
        <v>0.8</v>
      </c>
      <c r="AC20" s="177">
        <f t="shared" si="2"/>
        <v>9</v>
      </c>
      <c r="AD20" s="180">
        <f>IF($AA$6-Table1[[#This Row],[Missed Games]]=0, 0,Table1[[#This Row],[Finishes]]/($AA$6-Table1[[#This Row],[Missed Games]]))</f>
        <v>0.6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6.6666666666666666E-2</v>
      </c>
      <c r="AG20" s="177">
        <f t="shared" si="4"/>
        <v>1</v>
      </c>
      <c r="AH20" s="180">
        <f>IF($AA$6-Table1[[#This Row],[Missed Games]]=0, 0,Table1[[#This Row],[Threes]]/($AA$6-Table1[[#This Row],[Missed Games]]))</f>
        <v>6.6666666666666666E-2</v>
      </c>
      <c r="AI20" s="174" t="str">
        <f>SfW!C15</f>
        <v>Wet Willies</v>
      </c>
      <c r="AJ20" s="179">
        <f t="shared" si="5"/>
        <v>3</v>
      </c>
      <c r="AK20" s="62"/>
      <c r="AL20" s="62"/>
      <c r="AM20" s="62"/>
      <c r="AO20" s="36"/>
      <c r="AP20" s="18">
        <f>_xlfn.CEILING.MATH('[1]Stats Global'!R18*(20-$AA$5-$AJ20))</f>
        <v>15</v>
      </c>
      <c r="AQ20" s="27">
        <f>Table1[[#This Row],[Points]]/AP20</f>
        <v>0.8</v>
      </c>
      <c r="AR20" s="128">
        <f>AP20-Table1[[#This Row],[Points]]</f>
        <v>3</v>
      </c>
      <c r="AS20" s="134">
        <f>Table1[[#This Row],[Points]]/(20-AA$5-Table1[[#This Row],[Missed Games]])</f>
        <v>0.8571428571428571</v>
      </c>
      <c r="AT20" s="144">
        <f>Table1[[#This Row],[Average]]-'[1]Stats Global'!R18</f>
        <v>-0.26666666666666661</v>
      </c>
      <c r="AU20" s="27">
        <f>(Table1[[#This Row],[Average]]-'[1]Stats Global'!R18)/'[1]Stats Global'!R18</f>
        <v>-0.24999999999999994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0.53333333333333333</v>
      </c>
      <c r="BB20" s="16">
        <f>Table4[[#This Row],[Total A]]/$AX$6</f>
        <v>6.6666666666666666E-2</v>
      </c>
      <c r="BC20" s="16">
        <f>Table4[[#This Row],[Total S]]/$AX$6</f>
        <v>0.2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20</v>
      </c>
      <c r="AB21" s="176">
        <f>IF($AA$6-Table1[[#This Row],[Missed Games]]=0, 0,Table1[[#This Row],[Points]]/($AA$6-Table1[[#This Row],[Missed Games]]))</f>
        <v>1.1111111111111112</v>
      </c>
      <c r="AC21" s="177">
        <f t="shared" si="2"/>
        <v>13</v>
      </c>
      <c r="AD21" s="180">
        <f>IF($AA$6-Table1[[#This Row],[Missed Games]]=0, 0,Table1[[#This Row],[Finishes]]/($AA$6-Table1[[#This Row],[Missed Games]]))</f>
        <v>0.72222222222222221</v>
      </c>
      <c r="AE21" s="177">
        <f t="shared" si="3"/>
        <v>5</v>
      </c>
      <c r="AF21" s="180">
        <f>IF($AA$6-Table1[[#This Row],[Missed Games]]=0, 0,Table1[[#This Row],[Midranges]]/($AA$6-Table1[[#This Row],[Missed Games]]))</f>
        <v>0.27777777777777779</v>
      </c>
      <c r="AG21" s="177">
        <f t="shared" si="4"/>
        <v>1</v>
      </c>
      <c r="AH21" s="180">
        <f>IF($AA$6-Table1[[#This Row],[Missed Games]]=0, 0,Table1[[#This Row],[Threes]]/($AA$6-Table1[[#This Row],[Missed Games]]))</f>
        <v>5.5555555555555552E-2</v>
      </c>
      <c r="AI21" s="174" t="str">
        <f>SfW!C16</f>
        <v>Loose Gooses</v>
      </c>
      <c r="AJ21" s="179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18</v>
      </c>
      <c r="AQ21" s="27">
        <f>Table1[[#This Row],[Points]]/AP21</f>
        <v>1.1111111111111112</v>
      </c>
      <c r="AR21" s="128">
        <f>AP21-Table1[[#This Row],[Points]]</f>
        <v>-2</v>
      </c>
      <c r="AS21" s="134">
        <f>Table1[[#This Row],[Points]]/(20-AA$5-Table1[[#This Row],[Missed Games]])</f>
        <v>1.1764705882352942</v>
      </c>
      <c r="AT21" s="144">
        <f>Table1[[#This Row],[Average]]-'[1]Stats Global'!R19</f>
        <v>5.2287581699346442E-2</v>
      </c>
      <c r="AU21" s="27">
        <f>(Table1[[#This Row],[Average]]-'[1]Stats Global'!R19)/'[1]Stats Global'!R19</f>
        <v>4.9382716049382748E-2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0.8</v>
      </c>
      <c r="BB21" s="16">
        <f>Table4[[#This Row],[Total A]]/$AX$6</f>
        <v>0.13333333333333333</v>
      </c>
      <c r="BC21" s="16">
        <f>Table4[[#This Row],[Total S]]/$AX$6</f>
        <v>0.13333333333333333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47</v>
      </c>
      <c r="AB22" s="65">
        <f>IF($AA$6-Table1[[#This Row],[Missed Games]]=0, 0,Table1[[#This Row],[Points]]/($AA$6-Table1[[#This Row],[Missed Games]]))</f>
        <v>2.7647058823529411</v>
      </c>
      <c r="AC22" s="66">
        <f t="shared" si="2"/>
        <v>25</v>
      </c>
      <c r="AD22" s="109">
        <f>IF($AA$6-Table1[[#This Row],[Missed Games]]=0, 0,Table1[[#This Row],[Finishes]]/($AA$6-Table1[[#This Row],[Missed Games]]))</f>
        <v>1.4705882352941178</v>
      </c>
      <c r="AE22" s="66">
        <f t="shared" si="3"/>
        <v>8</v>
      </c>
      <c r="AF22" s="109">
        <f>IF($AA$6-Table1[[#This Row],[Missed Games]]=0, 0,Table1[[#This Row],[Midranges]]/($AA$6-Table1[[#This Row],[Missed Games]]))</f>
        <v>0.47058823529411764</v>
      </c>
      <c r="AG22" s="66">
        <f t="shared" si="4"/>
        <v>7</v>
      </c>
      <c r="AH22" s="109">
        <f>IF($AA$6-Table1[[#This Row],[Missed Games]]=0, 0,Table1[[#This Row],[Threes]]/($AA$6-Table1[[#This Row],[Missed Games]]))</f>
        <v>0.41176470588235292</v>
      </c>
      <c r="AI22" s="108" t="str">
        <f>SfW!C17</f>
        <v>Loose Gooses</v>
      </c>
      <c r="AJ22" s="68">
        <f t="shared" si="5"/>
        <v>1</v>
      </c>
      <c r="AK22" s="62"/>
      <c r="AL22" s="62"/>
      <c r="AM22" s="62"/>
      <c r="AO22" s="36"/>
      <c r="AP22" s="18">
        <f>_xlfn.CEILING.MATH('[1]Stats Global'!R20*(20-$AA$5-$AJ22))</f>
        <v>39</v>
      </c>
      <c r="AQ22" s="27">
        <f>Table1[[#This Row],[Points]]/AP22</f>
        <v>1.2051282051282051</v>
      </c>
      <c r="AR22" s="128">
        <f>AP22-Table1[[#This Row],[Points]]</f>
        <v>-8</v>
      </c>
      <c r="AS22" s="134">
        <f>Table1[[#This Row],[Points]]/(20-AA$5-Table1[[#This Row],[Missed Games]])</f>
        <v>2.9375</v>
      </c>
      <c r="AT22" s="144">
        <f>Table1[[#This Row],[Average]]-'[1]Stats Global'!R20</f>
        <v>0.33613445378151274</v>
      </c>
      <c r="AU22" s="27">
        <f>(Table1[[#This Row],[Average]]-'[1]Stats Global'!R20)/'[1]Stats Global'!R20</f>
        <v>0.13840830449826996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0.73333333333333328</v>
      </c>
      <c r="BB22" s="16">
        <f>Table4[[#This Row],[Total A]]/$AX$6</f>
        <v>0.46666666666666667</v>
      </c>
      <c r="BC22" s="16">
        <f>Table4[[#This Row],[Total S]]/$AX$6</f>
        <v>0.2</v>
      </c>
    </row>
    <row r="23" spans="2:55" ht="14.25" customHeight="1" x14ac:dyDescent="0.45">
      <c r="B23" s="111" t="str">
        <f>'1508'!B45</f>
        <v>15-August</v>
      </c>
      <c r="C23" s="111">
        <f>'1508'!C45</f>
        <v>20</v>
      </c>
      <c r="D23" s="111">
        <f>'1508'!D45</f>
        <v>5</v>
      </c>
      <c r="E23" s="111">
        <f>'1508'!E45</f>
        <v>5</v>
      </c>
      <c r="F23" s="111">
        <f>'1508'!F45</f>
        <v>5</v>
      </c>
      <c r="G23" s="111">
        <f>'1508'!G45</f>
        <v>5</v>
      </c>
      <c r="H23" s="111">
        <f>'1508'!H45</f>
        <v>8</v>
      </c>
      <c r="I23" s="111">
        <f>'1508'!I45</f>
        <v>5</v>
      </c>
      <c r="J23" s="111">
        <f>'1508'!J45</f>
        <v>0</v>
      </c>
      <c r="K23" s="111">
        <f>'1508'!K45</f>
        <v>12</v>
      </c>
      <c r="L23" s="111">
        <f>'1508'!L45</f>
        <v>20</v>
      </c>
      <c r="M23" s="111">
        <f>'1508'!M45</f>
        <v>5</v>
      </c>
      <c r="N23" s="111">
        <f>'1508'!N45</f>
        <v>0</v>
      </c>
      <c r="O23" s="111">
        <f>'1508'!O45</f>
        <v>1</v>
      </c>
      <c r="P23" s="111">
        <f>'1508'!P45</f>
        <v>2</v>
      </c>
      <c r="Q23" s="111">
        <f>'1508'!Q45</f>
        <v>3</v>
      </c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5.5555555555555552E-2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5.5555555555555552E-2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2</v>
      </c>
      <c r="AQ23" s="27">
        <f>Table1[[#This Row],[Points]]/AP23</f>
        <v>0.5</v>
      </c>
      <c r="AR23" s="128">
        <f>AP23-Table1[[#This Row],[Points]]</f>
        <v>1</v>
      </c>
      <c r="AS23" s="134">
        <f>Table1[[#This Row],[Points]]/(20-AA$5-Table1[[#This Row],[Missed Games]])</f>
        <v>5.8823529411764705E-2</v>
      </c>
      <c r="AT23" s="144">
        <f>Table1[[#This Row],[Average]]-'[1]Stats Global'!R21</f>
        <v>-6.2091503267973858E-2</v>
      </c>
      <c r="AU23" s="27">
        <f>(Table1[[#This Row],[Average]]-'[1]Stats Global'!R21)/'[1]Stats Global'!R21</f>
        <v>-0.52777777777777779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0.26666666666666666</v>
      </c>
      <c r="BB23" s="16">
        <f>Table4[[#This Row],[Total A]]/$AX$6</f>
        <v>6.6666666666666666E-2</v>
      </c>
      <c r="BC23" s="16">
        <f>Table4[[#This Row],[Total S]]/$AX$6</f>
        <v>0.13333333333333333</v>
      </c>
    </row>
    <row r="24" spans="2:55" ht="14.25" customHeight="1" x14ac:dyDescent="0.45">
      <c r="B24" s="111" t="str">
        <f>'1708'!B45</f>
        <v>17-August</v>
      </c>
      <c r="C24" s="111">
        <f>'1708'!C45</f>
        <v>7</v>
      </c>
      <c r="D24" s="111">
        <f>'1708'!D45</f>
        <v>5</v>
      </c>
      <c r="E24" s="111">
        <f>'1708'!E45</f>
        <v>4</v>
      </c>
      <c r="F24" s="111">
        <f>'1708'!F45</f>
        <v>4</v>
      </c>
      <c r="G24" s="111">
        <f>'1708'!G45</f>
        <v>3</v>
      </c>
      <c r="H24" s="111">
        <f>'1708'!H45</f>
        <v>3</v>
      </c>
      <c r="I24" s="111">
        <f>'1708'!I45</f>
        <v>7</v>
      </c>
      <c r="J24" s="111">
        <f>'1708'!J45</f>
        <v>2</v>
      </c>
      <c r="K24" s="111">
        <f>'1708'!K45</f>
        <v>2</v>
      </c>
      <c r="L24" s="111">
        <f>'1708'!L45</f>
        <v>5</v>
      </c>
      <c r="M24" s="111">
        <f>'1708'!M45</f>
        <v>2</v>
      </c>
      <c r="N24" s="111">
        <f>'1708'!N45</f>
        <v>4</v>
      </c>
      <c r="O24" s="111">
        <f>'1708'!O45</f>
        <v>1</v>
      </c>
      <c r="P24" s="111">
        <f>'1708'!P45</f>
        <v>3</v>
      </c>
      <c r="Q24" s="111">
        <f>'1708'!Q45</f>
        <v>2</v>
      </c>
      <c r="Z24" s="174" t="s">
        <v>75</v>
      </c>
      <c r="AA24" s="175">
        <f t="shared" si="1"/>
        <v>6</v>
      </c>
      <c r="AB24" s="176">
        <f>IF($AA$6-Table1[[#This Row],[Missed Games]]=0, 0,Table1[[#This Row],[Points]]/($AA$6-Table1[[#This Row],[Missed Games]]))</f>
        <v>0.5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0.33333333333333331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1</v>
      </c>
      <c r="AH24" s="178">
        <f>IF($AA$6-Table1[[#This Row],[Missed Games]]=0, 0,Table1[[#This Row],[Threes]]/($AA$6-Table1[[#This Row],[Missed Games]]))</f>
        <v>8.3333333333333329E-2</v>
      </c>
      <c r="AI24" s="174" t="str">
        <f>SfW!C19</f>
        <v>Wet Willies</v>
      </c>
      <c r="AJ24" s="179">
        <f t="shared" si="5"/>
        <v>6</v>
      </c>
      <c r="AL24" s="43"/>
      <c r="AM24" s="44"/>
      <c r="AN24" s="4"/>
      <c r="AP24" s="18">
        <f>_xlfn.CEILING.MATH('[1]Stats Global'!R22*(20-$AA$5-$AJ24))</f>
        <v>8</v>
      </c>
      <c r="AQ24" s="27">
        <f>Table1[[#This Row],[Points]]/AP24</f>
        <v>0.75</v>
      </c>
      <c r="AR24" s="128">
        <f>AP24-Table1[[#This Row],[Points]]</f>
        <v>2</v>
      </c>
      <c r="AS24" s="134">
        <f>Table1[[#This Row],[Points]]/(20-AA$5-Table1[[#This Row],[Missed Games]])</f>
        <v>0.54545454545454541</v>
      </c>
      <c r="AT24" s="144">
        <f>Table1[[#This Row],[Average]]-'[1]Stats Global'!R22</f>
        <v>-0.1470588235294118</v>
      </c>
      <c r="AU24" s="27">
        <f>(Table1[[#This Row],[Average]]-'[1]Stats Global'!R22)/'[1]Stats Global'!R22</f>
        <v>-0.22727272727272732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6.6666666666666666E-2</v>
      </c>
    </row>
    <row r="25" spans="2:55" ht="14.25" customHeight="1" x14ac:dyDescent="0.45">
      <c r="B25" s="111" t="str">
        <f>'Finals 1'!B45</f>
        <v>Finals 1</v>
      </c>
      <c r="C25" s="111">
        <f>'Finals 1'!C45</f>
        <v>5</v>
      </c>
      <c r="D25" s="111">
        <f>'Finals 1'!D45</f>
        <v>13</v>
      </c>
      <c r="E25" s="111">
        <f>'Finals 1'!E45</f>
        <v>1</v>
      </c>
      <c r="F25" s="111">
        <f>'Finals 1'!F45</f>
        <v>2</v>
      </c>
      <c r="G25" s="111">
        <f>'Finals 1'!G45</f>
        <v>2</v>
      </c>
      <c r="H25" s="111">
        <f>'Finals 1'!H45</f>
        <v>5</v>
      </c>
      <c r="I25" s="111">
        <f>'Finals 1'!I45</f>
        <v>1</v>
      </c>
      <c r="J25" s="111">
        <f>'Finals 1'!J45</f>
        <v>3</v>
      </c>
      <c r="K25" s="111">
        <f>'Finals 1'!K45</f>
        <v>6</v>
      </c>
      <c r="L25" s="111">
        <f>'Finals 1'!L45</f>
        <v>5</v>
      </c>
      <c r="M25" s="111">
        <f>'Finals 1'!M45</f>
        <v>3</v>
      </c>
      <c r="N25" s="111">
        <f>'Finals 1'!N45</f>
        <v>0</v>
      </c>
      <c r="O25" s="111">
        <f>'Finals 1'!O45</f>
        <v>4</v>
      </c>
      <c r="P25" s="111">
        <f>'Finals 1'!P45</f>
        <v>2</v>
      </c>
      <c r="Q25" s="111">
        <f>'Finals 1'!Q45</f>
        <v>6</v>
      </c>
      <c r="AB25" s="17"/>
      <c r="AP25" s="17"/>
      <c r="AQ25" s="27"/>
    </row>
    <row r="26" spans="2:55" ht="14.25" customHeight="1" x14ac:dyDescent="0.45"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37</v>
      </c>
      <c r="T41" s="126">
        <f>S41/SUM(S41:S43)</f>
        <v>0.32456140350877194</v>
      </c>
      <c r="U41" s="130">
        <v>0.32188841201716739</v>
      </c>
      <c r="V41" s="43">
        <v>0.36899999999999999</v>
      </c>
      <c r="W41">
        <f>T41*(6*(20-AA$5))</f>
        <v>33.10526315789474</v>
      </c>
      <c r="X41" s="18">
        <f>((MAX(U41:U43)+MAX(V41:V43))/2)*6*(20-AA5)</f>
        <v>36.767497854077249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33</v>
      </c>
      <c r="T42" s="130">
        <f>S42/SUM(S41:S43)</f>
        <v>0.28947368421052633</v>
      </c>
      <c r="U42" s="130">
        <v>0.35193133047210301</v>
      </c>
      <c r="V42" s="43">
        <v>0.26200000000000001</v>
      </c>
      <c r="W42" s="16">
        <f t="shared" ref="W42:W43" si="6">T42*(6*(20-AA$5))</f>
        <v>29.526315789473685</v>
      </c>
      <c r="X42" s="18">
        <f>6*(20-AA5)-X41-X43</f>
        <v>35.454193133047212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44</v>
      </c>
      <c r="T43" s="130">
        <f>S43/SUM(S41:S43)</f>
        <v>0.38596491228070173</v>
      </c>
      <c r="U43" s="130">
        <v>0.3261802575107296</v>
      </c>
      <c r="V43" s="43">
        <v>0.36899999999999999</v>
      </c>
      <c r="W43" s="16">
        <f t="shared" si="6"/>
        <v>39.368421052631575</v>
      </c>
      <c r="X43" s="18">
        <f>((MIN(U41:U43)+MIN(V41:V43))/2)*6*(20-AA5)</f>
        <v>29.778309012875539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-2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-6.5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169</v>
      </c>
      <c r="V49" s="17">
        <f>U49/AA6</f>
        <v>9.3888888888888893</v>
      </c>
      <c r="W49" s="27">
        <f>U49/SUM($U$49:$U$51)</f>
        <v>0.57876712328767121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94</v>
      </c>
      <c r="V50" s="17">
        <f>U50/AA6</f>
        <v>5.2222222222222223</v>
      </c>
      <c r="W50" s="27">
        <f>U50/SUM($U$49:$U$51)</f>
        <v>0.32191780821917809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29</v>
      </c>
      <c r="V51" s="17">
        <f>U51/AA6</f>
        <v>1.6111111111111112</v>
      </c>
      <c r="W51" s="27">
        <f>U51/SUM($U$49:$U$51)</f>
        <v>9.9315068493150679E-2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0.56976744186046513</v>
      </c>
      <c r="V55" s="38">
        <f>'Statistics LG'!O42</f>
        <v>0.46363636363636362</v>
      </c>
      <c r="W55" s="38">
        <f>AVERAGE(U55:V55)</f>
        <v>0.51670190274841432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0.43023255813953487</v>
      </c>
      <c r="U56" s="40" t="s">
        <v>131</v>
      </c>
      <c r="V56" s="38">
        <f>'Statistics WW'!L42</f>
        <v>0.36458333333333331</v>
      </c>
      <c r="W56" s="38">
        <f>AVERAGE(T56:V56)</f>
        <v>0.39740794573643412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0.53636363636363638</v>
      </c>
      <c r="U57" s="38">
        <f>1-V56</f>
        <v>0.63541666666666674</v>
      </c>
      <c r="V57" s="40" t="s">
        <v>131</v>
      </c>
      <c r="W57" s="38">
        <f>AVERAGE(T57:V57)</f>
        <v>0.58589015151515156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3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'1408'!R3+'1508'!R3+'1708'!R3</f>
        <v>0</v>
      </c>
      <c r="AM69" s="31">
        <f>'1408'!S3+'1508'!S3+'1708'!S3</f>
        <v>0</v>
      </c>
      <c r="AN69" s="31">
        <f>'1408'!T3+'1508'!T3+'1708'!T3</f>
        <v>0</v>
      </c>
      <c r="AO69" s="31">
        <f>'1408'!U3+'1508'!U3+'1708'!U3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TRUE)+COUNTIF('1508'!V3, TRUE)+COUNTIF('1708'!V3,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'1408'!R4+'1508'!R4+'1708'!R4</f>
        <v>0</v>
      </c>
      <c r="AM70" s="31">
        <f>'1408'!S4+'1508'!S4+'1708'!S4</f>
        <v>0</v>
      </c>
      <c r="AN70" s="31">
        <f>'1408'!T4+'1508'!T4+'1708'!T4</f>
        <v>0</v>
      </c>
      <c r="AO70" s="31">
        <f>'1408'!U4+'1508'!U4+'1708'!U4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TRUE)+COUNTIF('1508'!V4, TRUE)+COUNTIF('1708'!V4, TRUE)</f>
        <v>1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'1408'!R5+'1508'!R5+'1708'!R5</f>
        <v>6</v>
      </c>
      <c r="AM71" s="31">
        <f>'1408'!S5+'1508'!S5+'1708'!S5</f>
        <v>6</v>
      </c>
      <c r="AN71" s="31">
        <f>'1408'!T5+'1508'!T5+'1708'!T5</f>
        <v>0</v>
      </c>
      <c r="AO71" s="31">
        <f>'1408'!U5+'1508'!U5+'1708'!U5</f>
        <v>0</v>
      </c>
      <c r="AP71" s="31">
        <f>Table21125[[#This Row],[Points]]/($AL$67-Table21125[[#This Row],[Missed Games]])</f>
        <v>3</v>
      </c>
      <c r="AQ71" s="31">
        <f>Table21125[[#This Row],[Finishes]]/($AL$67-Table21125[[#This Row],[Missed Games]])</f>
        <v>3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TRUE)+COUNTIF('1508'!V5, TRUE)+COUNTIF('1708'!V5, TRUE)</f>
        <v>1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'1408'!R6+'1508'!R6+'1708'!R6</f>
        <v>4</v>
      </c>
      <c r="AM72" s="31">
        <f>'1408'!S6+'1508'!S6+'1708'!S6</f>
        <v>4</v>
      </c>
      <c r="AN72" s="31">
        <f>'1408'!T6+'1508'!T6+'1708'!T6</f>
        <v>0</v>
      </c>
      <c r="AO72" s="31">
        <f>'1408'!U6+'1508'!U6+'1708'!U6</f>
        <v>0</v>
      </c>
      <c r="AP72" s="31">
        <f>Table21125[[#This Row],[Points]]/($AL$67-Table21125[[#This Row],[Missed Games]])</f>
        <v>2</v>
      </c>
      <c r="AQ72" s="31">
        <f>Table21125[[#This Row],[Finishes]]/($AL$67-Table21125[[#This Row],[Missed Games]])</f>
        <v>2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TRUE)+COUNTIF('1508'!V6, TRUE)+COUNTIF('1708'!V6, TRUE)</f>
        <v>1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'1408'!R7+'1508'!R7+'1708'!R7</f>
        <v>4</v>
      </c>
      <c r="AM73" s="31">
        <f>'1408'!S7+'1508'!S7+'1708'!S7</f>
        <v>2</v>
      </c>
      <c r="AN73" s="31">
        <f>'1408'!T7+'1508'!T7+'1708'!T7</f>
        <v>2</v>
      </c>
      <c r="AO73" s="31">
        <f>'1408'!U7+'1508'!U7+'1708'!U7</f>
        <v>0</v>
      </c>
      <c r="AP73" s="31">
        <f>Table21125[[#This Row],[Points]]/($AL$67-Table21125[[#This Row],[Missed Games]])</f>
        <v>1.3333333333333333</v>
      </c>
      <c r="AQ73" s="31">
        <f>Table21125[[#This Row],[Finishes]]/($AL$67-Table21125[[#This Row],[Missed Games]])</f>
        <v>0.66666666666666663</v>
      </c>
      <c r="AR73" s="31">
        <f>Table21125[[#This Row],[Midranges]]/($AL$67-Table21125[[#This Row],[Missed Games]])</f>
        <v>0.66666666666666663</v>
      </c>
      <c r="AS73" s="31">
        <f>Table21125[[#This Row],[Threes]]/($AL$67-Table21125[[#This Row],[Missed Games]])</f>
        <v>0</v>
      </c>
      <c r="AT73" s="31">
        <f>COUNTIF('1408'!V7, TRUE)+COUNTIF('1508'!V7, TRUE)+COUNTIF('1708'!V7,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'1408'!R8+'1508'!R8+'1708'!R8</f>
        <v>7</v>
      </c>
      <c r="AM74" s="31">
        <f>'1408'!S8+'1508'!S8+'1708'!S8</f>
        <v>5</v>
      </c>
      <c r="AN74" s="31">
        <f>'1408'!T8+'1508'!T8+'1708'!T8</f>
        <v>2</v>
      </c>
      <c r="AO74" s="31">
        <f>'1408'!U8+'1508'!U8+'1708'!U8</f>
        <v>0</v>
      </c>
      <c r="AP74" s="31">
        <f>Table21125[[#This Row],[Points]]/($AL$67-Table21125[[#This Row],[Missed Games]])</f>
        <v>2.3333333333333335</v>
      </c>
      <c r="AQ74" s="31">
        <f>Table21125[[#This Row],[Finishes]]/($AL$67-Table21125[[#This Row],[Missed Games]])</f>
        <v>1.6666666666666667</v>
      </c>
      <c r="AR74" s="31">
        <f>Table21125[[#This Row],[Midranges]]/($AL$67-Table21125[[#This Row],[Missed Games]])</f>
        <v>0.66666666666666663</v>
      </c>
      <c r="AS74" s="31">
        <f>Table21125[[#This Row],[Threes]]/($AL$67-Table21125[[#This Row],[Missed Games]])</f>
        <v>0</v>
      </c>
      <c r="AT74" s="31">
        <f>COUNTIF('1408'!V8, TRUE)+COUNTIF('1508'!V8, TRUE)+COUNTIF('1708'!V8,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'1408'!R9+'1508'!R9+'1708'!R9</f>
        <v>5</v>
      </c>
      <c r="AM75" s="31">
        <f>'1408'!S9+'1508'!S9+'1708'!S9</f>
        <v>2</v>
      </c>
      <c r="AN75" s="31">
        <f>'1408'!T9+'1508'!T9+'1708'!T9</f>
        <v>1</v>
      </c>
      <c r="AO75" s="31">
        <f>'1408'!U9+'1508'!U9+'1708'!U9</f>
        <v>1</v>
      </c>
      <c r="AP75" s="31">
        <f>Table21125[[#This Row],[Points]]/($AL$67-Table21125[[#This Row],[Missed Games]])</f>
        <v>1.6666666666666667</v>
      </c>
      <c r="AQ75" s="31">
        <f>Table21125[[#This Row],[Finishes]]/($AL$67-Table21125[[#This Row],[Missed Games]])</f>
        <v>0.66666666666666663</v>
      </c>
      <c r="AR75" s="31">
        <f>Table21125[[#This Row],[Midranges]]/($AL$67-Table21125[[#This Row],[Missed Games]])</f>
        <v>0.33333333333333331</v>
      </c>
      <c r="AS75" s="31">
        <f>Table21125[[#This Row],[Threes]]/($AL$67-Table21125[[#This Row],[Missed Games]])</f>
        <v>0.33333333333333331</v>
      </c>
      <c r="AT75" s="31">
        <f>COUNTIF('1408'!V9, TRUE)+COUNTIF('1508'!V9, TRUE)+COUNTIF('1708'!V9,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'1408'!R10+'1508'!R10+'1708'!R10</f>
        <v>6</v>
      </c>
      <c r="AM76" s="31">
        <f>'1408'!S10+'1508'!S10+'1708'!S10</f>
        <v>1</v>
      </c>
      <c r="AN76" s="31">
        <f>'1408'!T10+'1508'!T10+'1708'!T10</f>
        <v>1</v>
      </c>
      <c r="AO76" s="31">
        <f>'1408'!U10+'1508'!U10+'1708'!U10</f>
        <v>2</v>
      </c>
      <c r="AP76" s="31">
        <f>Table21125[[#This Row],[Points]]/($AL$67-Table21125[[#This Row],[Missed Games]])</f>
        <v>2</v>
      </c>
      <c r="AQ76" s="31">
        <f>Table21125[[#This Row],[Finishes]]/($AL$67-Table21125[[#This Row],[Missed Games]])</f>
        <v>0.33333333333333331</v>
      </c>
      <c r="AR76" s="31">
        <f>Table21125[[#This Row],[Midranges]]/($AL$67-Table21125[[#This Row],[Missed Games]])</f>
        <v>0.33333333333333331</v>
      </c>
      <c r="AS76" s="31">
        <f>Table21125[[#This Row],[Threes]]/($AL$67-Table21125[[#This Row],[Missed Games]])</f>
        <v>0.66666666666666663</v>
      </c>
      <c r="AT76" s="31">
        <f>COUNTIF('1408'!V10, TRUE)+COUNTIF('1508'!V10, TRUE)+COUNTIF('1708'!V10,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'1408'!R11+'1508'!R11+'1708'!R11</f>
        <v>5</v>
      </c>
      <c r="AM77" s="31">
        <f>'1408'!S11+'1508'!S11+'1708'!S11</f>
        <v>2</v>
      </c>
      <c r="AN77" s="31">
        <f>'1408'!T11+'1508'!T11+'1708'!T11</f>
        <v>3</v>
      </c>
      <c r="AO77" s="31">
        <f>'1408'!U11+'1508'!U11+'1708'!U11</f>
        <v>0</v>
      </c>
      <c r="AP77" s="31">
        <f>Table21125[[#This Row],[Points]]/($AL$67-Table21125[[#This Row],[Missed Games]])</f>
        <v>1.6666666666666667</v>
      </c>
      <c r="AQ77" s="31">
        <f>Table21125[[#This Row],[Finishes]]/($AL$67-Table21125[[#This Row],[Missed Games]])</f>
        <v>0.66666666666666663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TRUE)+COUNTIF('1508'!V11, TRUE)+COUNTIF('1708'!V11,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'1408'!R12+'1508'!R12+'1708'!R12</f>
        <v>14</v>
      </c>
      <c r="AM78" s="31">
        <f>'1408'!S12+'1508'!S12+'1708'!S12</f>
        <v>8</v>
      </c>
      <c r="AN78" s="31">
        <f>'1408'!T12+'1508'!T12+'1708'!T12</f>
        <v>6</v>
      </c>
      <c r="AO78" s="31">
        <f>'1408'!U12+'1508'!U12+'1708'!U12</f>
        <v>0</v>
      </c>
      <c r="AP78" s="31">
        <f>Table21125[[#This Row],[Points]]/($AL$67-Table21125[[#This Row],[Missed Games]])</f>
        <v>4.666666666666667</v>
      </c>
      <c r="AQ78" s="31">
        <f>Table21125[[#This Row],[Finishes]]/($AL$67-Table21125[[#This Row],[Missed Games]])</f>
        <v>2.6666666666666665</v>
      </c>
      <c r="AR78" s="31">
        <f>Table21125[[#This Row],[Midranges]]/($AL$67-Table21125[[#This Row],[Missed Games]])</f>
        <v>2</v>
      </c>
      <c r="AS78" s="31">
        <f>Table21125[[#This Row],[Threes]]/($AL$67-Table21125[[#This Row],[Missed Games]])</f>
        <v>0</v>
      </c>
      <c r="AT78" s="31">
        <f>COUNTIF('1408'!V12, TRUE)+COUNTIF('1508'!V12, TRUE)+COUNTIF('1708'!V12,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'1408'!R13+'1508'!R13+'1708'!R13</f>
        <v>2</v>
      </c>
      <c r="AM79" s="31">
        <f>'1408'!S13+'1508'!S13+'1708'!S13</f>
        <v>1</v>
      </c>
      <c r="AN79" s="31">
        <f>'1408'!T13+'1508'!T13+'1708'!T13</f>
        <v>1</v>
      </c>
      <c r="AO79" s="31">
        <f>'1408'!U13+'1508'!U13+'1708'!U13</f>
        <v>0</v>
      </c>
      <c r="AP79" s="31">
        <f>Table21125[[#This Row],[Points]]/($AL$67-Table21125[[#This Row],[Missed Games]])</f>
        <v>0.66666666666666663</v>
      </c>
      <c r="AQ79" s="31">
        <f>Table21125[[#This Row],[Finishes]]/($AL$67-Table21125[[#This Row],[Missed Games]])</f>
        <v>0.33333333333333331</v>
      </c>
      <c r="AR79" s="31">
        <f>Table21125[[#This Row],[Midranges]]/($AL$67-Table21125[[#This Row],[Missed Games]])</f>
        <v>0.33333333333333331</v>
      </c>
      <c r="AS79" s="31">
        <f>Table21125[[#This Row],[Threes]]/($AL$67-Table21125[[#This Row],[Missed Games]])</f>
        <v>0</v>
      </c>
      <c r="AT79" s="31">
        <f>COUNTIF('1408'!V13, TRUE)+COUNTIF('1508'!V13, TRUE)+COUNTIF('1708'!V13,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'1408'!R14+'1508'!R14+'1708'!R14</f>
        <v>0</v>
      </c>
      <c r="AM80" s="31">
        <f>'1408'!S14+'1508'!S14+'1708'!S14</f>
        <v>0</v>
      </c>
      <c r="AN80" s="31">
        <f>'1408'!T14+'1508'!T14+'1708'!T14</f>
        <v>0</v>
      </c>
      <c r="AO80" s="31">
        <f>'1408'!U14+'1508'!U14+'1708'!U14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TRUE)+COUNTIF('1508'!V14, TRUE)+COUNTIF('1708'!V14, TRUE)</f>
        <v>3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'1408'!R15+'1508'!R15+'1708'!R15</f>
        <v>2</v>
      </c>
      <c r="AM81" s="31">
        <f>'1408'!S15+'1508'!S15+'1708'!S15</f>
        <v>0</v>
      </c>
      <c r="AN81" s="31">
        <f>'1408'!T15+'1508'!T15+'1708'!T15</f>
        <v>0</v>
      </c>
      <c r="AO81" s="31">
        <f>'1408'!U15+'1508'!U15+'1708'!U15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TRUE)+COUNTIF('1508'!V15, TRUE)+COUNTIF('1708'!V15, TRUE)</f>
        <v>2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'1408'!R16+'1508'!R16+'1708'!R16</f>
        <v>4</v>
      </c>
      <c r="AM82" s="31">
        <f>'1408'!S16+'1508'!S16+'1708'!S16</f>
        <v>2</v>
      </c>
      <c r="AN82" s="31">
        <f>'1408'!T16+'1508'!T16+'1708'!T16</f>
        <v>2</v>
      </c>
      <c r="AO82" s="31">
        <f>'1408'!U16+'1508'!U16+'1708'!U16</f>
        <v>0</v>
      </c>
      <c r="AP82" s="31">
        <f>Table21125[[#This Row],[Points]]/($AL$67-Table21125[[#This Row],[Missed Games]])</f>
        <v>1.3333333333333333</v>
      </c>
      <c r="AQ82" s="31">
        <f>Table21125[[#This Row],[Finishes]]/($AL$67-Table21125[[#This Row],[Missed Games]])</f>
        <v>0.66666666666666663</v>
      </c>
      <c r="AR82" s="31">
        <f>Table21125[[#This Row],[Midranges]]/($AL$67-Table21125[[#This Row],[Missed Games]])</f>
        <v>0.66666666666666663</v>
      </c>
      <c r="AS82" s="31">
        <f>Table21125[[#This Row],[Threes]]/($AL$67-Table21125[[#This Row],[Missed Games]])</f>
        <v>0</v>
      </c>
      <c r="AT82" s="31">
        <f>COUNTIF('1408'!V16, TRUE)+COUNTIF('1508'!V16, TRUE)+COUNTIF('1708'!V16,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'1408'!R17+'1508'!R17+'1708'!R17</f>
        <v>3</v>
      </c>
      <c r="AM83" s="31">
        <f>'1408'!S17+'1508'!S17+'1708'!S17</f>
        <v>1</v>
      </c>
      <c r="AN83" s="31">
        <f>'1408'!T17+'1508'!T17+'1708'!T17</f>
        <v>0</v>
      </c>
      <c r="AO83" s="31">
        <f>'1408'!U17+'1508'!U17+'1708'!U17</f>
        <v>1</v>
      </c>
      <c r="AP83" s="31">
        <f>Table21125[[#This Row],[Points]]/($AL$67-Table21125[[#This Row],[Missed Games]])</f>
        <v>1.5</v>
      </c>
      <c r="AQ83" s="31">
        <f>Table21125[[#This Row],[Finishes]]/($AL$67-Table21125[[#This Row],[Missed Games]])</f>
        <v>0.5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0.5</v>
      </c>
      <c r="AT83" s="31">
        <f>COUNTIF('1408'!V17, TRUE)+COUNTIF('1508'!V17, TRUE)+COUNTIF('1708'!V17, TRUE)</f>
        <v>1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'1408'!R18+'1508'!R18+'1708'!R18</f>
        <v>0</v>
      </c>
      <c r="AM84" s="31">
        <f>'1408'!S18+'1508'!S18+'1708'!S18</f>
        <v>0</v>
      </c>
      <c r="AN84" s="31">
        <f>'1408'!T18+'1508'!T18+'1708'!T18</f>
        <v>0</v>
      </c>
      <c r="AO84" s="31">
        <f>'1408'!U18+'1508'!U18+'1708'!U18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TRUE)+COUNTIF('1508'!V18, TRUE)+COUNTIF('1708'!V18,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'1408'!R19+'1508'!R19+'1708'!R19</f>
        <v>2</v>
      </c>
      <c r="AM85" s="31">
        <f>'1408'!S19+'1508'!S19+'1708'!S19</f>
        <v>0</v>
      </c>
      <c r="AN85" s="31">
        <f>'1408'!T19+'1508'!T19+'1708'!T19</f>
        <v>0</v>
      </c>
      <c r="AO85" s="31">
        <f>'1408'!U19+'1508'!U19+'1708'!U19</f>
        <v>1</v>
      </c>
      <c r="AP85" s="31">
        <f>Table21125[[#This Row],[Points]]/($AL$67-Table21125[[#This Row],[Missed Games]])</f>
        <v>0.66666666666666663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0.33333333333333331</v>
      </c>
      <c r="AT85" s="31">
        <f>COUNTIF('1408'!V19, TRUE)+COUNTIF('1508'!V19, TRUE)+COUNTIF('1708'!V19,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1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>
        <f>'Finals 1'!S3</f>
        <v>0</v>
      </c>
      <c r="AB89" s="31">
        <f>'Finals 1'!T3</f>
        <v>0</v>
      </c>
      <c r="AC89" s="31">
        <f>'Finals 1'!U3</f>
        <v>0</v>
      </c>
      <c r="AD89" s="31">
        <f>'Finals 1'!V3</f>
        <v>0</v>
      </c>
      <c r="AE89" s="31">
        <f>Table21127[[#This Row],[Points]]/($AA$87-Table21127[[#This Row],[Missed Games]])</f>
        <v>0</v>
      </c>
      <c r="AF89" s="31">
        <f>Table21127[[#This Row],[Finishes]]/($AA$87-Table21127[[#This Row],[Missed Games]])</f>
        <v>0</v>
      </c>
      <c r="AG89" s="31">
        <f>Table21127[[#This Row],[Midranges]]/($AA$87-Table21127[[#This Row],[Missed Games]])</f>
        <v>0</v>
      </c>
      <c r="AH89" s="31">
        <f>Table21127[[#This Row],[Threes]]/($AA$87-Table21127[[#This Row],[Missed Games]])</f>
        <v>0</v>
      </c>
      <c r="AI89" s="31">
        <f>COUNTIF('Finals 1'!W3, TRUE)</f>
        <v>0</v>
      </c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>
        <f>'Finals 1'!S4</f>
        <v>0</v>
      </c>
      <c r="AB90" s="31">
        <f>'Finals 1'!T4</f>
        <v>0</v>
      </c>
      <c r="AC90" s="31">
        <f>'Finals 1'!U4</f>
        <v>0</v>
      </c>
      <c r="AD90" s="31">
        <f>'Finals 1'!V4</f>
        <v>0</v>
      </c>
      <c r="AE90" s="31">
        <f>Table21127[[#This Row],[Points]]/($AA$87-Table21127[[#This Row],[Missed Games]])</f>
        <v>0</v>
      </c>
      <c r="AF90" s="31">
        <f>Table21127[[#This Row],[Finishes]]/($AA$87-Table21127[[#This Row],[Missed Games]])</f>
        <v>0</v>
      </c>
      <c r="AG90" s="31">
        <f>Table21127[[#This Row],[Midranges]]/($AA$87-Table21127[[#This Row],[Missed Games]])</f>
        <v>0</v>
      </c>
      <c r="AH90" s="31">
        <f>Table21127[[#This Row],[Threes]]/($AA$87-Table21127[[#This Row],[Missed Games]])</f>
        <v>0</v>
      </c>
      <c r="AI90" s="31">
        <f>COUNTIF('Finals 1'!W4, TRUE)</f>
        <v>0</v>
      </c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>
        <f>'Finals 1'!S5</f>
        <v>5</v>
      </c>
      <c r="AB91" s="31">
        <f>'Finals 1'!T5</f>
        <v>4</v>
      </c>
      <c r="AC91" s="31">
        <f>'Finals 1'!U5</f>
        <v>1</v>
      </c>
      <c r="AD91" s="31">
        <f>'Finals 1'!V5</f>
        <v>0</v>
      </c>
      <c r="AE91" s="31">
        <f>Table21127[[#This Row],[Points]]/($AA$87-Table21127[[#This Row],[Missed Games]])</f>
        <v>5</v>
      </c>
      <c r="AF91" s="31">
        <f>Table21127[[#This Row],[Finishes]]/($AA$87-Table21127[[#This Row],[Missed Games]])</f>
        <v>4</v>
      </c>
      <c r="AG91" s="31">
        <f>Table21127[[#This Row],[Midranges]]/($AA$87-Table21127[[#This Row],[Missed Games]])</f>
        <v>1</v>
      </c>
      <c r="AH91" s="31">
        <f>Table21127[[#This Row],[Threes]]/($AA$87-Table21127[[#This Row],[Missed Games]])</f>
        <v>0</v>
      </c>
      <c r="AI91" s="31">
        <f>COUNTIF('Finals 1'!W5, TRUE)</f>
        <v>0</v>
      </c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>
        <f>'Finals 1'!S6</f>
        <v>2</v>
      </c>
      <c r="AB92" s="31">
        <f>'Finals 1'!T6</f>
        <v>2</v>
      </c>
      <c r="AC92" s="31">
        <f>'Finals 1'!U6</f>
        <v>0</v>
      </c>
      <c r="AD92" s="31">
        <f>'Finals 1'!V6</f>
        <v>0</v>
      </c>
      <c r="AE92" s="31">
        <f>Table21127[[#This Row],[Points]]/($AA$87-Table21127[[#This Row],[Missed Games]])</f>
        <v>2</v>
      </c>
      <c r="AF92" s="31">
        <f>Table21127[[#This Row],[Finishes]]/($AA$87-Table21127[[#This Row],[Missed Games]])</f>
        <v>2</v>
      </c>
      <c r="AG92" s="31">
        <f>Table21127[[#This Row],[Midranges]]/($AA$87-Table21127[[#This Row],[Missed Games]])</f>
        <v>0</v>
      </c>
      <c r="AH92" s="31">
        <f>Table21127[[#This Row],[Threes]]/($AA$87-Table21127[[#This Row],[Missed Games]])</f>
        <v>0</v>
      </c>
      <c r="AI92" s="31">
        <f>COUNTIF('Finals 1'!W6, TRUE)</f>
        <v>0</v>
      </c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>
        <f>'Finals 1'!S7</f>
        <v>0</v>
      </c>
      <c r="AB93" s="31">
        <f>'Finals 1'!T7</f>
        <v>0</v>
      </c>
      <c r="AC93" s="31">
        <f>'Finals 1'!U7</f>
        <v>0</v>
      </c>
      <c r="AD93" s="31">
        <f>'Finals 1'!V7</f>
        <v>0</v>
      </c>
      <c r="AE93" s="31">
        <f>Table21127[[#This Row],[Points]]/($AA$87-Table21127[[#This Row],[Missed Games]])</f>
        <v>0</v>
      </c>
      <c r="AF93" s="31">
        <f>Table21127[[#This Row],[Finishes]]/($AA$87-Table21127[[#This Row],[Missed Games]])</f>
        <v>0</v>
      </c>
      <c r="AG93" s="31">
        <f>Table21127[[#This Row],[Midranges]]/($AA$87-Table21127[[#This Row],[Missed Games]])</f>
        <v>0</v>
      </c>
      <c r="AH93" s="31">
        <f>Table21127[[#This Row],[Threes]]/($AA$87-Table21127[[#This Row],[Missed Games]])</f>
        <v>0</v>
      </c>
      <c r="AI93" s="31">
        <f>COUNTIF('Finals 1'!W7, TRUE)</f>
        <v>0</v>
      </c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>
        <f>'Finals 1'!S8</f>
        <v>1</v>
      </c>
      <c r="AB94" s="31">
        <f>'Finals 1'!T8</f>
        <v>1</v>
      </c>
      <c r="AC94" s="31">
        <f>'Finals 1'!U8</f>
        <v>0</v>
      </c>
      <c r="AD94" s="31">
        <f>'Finals 1'!V8</f>
        <v>0</v>
      </c>
      <c r="AE94" s="31">
        <f>Table21127[[#This Row],[Points]]/($AA$87-Table21127[[#This Row],[Missed Games]])</f>
        <v>1</v>
      </c>
      <c r="AF94" s="31">
        <f>Table21127[[#This Row],[Finishes]]/($AA$87-Table21127[[#This Row],[Missed Games]])</f>
        <v>1</v>
      </c>
      <c r="AG94" s="31">
        <f>Table21127[[#This Row],[Midranges]]/($AA$87-Table21127[[#This Row],[Missed Games]])</f>
        <v>0</v>
      </c>
      <c r="AH94" s="31">
        <f>Table21127[[#This Row],[Threes]]/($AA$87-Table21127[[#This Row],[Missed Games]])</f>
        <v>0</v>
      </c>
      <c r="AI94" s="31">
        <f>COUNTIF('Finals 1'!W8, TRUE)</f>
        <v>0</v>
      </c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>
        <f>'Finals 1'!S9</f>
        <v>1</v>
      </c>
      <c r="AB95" s="31">
        <f>'Finals 1'!T9</f>
        <v>0</v>
      </c>
      <c r="AC95" s="31">
        <f>'Finals 1'!U9</f>
        <v>1</v>
      </c>
      <c r="AD95" s="31">
        <f>'Finals 1'!V9</f>
        <v>0</v>
      </c>
      <c r="AE95" s="31">
        <f>Table21127[[#This Row],[Points]]/($AA$87-Table21127[[#This Row],[Missed Games]])</f>
        <v>1</v>
      </c>
      <c r="AF95" s="31">
        <f>Table21127[[#This Row],[Finishes]]/($AA$87-Table21127[[#This Row],[Missed Games]])</f>
        <v>0</v>
      </c>
      <c r="AG95" s="31">
        <f>Table21127[[#This Row],[Midranges]]/($AA$87-Table21127[[#This Row],[Missed Games]])</f>
        <v>1</v>
      </c>
      <c r="AH95" s="31">
        <f>Table21127[[#This Row],[Threes]]/($AA$87-Table21127[[#This Row],[Missed Games]])</f>
        <v>0</v>
      </c>
      <c r="AI95" s="31">
        <f>COUNTIF('Finals 1'!W9, TRUE)</f>
        <v>0</v>
      </c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>
        <f>'Finals 1'!S10</f>
        <v>0</v>
      </c>
      <c r="AB96" s="31">
        <f>'Finals 1'!T10</f>
        <v>0</v>
      </c>
      <c r="AC96" s="31">
        <f>'Finals 1'!U10</f>
        <v>0</v>
      </c>
      <c r="AD96" s="31">
        <f>'Finals 1'!V10</f>
        <v>0</v>
      </c>
      <c r="AE96" s="31">
        <f>Table21127[[#This Row],[Points]]/($AA$87-Table21127[[#This Row],[Missed Games]])</f>
        <v>0</v>
      </c>
      <c r="AF96" s="31">
        <f>Table21127[[#This Row],[Finishes]]/($AA$87-Table21127[[#This Row],[Missed Games]])</f>
        <v>0</v>
      </c>
      <c r="AG96" s="31">
        <f>Table21127[[#This Row],[Midranges]]/($AA$87-Table21127[[#This Row],[Missed Games]])</f>
        <v>0</v>
      </c>
      <c r="AH96" s="31">
        <f>Table21127[[#This Row],[Threes]]/($AA$87-Table21127[[#This Row],[Missed Games]])</f>
        <v>0</v>
      </c>
      <c r="AI96" s="31">
        <f>COUNTIF('Finals 1'!W10, TRUE)</f>
        <v>0</v>
      </c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>
        <f>'Finals 1'!S11</f>
        <v>3</v>
      </c>
      <c r="AB97" s="31">
        <f>'Finals 1'!T11</f>
        <v>2</v>
      </c>
      <c r="AC97" s="31">
        <f>'Finals 1'!U11</f>
        <v>1</v>
      </c>
      <c r="AD97" s="31">
        <f>'Finals 1'!V11</f>
        <v>0</v>
      </c>
      <c r="AE97" s="31">
        <f>Table21127[[#This Row],[Points]]/($AA$87-Table21127[[#This Row],[Missed Games]])</f>
        <v>3</v>
      </c>
      <c r="AF97" s="31">
        <f>Table21127[[#This Row],[Finishes]]/($AA$87-Table21127[[#This Row],[Missed Games]])</f>
        <v>2</v>
      </c>
      <c r="AG97" s="31">
        <f>Table21127[[#This Row],[Midranges]]/($AA$87-Table21127[[#This Row],[Missed Games]])</f>
        <v>1</v>
      </c>
      <c r="AH97" s="31">
        <f>Table21127[[#This Row],[Threes]]/($AA$87-Table21127[[#This Row],[Missed Games]])</f>
        <v>0</v>
      </c>
      <c r="AI97" s="31">
        <f>COUNTIF('Finals 1'!W11, TRUE)</f>
        <v>0</v>
      </c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>
        <f>'Finals 1'!S12</f>
        <v>4</v>
      </c>
      <c r="AB98" s="31">
        <f>'Finals 1'!T12</f>
        <v>0</v>
      </c>
      <c r="AC98" s="31">
        <f>'Finals 1'!U12</f>
        <v>4</v>
      </c>
      <c r="AD98" s="31">
        <f>'Finals 1'!V12</f>
        <v>0</v>
      </c>
      <c r="AE98" s="31">
        <f>Table21127[[#This Row],[Points]]/($AA$87-Table21127[[#This Row],[Missed Games]])</f>
        <v>4</v>
      </c>
      <c r="AF98" s="31">
        <f>Table21127[[#This Row],[Finishes]]/($AA$87-Table21127[[#This Row],[Missed Games]])</f>
        <v>0</v>
      </c>
      <c r="AG98" s="31">
        <f>Table21127[[#This Row],[Midranges]]/($AA$87-Table21127[[#This Row],[Missed Games]])</f>
        <v>4</v>
      </c>
      <c r="AH98" s="31">
        <f>Table21127[[#This Row],[Threes]]/($AA$87-Table21127[[#This Row],[Missed Games]])</f>
        <v>0</v>
      </c>
      <c r="AI98" s="31">
        <f>COUNTIF('Finals 1'!W12, TRUE)</f>
        <v>0</v>
      </c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>
        <f>'Finals 1'!S13</f>
        <v>0</v>
      </c>
      <c r="AB99" s="31">
        <f>'Finals 1'!T13</f>
        <v>0</v>
      </c>
      <c r="AC99" s="31">
        <f>'Finals 1'!U13</f>
        <v>0</v>
      </c>
      <c r="AD99" s="31">
        <f>'Finals 1'!V13</f>
        <v>0</v>
      </c>
      <c r="AE99" s="31">
        <f>Table21127[[#This Row],[Points]]/($AA$87-Table21127[[#This Row],[Missed Games]])</f>
        <v>0</v>
      </c>
      <c r="AF99" s="31">
        <f>Table21127[[#This Row],[Finishes]]/($AA$87-Table21127[[#This Row],[Missed Games]])</f>
        <v>0</v>
      </c>
      <c r="AG99" s="31">
        <f>Table21127[[#This Row],[Midranges]]/($AA$87-Table21127[[#This Row],[Missed Games]])</f>
        <v>0</v>
      </c>
      <c r="AH99" s="31">
        <f>Table21127[[#This Row],[Threes]]/($AA$87-Table21127[[#This Row],[Missed Games]])</f>
        <v>0</v>
      </c>
      <c r="AI99" s="31">
        <f>COUNTIF('Finals 1'!W13, TRUE)</f>
        <v>0</v>
      </c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>
        <f>'Finals 1'!S14</f>
        <v>0</v>
      </c>
      <c r="AB100" s="31">
        <f>'Finals 1'!T14</f>
        <v>0</v>
      </c>
      <c r="AC100" s="31">
        <f>'Finals 1'!U14</f>
        <v>0</v>
      </c>
      <c r="AD100" s="31">
        <f>'Finals 1'!V14</f>
        <v>0</v>
      </c>
      <c r="AE100" s="31" t="e">
        <f>Table21127[[#This Row],[Points]]/($AA$87-Table21127[[#This Row],[Missed Games]])</f>
        <v>#DIV/0!</v>
      </c>
      <c r="AF100" s="31" t="e">
        <f>Table21127[[#This Row],[Finishes]]/($AA$87-Table21127[[#This Row],[Missed Games]])</f>
        <v>#DIV/0!</v>
      </c>
      <c r="AG100" s="31" t="e">
        <f>Table21127[[#This Row],[Midranges]]/($AA$87-Table21127[[#This Row],[Missed Games]])</f>
        <v>#DIV/0!</v>
      </c>
      <c r="AH100" s="31" t="e">
        <f>Table21127[[#This Row],[Threes]]/($AA$87-Table21127[[#This Row],[Missed Games]])</f>
        <v>#DIV/0!</v>
      </c>
      <c r="AI100" s="31">
        <f>COUNTIF('Finals 1'!W14, TRUE)</f>
        <v>1</v>
      </c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>
        <f>'Finals 1'!S15</f>
        <v>0</v>
      </c>
      <c r="AB101" s="31">
        <f>'Finals 1'!T15</f>
        <v>0</v>
      </c>
      <c r="AC101" s="31">
        <f>'Finals 1'!U15</f>
        <v>0</v>
      </c>
      <c r="AD101" s="31">
        <f>'Finals 1'!V15</f>
        <v>0</v>
      </c>
      <c r="AE101" s="31">
        <f>Table21127[[#This Row],[Points]]/($AA$87-Table21127[[#This Row],[Missed Games]])</f>
        <v>0</v>
      </c>
      <c r="AF101" s="31">
        <f>Table21127[[#This Row],[Finishes]]/($AA$87-Table21127[[#This Row],[Missed Games]])</f>
        <v>0</v>
      </c>
      <c r="AG101" s="31">
        <f>Table21127[[#This Row],[Midranges]]/($AA$87-Table21127[[#This Row],[Missed Games]])</f>
        <v>0</v>
      </c>
      <c r="AH101" s="31">
        <f>Table21127[[#This Row],[Threes]]/($AA$87-Table21127[[#This Row],[Missed Games]])</f>
        <v>0</v>
      </c>
      <c r="AI101" s="31">
        <f>COUNTIF('Finals 1'!W15, TRUE)</f>
        <v>0</v>
      </c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>
        <f>'Finals 1'!S16</f>
        <v>0</v>
      </c>
      <c r="AB102" s="31">
        <f>'Finals 1'!T16</f>
        <v>0</v>
      </c>
      <c r="AC102" s="31">
        <f>'Finals 1'!U16</f>
        <v>0</v>
      </c>
      <c r="AD102" s="31">
        <f>'Finals 1'!V16</f>
        <v>0</v>
      </c>
      <c r="AE102" s="31">
        <f>Table21127[[#This Row],[Points]]/($AA$87-Table21127[[#This Row],[Missed Games]])</f>
        <v>0</v>
      </c>
      <c r="AF102" s="31">
        <f>Table21127[[#This Row],[Finishes]]/($AA$87-Table21127[[#This Row],[Missed Games]])</f>
        <v>0</v>
      </c>
      <c r="AG102" s="31">
        <f>Table21127[[#This Row],[Midranges]]/($AA$87-Table21127[[#This Row],[Missed Games]])</f>
        <v>0</v>
      </c>
      <c r="AH102" s="31">
        <f>Table21127[[#This Row],[Threes]]/($AA$87-Table21127[[#This Row],[Missed Games]])</f>
        <v>0</v>
      </c>
      <c r="AI102" s="31">
        <f>COUNTIF('Finals 1'!W16, TRUE)</f>
        <v>0</v>
      </c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>
        <f>'Finals 1'!S17</f>
        <v>3</v>
      </c>
      <c r="AB103" s="31">
        <f>'Finals 1'!T17</f>
        <v>3</v>
      </c>
      <c r="AC103" s="31">
        <f>'Finals 1'!U17</f>
        <v>0</v>
      </c>
      <c r="AD103" s="31">
        <f>'Finals 1'!V17</f>
        <v>0</v>
      </c>
      <c r="AE103" s="31">
        <f>Table21127[[#This Row],[Points]]/($AA$87-Table21127[[#This Row],[Missed Games]])</f>
        <v>3</v>
      </c>
      <c r="AF103" s="31">
        <f>Table21127[[#This Row],[Finishes]]/($AA$87-Table21127[[#This Row],[Missed Games]])</f>
        <v>3</v>
      </c>
      <c r="AG103" s="31">
        <f>Table21127[[#This Row],[Midranges]]/($AA$87-Table21127[[#This Row],[Missed Games]])</f>
        <v>0</v>
      </c>
      <c r="AH103" s="31">
        <f>Table21127[[#This Row],[Threes]]/($AA$87-Table21127[[#This Row],[Missed Games]])</f>
        <v>0</v>
      </c>
      <c r="AI103" s="31">
        <f>COUNTIF('Finals 1'!W17, TRUE)</f>
        <v>0</v>
      </c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>
        <f>'Finals 1'!S18</f>
        <v>0</v>
      </c>
      <c r="AB104" s="31">
        <f>'Finals 1'!T18</f>
        <v>0</v>
      </c>
      <c r="AC104" s="31">
        <f>'Finals 1'!U18</f>
        <v>0</v>
      </c>
      <c r="AD104" s="31">
        <f>'Finals 1'!V18</f>
        <v>0</v>
      </c>
      <c r="AE104" s="31">
        <f>Table21127[[#This Row],[Points]]/($AA$87-Table21127[[#This Row],[Missed Games]])</f>
        <v>0</v>
      </c>
      <c r="AF104" s="31">
        <f>Table21127[[#This Row],[Finishes]]/($AA$87-Table21127[[#This Row],[Missed Games]])</f>
        <v>0</v>
      </c>
      <c r="AG104" s="31">
        <f>Table21127[[#This Row],[Midranges]]/($AA$87-Table21127[[#This Row],[Missed Games]])</f>
        <v>0</v>
      </c>
      <c r="AH104" s="31">
        <f>Table21127[[#This Row],[Threes]]/($AA$87-Table21127[[#This Row],[Missed Games]])</f>
        <v>0</v>
      </c>
      <c r="AI104" s="31">
        <f>COUNTIF('Finals 1'!W18, TRUE)</f>
        <v>0</v>
      </c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>
        <f>'Finals 1'!S19</f>
        <v>0</v>
      </c>
      <c r="AB105" s="31">
        <f>'Finals 1'!T19</f>
        <v>0</v>
      </c>
      <c r="AC105" s="31">
        <f>'Finals 1'!U19</f>
        <v>0</v>
      </c>
      <c r="AD105" s="31">
        <f>'Finals 1'!V19</f>
        <v>0</v>
      </c>
      <c r="AE105" s="31">
        <f>Table21127[[#This Row],[Points]]/($AA$87-Table21127[[#This Row],[Missed Games]])</f>
        <v>0</v>
      </c>
      <c r="AF105" s="31">
        <f>Table21127[[#This Row],[Finishes]]/($AA$87-Table21127[[#This Row],[Missed Games]])</f>
        <v>0</v>
      </c>
      <c r="AG105" s="31">
        <f>Table21127[[#This Row],[Midranges]]/($AA$87-Table21127[[#This Row],[Missed Games]])</f>
        <v>0</v>
      </c>
      <c r="AH105" s="31">
        <f>Table21127[[#This Row],[Threes]]/($AA$87-Table21127[[#This Row],[Missed Games]])</f>
        <v>0</v>
      </c>
      <c r="AI105" s="31">
        <f>COUNTIF('Finals 1'!W19, TRUE)</f>
        <v>0</v>
      </c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3" type="noConversion"/>
  <conditionalFormatting sqref="U109:U118 W103:W108">
    <cfRule type="cellIs" dxfId="11" priority="11" operator="greaterThan">
      <formula>0</formula>
    </cfRule>
  </conditionalFormatting>
  <conditionalFormatting sqref="U109:U118 W103:W108">
    <cfRule type="cellIs" dxfId="10" priority="10" operator="lessThan">
      <formula>0</formula>
    </cfRule>
  </conditionalFormatting>
  <conditionalFormatting sqref="AQ8:AQ24">
    <cfRule type="cellIs" dxfId="9" priority="5" operator="equal">
      <formula>$AA$4</formula>
    </cfRule>
    <cfRule type="cellIs" dxfId="8" priority="6" operator="lessThan">
      <formula>$AA$4</formula>
    </cfRule>
    <cfRule type="cellIs" dxfId="7" priority="7" operator="greaterThan">
      <formula>$AA$4</formula>
    </cfRule>
  </conditionalFormatting>
  <conditionalFormatting sqref="AT8:AT24">
    <cfRule type="cellIs" dxfId="6" priority="3" operator="lessThan">
      <formula>0</formula>
    </cfRule>
    <cfRule type="cellIs" dxfId="5" priority="4" operator="greaterThan">
      <formula>0</formula>
    </cfRule>
  </conditionalFormatting>
  <conditionalFormatting sqref="AU8:AU24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88" t="s">
        <v>218</v>
      </c>
      <c r="Y2" s="188"/>
      <c r="Z2" s="188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87" t="s">
        <v>119</v>
      </c>
      <c r="U41" s="187"/>
      <c r="V41" s="187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7" t="s">
        <v>119</v>
      </c>
      <c r="U41" s="187"/>
      <c r="V41" s="187"/>
    </row>
    <row r="42" spans="2:26" ht="14.25" customHeight="1" x14ac:dyDescent="0.9">
      <c r="R42" s="94"/>
      <c r="S42" s="94"/>
      <c r="T42" s="187"/>
      <c r="U42" s="187"/>
      <c r="V42" s="18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7" t="s">
        <v>119</v>
      </c>
      <c r="U41" s="187"/>
      <c r="V41" s="187"/>
    </row>
    <row r="42" spans="2:26" ht="14.25" customHeight="1" x14ac:dyDescent="0.9">
      <c r="R42" s="94"/>
      <c r="S42" s="94"/>
      <c r="T42" s="187"/>
      <c r="U42" s="187"/>
      <c r="V42" s="18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7" t="s">
        <v>119</v>
      </c>
      <c r="U41" s="187"/>
      <c r="V41" s="187"/>
    </row>
    <row r="42" spans="2:26" ht="14.25" customHeight="1" x14ac:dyDescent="0.9">
      <c r="R42" s="94"/>
      <c r="S42" s="94"/>
      <c r="T42" s="187"/>
      <c r="U42" s="187"/>
      <c r="V42" s="18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topLeftCell="A10" zoomScale="85" zoomScaleNormal="85" workbookViewId="0">
      <selection activeCell="I43" sqref="I43:I4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98</v>
      </c>
      <c r="I3" s="81">
        <f>SUM(C7:C40)</f>
        <v>96</v>
      </c>
      <c r="J3" s="78">
        <f>SUM(D7:D40)</f>
        <v>37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1.1000000000000001</v>
      </c>
      <c r="AI3" s="168">
        <f>Table3[[#This Row],[Finishes]]/('Stats Global'!$AA$6-'Stats Global'!$AJ$10)</f>
        <v>1.1000000000000001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2.4</v>
      </c>
      <c r="AM3" s="168">
        <f>'Stats Global'!AD10-Table3[[#This Row],[AVG F]]</f>
        <v>2.1</v>
      </c>
      <c r="AN3" s="168">
        <f>'Stats Global'!AF10-Table3[[#This Row],[AVG M]]</f>
        <v>0.1</v>
      </c>
      <c r="AO3" s="168">
        <f>'Stats Global'!AH10-Table3[[#This Row],[AVG T]]</f>
        <v>0.1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47</v>
      </c>
      <c r="T4" s="93">
        <f>'Stats Global'!AB22</f>
        <v>2.7647058823529411</v>
      </c>
      <c r="U4" s="93">
        <f>'Stats Global'!AC22</f>
        <v>25</v>
      </c>
      <c r="V4" s="93">
        <f>'Stats Global'!AD22</f>
        <v>1.4705882352941178</v>
      </c>
      <c r="W4" s="93">
        <f>'Stats Global'!AE22</f>
        <v>8</v>
      </c>
      <c r="X4" s="93">
        <f>'Stats Global'!AF22</f>
        <v>0.47058823529411764</v>
      </c>
      <c r="Y4" s="93">
        <f>'Stats Global'!AG22</f>
        <v>7</v>
      </c>
      <c r="Z4" s="93">
        <f>'Stats Global'!AH22</f>
        <v>0.41176470588235292</v>
      </c>
      <c r="AA4" s="93">
        <f>'Stats Global'!AJ22</f>
        <v>1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0.53846153846153844</v>
      </c>
      <c r="AI4" s="169">
        <f>Table3[[#This Row],[Finishes]]/('Stats Global'!$AA$6-'Stats Global'!$AJ$11)</f>
        <v>0.53846153846153844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0.84615384615384615</v>
      </c>
      <c r="AM4" s="169">
        <f>'Stats Global'!AD11-Table3[[#This Row],[AVG F]]</f>
        <v>0.84615384615384615</v>
      </c>
      <c r="AN4" s="169">
        <f>'Stats Global'!AF11-Table3[[#This Row],[AVG M]]</f>
        <v>0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31</v>
      </c>
      <c r="T5" s="93">
        <f>'Stats Global'!AB16</f>
        <v>1.9375</v>
      </c>
      <c r="U5" s="93">
        <f>'Stats Global'!AC16</f>
        <v>13</v>
      </c>
      <c r="V5" s="93">
        <f>'Stats Global'!AD16</f>
        <v>0.8125</v>
      </c>
      <c r="W5" s="93">
        <f>'Stats Global'!AE16</f>
        <v>12</v>
      </c>
      <c r="X5" s="93">
        <f>'Stats Global'!AF16</f>
        <v>0.75</v>
      </c>
      <c r="Y5" s="93">
        <f>'Stats Global'!AG16</f>
        <v>3</v>
      </c>
      <c r="Z5" s="93">
        <f>'Stats Global'!AH16</f>
        <v>0.1875</v>
      </c>
      <c r="AA5" s="93">
        <f>'Stats Global'!AJ16</f>
        <v>2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0.5</v>
      </c>
      <c r="AI5" s="169">
        <f>Table3[[#This Row],[Finishes]]/('Stats Global'!$AA$6-'Stats Global'!$AJ$12)</f>
        <v>0.1875</v>
      </c>
      <c r="AJ5" s="169">
        <f>Table3[[#This Row],[Midranges]]/('Stats Global'!$AA$6-'Stats Global'!$AJ$12)</f>
        <v>0.1875</v>
      </c>
      <c r="AK5" s="169">
        <f>Table3[[#This Row],[Threes]]/('Stats Global'!$AA$6-'Stats Global'!$AJ$12)</f>
        <v>6.25E-2</v>
      </c>
      <c r="AL5" s="169">
        <f>'Stats Global'!AB12-Table3[[#This Row],[AVG P]]</f>
        <v>0.6875</v>
      </c>
      <c r="AM5" s="169">
        <f>'Stats Global'!AD12-Table3[[#This Row],[AVG F]]</f>
        <v>0.3125</v>
      </c>
      <c r="AN5" s="169">
        <f>'Stats Global'!AF12-Table3[[#This Row],[AVG M]]</f>
        <v>0.25</v>
      </c>
      <c r="AO5" s="169">
        <f>'Stats Global'!AH12-Table3[[#This Row],[AVG T]]</f>
        <v>6.25E-2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20</v>
      </c>
      <c r="T6" s="93">
        <f>'Stats Global'!AB21</f>
        <v>1.1111111111111112</v>
      </c>
      <c r="U6" s="93">
        <f>'Stats Global'!AC21</f>
        <v>13</v>
      </c>
      <c r="V6" s="93">
        <f>'Stats Global'!AD21</f>
        <v>0.72222222222222221</v>
      </c>
      <c r="W6" s="93">
        <f>'Stats Global'!AE21</f>
        <v>5</v>
      </c>
      <c r="X6" s="93">
        <f>'Stats Global'!AF21</f>
        <v>0.27777777777777779</v>
      </c>
      <c r="Y6" s="93">
        <f>'Stats Global'!AG21</f>
        <v>1</v>
      </c>
      <c r="Z6" s="93">
        <f>'Stats Global'!AH21</f>
        <v>5.5555555555555552E-2</v>
      </c>
      <c r="AA6" s="93">
        <f>'Stats Global'!AJ21</f>
        <v>0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0.26666666666666666</v>
      </c>
      <c r="AI6" s="169">
        <f>Table3[[#This Row],[Finishes]]/('Stats Global'!$AA$6-'Stats Global'!$AJ$13)</f>
        <v>0.26666666666666666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0.66666666666666674</v>
      </c>
      <c r="AM6" s="169">
        <f>'Stats Global'!AD13-Table3[[#This Row],[AVG F]]</f>
        <v>0.46666666666666662</v>
      </c>
      <c r="AN6" s="169">
        <f>'Stats Global'!AF13-Table3[[#This Row],[AVG M]]</f>
        <v>0.2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0.16666666666666666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0.16666666666666666</v>
      </c>
      <c r="Y7" s="93">
        <f>'Stats Global'!AG8</f>
        <v>0</v>
      </c>
      <c r="Z7" s="93">
        <f>'Stats Global'!AH8</f>
        <v>0</v>
      </c>
      <c r="AA7" s="93">
        <f>'Stats Global'!AJ8</f>
        <v>0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0.16666666666666666</v>
      </c>
      <c r="AI7" s="169">
        <f>Table3[[#This Row],[Finishes]]/('Stats Global'!$AA$6-'Stats Global'!$AJ$14)</f>
        <v>0.1111111111111111</v>
      </c>
      <c r="AJ7" s="169">
        <f>Table3[[#This Row],[Midranges]]/('Stats Global'!$AA$6-'Stats Global'!$AJ$14)</f>
        <v>5.5555555555555552E-2</v>
      </c>
      <c r="AK7" s="169">
        <f>Table3[[#This Row],[Threes]]/('Stats Global'!$AA$6-'Stats Global'!$AJ$14)</f>
        <v>0</v>
      </c>
      <c r="AL7" s="169">
        <f>'Stats Global'!AB14-Table3[[#This Row],[AVG P]]</f>
        <v>0.5</v>
      </c>
      <c r="AM7" s="169">
        <f>'Stats Global'!AD14-Table3[[#This Row],[AVG F]]</f>
        <v>0.22222222222222221</v>
      </c>
      <c r="AN7" s="169">
        <f>'Stats Global'!AF14-Table3[[#This Row],[AVG M]]</f>
        <v>0.16666666666666666</v>
      </c>
      <c r="AO7" s="169">
        <f>'Stats Global'!AH14-Table3[[#This Row],[AVG T]]</f>
        <v>5.5555555555555552E-2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12</v>
      </c>
      <c r="T8" s="93">
        <f>'Stats Global'!AB9</f>
        <v>0.75</v>
      </c>
      <c r="U8" s="93">
        <f>'Stats Global'!AC9</f>
        <v>12</v>
      </c>
      <c r="V8" s="93">
        <f>'Stats Global'!AD9</f>
        <v>0.75</v>
      </c>
      <c r="W8" s="93">
        <f>'Stats Global'!AE9</f>
        <v>0</v>
      </c>
      <c r="X8" s="93">
        <f>'Stats Global'!AF9</f>
        <v>0</v>
      </c>
      <c r="Y8" s="93">
        <f>'Stats Global'!AG9</f>
        <v>0</v>
      </c>
      <c r="Z8" s="93">
        <f>'Stats Global'!AH9</f>
        <v>0</v>
      </c>
      <c r="AA8" s="93">
        <f>'Stats Global'!AJ9</f>
        <v>2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0.41666666666666669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8.3333333333333329E-2</v>
      </c>
      <c r="AK8" s="169">
        <f>Table3[[#This Row],[Threes]]/('Stats Global'!$AA$6-'Stats Global'!$AJ$15)</f>
        <v>0.16666666666666666</v>
      </c>
      <c r="AL8" s="169">
        <f>'Stats Global'!AB15-Table3[[#This Row],[AVG P]]</f>
        <v>1</v>
      </c>
      <c r="AM8" s="169">
        <f>'Stats Global'!AD15-Table3[[#This Row],[AVG F]]</f>
        <v>8.3333333333333329E-2</v>
      </c>
      <c r="AN8" s="169">
        <f>'Stats Global'!AF15-Table3[[#This Row],[AVG M]]</f>
        <v>8.3333333333333329E-2</v>
      </c>
      <c r="AO8" s="169">
        <f>'Stats Global'!AH15-Table3[[#This Row],[AVG T]]</f>
        <v>0.41666666666666674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1.3529411764705883</v>
      </c>
      <c r="AI9" s="169">
        <f>Table3[[#This Row],[Finishes]]/('Stats Global'!$AA$6-'Stats Global'!$AJ$17)</f>
        <v>0.23529411764705882</v>
      </c>
      <c r="AJ9" s="169">
        <f>Table3[[#This Row],[Midranges]]/('Stats Global'!$AA$6-'Stats Global'!$AJ$17)</f>
        <v>0.76470588235294112</v>
      </c>
      <c r="AK9" s="169">
        <f>Table3[[#This Row],[Threes]]/('Stats Global'!$AA$6-'Stats Global'!$AJ$17)</f>
        <v>0.17647058823529413</v>
      </c>
      <c r="AL9" s="169">
        <f>'Stats Global'!AB17-Table3[[#This Row],[AVG P]]</f>
        <v>2.3529411764705883</v>
      </c>
      <c r="AM9" s="169">
        <f>'Stats Global'!AD17-Table3[[#This Row],[AVG F]]</f>
        <v>0.64705882352941169</v>
      </c>
      <c r="AN9" s="169">
        <f>'Stats Global'!AF17-Table3[[#This Row],[AVG M]]</f>
        <v>1.4705882352941178</v>
      </c>
      <c r="AO9" s="169">
        <f>'Stats Global'!AH17-Table3[[#This Row],[AVG T]]</f>
        <v>0.11764705882352941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0.1111111111111111</v>
      </c>
      <c r="AI10" s="169">
        <f>Table3[[#This Row],[Finishes]]/('Stats Global'!$AA$6-'Stats Global'!$AJ$18)</f>
        <v>5.5555555555555552E-2</v>
      </c>
      <c r="AJ10" s="169">
        <f>Table3[[#This Row],[Midranges]]/('Stats Global'!$AA$6-'Stats Global'!$AJ$18)</f>
        <v>5.5555555555555552E-2</v>
      </c>
      <c r="AK10" s="169">
        <f>Table3[[#This Row],[Threes]]/('Stats Global'!$AA$6-'Stats Global'!$AJ$18)</f>
        <v>0</v>
      </c>
      <c r="AL10" s="169">
        <f>'Stats Global'!AB18-Table3[[#This Row],[AVG P]]</f>
        <v>0.44444444444444448</v>
      </c>
      <c r="AM10" s="169">
        <f>'Stats Global'!AD18-Table3[[#This Row],[AVG F]]</f>
        <v>5.5555555555555552E-2</v>
      </c>
      <c r="AN10" s="169">
        <f>'Stats Global'!AF18-Table3[[#This Row],[AVG M]]</f>
        <v>0.38888888888888884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0.16666666666666666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0.16666666666666666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0.26666666666666666</v>
      </c>
      <c r="AI12" s="169">
        <f>Table3[[#This Row],[Finishes]]/('Stats Global'!$AA$6-'Stats Global'!$AJ$20)</f>
        <v>0.2</v>
      </c>
      <c r="AJ12" s="169">
        <f>Table3[[#This Row],[Midranges]]/('Stats Global'!$AA$6-'Stats Global'!$AJ$20)</f>
        <v>6.6666666666666666E-2</v>
      </c>
      <c r="AK12" s="169">
        <f>Table3[[#This Row],[Threes]]/('Stats Global'!$AA$6-'Stats Global'!$AJ$20)</f>
        <v>0</v>
      </c>
      <c r="AL12" s="169">
        <f>'Stats Global'!AB20-Table3[[#This Row],[AVG P]]</f>
        <v>0.53333333333333344</v>
      </c>
      <c r="AM12" s="169">
        <f>'Stats Global'!AD20-Table3[[#This Row],[AVG F]]</f>
        <v>0.39999999999999997</v>
      </c>
      <c r="AN12" s="169">
        <f>'Stats Global'!AF20-Table3[[#This Row],[AVG M]]</f>
        <v>0</v>
      </c>
      <c r="AO12" s="169">
        <f>'Stats Global'!AH20-Table3[[#This Row],[AVG T]]</f>
        <v>6.6666666666666666E-2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5.5555555555555552E-2</v>
      </c>
      <c r="AM13" s="169">
        <f>'Stats Global'!AD23-Table3[[#This Row],[AVG F]]</f>
        <v>0</v>
      </c>
      <c r="AN13" s="169">
        <f>'Stats Global'!AF23-Table3[[#This Row],[AVG M]]</f>
        <v>5.5555555555555552E-2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0.25</v>
      </c>
      <c r="AI14" s="170">
        <f>Table3[[#This Row],[Finishes]]/('Stats Global'!$AA$6-'Stats Global'!$AJ$24)</f>
        <v>0.25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0.25</v>
      </c>
      <c r="AM14" s="170">
        <f>'Stats Global'!AD24-Table3[[#This Row],[AVG F]]</f>
        <v>8.3333333333333315E-2</v>
      </c>
      <c r="AN14" s="170">
        <f>'Stats Global'!AF24-Table3[[#This Row],[AVG M]]</f>
        <v>0</v>
      </c>
      <c r="AO14" s="170">
        <f>'Stats Global'!AH24-Table3[[#This Row],[AVG T]]</f>
        <v>8.3333333333333329E-2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 t="str">
        <f>'Stats Global'!B23</f>
        <v>15-August</v>
      </c>
      <c r="B22" s="82">
        <f>'Stats Global'!F23</f>
        <v>5</v>
      </c>
      <c r="C22" s="82">
        <f>'Stats Global'!G23+'Stats Global'!H23</f>
        <v>13</v>
      </c>
      <c r="D22" s="82">
        <f>'Stats Global'!O23</f>
        <v>1</v>
      </c>
      <c r="E22" s="80" t="s">
        <v>207</v>
      </c>
      <c r="F22" s="80" t="s">
        <v>58</v>
      </c>
      <c r="H22" s="87"/>
      <c r="J22" s="83"/>
      <c r="L22" s="84">
        <f>'Stats Global'!J23</f>
        <v>0</v>
      </c>
      <c r="M22" s="84">
        <f>'Stats Global'!G23</f>
        <v>5</v>
      </c>
      <c r="N22" s="85"/>
      <c r="O22" s="84">
        <f>'Stats Global'!M23</f>
        <v>5</v>
      </c>
      <c r="P22" s="84">
        <f>'Stats Global'!H23</f>
        <v>8</v>
      </c>
    </row>
    <row r="23" spans="1:23" ht="14.35" customHeight="1" x14ac:dyDescent="0.45">
      <c r="A23" s="75" t="str">
        <f>'Stats Global'!B24</f>
        <v>17-August</v>
      </c>
      <c r="B23" s="82">
        <f>'Stats Global'!F24</f>
        <v>4</v>
      </c>
      <c r="C23" s="82">
        <f>'Stats Global'!G24+'Stats Global'!H24</f>
        <v>6</v>
      </c>
      <c r="D23" s="82">
        <f>'Stats Global'!O24</f>
        <v>1</v>
      </c>
      <c r="E23" s="185" t="s">
        <v>61</v>
      </c>
      <c r="F23" s="186" t="s">
        <v>46</v>
      </c>
      <c r="H23" s="87"/>
      <c r="J23" s="83"/>
      <c r="L23" s="84">
        <f>'Stats Global'!J24</f>
        <v>2</v>
      </c>
      <c r="M23" s="84">
        <f>'Stats Global'!G24</f>
        <v>3</v>
      </c>
      <c r="N23" s="85"/>
      <c r="O23" s="84">
        <f>'Stats Global'!M24</f>
        <v>2</v>
      </c>
      <c r="P23" s="84">
        <f>'Stats Global'!H24</f>
        <v>3</v>
      </c>
    </row>
    <row r="24" spans="1:23" ht="14.35" customHeight="1" x14ac:dyDescent="0.45">
      <c r="A24" s="75" t="str">
        <f>'Stats Global'!B25</f>
        <v>Finals 1</v>
      </c>
      <c r="B24" s="82">
        <f>'Stats Global'!F25</f>
        <v>2</v>
      </c>
      <c r="C24" s="82">
        <f>'Stats Global'!G25+'Stats Global'!H25</f>
        <v>7</v>
      </c>
      <c r="D24" s="82">
        <f>'Stats Global'!O25</f>
        <v>4</v>
      </c>
      <c r="E24" s="86"/>
      <c r="F24" s="80"/>
      <c r="H24" s="87"/>
      <c r="J24" s="83"/>
      <c r="L24" s="84">
        <f>'Stats Global'!J25</f>
        <v>3</v>
      </c>
      <c r="M24" s="84">
        <f>'Stats Global'!G25</f>
        <v>2</v>
      </c>
      <c r="N24" s="85"/>
      <c r="O24" s="84">
        <f>'Stats Global'!M25</f>
        <v>3</v>
      </c>
      <c r="P24" s="84">
        <f>'Stats Global'!H25</f>
        <v>5</v>
      </c>
    </row>
    <row r="25" spans="1:23" ht="14.35" customHeight="1" x14ac:dyDescent="0.45">
      <c r="A25" s="75">
        <f>'Stats Global'!B26</f>
        <v>0</v>
      </c>
      <c r="B25" s="82">
        <f>'Stats Global'!F26</f>
        <v>0</v>
      </c>
      <c r="C25" s="82">
        <f>'Stats Global'!G26+'Stats Global'!H26</f>
        <v>0</v>
      </c>
      <c r="D25" s="82">
        <f>'Stats Global'!O26</f>
        <v>0</v>
      </c>
      <c r="E25" s="86"/>
      <c r="F25" s="80"/>
      <c r="J25" s="83"/>
      <c r="L25" s="84">
        <f>'Stats Global'!J26</f>
        <v>0</v>
      </c>
      <c r="M25" s="84">
        <f>'Stats Global'!G26</f>
        <v>0</v>
      </c>
      <c r="N25" s="85"/>
      <c r="O25" s="84">
        <f>'Stats Global'!M26</f>
        <v>0</v>
      </c>
      <c r="P25" s="84">
        <f>'Stats Global'!H26</f>
        <v>0</v>
      </c>
    </row>
    <row r="26" spans="1:23" ht="14.35" customHeight="1" x14ac:dyDescent="0.45">
      <c r="A26" s="75">
        <f>'Stats Global'!B27</f>
        <v>0</v>
      </c>
      <c r="B26" s="82">
        <f>'Stats Global'!F27</f>
        <v>0</v>
      </c>
      <c r="C26" s="82">
        <f>'Stats Global'!G27+'Stats Global'!H27</f>
        <v>0</v>
      </c>
      <c r="D26" s="82">
        <f>'Stats Global'!O27</f>
        <v>0</v>
      </c>
      <c r="E26" s="80"/>
      <c r="F26" s="80"/>
      <c r="J26" s="83"/>
      <c r="L26" s="84">
        <f>'Stats Global'!J27</f>
        <v>0</v>
      </c>
      <c r="M26" s="84">
        <f>'Stats Global'!G27</f>
        <v>0</v>
      </c>
      <c r="N26" s="85"/>
      <c r="O26" s="84">
        <f>'Stats Global'!M27</f>
        <v>0</v>
      </c>
      <c r="P26" s="84">
        <f>'Stats Global'!H27</f>
        <v>0</v>
      </c>
    </row>
    <row r="27" spans="1:23" ht="14.35" customHeight="1" x14ac:dyDescent="0.45">
      <c r="A27" s="75">
        <f>'Stats Global'!B28</f>
        <v>0</v>
      </c>
      <c r="B27" s="82">
        <f>'Stats Global'!F28</f>
        <v>0</v>
      </c>
      <c r="C27" s="82">
        <f>'Stats Global'!G28+'Stats Global'!H28</f>
        <v>0</v>
      </c>
      <c r="D27" s="82">
        <f>'Stats Global'!O28</f>
        <v>0</v>
      </c>
      <c r="E27" s="80"/>
      <c r="F27" s="80"/>
      <c r="J27" s="83"/>
      <c r="L27" s="84">
        <f>'Stats Global'!J28</f>
        <v>0</v>
      </c>
      <c r="M27" s="84">
        <f>'Stats Global'!G28</f>
        <v>0</v>
      </c>
      <c r="N27" s="85"/>
      <c r="O27" s="84">
        <f>'Stats Global'!M28</f>
        <v>0</v>
      </c>
      <c r="P27" s="84">
        <f>'Stats Global'!H28</f>
        <v>0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0.50515463917525771</v>
      </c>
      <c r="J41" s="83"/>
      <c r="K41" s="81" t="s">
        <v>94</v>
      </c>
      <c r="L41" s="97">
        <f>SUM(L7:L40)</f>
        <v>49</v>
      </c>
      <c r="M41" s="97">
        <f>SUM(M7:M40)</f>
        <v>37</v>
      </c>
      <c r="N41" s="83"/>
      <c r="O41" s="97">
        <f>SUM(O7:O40)</f>
        <v>51</v>
      </c>
      <c r="P41" s="97">
        <f>SUM(P7:P40)</f>
        <v>59</v>
      </c>
    </row>
    <row r="42" spans="1:16" ht="14.25" customHeight="1" x14ac:dyDescent="0.45">
      <c r="L42" s="88">
        <f>L41/(M41+L41)</f>
        <v>0.56976744186046513</v>
      </c>
      <c r="O42" s="88">
        <f>O41/(P41+O41)</f>
        <v>0.46363636363636362</v>
      </c>
    </row>
    <row r="43" spans="1:16" ht="14.25" customHeight="1" x14ac:dyDescent="0.45">
      <c r="I43" s="89" t="str">
        <f>K43&amp;H3&amp;","&amp;I3&amp;","&amp;J3&amp;"],"</f>
        <v>"PartA":[98,96,37],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6.3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"PartB":[47,"Angus Walker",25,"Angus Walker",12,"William Kim",7,"Angus Walker"],</v>
      </c>
      <c r="K44" s="76" t="s">
        <v>136</v>
      </c>
      <c r="M44" s="91">
        <f>MAX(Table1114[Points])</f>
        <v>47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3.5</v>
      </c>
    </row>
    <row r="45" spans="1:16" ht="14.25" customHeight="1" x14ac:dyDescent="0.45">
      <c r="I45" s="76" t="str">
        <f>K45&amp;O43&amp;","&amp;O44&amp;","&amp;O45&amp;","&amp;O46&amp;","&amp;O47&amp;","&amp;O48&amp;"],"</f>
        <v>"PartC":[6.3,3.5,1.6,0.6,5.4,5.3],</v>
      </c>
      <c r="K45" s="76" t="s">
        <v>137</v>
      </c>
      <c r="M45" s="91">
        <f>MAX(Table1114[Finishes])</f>
        <v>25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1.6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"PartD":[49,37,57,51,59,46.4],</v>
      </c>
      <c r="K46" s="76" t="s">
        <v>138</v>
      </c>
      <c r="M46" s="91">
        <f>MAX(Table1114[Midranges])</f>
        <v>12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0.6</v>
      </c>
    </row>
    <row r="47" spans="1:16" ht="14.25" customHeight="1" x14ac:dyDescent="0.45">
      <c r="M47" s="91">
        <f>MAX(Table1114[Threes])</f>
        <v>7</v>
      </c>
      <c r="N47" s="76" t="str">
        <f>IF(M47&lt;&gt;0,IF(M47=Y4,R4,IF(M47=Y5,R5,IF(Y6=M47,R6,IF(Y7=M47,R7,R8)))),"N/A")</f>
        <v>Angus Walker</v>
      </c>
      <c r="O47" s="76">
        <f>ROUND(H3/'Stats Global'!AA6,1)</f>
        <v>5.4</v>
      </c>
    </row>
    <row r="48" spans="1:16" ht="14.25" customHeight="1" x14ac:dyDescent="0.45">
      <c r="O48" s="76">
        <f>ROUND(I3/'Stats Global'!AA6,1)</f>
        <v>5.3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" priority="1" operator="equal">
      <formula>AH3</formula>
    </cfRule>
    <cfRule type="cellIs" dxfId="1" priority="2" operator="lessThan">
      <formula>AH3</formula>
    </cfRule>
    <cfRule type="cellIs" dxfId="0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71</v>
      </c>
      <c r="I3" s="81">
        <f>SUM(C7:C40)</f>
        <v>110</v>
      </c>
      <c r="J3" s="78">
        <f>SUM(D7:D40)</f>
        <v>33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18</v>
      </c>
      <c r="Q4" s="93">
        <f>'Stats Global'!AB11</f>
        <v>1.3846153846153846</v>
      </c>
      <c r="R4" s="93">
        <f>'Stats Global'!AC11</f>
        <v>18</v>
      </c>
      <c r="S4" s="93">
        <f>'Stats Global'!AD11</f>
        <v>1.3846153846153846</v>
      </c>
      <c r="T4" s="93">
        <f>'Stats Global'!AE11</f>
        <v>0</v>
      </c>
      <c r="U4" s="93">
        <f>'Stats Global'!AF11</f>
        <v>0</v>
      </c>
      <c r="V4" s="93">
        <f>'Stats Global'!AG11</f>
        <v>0</v>
      </c>
      <c r="W4" s="93">
        <f>'Stats Global'!AH11</f>
        <v>0</v>
      </c>
      <c r="X4" s="93">
        <f>'Stats Global'!AJ11</f>
        <v>5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19</v>
      </c>
      <c r="Q5" s="93">
        <f>'Stats Global'!AB12</f>
        <v>1.1875</v>
      </c>
      <c r="R5" s="93">
        <f>'Stats Global'!AC12</f>
        <v>8</v>
      </c>
      <c r="S5" s="93">
        <f>'Stats Global'!AD12</f>
        <v>0.5</v>
      </c>
      <c r="T5" s="93">
        <f>'Stats Global'!AE12</f>
        <v>7</v>
      </c>
      <c r="U5" s="93">
        <f>'Stats Global'!AF12</f>
        <v>0.4375</v>
      </c>
      <c r="V5" s="93">
        <f>'Stats Global'!AG12</f>
        <v>2</v>
      </c>
      <c r="W5" s="93">
        <f>'Stats Global'!AH12</f>
        <v>0.125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12</v>
      </c>
      <c r="Q6" s="93">
        <f>'Stats Global'!AB20</f>
        <v>0.8</v>
      </c>
      <c r="R6" s="93">
        <f>'Stats Global'!AC20</f>
        <v>9</v>
      </c>
      <c r="S6" s="93">
        <f>'Stats Global'!AD20</f>
        <v>0.6</v>
      </c>
      <c r="T6" s="93">
        <f>'Stats Global'!AE20</f>
        <v>1</v>
      </c>
      <c r="U6" s="93">
        <f>'Stats Global'!AF20</f>
        <v>6.6666666666666666E-2</v>
      </c>
      <c r="V6" s="93">
        <f>'Stats Global'!AG20</f>
        <v>1</v>
      </c>
      <c r="W6" s="93">
        <f>'Stats Global'!AH20</f>
        <v>6.6666666666666666E-2</v>
      </c>
      <c r="X6" s="93">
        <f>'Stats Global'!AJ20</f>
        <v>3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10</v>
      </c>
      <c r="Q7" s="93">
        <f>'Stats Global'!AB18</f>
        <v>0.55555555555555558</v>
      </c>
      <c r="R7" s="93">
        <f>'Stats Global'!AC18</f>
        <v>2</v>
      </c>
      <c r="S7" s="93">
        <f>'Stats Global'!AD18</f>
        <v>0.1111111111111111</v>
      </c>
      <c r="T7" s="93">
        <f>'Stats Global'!AE18</f>
        <v>8</v>
      </c>
      <c r="U7" s="93">
        <f>'Stats Global'!AF18</f>
        <v>0.44444444444444442</v>
      </c>
      <c r="V7" s="93">
        <f>'Stats Global'!AG18</f>
        <v>0</v>
      </c>
      <c r="W7" s="93">
        <f>'Stats Global'!AH18</f>
        <v>0</v>
      </c>
      <c r="X7" s="93">
        <f>'Stats Global'!AJ18</f>
        <v>0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17</v>
      </c>
      <c r="Q9" s="110">
        <f>'Stats Global'!AB15</f>
        <v>1.4166666666666667</v>
      </c>
      <c r="R9" s="110">
        <f>'Stats Global'!AC15</f>
        <v>1</v>
      </c>
      <c r="S9" s="110">
        <f>'Stats Global'!AD15</f>
        <v>8.3333333333333329E-2</v>
      </c>
      <c r="T9" s="110">
        <f>'Stats Global'!AE15</f>
        <v>2</v>
      </c>
      <c r="U9" s="110">
        <f>'Stats Global'!AF15</f>
        <v>0.16666666666666666</v>
      </c>
      <c r="V9" s="110">
        <f>'Stats Global'!AG15</f>
        <v>7</v>
      </c>
      <c r="W9" s="110">
        <f>'Stats Global'!AH15</f>
        <v>0.58333333333333337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6</v>
      </c>
      <c r="Q10" s="110">
        <f>'Stats Global'!AB24</f>
        <v>0.5</v>
      </c>
      <c r="R10" s="110">
        <f>'Stats Global'!AC24</f>
        <v>4</v>
      </c>
      <c r="S10" s="110">
        <f>'Stats Global'!AD24</f>
        <v>0.33333333333333331</v>
      </c>
      <c r="T10" s="110">
        <f>'Stats Global'!AE24</f>
        <v>0</v>
      </c>
      <c r="U10" s="110">
        <f>'Stats Global'!AF24</f>
        <v>0</v>
      </c>
      <c r="V10" s="110">
        <f>'Stats Global'!AG24</f>
        <v>1</v>
      </c>
      <c r="W10" s="110">
        <f>'Stats Global'!AH24</f>
        <v>8.3333333333333329E-2</v>
      </c>
      <c r="X10" s="110">
        <f>'Stats Global'!AJ24</f>
        <v>6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Global'!I23</f>
        <v>5</v>
      </c>
      <c r="C22" s="82">
        <f>'Stats Global'!J23+'Stats Global'!K23</f>
        <v>12</v>
      </c>
      <c r="D22" s="82">
        <f>'Stats Global'!P23</f>
        <v>2</v>
      </c>
      <c r="E22" s="80" t="s">
        <v>52</v>
      </c>
      <c r="F22" s="80" t="s">
        <v>207</v>
      </c>
      <c r="J22" s="83"/>
      <c r="L22" s="84">
        <f>'Stats Global'!N23</f>
        <v>0</v>
      </c>
      <c r="M22" s="84">
        <f>'Stats Global'!K23</f>
        <v>12</v>
      </c>
      <c r="N22" s="83"/>
      <c r="O22" s="83"/>
      <c r="P22" s="56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Global'!I24</f>
        <v>7</v>
      </c>
      <c r="C23" s="82">
        <f>'Stats Global'!J24+'Stats Global'!K24</f>
        <v>4</v>
      </c>
      <c r="D23" s="82">
        <f>'Stats Global'!P24</f>
        <v>3</v>
      </c>
      <c r="E23" s="185" t="s">
        <v>35</v>
      </c>
      <c r="F23" s="186" t="s">
        <v>35</v>
      </c>
      <c r="H23" s="87"/>
      <c r="J23" s="83"/>
      <c r="L23" s="84">
        <f>'Stats Global'!N24</f>
        <v>4</v>
      </c>
      <c r="M23" s="84">
        <f>'Stats Global'!K24</f>
        <v>2</v>
      </c>
      <c r="N23" s="83"/>
      <c r="O23" s="83"/>
      <c r="P23" s="56"/>
      <c r="W23" s="83"/>
      <c r="X23" s="83"/>
    </row>
    <row r="24" spans="1:24" ht="14.25" customHeight="1" x14ac:dyDescent="0.45">
      <c r="A24" s="75" t="str">
        <f>'Stats Global'!B25</f>
        <v>Finals 1</v>
      </c>
      <c r="B24" s="82">
        <f>'Stats Global'!I25</f>
        <v>1</v>
      </c>
      <c r="C24" s="82">
        <f>'Stats Global'!J25+'Stats Global'!K25</f>
        <v>9</v>
      </c>
      <c r="D24" s="82">
        <f>'Stats Global'!P25</f>
        <v>2</v>
      </c>
      <c r="E24" s="86"/>
      <c r="F24" s="80"/>
      <c r="H24" s="87"/>
      <c r="J24" s="83"/>
      <c r="L24" s="84">
        <f>'Stats Global'!N25</f>
        <v>0</v>
      </c>
      <c r="M24" s="84">
        <f>'Stats Global'!K25</f>
        <v>6</v>
      </c>
      <c r="N24" s="83"/>
      <c r="O24" s="83"/>
      <c r="P24" s="56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Global'!I26</f>
        <v>0</v>
      </c>
      <c r="C25" s="82">
        <f>'Stats Global'!J26+'Stats Global'!K26</f>
        <v>0</v>
      </c>
      <c r="D25" s="82">
        <f>'Stats Global'!P26</f>
        <v>0</v>
      </c>
      <c r="E25" s="86"/>
      <c r="F25" s="80"/>
      <c r="H25" s="87"/>
      <c r="J25" s="83"/>
      <c r="L25" s="84">
        <f>'Stats Global'!N26</f>
        <v>0</v>
      </c>
      <c r="M25" s="84">
        <f>'Stats Global'!K26</f>
        <v>0</v>
      </c>
      <c r="N25" s="83"/>
      <c r="O25" s="83"/>
      <c r="P25" s="56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Global'!I27</f>
        <v>0</v>
      </c>
      <c r="C26" s="82">
        <f>'Stats Global'!J27+'Stats Global'!K27</f>
        <v>0</v>
      </c>
      <c r="D26" s="82">
        <f>'Stats Global'!P27</f>
        <v>0</v>
      </c>
      <c r="E26" s="80"/>
      <c r="F26" s="80"/>
      <c r="J26" s="83"/>
      <c r="L26" s="84">
        <f>'Stats Global'!N27</f>
        <v>0</v>
      </c>
      <c r="M26" s="84">
        <f>'Stats Global'!K27</f>
        <v>0</v>
      </c>
      <c r="N26" s="83"/>
      <c r="O26" s="83"/>
      <c r="P26" s="56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Global'!I28</f>
        <v>0</v>
      </c>
      <c r="C27" s="82">
        <f>'Stats Global'!J28+'Stats Global'!K28</f>
        <v>0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0.39226519337016574</v>
      </c>
      <c r="J41" s="83"/>
      <c r="K41" s="76" t="s">
        <v>94</v>
      </c>
      <c r="L41" s="97">
        <f>SUM(L7:L40)</f>
        <v>35</v>
      </c>
      <c r="M41" s="97">
        <f>SUM(M7:M40)</f>
        <v>61</v>
      </c>
      <c r="N41" s="83"/>
      <c r="O41" s="83"/>
      <c r="P41" s="56"/>
    </row>
    <row r="42" spans="1:16" ht="14.25" customHeight="1" x14ac:dyDescent="0.45">
      <c r="L42" s="88">
        <f>L41/(M41+L41)</f>
        <v>0.36458333333333331</v>
      </c>
      <c r="P42" s="56"/>
    </row>
    <row r="43" spans="1:16" ht="14.25" customHeight="1" x14ac:dyDescent="0.45">
      <c r="J43" s="89" t="str">
        <f>L43&amp;H3&amp;","&amp;I3&amp;","&amp;J3&amp;"],"</f>
        <v>"PartA":[71,110,33],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4.3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"PartB":[19,"Michael Iffland",18,"Rudy Hoschke",8,"Ryan Pattemore",7,"Clarrie Jones"],</v>
      </c>
      <c r="L44" s="76" t="s">
        <v>136</v>
      </c>
      <c r="N44" s="91">
        <f>MAX(Table1113[Points])</f>
        <v>19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2.1</v>
      </c>
    </row>
    <row r="45" spans="1:16" ht="14.25" customHeight="1" x14ac:dyDescent="0.45">
      <c r="J45" s="76" t="str">
        <f>L45&amp;P43&amp;","&amp;P44&amp;","&amp;P45&amp;","&amp;P46&amp;","&amp;P47&amp;","&amp;P48&amp;"],"</f>
        <v>"PartC":[4.3,2.1,1.1,0.6,3.9,6.1],</v>
      </c>
      <c r="L45" s="76" t="s">
        <v>137</v>
      </c>
      <c r="N45" s="91">
        <f>MAX(Table1113[Finishes])</f>
        <v>18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"PartD":[37,49,43,35,61,36.5],</v>
      </c>
      <c r="L46" s="76" t="s">
        <v>138</v>
      </c>
      <c r="N46" s="91">
        <f>MAX(Table1113[Midranges])</f>
        <v>8</v>
      </c>
      <c r="O46" s="76" t="str">
        <f>IF(N46&lt;&gt;0,IF(N46=T4,O4,IF(N46=T5,O5,IF(T6=N46,O6,IF(T7=N46,O7,IF(T8=N46,O8,IF(T9=N46,O9,O10)))))),"N/A")</f>
        <v>Ryan Pattemore</v>
      </c>
      <c r="P46" s="90">
        <f>ROUND(SUM('Stats Global'!AG11,'Stats Global'!AG12,'Stats Global'!AG20,'Stats Global'!AG15,'Stats Global'!AG19,'Stats Global'!AG18)/'Stats Global'!AA6,1)</f>
        <v>0.6</v>
      </c>
    </row>
    <row r="47" spans="1:16" ht="14.25" customHeight="1" x14ac:dyDescent="0.45">
      <c r="N47" s="91">
        <f>MAX(Table1113[Threes])</f>
        <v>7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3.9</v>
      </c>
    </row>
    <row r="48" spans="1:16" ht="14.25" customHeight="1" x14ac:dyDescent="0.45">
      <c r="P48" s="76">
        <f>ROUND(I3/'Stats Global'!AA6,1)</f>
        <v>6.1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114</v>
      </c>
      <c r="I3" s="81">
        <f>SUM(C7:C40)</f>
        <v>86</v>
      </c>
      <c r="J3" s="78">
        <f>SUM(D7:D40)</f>
        <v>44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63</v>
      </c>
      <c r="N5" s="93">
        <f>'Stats Global'!AB17</f>
        <v>3.7058823529411766</v>
      </c>
      <c r="O5" s="93">
        <f>'Stats Global'!AC17</f>
        <v>15</v>
      </c>
      <c r="P5" s="93">
        <f>'Stats Global'!AD17</f>
        <v>0.88235294117647056</v>
      </c>
      <c r="Q5" s="93">
        <f>'Stats Global'!AE17</f>
        <v>38</v>
      </c>
      <c r="R5" s="93">
        <f>'Stats Global'!AF17</f>
        <v>2.2352941176470589</v>
      </c>
      <c r="S5" s="93">
        <f>'Stats Global'!AG17</f>
        <v>5</v>
      </c>
      <c r="T5" s="93">
        <f>'Stats Global'!AH17</f>
        <v>0.29411764705882354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35</v>
      </c>
      <c r="N6" s="93">
        <f>'Stats Global'!AB10</f>
        <v>3.5</v>
      </c>
      <c r="O6" s="93">
        <f>'Stats Global'!AC10</f>
        <v>32</v>
      </c>
      <c r="P6" s="93">
        <f>'Stats Global'!AD10</f>
        <v>3.2</v>
      </c>
      <c r="Q6" s="93">
        <f>'Stats Global'!AE10</f>
        <v>1</v>
      </c>
      <c r="R6" s="93">
        <f>'Stats Global'!AF10</f>
        <v>0.1</v>
      </c>
      <c r="S6" s="93">
        <f>'Stats Global'!AG10</f>
        <v>1</v>
      </c>
      <c r="T6" s="93">
        <f>'Stats Global'!AH10</f>
        <v>0.1</v>
      </c>
      <c r="U6" s="93">
        <f>'Stats Global'!AJ10</f>
        <v>8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14</v>
      </c>
      <c r="N7" s="93">
        <f>'Stats Global'!AB13</f>
        <v>0.93333333333333335</v>
      </c>
      <c r="O7" s="93">
        <f>'Stats Global'!AC13</f>
        <v>11</v>
      </c>
      <c r="P7" s="93">
        <f>'Stats Global'!AD13</f>
        <v>0.73333333333333328</v>
      </c>
      <c r="Q7" s="93">
        <f>'Stats Global'!AE13</f>
        <v>3</v>
      </c>
      <c r="R7" s="93">
        <f>'Stats Global'!AF13</f>
        <v>0.2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12</v>
      </c>
      <c r="N8" s="93">
        <f>'Stats Global'!AB14</f>
        <v>0.66666666666666663</v>
      </c>
      <c r="O8" s="93">
        <f>'Stats Global'!AC14</f>
        <v>6</v>
      </c>
      <c r="P8" s="93">
        <f>'Stats Global'!AD14</f>
        <v>0.33333333333333331</v>
      </c>
      <c r="Q8" s="93">
        <f>'Stats Global'!AE14</f>
        <v>4</v>
      </c>
      <c r="R8" s="93">
        <f>'Stats Global'!AF14</f>
        <v>0.22222222222222221</v>
      </c>
      <c r="S8" s="93">
        <f>'Stats Global'!AG14</f>
        <v>1</v>
      </c>
      <c r="T8" s="93">
        <f>'Stats Global'!AH14</f>
        <v>5.5555555555555552E-2</v>
      </c>
      <c r="U8" s="93">
        <f>'Stats Global'!AJ14</f>
        <v>0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0.16666666666666666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0.16666666666666666</v>
      </c>
      <c r="S9" s="93">
        <f>'Stats Global'!AG19</f>
        <v>0</v>
      </c>
      <c r="T9" s="93">
        <f>'Stats Global'!AH19</f>
        <v>0</v>
      </c>
      <c r="U9" s="93">
        <f>'Stats Global'!AJ19</f>
        <v>12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5.5555555555555552E-2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5.5555555555555552E-2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Global'!L23</f>
        <v>20</v>
      </c>
      <c r="C22" s="82">
        <f>'Stats Global'!M23+'Stats Global'!N23</f>
        <v>5</v>
      </c>
      <c r="D22" s="82">
        <f>'Stats Global'!Q23</f>
        <v>3</v>
      </c>
      <c r="E22" s="80" t="s">
        <v>50</v>
      </c>
      <c r="F22" s="80" t="s">
        <v>50</v>
      </c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Global'!L24</f>
        <v>5</v>
      </c>
      <c r="C23" s="82">
        <f>'Stats Global'!M24+'Stats Global'!N24</f>
        <v>6</v>
      </c>
      <c r="D23" s="82">
        <f>'Stats Global'!Q24</f>
        <v>2</v>
      </c>
      <c r="E23" s="185" t="s">
        <v>42</v>
      </c>
      <c r="F23" s="186" t="s">
        <v>30</v>
      </c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 t="str">
        <f>'Stats Global'!B25</f>
        <v>Finals 1</v>
      </c>
      <c r="B24" s="82">
        <f>'Stats Global'!L25</f>
        <v>5</v>
      </c>
      <c r="C24" s="82">
        <f>'Stats Global'!M25+'Stats Global'!N25</f>
        <v>3</v>
      </c>
      <c r="D24" s="82">
        <f>'Stats Global'!Q25</f>
        <v>6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Global'!L26</f>
        <v>0</v>
      </c>
      <c r="C25" s="82">
        <f>'Stats Global'!M26+'Stats Global'!N26</f>
        <v>0</v>
      </c>
      <c r="D25" s="82">
        <f>'Stats Global'!Q26</f>
        <v>0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Global'!L27</f>
        <v>0</v>
      </c>
      <c r="C26" s="82">
        <f>'Stats Global'!M27+'Stats Global'!N27</f>
        <v>0</v>
      </c>
      <c r="D26" s="82">
        <f>'Stats Global'!Q27</f>
        <v>0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Global'!L28</f>
        <v>0</v>
      </c>
      <c r="C27" s="82">
        <f>'Stats Global'!M28+'Stats Global'!N28</f>
        <v>0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"PartA":[114,86,44],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7.3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"PartB":[63,"Samuel McConaghy",32,"Alexander Galt",38,"Samuel McConaghy",5,"Samuel McConaghy"],</v>
      </c>
      <c r="M33" s="76" t="s">
        <v>136</v>
      </c>
      <c r="O33" s="91">
        <f>MAX(Table11[Points])</f>
        <v>63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3.8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"PartC":[7.3,3.8,2.6,0.4,6.3,4.8],</v>
      </c>
      <c r="M34" s="76" t="s">
        <v>137</v>
      </c>
      <c r="O34" s="91">
        <f>MAX(Table11[Finishes])</f>
        <v>32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2.6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"PartD":[59,51,53.6,61,35,63.5],</v>
      </c>
      <c r="M35" s="76" t="s">
        <v>138</v>
      </c>
      <c r="O35" s="91">
        <f>MAX(Table11[Midranges])</f>
        <v>38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6.3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4.8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0.56999999999999995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5FB2-8B2F-4995-81D9-788FC04F683F}">
  <dimension ref="B1:AG1000"/>
  <sheetViews>
    <sheetView zoomScale="61" zoomScaleNormal="70" workbookViewId="0">
      <selection activeCell="P6" sqref="P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293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v>2</v>
      </c>
      <c r="N3" s="11">
        <v>3</v>
      </c>
      <c r="O3" s="10">
        <f>M3/(M3+N3)</f>
        <v>0.4</v>
      </c>
      <c r="P3" s="11">
        <v>4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89">
        <v>1</v>
      </c>
      <c r="C4" s="189" t="s">
        <v>31</v>
      </c>
      <c r="D4" s="189" t="s">
        <v>47</v>
      </c>
      <c r="E4" s="189" t="s">
        <v>287</v>
      </c>
      <c r="F4" s="189" t="s">
        <v>35</v>
      </c>
      <c r="G4" s="189" t="s">
        <v>204</v>
      </c>
      <c r="H4" s="189" t="s">
        <v>288</v>
      </c>
      <c r="I4" s="189" t="s">
        <v>288</v>
      </c>
      <c r="J4" s="189">
        <v>1</v>
      </c>
      <c r="L4" s="11" t="s">
        <v>110</v>
      </c>
      <c r="M4" s="11">
        <v>5</v>
      </c>
      <c r="N4" s="11">
        <v>1</v>
      </c>
      <c r="O4" s="10">
        <f t="shared" ref="O4:O5" si="0">M4/(M4+N4)</f>
        <v>0.83333333333333337</v>
      </c>
      <c r="P4" s="11">
        <v>6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>IF(AND(C4="Loose Gooses",D4="Wet Willies"),"LG/WW", IF(AND(C4="Loose Gooses",D4="5 Musketeers"),"LG/5M", ""))</f>
        <v/>
      </c>
      <c r="Z4" s="52" t="str">
        <f>IF(AND(C4="Wet Willies",D4="Loose Gooses"),"WW/LG", IF(AND(C4="Wet Willies",D4="5 Musketeers"),"WW/5M", ""))</f>
        <v>WW/LG</v>
      </c>
      <c r="AA4" s="52" t="str">
        <f>IF(AND(C4="5 Musketeers",D4="Loose Gooses"),"5M/LG", IF(AND($C4="5 Musketeers",$D4="Wet Willies"),"5M/WW", ""))</f>
        <v/>
      </c>
      <c r="AC4" s="2"/>
    </row>
    <row r="5" spans="2:32" ht="14.25" customHeight="1" x14ac:dyDescent="0.5">
      <c r="B5" s="189">
        <v>1</v>
      </c>
      <c r="C5" s="189" t="s">
        <v>47</v>
      </c>
      <c r="D5" s="189" t="s">
        <v>31</v>
      </c>
      <c r="E5" s="189" t="s">
        <v>289</v>
      </c>
      <c r="F5" s="189" t="s">
        <v>46</v>
      </c>
      <c r="G5" s="189" t="s">
        <v>204</v>
      </c>
      <c r="H5" s="189" t="s">
        <v>288</v>
      </c>
      <c r="I5" s="189" t="s">
        <v>288</v>
      </c>
      <c r="J5" s="189">
        <v>1</v>
      </c>
      <c r="L5" s="11" t="s">
        <v>109</v>
      </c>
      <c r="M5" s="11">
        <v>1</v>
      </c>
      <c r="N5" s="11">
        <v>4</v>
      </c>
      <c r="O5" s="10">
        <f t="shared" si="0"/>
        <v>0.2</v>
      </c>
      <c r="P5" s="11">
        <v>2</v>
      </c>
      <c r="R5" s="2" t="s">
        <v>30</v>
      </c>
      <c r="S5" s="8">
        <f t="shared" si="1"/>
        <v>5</v>
      </c>
      <c r="T5" s="9">
        <f t="shared" si="2"/>
        <v>4</v>
      </c>
      <c r="U5" s="9">
        <f t="shared" si="3"/>
        <v>1</v>
      </c>
      <c r="V5" s="9">
        <f t="shared" si="4"/>
        <v>0</v>
      </c>
      <c r="W5" s="26" t="b">
        <v>0</v>
      </c>
      <c r="Y5" s="52" t="str">
        <f>IF(AND(C5="Loose Gooses",D5="Wet Willies"),"LG/WW", IF(AND(C5="Loose Gooses",D5="5 Musketeers"),"LG/5M", ""))</f>
        <v>LG/WW</v>
      </c>
      <c r="Z5" s="52" t="str">
        <f>IF(AND(C5="Wet Willies",D5="Loose Gooses"),"WW/LG", IF(AND(C5="Wet Willies",D5="5 Musketeers"),"WW/5M", ""))</f>
        <v/>
      </c>
      <c r="AA5" s="52" t="str">
        <f>IF(AND(C5="5 Musketeers",D5="Loose Gooses"),"5M/LG", IF(AND($C5="5 Musketeers",$D5="Wet Willies"),"5M/WW", ""))</f>
        <v/>
      </c>
      <c r="AC5" s="2"/>
    </row>
    <row r="6" spans="2:32" ht="14.25" customHeight="1" x14ac:dyDescent="0.5">
      <c r="B6" s="189">
        <v>1</v>
      </c>
      <c r="C6" s="189" t="s">
        <v>31</v>
      </c>
      <c r="D6" s="189" t="s">
        <v>47</v>
      </c>
      <c r="E6" s="189" t="s">
        <v>290</v>
      </c>
      <c r="F6" s="189" t="s">
        <v>35</v>
      </c>
      <c r="G6" s="189" t="s">
        <v>204</v>
      </c>
      <c r="H6" s="189">
        <v>1</v>
      </c>
      <c r="I6" s="189">
        <v>1</v>
      </c>
      <c r="J6" s="189">
        <v>1</v>
      </c>
      <c r="R6" s="2" t="s">
        <v>35</v>
      </c>
      <c r="S6" s="8">
        <f t="shared" si="1"/>
        <v>2</v>
      </c>
      <c r="T6" s="9">
        <f t="shared" si="2"/>
        <v>2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>IF(AND(C6="Loose Gooses",D6="Wet Willies"),"LG/WW", IF(AND(C6="Loose Gooses",D6="5 Musketeers"),"LG/5M", ""))</f>
        <v/>
      </c>
      <c r="Z6" s="52" t="str">
        <f>IF(AND(C6="Wet Willies",D6="Loose Gooses"),"WW/LG", IF(AND(C6="Wet Willies",D6="5 Musketeers"),"WW/5M", ""))</f>
        <v>WW/LG</v>
      </c>
      <c r="AA6" s="52" t="str">
        <f>IF(AND(C6="5 Musketeers",D6="Loose Gooses"),"5M/LG", IF(AND($C6="5 Musketeers",$D6="Wet Willies"),"5M/WW", ""))</f>
        <v/>
      </c>
      <c r="AC6" s="2"/>
    </row>
    <row r="7" spans="2:32" ht="14.25" customHeight="1" x14ac:dyDescent="0.5">
      <c r="B7" s="189">
        <v>2</v>
      </c>
      <c r="C7" s="189" t="s">
        <v>26</v>
      </c>
      <c r="D7" s="189" t="s">
        <v>31</v>
      </c>
      <c r="E7" s="189" t="s">
        <v>287</v>
      </c>
      <c r="F7" s="189" t="s">
        <v>50</v>
      </c>
      <c r="G7" s="189" t="s">
        <v>99</v>
      </c>
      <c r="H7" s="189" t="s">
        <v>288</v>
      </c>
      <c r="I7" s="189" t="s">
        <v>288</v>
      </c>
      <c r="J7" s="189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>IF(AND(C7="Loose Gooses",D7="Wet Willies"),"LG/WW", IF(AND(C7="Loose Gooses",D7="5 Musketeers"),"LG/5M", ""))</f>
        <v/>
      </c>
      <c r="Z7" s="52" t="str">
        <f>IF(AND(C7="Wet Willies",D7="Loose Gooses"),"WW/LG", IF(AND(C7="Wet Willies",D7="5 Musketeers"),"WW/5M", ""))</f>
        <v/>
      </c>
      <c r="AA7" s="52" t="str">
        <f>IF(AND(C7="5 Musketeers",D7="Loose Gooses"),"5M/LG", IF(AND($C7="5 Musketeers",$D7="Wet Willies"),"5M/WW", ""))</f>
        <v>5M/WW</v>
      </c>
      <c r="AC7" s="2"/>
    </row>
    <row r="8" spans="2:32" ht="14.25" customHeight="1" x14ac:dyDescent="0.5">
      <c r="B8" s="189">
        <v>2</v>
      </c>
      <c r="C8" s="189" t="s">
        <v>26</v>
      </c>
      <c r="D8" s="189" t="s">
        <v>31</v>
      </c>
      <c r="E8" s="189" t="s">
        <v>291</v>
      </c>
      <c r="F8" s="189" t="s">
        <v>30</v>
      </c>
      <c r="G8" s="189" t="s">
        <v>204</v>
      </c>
      <c r="H8" s="189">
        <v>1</v>
      </c>
      <c r="I8" s="189">
        <v>1</v>
      </c>
      <c r="J8" s="189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>IF(AND(C8="Loose Gooses",D8="Wet Willies"),"LG/WW", IF(AND(C8="Loose Gooses",D8="5 Musketeers"),"LG/5M", ""))</f>
        <v/>
      </c>
      <c r="Z8" s="52" t="str">
        <f>IF(AND(C8="Wet Willies",D8="Loose Gooses"),"WW/LG", IF(AND(C8="Wet Willies",D8="5 Musketeers"),"WW/5M", ""))</f>
        <v/>
      </c>
      <c r="AA8" s="52" t="str">
        <f>IF(AND(C8="5 Musketeers",D8="Loose Gooses"),"5M/LG", IF(AND($C8="5 Musketeers",$D8="Wet Willies"),"5M/WW", ""))</f>
        <v>5M/WW</v>
      </c>
      <c r="AC8" s="2"/>
    </row>
    <row r="9" spans="2:32" ht="14.25" customHeight="1" x14ac:dyDescent="0.5">
      <c r="B9" s="189">
        <v>3</v>
      </c>
      <c r="C9" s="189" t="s">
        <v>47</v>
      </c>
      <c r="D9" s="189" t="s">
        <v>26</v>
      </c>
      <c r="E9" s="189" t="s">
        <v>287</v>
      </c>
      <c r="F9" s="189" t="s">
        <v>61</v>
      </c>
      <c r="G9" s="189" t="s">
        <v>204</v>
      </c>
      <c r="H9" s="189" t="s">
        <v>288</v>
      </c>
      <c r="I9" s="189" t="s">
        <v>288</v>
      </c>
      <c r="J9" s="189">
        <v>1</v>
      </c>
      <c r="R9" s="16" t="s">
        <v>115</v>
      </c>
      <c r="S9" s="8">
        <f t="shared" si="1"/>
        <v>1</v>
      </c>
      <c r="T9" s="9">
        <f t="shared" si="2"/>
        <v>0</v>
      </c>
      <c r="U9" s="9">
        <f t="shared" si="3"/>
        <v>1</v>
      </c>
      <c r="V9" s="9">
        <f t="shared" si="4"/>
        <v>0</v>
      </c>
      <c r="W9" s="26" t="b">
        <v>0</v>
      </c>
      <c r="Y9" s="52" t="str">
        <f>IF(AND(C9="Loose Gooses",D9="Wet Willies"),"LG/WW", IF(AND(C9="Loose Gooses",D9="5 Musketeers"),"LG/5M", ""))</f>
        <v>LG/5M</v>
      </c>
      <c r="Z9" s="52" t="str">
        <f>IF(AND(C9="Wet Willies",D9="Loose Gooses"),"WW/LG", IF(AND(C9="Wet Willies",D9="5 Musketeers"),"WW/5M", ""))</f>
        <v/>
      </c>
      <c r="AA9" s="52" t="str">
        <f>IF(AND(C9="5 Musketeers",D9="Loose Gooses"),"5M/LG", IF(AND($C9="5 Musketeers",$D9="Wet Willies"),"5M/WW", ""))</f>
        <v/>
      </c>
    </row>
    <row r="10" spans="2:32" ht="14.25" customHeight="1" x14ac:dyDescent="0.5">
      <c r="B10" s="189">
        <v>3</v>
      </c>
      <c r="C10" s="189" t="s">
        <v>26</v>
      </c>
      <c r="D10" s="189" t="s">
        <v>47</v>
      </c>
      <c r="E10" s="189" t="s">
        <v>289</v>
      </c>
      <c r="F10" s="189" t="s">
        <v>50</v>
      </c>
      <c r="G10" s="189" t="s">
        <v>99</v>
      </c>
      <c r="H10" s="189" t="s">
        <v>288</v>
      </c>
      <c r="I10" s="189" t="s">
        <v>288</v>
      </c>
      <c r="J10" s="189">
        <v>1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>IF(AND(C10="Loose Gooses",D10="Wet Willies"),"LG/WW", IF(AND(C10="Loose Gooses",D10="5 Musketeers"),"LG/5M", ""))</f>
        <v/>
      </c>
      <c r="Z10" s="52" t="str">
        <f>IF(AND(C10="Wet Willies",D10="Loose Gooses"),"WW/LG", IF(AND(C10="Wet Willies",D10="5 Musketeers"),"WW/5M", ""))</f>
        <v/>
      </c>
      <c r="AA10" s="52" t="str">
        <f>IF(AND(C10="5 Musketeers",D10="Loose Gooses"),"5M/LG", IF(AND($C10="5 Musketeers",$D10="Wet Willies"),"5M/WW", ""))</f>
        <v>5M/LG</v>
      </c>
      <c r="AC10" s="2"/>
    </row>
    <row r="11" spans="2:32" ht="14.25" customHeight="1" x14ac:dyDescent="0.5">
      <c r="B11" s="189">
        <v>3</v>
      </c>
      <c r="C11" s="189" t="s">
        <v>26</v>
      </c>
      <c r="D11" s="189" t="s">
        <v>47</v>
      </c>
      <c r="E11" s="189" t="s">
        <v>290</v>
      </c>
      <c r="F11" s="189" t="s">
        <v>50</v>
      </c>
      <c r="G11" s="189" t="s">
        <v>99</v>
      </c>
      <c r="H11" s="189">
        <v>2</v>
      </c>
      <c r="I11" s="189">
        <v>2</v>
      </c>
      <c r="J11" s="189">
        <v>2</v>
      </c>
      <c r="R11" s="2" t="s">
        <v>46</v>
      </c>
      <c r="S11" s="8">
        <f t="shared" si="1"/>
        <v>3</v>
      </c>
      <c r="T11" s="9">
        <f t="shared" si="2"/>
        <v>2</v>
      </c>
      <c r="U11" s="9">
        <f t="shared" si="3"/>
        <v>1</v>
      </c>
      <c r="V11" s="9">
        <f t="shared" si="4"/>
        <v>0</v>
      </c>
      <c r="W11" s="26" t="b">
        <v>0</v>
      </c>
      <c r="Y11" s="52" t="str">
        <f>IF(AND(C11="Loose Gooses",D11="Wet Willies"),"LG/WW", IF(AND(C11="Loose Gooses",D11="5 Musketeers"),"LG/5M", ""))</f>
        <v/>
      </c>
      <c r="Z11" s="52" t="str">
        <f>IF(AND(C11="Wet Willies",D11="Loose Gooses"),"WW/LG", IF(AND(C11="Wet Willies",D11="5 Musketeers"),"WW/5M", ""))</f>
        <v/>
      </c>
      <c r="AA11" s="52" t="str">
        <f>IF(AND(C11="5 Musketeers",D11="Loose Gooses"),"5M/LG", IF(AND($C11="5 Musketeers",$D11="Wet Willies"),"5M/WW", ""))</f>
        <v>5M/LG</v>
      </c>
      <c r="AC11" s="2"/>
    </row>
    <row r="12" spans="2:32" ht="14.25" customHeight="1" x14ac:dyDescent="0.5">
      <c r="B12" s="189">
        <v>4</v>
      </c>
      <c r="C12" s="189" t="s">
        <v>26</v>
      </c>
      <c r="D12" s="189" t="s">
        <v>31</v>
      </c>
      <c r="E12" s="189" t="s">
        <v>287</v>
      </c>
      <c r="F12" s="189" t="s">
        <v>30</v>
      </c>
      <c r="G12" s="189" t="s">
        <v>204</v>
      </c>
      <c r="H12" s="189" t="s">
        <v>288</v>
      </c>
      <c r="I12" s="189" t="s">
        <v>288</v>
      </c>
      <c r="J12" s="189">
        <v>1</v>
      </c>
      <c r="R12" s="2" t="s">
        <v>50</v>
      </c>
      <c r="S12" s="8">
        <f t="shared" si="1"/>
        <v>4</v>
      </c>
      <c r="T12" s="9">
        <f t="shared" si="2"/>
        <v>0</v>
      </c>
      <c r="U12" s="9">
        <f t="shared" si="3"/>
        <v>4</v>
      </c>
      <c r="V12" s="9">
        <f t="shared" si="4"/>
        <v>0</v>
      </c>
      <c r="W12" s="26" t="b">
        <v>0</v>
      </c>
      <c r="Y12" s="52" t="str">
        <f>IF(AND(C12="Loose Gooses",D12="Wet Willies"),"LG/WW", IF(AND(C12="Loose Gooses",D12="5 Musketeers"),"LG/5M", ""))</f>
        <v/>
      </c>
      <c r="Z12" s="52" t="str">
        <f>IF(AND(C12="Wet Willies",D12="Loose Gooses"),"WW/LG", IF(AND(C12="Wet Willies",D12="5 Musketeers"),"WW/5M", ""))</f>
        <v/>
      </c>
      <c r="AA12" s="52" t="str">
        <f>IF(AND(C12="5 Musketeers",D12="Loose Gooses"),"5M/LG", IF(AND($C12="5 Musketeers",$D12="Wet Willies"),"5M/WW", ""))</f>
        <v>5M/WW</v>
      </c>
      <c r="AC12" s="2"/>
    </row>
    <row r="13" spans="2:32" ht="14.25" customHeight="1" x14ac:dyDescent="0.5">
      <c r="B13" s="189">
        <v>4</v>
      </c>
      <c r="C13" s="189" t="s">
        <v>26</v>
      </c>
      <c r="D13" s="189" t="s">
        <v>31</v>
      </c>
      <c r="E13" s="189" t="s">
        <v>291</v>
      </c>
      <c r="F13" s="189" t="s">
        <v>30</v>
      </c>
      <c r="G13" s="189" t="s">
        <v>204</v>
      </c>
      <c r="H13" s="189">
        <v>3</v>
      </c>
      <c r="I13" s="189">
        <v>2</v>
      </c>
      <c r="J13" s="189">
        <v>2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>IF(AND(C13="Loose Gooses",D13="Wet Willies"),"LG/WW", IF(AND(C13="Loose Gooses",D13="5 Musketeers"),"LG/5M", ""))</f>
        <v/>
      </c>
      <c r="Z13" s="52" t="str">
        <f>IF(AND(C13="Wet Willies",D13="Loose Gooses"),"WW/LG", IF(AND(C13="Wet Willies",D13="5 Musketeers"),"WW/5M", ""))</f>
        <v/>
      </c>
      <c r="AA13" s="52" t="str">
        <f>IF(AND(C13="5 Musketeers",D13="Loose Gooses"),"5M/LG", IF(AND($C13="5 Musketeers",$D13="Wet Willies"),"5M/WW", ""))</f>
        <v>5M/WW</v>
      </c>
      <c r="AC13" s="2"/>
    </row>
    <row r="14" spans="2:32" ht="14.25" customHeight="1" x14ac:dyDescent="0.5">
      <c r="B14" s="189">
        <v>5</v>
      </c>
      <c r="C14" s="189" t="s">
        <v>26</v>
      </c>
      <c r="D14" s="189" t="s">
        <v>47</v>
      </c>
      <c r="E14" s="189" t="s">
        <v>287</v>
      </c>
      <c r="F14" s="189" t="s">
        <v>115</v>
      </c>
      <c r="G14" s="189" t="s">
        <v>99</v>
      </c>
      <c r="H14" s="189" t="s">
        <v>288</v>
      </c>
      <c r="I14" s="189" t="s">
        <v>288</v>
      </c>
      <c r="J14" s="189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>IF(AND(C14="Loose Gooses",D14="Wet Willies"),"LG/WW", IF(AND(C14="Loose Gooses",D14="5 Musketeers"),"LG/5M", ""))</f>
        <v/>
      </c>
      <c r="Z14" s="52" t="str">
        <f>IF(AND(C14="Wet Willies",D14="Loose Gooses"),"WW/LG", IF(AND(C14="Wet Willies",D14="5 Musketeers"),"WW/5M", ""))</f>
        <v/>
      </c>
      <c r="AA14" s="52" t="str">
        <f>IF(AND(C14="5 Musketeers",D14="Loose Gooses"),"5M/LG", IF(AND($C14="5 Musketeers",$D14="Wet Willies"),"5M/WW", ""))</f>
        <v>5M/LG</v>
      </c>
      <c r="AC14" s="2"/>
    </row>
    <row r="15" spans="2:32" ht="14.25" customHeight="1" x14ac:dyDescent="0.5">
      <c r="B15" s="189">
        <v>5</v>
      </c>
      <c r="C15" s="189" t="s">
        <v>26</v>
      </c>
      <c r="D15" s="189" t="s">
        <v>47</v>
      </c>
      <c r="E15" s="189" t="s">
        <v>291</v>
      </c>
      <c r="F15" s="189" t="s">
        <v>42</v>
      </c>
      <c r="G15" s="189" t="s">
        <v>204</v>
      </c>
      <c r="H15" s="189">
        <v>4</v>
      </c>
      <c r="I15" s="189">
        <v>3</v>
      </c>
      <c r="J15" s="189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>IF(AND(C15="Loose Gooses",D15="Wet Willies"),"LG/WW", IF(AND(C15="Loose Gooses",D15="5 Musketeers"),"LG/5M", ""))</f>
        <v/>
      </c>
      <c r="Z15" s="52" t="str">
        <f>IF(AND(C15="Wet Willies",D15="Loose Gooses"),"WW/LG", IF(AND(C15="Wet Willies",D15="5 Musketeers"),"WW/5M", ""))</f>
        <v/>
      </c>
      <c r="AA15" s="52" t="str">
        <f>IF(AND(C15="5 Musketeers",D15="Loose Gooses"),"5M/LG", IF(AND($C15="5 Musketeers",$D15="Wet Willies"),"5M/WW", ""))</f>
        <v>5M/LG</v>
      </c>
      <c r="AC15" s="2"/>
    </row>
    <row r="16" spans="2:32" ht="14.25" customHeight="1" x14ac:dyDescent="0.5">
      <c r="B16" s="189">
        <v>6</v>
      </c>
      <c r="C16" s="189" t="s">
        <v>26</v>
      </c>
      <c r="D16" s="189" t="s">
        <v>31</v>
      </c>
      <c r="E16" s="189" t="s">
        <v>287</v>
      </c>
      <c r="F16" s="189" t="s">
        <v>30</v>
      </c>
      <c r="G16" s="189" t="s">
        <v>204</v>
      </c>
      <c r="H16" s="189" t="s">
        <v>288</v>
      </c>
      <c r="I16" s="189" t="s">
        <v>288</v>
      </c>
      <c r="J16" s="189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>IF(AND(C16="Loose Gooses",D16="Wet Willies"),"LG/WW", IF(AND(C16="Loose Gooses",D16="5 Musketeers"),"LG/5M", ""))</f>
        <v/>
      </c>
      <c r="Z16" s="52" t="str">
        <f>IF(AND(C16="Wet Willies",D16="Loose Gooses"),"WW/LG", IF(AND(C16="Wet Willies",D16="5 Musketeers"),"WW/5M", ""))</f>
        <v/>
      </c>
      <c r="AA16" s="52" t="str">
        <f>IF(AND(C16="5 Musketeers",D16="Loose Gooses"),"5M/LG", IF(AND($C16="5 Musketeers",$D16="Wet Willies"),"5M/WW", ""))</f>
        <v>5M/WW</v>
      </c>
      <c r="AC16" s="2"/>
    </row>
    <row r="17" spans="2:33" ht="14.25" customHeight="1" x14ac:dyDescent="0.5">
      <c r="B17" s="189">
        <v>6</v>
      </c>
      <c r="C17" s="189" t="s">
        <v>26</v>
      </c>
      <c r="D17" s="189" t="s">
        <v>31</v>
      </c>
      <c r="E17" s="189" t="s">
        <v>291</v>
      </c>
      <c r="F17" s="189" t="s">
        <v>30</v>
      </c>
      <c r="G17" s="189" t="s">
        <v>99</v>
      </c>
      <c r="H17" s="189">
        <v>5</v>
      </c>
      <c r="I17" s="189">
        <v>3</v>
      </c>
      <c r="J17" s="189">
        <v>2</v>
      </c>
      <c r="R17" s="2" t="s">
        <v>61</v>
      </c>
      <c r="S17" s="8">
        <f t="shared" si="1"/>
        <v>3</v>
      </c>
      <c r="T17" s="9">
        <f t="shared" si="2"/>
        <v>3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>IF(AND(C17="Loose Gooses",D17="Wet Willies"),"LG/WW", IF(AND(C17="Loose Gooses",D17="5 Musketeers"),"LG/5M", ""))</f>
        <v/>
      </c>
      <c r="Z17" s="52" t="str">
        <f>IF(AND(C17="Wet Willies",D17="Loose Gooses"),"WW/LG", IF(AND(C17="Wet Willies",D17="5 Musketeers"),"WW/5M", ""))</f>
        <v/>
      </c>
      <c r="AA17" s="52" t="str">
        <f>IF(AND(C17="5 Musketeers",D17="Loose Gooses"),"5M/LG", IF(AND($C17="5 Musketeers",$D17="Wet Willies"),"5M/WW", ""))</f>
        <v>5M/WW</v>
      </c>
      <c r="AC17" s="2"/>
    </row>
    <row r="18" spans="2:33" ht="14.25" customHeight="1" x14ac:dyDescent="0.5">
      <c r="B18" s="189">
        <v>7</v>
      </c>
      <c r="C18" s="189" t="s">
        <v>26</v>
      </c>
      <c r="D18" s="189" t="s">
        <v>47</v>
      </c>
      <c r="E18" s="189" t="s">
        <v>287</v>
      </c>
      <c r="F18" s="189" t="s">
        <v>50</v>
      </c>
      <c r="G18" s="189" t="s">
        <v>99</v>
      </c>
      <c r="H18" s="189" t="s">
        <v>288</v>
      </c>
      <c r="I18" s="189" t="s">
        <v>288</v>
      </c>
      <c r="J18" s="189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>IF(AND(C18="Loose Gooses",D18="Wet Willies"),"LG/WW", IF(AND(C18="Loose Gooses",D18="5 Musketeers"),"LG/5M", ""))</f>
        <v/>
      </c>
      <c r="Z18" s="52" t="str">
        <f>IF(AND(C18="Wet Willies",D18="Loose Gooses"),"WW/LG", IF(AND(C18="Wet Willies",D18="5 Musketeers"),"WW/5M", ""))</f>
        <v/>
      </c>
      <c r="AA18" s="52" t="str">
        <f>IF(AND(C18="5 Musketeers",D18="Loose Gooses"),"5M/LG", IF(AND($C18="5 Musketeers",$D18="Wet Willies"),"5M/WW", ""))</f>
        <v>5M/LG</v>
      </c>
      <c r="AC18" s="2"/>
    </row>
    <row r="19" spans="2:33" ht="14.25" customHeight="1" x14ac:dyDescent="0.5">
      <c r="B19" s="189">
        <v>7</v>
      </c>
      <c r="C19" s="189" t="s">
        <v>47</v>
      </c>
      <c r="D19" s="189" t="s">
        <v>26</v>
      </c>
      <c r="E19" s="189" t="s">
        <v>289</v>
      </c>
      <c r="F19" s="189" t="s">
        <v>46</v>
      </c>
      <c r="G19" s="189" t="s">
        <v>204</v>
      </c>
      <c r="H19" s="189" t="s">
        <v>288</v>
      </c>
      <c r="I19" s="189" t="s">
        <v>288</v>
      </c>
      <c r="J19" s="189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>IF(AND(C19="Loose Gooses",D19="Wet Willies"),"LG/WW", IF(AND(C19="Loose Gooses",D19="5 Musketeers"),"LG/5M", ""))</f>
        <v>LG/5M</v>
      </c>
      <c r="Z19" s="52" t="str">
        <f>IF(AND(C19="Wet Willies",D19="Loose Gooses"),"WW/LG", IF(AND(C19="Wet Willies",D19="5 Musketeers"),"WW/5M", ""))</f>
        <v/>
      </c>
      <c r="AA19" s="52" t="str">
        <f>IF(AND(C19="5 Musketeers",D19="Loose Gooses"),"5M/LG", IF(AND($C19="5 Musketeers",$D19="Wet Willies"),"5M/WW", ""))</f>
        <v/>
      </c>
    </row>
    <row r="20" spans="2:33" ht="14.25" customHeight="1" x14ac:dyDescent="0.5">
      <c r="B20" s="189">
        <v>7</v>
      </c>
      <c r="C20" s="189" t="s">
        <v>47</v>
      </c>
      <c r="D20" s="189" t="s">
        <v>26</v>
      </c>
      <c r="E20" s="189" t="s">
        <v>290</v>
      </c>
      <c r="F20" s="189" t="s">
        <v>61</v>
      </c>
      <c r="G20" s="189" t="s">
        <v>204</v>
      </c>
      <c r="H20" s="189">
        <v>1</v>
      </c>
      <c r="I20" s="189">
        <v>1</v>
      </c>
      <c r="J20" s="189">
        <v>1</v>
      </c>
      <c r="Y20" s="52" t="str">
        <f>IF(AND(C20="Loose Gooses",D20="Wet Willies"),"LG/WW", IF(AND(C20="Loose Gooses",D20="5 Musketeers"),"LG/5M", ""))</f>
        <v>LG/5M</v>
      </c>
      <c r="Z20" s="52" t="str">
        <f>IF(AND(C20="Wet Willies",D20="Loose Gooses"),"WW/LG", IF(AND(C20="Wet Willies",D20="5 Musketeers"),"WW/5M", ""))</f>
        <v/>
      </c>
      <c r="AA20" s="52" t="str">
        <f>IF(AND(C20="5 Musketeers",D20="Loose Gooses"),"5M/LG", IF(AND($C20="5 Musketeers",$D20="Wet Willies"),"5M/WW", ""))</f>
        <v/>
      </c>
    </row>
    <row r="21" spans="2:33" ht="14.25" customHeight="1" x14ac:dyDescent="0.5">
      <c r="B21" s="189">
        <v>8</v>
      </c>
      <c r="C21" s="189" t="s">
        <v>47</v>
      </c>
      <c r="D21" s="189" t="s">
        <v>31</v>
      </c>
      <c r="E21" s="189" t="s">
        <v>287</v>
      </c>
      <c r="F21" s="189" t="s">
        <v>61</v>
      </c>
      <c r="G21" s="189" t="s">
        <v>204</v>
      </c>
      <c r="H21" s="189" t="s">
        <v>288</v>
      </c>
      <c r="I21" s="189" t="s">
        <v>288</v>
      </c>
      <c r="J21" s="189">
        <v>2</v>
      </c>
      <c r="Y21" s="52" t="str">
        <f>IF(AND(C21="Loose Gooses",D21="Wet Willies"),"LG/WW", IF(AND(C21="Loose Gooses",D21="5 Musketeers"),"LG/5M", ""))</f>
        <v>LG/WW</v>
      </c>
      <c r="Z21" s="52" t="str">
        <f>IF(AND(C21="Wet Willies",D21="Loose Gooses"),"WW/LG", IF(AND(C21="Wet Willies",D21="5 Musketeers"),"WW/5M", ""))</f>
        <v/>
      </c>
      <c r="AA21" s="52" t="str">
        <f>IF(AND(C21="5 Musketeers",D21="Loose Gooses"),"5M/LG", IF(AND($C21="5 Musketeers",$D21="Wet Willies"),"5M/WW", ""))</f>
        <v/>
      </c>
    </row>
    <row r="22" spans="2:33" ht="14.25" customHeight="1" x14ac:dyDescent="0.5">
      <c r="B22" s="189">
        <v>8</v>
      </c>
      <c r="C22" s="189" t="s">
        <v>47</v>
      </c>
      <c r="D22" s="189" t="s">
        <v>31</v>
      </c>
      <c r="E22" s="189" t="s">
        <v>291</v>
      </c>
      <c r="F22" s="189" t="s">
        <v>46</v>
      </c>
      <c r="G22" s="189" t="s">
        <v>99</v>
      </c>
      <c r="H22" s="189">
        <v>2</v>
      </c>
      <c r="I22" s="189">
        <v>4</v>
      </c>
      <c r="J22" s="189">
        <v>1</v>
      </c>
      <c r="Y22" s="52" t="str">
        <f>IF(AND(C22="Loose Gooses",D22="Wet Willies"),"LG/WW", IF(AND(C22="Loose Gooses",D22="5 Musketeers"),"LG/5M", ""))</f>
        <v>LG/WW</v>
      </c>
      <c r="Z22" s="52" t="str">
        <f>IF(AND(C22="Wet Willies",D22="Loose Gooses"),"WW/LG", IF(AND(C22="Wet Willies",D22="5 Musketeers"),"WW/5M", ""))</f>
        <v/>
      </c>
      <c r="AA22" s="52" t="str">
        <f>IF(AND(C22="5 Musketeers",D22="Loose Gooses"),"5M/LG", IF(AND($C22="5 Musketeers",$D22="Wet Willies"),"5M/WW", ""))</f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>IF($W3, CHAR(34)&amp;"Did not Play"&amp;CHAR(34), S3)&amp;","</f>
        <v>0,</v>
      </c>
      <c r="T23" s="16" t="str">
        <f>IF($W3, CHAR(34)&amp;"Did not Play"&amp;CHAR(34), T3)&amp;","</f>
        <v>0,</v>
      </c>
      <c r="U23" s="16" t="str">
        <f>IF($W3, CHAR(34)&amp;"Did not Play"&amp;CHAR(34), U3)&amp;","</f>
        <v>0,</v>
      </c>
      <c r="V23" s="16" t="str">
        <f>IF($W3, CHAR(34)&amp;"Did not Play"&amp;CHAR(34), V3)&amp;","</f>
        <v>0,</v>
      </c>
      <c r="Y23" s="52" t="str">
        <f>IF(AND(C23="Loose Gooses",D23="Wet Willies"),"LG/WW", IF(AND(C23="Loose Gooses",D23="5 Musketeers"),"LG/5M", ""))</f>
        <v/>
      </c>
      <c r="Z23" s="52" t="str">
        <f>IF(AND(C23="Wet Willies",D23="Loose Gooses"),"WW/LG", IF(AND(C23="Wet Willies",D23="5 Musketeers"),"WW/5M", ""))</f>
        <v/>
      </c>
      <c r="AA23" s="52" t="str">
        <f>IF(AND(C23="5 Musketeers",D23="Loose Gooses"),"5M/LG", IF(AND($C23="5 Musketeers",$D23="Wet Willies"),"5M/WW", ""))</f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>IF($W4, CHAR(34)&amp;"Did not Play"&amp;CHAR(34), S4)&amp;","</f>
        <v>0,</v>
      </c>
      <c r="T24" s="16" t="str">
        <f>IF($W4, CHAR(34)&amp;"Did not Play"&amp;CHAR(34), T4)&amp;","</f>
        <v>0,</v>
      </c>
      <c r="U24" s="16" t="str">
        <f>IF($W4, CHAR(34)&amp;"Did not Play"&amp;CHAR(34), U4)&amp;","</f>
        <v>0,</v>
      </c>
      <c r="V24" s="16" t="str">
        <f>IF($W4, CHAR(34)&amp;"Did not Play"&amp;CHAR(34), V4)&amp;","</f>
        <v>0,</v>
      </c>
      <c r="Y24" s="52" t="str">
        <f>IF(AND(C24="Loose Gooses",D24="Wet Willies"),"LG/WW", IF(AND(C24="Loose Gooses",D24="5 Musketeers"),"LG/5M", ""))</f>
        <v/>
      </c>
      <c r="Z24" s="52" t="str">
        <f>IF(AND(C24="Wet Willies",D24="Loose Gooses"),"WW/LG", IF(AND(C24="Wet Willies",D24="5 Musketeers"),"WW/5M", ""))</f>
        <v/>
      </c>
      <c r="AA24" s="52" t="str">
        <f>IF(AND(C24="5 Musketeers",D24="Loose Gooses"),"5M/LG", IF(AND($C24="5 Musketeers",$D24="Wet Willies"),"5M/WW", ""))</f>
        <v/>
      </c>
      <c r="AC24" s="158" t="s">
        <v>30</v>
      </c>
      <c r="AD24" s="165">
        <f>Table63134[[#This Row],[Finishes]]+Table63134[[#This Row],[Midranges]]+Table63134[[#This Row],[Threes]]+Table63134[[#This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>IF($W5, CHAR(34)&amp;"Did not Play"&amp;CHAR(34), S5)&amp;","</f>
        <v>5,</v>
      </c>
      <c r="T25" s="16" t="str">
        <f>IF($W5, CHAR(34)&amp;"Did not Play"&amp;CHAR(34), T5)&amp;","</f>
        <v>4,</v>
      </c>
      <c r="U25" s="16" t="str">
        <f>IF($W5, CHAR(34)&amp;"Did not Play"&amp;CHAR(34), U5)&amp;","</f>
        <v>1,</v>
      </c>
      <c r="V25" s="16" t="str">
        <f>IF($W5, CHAR(34)&amp;"Did not Play"&amp;CHAR(34), V5)&amp;","</f>
        <v>0,</v>
      </c>
      <c r="Y25" s="52" t="str">
        <f>IF(AND(C25="Loose Gooses",D25="Wet Willies"),"LG/WW", IF(AND(C25="Loose Gooses",D25="5 Musketeers"),"LG/5M", ""))</f>
        <v/>
      </c>
      <c r="Z25" s="52" t="str">
        <f>IF(AND(C25="Wet Willies",D25="Loose Gooses"),"WW/LG", IF(AND(C25="Wet Willies",D25="5 Musketeers"),"WW/5M", ""))</f>
        <v/>
      </c>
      <c r="AA25" s="52" t="str">
        <f>IF(AND(C25="5 Musketeers",D25="Loose Gooses"),"5M/LG", IF(AND($C25="5 Musketeers",$D25="Wet Willies"),"5M/WW", ""))</f>
        <v/>
      </c>
      <c r="AC25" s="159" t="s">
        <v>35</v>
      </c>
      <c r="AD25" s="166">
        <f>Table63134[[#This Row],[Finishes]]+Table63134[[#This Row],[Midranges]]+Table63134[[#This Row],[Threes]]+Table63134[[#This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>IF($W6, CHAR(34)&amp;"Did not Play"&amp;CHAR(34), S6)&amp;","</f>
        <v>2,</v>
      </c>
      <c r="T26" s="16" t="str">
        <f>IF($W6, CHAR(34)&amp;"Did not Play"&amp;CHAR(34), T6)&amp;","</f>
        <v>2,</v>
      </c>
      <c r="U26" s="16" t="str">
        <f>IF($W6, CHAR(34)&amp;"Did not Play"&amp;CHAR(34), U6)&amp;","</f>
        <v>0,</v>
      </c>
      <c r="V26" s="16" t="str">
        <f>IF($W6, CHAR(34)&amp;"Did not Play"&amp;CHAR(34), V6)&amp;","</f>
        <v>0,</v>
      </c>
      <c r="Y26" s="52" t="str">
        <f>IF(AND(C26="Loose Gooses",D26="Wet Willies"),"LG/WW", IF(AND(C26="Loose Gooses",D26="5 Musketeers"),"LG/5M", ""))</f>
        <v/>
      </c>
      <c r="Z26" s="52" t="str">
        <f>IF(AND(C26="Wet Willies",D26="Loose Gooses"),"WW/LG", IF(AND(C26="Wet Willies",D26="5 Musketeers"),"WW/5M", ""))</f>
        <v/>
      </c>
      <c r="AA26" s="52" t="str">
        <f>IF(AND(C26="5 Musketeers",D26="Loose Gooses"),"5M/LG", IF(AND($C26="5 Musketeers",$D26="Wet Willies"),"5M/WW", ""))</f>
        <v/>
      </c>
      <c r="AC26" s="158" t="s">
        <v>37</v>
      </c>
      <c r="AD26" s="165">
        <f>Table63134[[#This Row],[Finishes]]+Table63134[[#This Row],[Midranges]]+Table63134[[#This Row],[Threes]]+Table63134[[#This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>IF($W7, CHAR(34)&amp;"Did not Play"&amp;CHAR(34), S7)&amp;","</f>
        <v>0,</v>
      </c>
      <c r="T27" s="16" t="str">
        <f>IF($W7, CHAR(34)&amp;"Did not Play"&amp;CHAR(34), T7)&amp;","</f>
        <v>0,</v>
      </c>
      <c r="U27" s="16" t="str">
        <f>IF($W7, CHAR(34)&amp;"Did not Play"&amp;CHAR(34), U7)&amp;","</f>
        <v>0,</v>
      </c>
      <c r="V27" s="16" t="str">
        <f>IF($W7, CHAR(34)&amp;"Did not Play"&amp;CHAR(34), V7)&amp;","</f>
        <v>0,</v>
      </c>
      <c r="Y27" s="52" t="str">
        <f>IF(AND(C27="Loose Gooses",D27="Wet Willies"),"LG/WW", IF(AND(C27="Loose Gooses",D27="5 Musketeers"),"LG/5M", ""))</f>
        <v/>
      </c>
      <c r="Z27" s="52" t="str">
        <f>IF(AND(C27="Wet Willies",D27="Loose Gooses"),"WW/LG", IF(AND(C27="Wet Willies",D27="5 Musketeers"),"WW/5M", ""))</f>
        <v/>
      </c>
      <c r="AA27" s="52" t="str">
        <f>IF(AND(C27="5 Musketeers",D27="Loose Gooses"),"5M/LG", IF(AND($C27="5 Musketeers",$D27="Wet Willies"),"5M/WW", ""))</f>
        <v/>
      </c>
      <c r="AC27" s="159" t="s">
        <v>42</v>
      </c>
      <c r="AD27" s="166">
        <f>Table63134[[#This Row],[Finishes]]+Table63134[[#This Row],[Midranges]]+Table63134[[#This Row],[Threes]]+Table63134[[#This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>IF($W8, CHAR(34)&amp;"Did not Play"&amp;CHAR(34), S8)&amp;","</f>
        <v>1,</v>
      </c>
      <c r="T28" s="16" t="str">
        <f>IF($W8, CHAR(34)&amp;"Did not Play"&amp;CHAR(34), T8)&amp;","</f>
        <v>1,</v>
      </c>
      <c r="U28" s="16" t="str">
        <f>IF($W8, CHAR(34)&amp;"Did not Play"&amp;CHAR(34), U8)&amp;","</f>
        <v>0,</v>
      </c>
      <c r="V28" s="16" t="str">
        <f>IF($W8, CHAR(34)&amp;"Did not Play"&amp;CHAR(34), V8)&amp;","</f>
        <v>0,</v>
      </c>
      <c r="Y28" s="52" t="str">
        <f>IF(AND(C28="Loose Gooses",D28="Wet Willies"),"LG/WW", IF(AND(C28="Loose Gooses",D28="5 Musketeers"),"LG/5M", ""))</f>
        <v/>
      </c>
      <c r="Z28" s="52" t="str">
        <f>IF(AND(C28="Wet Willies",D28="Loose Gooses"),"WW/LG", IF(AND(C28="Wet Willies",D28="5 Musketeers"),"WW/5M", ""))</f>
        <v/>
      </c>
      <c r="AA28" s="52" t="str">
        <f>IF(AND(C28="5 Musketeers",D28="Loose Gooses"),"5M/LG", IF(AND($C28="5 Musketeers",$D28="Wet Willies"),"5M/WW", ""))</f>
        <v/>
      </c>
      <c r="AC28" s="158" t="s">
        <v>115</v>
      </c>
      <c r="AD28" s="165">
        <f>Table63134[[#This Row],[Finishes]]+Table63134[[#This Row],[Midranges]]+Table63134[[#This Row],[Threes]]+Table63134[[#This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>IF($W9, CHAR(34)&amp;"Did not Play"&amp;CHAR(34), S9)&amp;","</f>
        <v>1,</v>
      </c>
      <c r="T29" s="16" t="str">
        <f>IF($W9, CHAR(34)&amp;"Did not Play"&amp;CHAR(34), T9)&amp;","</f>
        <v>0,</v>
      </c>
      <c r="U29" s="16" t="str">
        <f>IF($W9, CHAR(34)&amp;"Did not Play"&amp;CHAR(34), U9)&amp;","</f>
        <v>1,</v>
      </c>
      <c r="V29" s="16" t="str">
        <f>IF($W9, CHAR(34)&amp;"Did not Play"&amp;CHAR(34), V9)&amp;","</f>
        <v>0,</v>
      </c>
      <c r="Y29" s="52" t="str">
        <f>IF(AND(C29="Loose Gooses",D29="Wet Willies"),"LG/WW", IF(AND(C29="Loose Gooses",D29="5 Musketeers"),"LG/5M", ""))</f>
        <v/>
      </c>
      <c r="Z29" s="52" t="str">
        <f>IF(AND(C29="Wet Willies",D29="Loose Gooses"),"WW/LG", IF(AND(C29="Wet Willies",D29="5 Musketeers"),"WW/5M", ""))</f>
        <v/>
      </c>
      <c r="AA29" s="52" t="str">
        <f>IF(AND(C29="5 Musketeers",D29="Loose Gooses"),"5M/LG", IF(AND($C29="5 Musketeers",$D29="Wet Willies"),"5M/WW", ""))</f>
        <v/>
      </c>
      <c r="AC29" s="159" t="s">
        <v>44</v>
      </c>
      <c r="AD29" s="166">
        <f>Table63134[[#This Row],[Finishes]]+Table63134[[#This Row],[Midranges]]+Table63134[[#This Row],[Threes]]+Table63134[[#This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>IF($W10, CHAR(34)&amp;"Did not Play"&amp;CHAR(34), S10)&amp;","</f>
        <v>0,</v>
      </c>
      <c r="T30" s="16" t="str">
        <f>IF($W10, CHAR(34)&amp;"Did not Play"&amp;CHAR(34), T10)&amp;","</f>
        <v>0,</v>
      </c>
      <c r="U30" s="16" t="str">
        <f>IF($W10, CHAR(34)&amp;"Did not Play"&amp;CHAR(34), U10)&amp;","</f>
        <v>0,</v>
      </c>
      <c r="V30" s="16" t="str">
        <f>IF($W10, CHAR(34)&amp;"Did not Play"&amp;CHAR(34), V10)&amp;","</f>
        <v>0,</v>
      </c>
      <c r="Y30" s="52" t="str">
        <f>IF(AND(C30="Loose Gooses",D30="Wet Willies"),"LG/WW", IF(AND(C30="Loose Gooses",D30="5 Musketeers"),"LG/5M", ""))</f>
        <v/>
      </c>
      <c r="Z30" s="52" t="str">
        <f>IF(AND(C30="Wet Willies",D30="Loose Gooses"),"WW/LG", IF(AND(C30="Wet Willies",D30="5 Musketeers"),"WW/5M", ""))</f>
        <v/>
      </c>
      <c r="AA30" s="52" t="str">
        <f>IF(AND(C30="5 Musketeers",D30="Loose Gooses"),"5M/LG", IF(AND($C30="5 Musketeers",$D30="Wet Willies"),"5M/WW", ""))</f>
        <v/>
      </c>
      <c r="AC30" s="158" t="s">
        <v>50</v>
      </c>
      <c r="AD30" s="165">
        <f>Table63134[[#This Row],[Finishes]]+Table63134[[#This Row],[Midranges]]+Table63134[[#This Row],[Threes]]+Table63134[[#This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>IF($W11, CHAR(34)&amp;"Did not Play"&amp;CHAR(34), S11)&amp;","</f>
        <v>3,</v>
      </c>
      <c r="T31" s="16" t="str">
        <f>IF($W11, CHAR(34)&amp;"Did not Play"&amp;CHAR(34), T11)&amp;","</f>
        <v>2,</v>
      </c>
      <c r="U31" s="16" t="str">
        <f>IF($W11, CHAR(34)&amp;"Did not Play"&amp;CHAR(34), U11)&amp;","</f>
        <v>1,</v>
      </c>
      <c r="V31" s="16" t="str">
        <f>IF($W11, CHAR(34)&amp;"Did not Play"&amp;CHAR(34), V11)&amp;","</f>
        <v>0,</v>
      </c>
      <c r="Y31" s="52" t="str">
        <f>IF(AND(C31="Loose Gooses",D31="Wet Willies"),"LG/WW", IF(AND(C31="Loose Gooses",D31="5 Musketeers"),"LG/5M", ""))</f>
        <v/>
      </c>
      <c r="Z31" s="52" t="str">
        <f>IF(AND(C31="Wet Willies",D31="Loose Gooses"),"WW/LG", IF(AND(C31="Wet Willies",D31="5 Musketeers"),"WW/5M", ""))</f>
        <v/>
      </c>
      <c r="AA31" s="52" t="str">
        <f>IF(AND(C31="5 Musketeers",D31="Loose Gooses"),"5M/LG", IF(AND($C31="5 Musketeers",$D31="Wet Willies"),"5M/WW", ""))</f>
        <v/>
      </c>
      <c r="AC31" s="159" t="s">
        <v>52</v>
      </c>
      <c r="AD31" s="166">
        <f>Table63134[[#This Row],[Finishes]]+Table63134[[#This Row],[Midranges]]+Table63134[[#This Row],[Threes]]+Table63134[[#This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>IF($W12, CHAR(34)&amp;"Did not Play"&amp;CHAR(34), S12)&amp;","</f>
        <v>4,</v>
      </c>
      <c r="T32" s="16" t="str">
        <f>IF($W12, CHAR(34)&amp;"Did not Play"&amp;CHAR(34), T12)&amp;","</f>
        <v>0,</v>
      </c>
      <c r="U32" s="16" t="str">
        <f>IF($W12, CHAR(34)&amp;"Did not Play"&amp;CHAR(34), U12)&amp;","</f>
        <v>4,</v>
      </c>
      <c r="V32" s="16" t="str">
        <f>IF($W12, CHAR(34)&amp;"Did not Play"&amp;CHAR(34), V12)&amp;","</f>
        <v>0,</v>
      </c>
      <c r="Y32" s="52" t="str">
        <f>IF(AND(C32="Loose Gooses",D32="Wet Willies"),"LG/WW", IF(AND(C32="Loose Gooses",D32="5 Musketeers"),"LG/5M", ""))</f>
        <v/>
      </c>
      <c r="Z32" s="52" t="str">
        <f>IF(AND(C32="Wet Willies",D32="Loose Gooses"),"WW/LG", IF(AND(C32="Wet Willies",D32="5 Musketeers"),"WW/5M", ""))</f>
        <v/>
      </c>
      <c r="AA32" s="52" t="str">
        <f>IF(AND(C32="5 Musketeers",D32="Loose Gooses"),"5M/LG", IF(AND($C32="5 Musketeers",$D32="Wet Willies"),"5M/WW", ""))</f>
        <v/>
      </c>
      <c r="AC32" s="158" t="s">
        <v>200</v>
      </c>
      <c r="AD32" s="165">
        <f>Table63134[[#This Row],[Finishes]]+Table63134[[#This Row],[Midranges]]+Table63134[[#This Row],[Threes]]+Table63134[[#This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>IF($W13, CHAR(34)&amp;"Did not Play"&amp;CHAR(34), S13)&amp;","</f>
        <v>0,</v>
      </c>
      <c r="T33" s="16" t="str">
        <f>IF($W13, CHAR(34)&amp;"Did not Play"&amp;CHAR(34), T13)&amp;","</f>
        <v>0,</v>
      </c>
      <c r="U33" s="16" t="str">
        <f>IF($W13, CHAR(34)&amp;"Did not Play"&amp;CHAR(34), U13)&amp;","</f>
        <v>0,</v>
      </c>
      <c r="V33" s="16" t="str">
        <f>IF($W13, CHAR(34)&amp;"Did not Play"&amp;CHAR(34), V13)&amp;","</f>
        <v>0,</v>
      </c>
      <c r="Y33" s="52" t="str">
        <f>IF(AND(C33="Loose Gooses",D33="Wet Willies"),"LG/WW", IF(AND(C33="Loose Gooses",D33="5 Musketeers"),"LG/5M", ""))</f>
        <v/>
      </c>
      <c r="Z33" s="52" t="str">
        <f>IF(AND(C33="Wet Willies",D33="Loose Gooses"),"WW/LG", IF(AND(C33="Wet Willies",D33="5 Musketeers"),"WW/5M", ""))</f>
        <v/>
      </c>
      <c r="AA33" s="52" t="str">
        <f>IF(AND(C33="5 Musketeers",D33="Loose Gooses"),"5M/LG", IF(AND($C33="5 Musketeers",$D33="Wet Willies"),"5M/WW", ""))</f>
        <v/>
      </c>
      <c r="AC33" s="159" t="s">
        <v>55</v>
      </c>
      <c r="AD33" s="166">
        <f>Table63134[[#This Row],[Finishes]]+Table63134[[#This Row],[Midranges]]+Table63134[[#This Row],[Threes]]+Table63134[[#This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>IF($W14, CHAR(34)&amp;"Did not Play"&amp;CHAR(34), S14)&amp;","</f>
        <v>"Did not Play",</v>
      </c>
      <c r="T34" s="16" t="str">
        <f>IF($W14, CHAR(34)&amp;"Did not Play"&amp;CHAR(34), T14)&amp;","</f>
        <v>"Did not Play",</v>
      </c>
      <c r="U34" s="16" t="str">
        <f>IF($W14, CHAR(34)&amp;"Did not Play"&amp;CHAR(34), U14)&amp;","</f>
        <v>"Did not Play",</v>
      </c>
      <c r="V34" s="16" t="str">
        <f>IF($W14, CHAR(34)&amp;"Did not Play"&amp;CHAR(34), V14)&amp;","</f>
        <v>"Did not Play",</v>
      </c>
      <c r="Y34" s="52" t="str">
        <f>IF(AND(C34="Loose Gooses",D34="Wet Willies"),"LG/WW", IF(AND(C34="Loose Gooses",D34="5 Musketeers"),"LG/5M", ""))</f>
        <v/>
      </c>
      <c r="Z34" s="52" t="str">
        <f>IF(AND(C34="Wet Willies",D34="Loose Gooses"),"WW/LG", IF(AND(C34="Wet Willies",D34="5 Musketeers"),"WW/5M", ""))</f>
        <v/>
      </c>
      <c r="AA34" s="52" t="str">
        <f>IF(AND(C34="5 Musketeers",D34="Loose Gooses"),"5M/LG", IF(AND($C34="5 Musketeers",$D34="Wet Willies"),"5M/WW", ""))</f>
        <v/>
      </c>
      <c r="AC34" s="158" t="s">
        <v>64</v>
      </c>
      <c r="AD34" s="165">
        <f>Table63134[[#This Row],[Finishes]]+Table63134[[#This Row],[Midranges]]+Table63134[[#This Row],[Threes]]+Table63134[[#This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>IF($W15, CHAR(34)&amp;"Did not Play"&amp;CHAR(34), S15)&amp;","</f>
        <v>0,</v>
      </c>
      <c r="T35" s="16" t="str">
        <f>IF($W15, CHAR(34)&amp;"Did not Play"&amp;CHAR(34), T15)&amp;","</f>
        <v>0,</v>
      </c>
      <c r="U35" s="16" t="str">
        <f>IF($W15, CHAR(34)&amp;"Did not Play"&amp;CHAR(34), U15)&amp;","</f>
        <v>0,</v>
      </c>
      <c r="V35" s="16" t="str">
        <f>IF($W15, CHAR(34)&amp;"Did not Play"&amp;CHAR(34), V15)&amp;","</f>
        <v>0,</v>
      </c>
      <c r="Y35" s="52" t="str">
        <f>IF(AND(C35="Loose Gooses",D35="Wet Willies"),"LG/WW", IF(AND(C35="Loose Gooses",D35="5 Musketeers"),"LG/5M", ""))</f>
        <v/>
      </c>
      <c r="Z35" s="52" t="str">
        <f>IF(AND(C35="Wet Willies",D35="Loose Gooses"),"WW/LG", IF(AND(C35="Wet Willies",D35="5 Musketeers"),"WW/5M", ""))</f>
        <v/>
      </c>
      <c r="AA35" s="52" t="str">
        <f>IF(AND(C35="5 Musketeers",D35="Loose Gooses"),"5M/LG", IF(AND($C35="5 Musketeers",$D35="Wet Willies"),"5M/WW", ""))</f>
        <v/>
      </c>
      <c r="AC35" s="160" t="s">
        <v>67</v>
      </c>
      <c r="AD35" s="167">
        <f>Table63134[[#This Row],[Finishes]]+Table63134[[#This Row],[Midranges]]+Table63134[[#This Row],[Threes]]+Table63134[[#This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>IF($W16, CHAR(34)&amp;"Did not Play"&amp;CHAR(34), S16)&amp;","</f>
        <v>0,</v>
      </c>
      <c r="T36" s="16" t="str">
        <f>IF($W16, CHAR(34)&amp;"Did not Play"&amp;CHAR(34), T16)&amp;","</f>
        <v>0,</v>
      </c>
      <c r="U36" s="16" t="str">
        <f>IF($W16, CHAR(34)&amp;"Did not Play"&amp;CHAR(34), U16)&amp;","</f>
        <v>0,</v>
      </c>
      <c r="V36" s="16" t="str">
        <f>IF($W16, CHAR(34)&amp;"Did not Play"&amp;CHAR(34), V16)&amp;","</f>
        <v>0,</v>
      </c>
      <c r="Y36" s="52" t="str">
        <f>IF(AND(C36="Loose Gooses",D36="Wet Willies"),"LG/WW", IF(AND(C36="Loose Gooses",D36="5 Musketeers"),"LG/5M", ""))</f>
        <v/>
      </c>
      <c r="Z36" s="52" t="str">
        <f>IF(AND(C36="Wet Willies",D36="Loose Gooses"),"WW/LG", IF(AND(C36="Wet Willies",D36="5 Musketeers"),"WW/5M", ""))</f>
        <v/>
      </c>
      <c r="AA36" s="52" t="str">
        <f>IF(AND(C36="5 Musketeers",D36="Loose Gooses"),"5M/LG", IF(AND($C36="5 Musketeers",$D36="Wet Willies"),"5M/WW", ""))</f>
        <v/>
      </c>
    </row>
    <row r="37" spans="2:33" ht="14.25" customHeight="1" x14ac:dyDescent="0.45">
      <c r="S37" s="16" t="str">
        <f>IF($W17, CHAR(34)&amp;"Did not Play"&amp;CHAR(34), S17)&amp;","</f>
        <v>3,</v>
      </c>
      <c r="T37" s="16" t="str">
        <f>IF($W17, CHAR(34)&amp;"Did not Play"&amp;CHAR(34), T17)&amp;","</f>
        <v>3,</v>
      </c>
      <c r="U37" s="16" t="str">
        <f>IF($W17, CHAR(34)&amp;"Did not Play"&amp;CHAR(34), U17)&amp;","</f>
        <v>0,</v>
      </c>
      <c r="V37" s="16" t="str">
        <f>IF($W17, CHAR(34)&amp;"Did not Play"&amp;CHAR(34), V17)&amp;","</f>
        <v>0,</v>
      </c>
      <c r="Y37" s="52" t="str">
        <f>IF(AND(C37="Loose Gooses",D37="Wet Willies"),"LG/WW", IF(AND(C37="Loose Gooses",D37="5 Musketeers"),"LG/5M", ""))</f>
        <v/>
      </c>
      <c r="Z37" s="52" t="str">
        <f>IF(AND(C37="Wet Willies",D37="Loose Gooses"),"WW/LG", IF(AND(C37="Wet Willies",D37="5 Musketeers"),"WW/5M", ""))</f>
        <v/>
      </c>
      <c r="AA37" s="52" t="str">
        <f>IF(AND(C37="5 Musketeers",D37="Loose Gooses"),"5M/LG", IF(AND($C37="5 Musketeers",$D37="Wet Willies"),"5M/WW", ""))</f>
        <v/>
      </c>
    </row>
    <row r="38" spans="2:33" ht="14.25" customHeight="1" x14ac:dyDescent="0.45">
      <c r="S38" s="16" t="str">
        <f>IF($W18, CHAR(34)&amp;"Did not Play"&amp;CHAR(34), S18)&amp;","</f>
        <v>0,</v>
      </c>
      <c r="T38" s="16" t="str">
        <f>IF($W18, CHAR(34)&amp;"Did not Play"&amp;CHAR(34), T18)&amp;","</f>
        <v>0,</v>
      </c>
      <c r="U38" s="16" t="str">
        <f>IF($W18, CHAR(34)&amp;"Did not Play"&amp;CHAR(34), U18)&amp;","</f>
        <v>0,</v>
      </c>
      <c r="V38" s="16" t="str">
        <f>IF($W18, CHAR(34)&amp;"Did not Play"&amp;CHAR(34), V18)&amp;","</f>
        <v>0,</v>
      </c>
      <c r="Y38" s="52" t="str">
        <f>IF(AND(C38="Loose Gooses",D38="Wet Willies"),"LG/WW", IF(AND(C38="Loose Gooses",D38="5 Musketeers"),"LG/5M", ""))</f>
        <v/>
      </c>
      <c r="Z38" s="52" t="str">
        <f>IF(AND(C38="Wet Willies",D38="Loose Gooses"),"WW/LG", IF(AND(C38="Wet Willies",D38="5 Musketeers"),"WW/5M", ""))</f>
        <v/>
      </c>
      <c r="AA38" s="52" t="str">
        <f>IF(AND(C38="5 Musketeers",D38="Loose Gooses"),"5M/LG", IF(AND($C38="5 Musketeers",$D38="Wet Willies"),"5M/WW", ""))</f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>IF(AND(C39="Loose Gooses",D39="Wet Willies"),"LG/WW", IF(AND(C39="Loose Gooses",D39="5 Musketeers"),"LG/5M", ""))</f>
        <v/>
      </c>
      <c r="Z39" s="52" t="str">
        <f>IF(AND(C39="Wet Willies",D39="Loose Gooses"),"WW/LG", IF(AND(C39="Wet Willies",D39="5 Musketeers"),"WW/5M", ""))</f>
        <v/>
      </c>
      <c r="AA39" s="52" t="str">
        <f>IF(AND(C39="5 Musketeers",D39="Loose Gooses"),"5M/LG", IF(AND($C39="5 Musketeers",$D39="Wet Willies"),"5M/WW", ""))</f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87" t="s">
        <v>119</v>
      </c>
      <c r="U41" s="187"/>
      <c r="V41" s="187"/>
    </row>
    <row r="42" spans="2:33" ht="14.25" customHeight="1" x14ac:dyDescent="0.9">
      <c r="R42" s="94"/>
      <c r="S42" s="94"/>
      <c r="T42" s="187"/>
      <c r="U42" s="187"/>
      <c r="V42" s="187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"Date":["Finals 1"],</v>
      </c>
    </row>
    <row r="45" spans="2:33" ht="14.25" customHeight="1" x14ac:dyDescent="0.45">
      <c r="B45" s="74" t="str">
        <f>C2</f>
        <v>Finals 1</v>
      </c>
      <c r="C45" s="16">
        <f>MAX(M3:M5)</f>
        <v>5</v>
      </c>
      <c r="D45" s="16">
        <f>COUNT(B4:B42)-C45-E45</f>
        <v>13</v>
      </c>
      <c r="E45" s="16">
        <f>MIN(M3:M5)</f>
        <v>1</v>
      </c>
      <c r="F45" s="16">
        <f>M3</f>
        <v>2</v>
      </c>
      <c r="G45" s="16">
        <f>COUNTIF(Z4:Z39, "WW/LG")</f>
        <v>2</v>
      </c>
      <c r="H45" s="16">
        <f>COUNTIF(AA4:AA39, "5M/LG")</f>
        <v>5</v>
      </c>
      <c r="I45" s="16">
        <f>M5</f>
        <v>1</v>
      </c>
      <c r="J45" s="16">
        <f>COUNTIF(Y4:Y39, "LG/WW")</f>
        <v>3</v>
      </c>
      <c r="K45" s="16">
        <f>COUNTIF(AA4:AA39, "5M/WW")</f>
        <v>6</v>
      </c>
      <c r="L45" s="16">
        <f>M4</f>
        <v>5</v>
      </c>
      <c r="M45" s="16">
        <f>COUNTIF(Y4:Y39, "LG/5M")</f>
        <v>3</v>
      </c>
      <c r="N45" s="16">
        <f>COUNTIF(Z4:Z39, "WW/5M")</f>
        <v>0</v>
      </c>
      <c r="O45" s="16">
        <f>P3</f>
        <v>4</v>
      </c>
      <c r="P45" s="16">
        <f>P5</f>
        <v>2</v>
      </c>
      <c r="Q45" s="16">
        <f>P4</f>
        <v>6</v>
      </c>
      <c r="T45" s="16" t="str">
        <f>CHAR(34)&amp;"Points"&amp;CHAR(34)&amp;":["&amp;S23&amp;S24&amp;S25&amp;S26&amp;S27&amp;S28&amp;S29&amp;S30&amp;S31&amp;S32&amp;S33&amp;S34&amp;S35&amp;S36&amp;S37&amp;S38&amp;S39&amp;"],"</f>
        <v>"Points":[0,0,5,2,0,1,1,0,3,4,0,"Did not Play",0,0,3,0,0],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"Finishes":[0,0,4,2,0,1,0,0,2,0,0,"Did not Play",0,0,3,0,0],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"Midrange":[0,0,1,0,0,0,1,0,1,4,0,"Did not Play",0,0,0,0,0],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"ThreePointers":[0,0,0,0,0,0,0,0,0,0,0,"Did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A8D5-11BE-4397-9F7A-64BFF140AB1E}">
  <dimension ref="B1:AF1000"/>
  <sheetViews>
    <sheetView zoomScale="79" workbookViewId="0">
      <selection activeCell="K37" sqref="K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6</v>
      </c>
      <c r="N3" s="10">
        <f>L3/(L3+M3)</f>
        <v>0.4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46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5</v>
      </c>
      <c r="M4" s="11">
        <f>COUNTIF(D3:D40, "5 Musketeers")</f>
        <v>6</v>
      </c>
      <c r="N4" s="10">
        <f t="shared" ref="N4:N5" si="4">L4/(L4+M4)</f>
        <v>0.45454545454545453</v>
      </c>
      <c r="O4" s="11">
        <f>IF(M4&lt;&gt;0,IF(AND(N4&gt;N3,N4&gt;N5),3,IF(OR(N4&gt;N3,N4&gt;N5),2,1)),0)</f>
        <v>2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99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7</v>
      </c>
      <c r="M5" s="11">
        <f>COUNTIF(D3:D40, "Wet Willies")</f>
        <v>4</v>
      </c>
      <c r="N5" s="10">
        <f t="shared" si="4"/>
        <v>0.63636363636363635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2</v>
      </c>
      <c r="S5" s="9">
        <f t="shared" si="1"/>
        <v>2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4</v>
      </c>
      <c r="S6" s="9">
        <f t="shared" si="1"/>
        <v>4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37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42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2</v>
      </c>
      <c r="H9" s="25">
        <v>2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37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35</v>
      </c>
      <c r="F11" s="25" t="s">
        <v>204</v>
      </c>
      <c r="G11" s="25">
        <v>2</v>
      </c>
      <c r="H11" s="25">
        <v>3</v>
      </c>
      <c r="I11" s="25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35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1</v>
      </c>
      <c r="S12" s="9">
        <f t="shared" si="1"/>
        <v>1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58</v>
      </c>
      <c r="F13" s="25" t="s">
        <v>204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42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30</v>
      </c>
      <c r="F15" s="25" t="s">
        <v>204</v>
      </c>
      <c r="G15" s="25">
        <v>2</v>
      </c>
      <c r="H15" s="25">
        <v>2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26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2</v>
      </c>
      <c r="S17" s="9">
        <f t="shared" si="1"/>
        <v>0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>WW/5M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47</v>
      </c>
      <c r="E18" s="25" t="s">
        <v>35</v>
      </c>
      <c r="F18" s="25" t="s">
        <v>204</v>
      </c>
      <c r="G18" s="25">
        <v>2</v>
      </c>
      <c r="H18" s="25">
        <v>3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WW/LG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44</v>
      </c>
      <c r="F19" s="25" t="s">
        <v>205</v>
      </c>
      <c r="G19" s="25">
        <v>3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Table63133[[#This Row],[Finishes]]+Table63133[[#This Row],[Midranges]]+Table63133[[#This Row],[Threes]]+Table63133[[#This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2,</v>
      </c>
      <c r="S25" s="16" t="str">
        <f t="shared" si="9"/>
        <v>2,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Table63133[[#This Row],[Finishes]]+Table63133[[#This Row],[Midranges]]+Table63133[[#This Row],[Threes]]+Table63133[[#This Row],[Threes]]</f>
        <v>2</v>
      </c>
      <c r="AD25" s="157">
        <f>COUNTIFS(D4:D35, "Loose Gooses", E$4:E$35,AB25,F$4:F$35,"Finish")</f>
        <v>2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4,</v>
      </c>
      <c r="S26" s="16" t="str">
        <f t="shared" si="9"/>
        <v>4,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Table63133[[#This Row],[Finishes]]+Table63133[[#This Row],[Midranges]]+Table63133[[#This Row],[Threes]]+Table63133[[#This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Table63133[[#This Row],[Finishes]]+Table63133[[#This Row],[Midranges]]+Table63133[[#This Row],[Threes]]+Table63133[[#This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Table63133[[#This Row],[Finishes]]+Table63133[[#This Row],[Midranges]]+Table63133[[#This Row],[Threes]]+Table63133[[#This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Table63133[[#This Row],[Finishes]]+Table63133[[#This Row],[Midranges]]+Table63133[[#This Row],[Threes]]+Table63133[[#This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Table63133[[#This Row],[Finishes]]+Table63133[[#This Row],[Midranges]]+Table63133[[#This Row],[Threes]]+Table63133[[#This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Table63133[[#This Row],[Finishes]]+Table63133[[#This Row],[Midranges]]+Table63133[[#This Row],[Threes]]+Table63133[[#This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1,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Table63133[[#This Row],[Finishes]]+Table63133[[#This Row],[Midranges]]+Table63133[[#This Row],[Threes]]+Table63133[[#This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Table63133[[#This Row],[Finishes]]+Table63133[[#This Row],[Midranges]]+Table63133[[#This Row],[Threes]]+Table63133[[#This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Table63133[[#This Row],[Finishes]]+Table63133[[#This Row],[Midranges]]+Table63133[[#This Row],[Threes]]+Table63133[[#This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Table63133[[#This Row],[Finishes]]+Table63133[[#This Row],[Midranges]]+Table63133[[#This Row],[Threes]]+Table63133[[#This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0,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"Date":["17-August"],</v>
      </c>
    </row>
    <row r="45" spans="2:32" ht="14.25" customHeight="1" x14ac:dyDescent="0.45">
      <c r="B45" s="74" t="str">
        <f>C2</f>
        <v>17-August</v>
      </c>
      <c r="C45" s="16">
        <f>MAX(L3:L5)</f>
        <v>7</v>
      </c>
      <c r="D45" s="16">
        <f>COUNT(B4:B42)-C45-E45</f>
        <v>5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3</v>
      </c>
      <c r="I45" s="16">
        <f>L5</f>
        <v>7</v>
      </c>
      <c r="J45" s="16">
        <f>COUNTIF(X4:X39, "LG/WW")</f>
        <v>2</v>
      </c>
      <c r="K45" s="16">
        <f>COUNTIF(Z4:Z39, "5M/WW")</f>
        <v>2</v>
      </c>
      <c r="L45" s="16">
        <f>L4</f>
        <v>5</v>
      </c>
      <c r="M45" s="16">
        <f>COUNTIF(X4:X39, "LG/5M")</f>
        <v>2</v>
      </c>
      <c r="N45" s="16">
        <f>COUNTIF(Y4:Y39, "WW/5M")</f>
        <v>4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"Points":[0,0,2,4,2,2,0,2,2,1,0,"Did not Play","Did not Play",1,2,0,0],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"Finishes":[0,0,2,4,0,2,0,0,1,1,0,"Did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"Midrange":[0,0,0,0,2,0,0,0,1,0,0,"Did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Play","Did not Play",0,1,0,0]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E862-8CE5-4231-9B7D-B24E0E62539F}">
  <dimension ref="B1:AF1000"/>
  <sheetViews>
    <sheetView zoomScale="79" workbookViewId="0">
      <selection activeCell="C31" activeCellId="3" sqref="C6:E10 C13:E21 C24:E28 C31:E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13</v>
      </c>
      <c r="N3" s="10">
        <f>L3/(L3+M3)</f>
        <v>0.27777777777777779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84">
        <v>1</v>
      </c>
      <c r="C4" s="184" t="s">
        <v>47</v>
      </c>
      <c r="D4" s="184" t="s">
        <v>26</v>
      </c>
      <c r="E4" s="184" t="s">
        <v>46</v>
      </c>
      <c r="F4" s="184" t="s">
        <v>99</v>
      </c>
      <c r="G4" s="184">
        <v>1</v>
      </c>
      <c r="H4" s="184">
        <v>1</v>
      </c>
      <c r="I4" s="184">
        <v>1</v>
      </c>
      <c r="K4" s="11" t="s">
        <v>110</v>
      </c>
      <c r="L4" s="11">
        <f>COUNTIF(C3:C40, "5 Musketeers")</f>
        <v>20</v>
      </c>
      <c r="M4" s="11">
        <f>COUNTIF(D3:D40, "5 Musketeers")</f>
        <v>5</v>
      </c>
      <c r="N4" s="10">
        <f t="shared" ref="N4:N5" si="4">L4/(L4+M4)</f>
        <v>0.8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84">
        <v>2</v>
      </c>
      <c r="C5" s="184" t="s">
        <v>31</v>
      </c>
      <c r="D5" s="184" t="s">
        <v>47</v>
      </c>
      <c r="E5" s="184" t="s">
        <v>52</v>
      </c>
      <c r="F5" s="184" t="s">
        <v>204</v>
      </c>
      <c r="G5" s="184">
        <v>1</v>
      </c>
      <c r="H5" s="184">
        <v>1</v>
      </c>
      <c r="I5" s="184">
        <v>1</v>
      </c>
      <c r="K5" s="11" t="s">
        <v>109</v>
      </c>
      <c r="L5" s="11">
        <f>COUNTIF(C3:C40, "Wet Willies")</f>
        <v>5</v>
      </c>
      <c r="M5" s="11">
        <f>COUNTIF(D3:D40, "Wet Willies")</f>
        <v>12</v>
      </c>
      <c r="N5" s="10">
        <f t="shared" si="4"/>
        <v>0.29411764705882354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84">
        <v>3</v>
      </c>
      <c r="C6" s="184" t="s">
        <v>26</v>
      </c>
      <c r="D6" s="184" t="s">
        <v>31</v>
      </c>
      <c r="E6" s="184" t="s">
        <v>115</v>
      </c>
      <c r="F6" s="184" t="s">
        <v>204</v>
      </c>
      <c r="G6" s="184">
        <v>1</v>
      </c>
      <c r="H6" s="184">
        <v>1</v>
      </c>
      <c r="I6" s="184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5">
      <c r="B7" s="184">
        <v>4</v>
      </c>
      <c r="C7" s="184" t="s">
        <v>26</v>
      </c>
      <c r="D7" s="184" t="s">
        <v>47</v>
      </c>
      <c r="E7" s="184" t="s">
        <v>115</v>
      </c>
      <c r="F7" s="184" t="s">
        <v>99</v>
      </c>
      <c r="G7" s="184">
        <v>2</v>
      </c>
      <c r="H7" s="184">
        <v>2</v>
      </c>
      <c r="I7" s="184">
        <v>2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5">
      <c r="B8" s="184">
        <v>5</v>
      </c>
      <c r="C8" s="184" t="s">
        <v>26</v>
      </c>
      <c r="D8" s="184" t="s">
        <v>31</v>
      </c>
      <c r="E8" s="184" t="s">
        <v>42</v>
      </c>
      <c r="F8" s="184" t="s">
        <v>99</v>
      </c>
      <c r="G8" s="184">
        <v>3</v>
      </c>
      <c r="H8" s="184">
        <v>2</v>
      </c>
      <c r="I8" s="184">
        <v>1</v>
      </c>
      <c r="Q8" s="2" t="s">
        <v>42</v>
      </c>
      <c r="R8" s="8">
        <f t="shared" si="0"/>
        <v>5</v>
      </c>
      <c r="S8" s="9">
        <f t="shared" si="1"/>
        <v>3</v>
      </c>
      <c r="T8" s="9">
        <f t="shared" si="2"/>
        <v>2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5">
      <c r="B9" s="184">
        <v>6</v>
      </c>
      <c r="C9" s="184" t="s">
        <v>26</v>
      </c>
      <c r="D9" s="184" t="s">
        <v>47</v>
      </c>
      <c r="E9" s="184" t="s">
        <v>115</v>
      </c>
      <c r="F9" s="184" t="s">
        <v>204</v>
      </c>
      <c r="G9" s="184">
        <v>4</v>
      </c>
      <c r="H9" s="184">
        <v>3</v>
      </c>
      <c r="I9" s="184">
        <v>1</v>
      </c>
      <c r="Q9" s="16" t="s">
        <v>115</v>
      </c>
      <c r="R9" s="18">
        <f t="shared" si="0"/>
        <v>5</v>
      </c>
      <c r="S9" s="9">
        <f t="shared" si="1"/>
        <v>2</v>
      </c>
      <c r="T9" s="9">
        <f t="shared" si="2"/>
        <v>1</v>
      </c>
      <c r="U9" s="9">
        <f t="shared" si="3"/>
        <v>1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5">
      <c r="B10" s="184">
        <v>7</v>
      </c>
      <c r="C10" s="184" t="s">
        <v>26</v>
      </c>
      <c r="D10" s="184" t="s">
        <v>31</v>
      </c>
      <c r="E10" s="184" t="s">
        <v>42</v>
      </c>
      <c r="F10" s="184" t="s">
        <v>204</v>
      </c>
      <c r="G10" s="184">
        <v>5</v>
      </c>
      <c r="H10" s="184">
        <v>3</v>
      </c>
      <c r="I10" s="184">
        <v>1</v>
      </c>
      <c r="Q10" s="2" t="s">
        <v>44</v>
      </c>
      <c r="R10" s="8">
        <f t="shared" si="0"/>
        <v>1</v>
      </c>
      <c r="S10" s="9">
        <f t="shared" si="1"/>
        <v>0</v>
      </c>
      <c r="T10" s="9">
        <f t="shared" si="2"/>
        <v>1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5">
      <c r="B11" s="184">
        <v>8</v>
      </c>
      <c r="C11" s="184" t="s">
        <v>47</v>
      </c>
      <c r="D11" s="184" t="s">
        <v>26</v>
      </c>
      <c r="E11" s="184" t="s">
        <v>46</v>
      </c>
      <c r="F11" s="184" t="s">
        <v>204</v>
      </c>
      <c r="G11" s="184">
        <v>1</v>
      </c>
      <c r="H11" s="184">
        <v>1</v>
      </c>
      <c r="I11" s="184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5">
      <c r="B12" s="184">
        <v>9</v>
      </c>
      <c r="C12" s="184" t="s">
        <v>31</v>
      </c>
      <c r="D12" s="184" t="s">
        <v>47</v>
      </c>
      <c r="E12" s="184" t="s">
        <v>44</v>
      </c>
      <c r="F12" s="184" t="s">
        <v>99</v>
      </c>
      <c r="G12" s="184">
        <v>1</v>
      </c>
      <c r="H12" s="184">
        <v>1</v>
      </c>
      <c r="I12" s="184">
        <v>1</v>
      </c>
      <c r="Q12" s="2" t="s">
        <v>50</v>
      </c>
      <c r="R12" s="8">
        <f t="shared" si="0"/>
        <v>10</v>
      </c>
      <c r="S12" s="9">
        <f t="shared" si="1"/>
        <v>6</v>
      </c>
      <c r="T12" s="9">
        <f t="shared" si="2"/>
        <v>4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84">
        <v>10</v>
      </c>
      <c r="C13" s="184" t="s">
        <v>26</v>
      </c>
      <c r="D13" s="184" t="s">
        <v>31</v>
      </c>
      <c r="E13" s="184" t="s">
        <v>50</v>
      </c>
      <c r="F13" s="184" t="s">
        <v>204</v>
      </c>
      <c r="G13" s="184">
        <v>1</v>
      </c>
      <c r="H13" s="184">
        <v>1</v>
      </c>
      <c r="I13" s="184">
        <v>1</v>
      </c>
      <c r="Q13" s="2" t="s">
        <v>52</v>
      </c>
      <c r="R13" s="8">
        <f t="shared" si="0"/>
        <v>2</v>
      </c>
      <c r="S13" s="9">
        <f t="shared" si="1"/>
        <v>1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84">
        <v>11</v>
      </c>
      <c r="C14" s="184" t="s">
        <v>26</v>
      </c>
      <c r="D14" s="184" t="s">
        <v>47</v>
      </c>
      <c r="E14" s="184" t="s">
        <v>50</v>
      </c>
      <c r="F14" s="184" t="s">
        <v>204</v>
      </c>
      <c r="G14" s="184">
        <v>2</v>
      </c>
      <c r="H14" s="184">
        <v>2</v>
      </c>
      <c r="I14" s="184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5">
      <c r="B15" s="184">
        <v>12</v>
      </c>
      <c r="C15" s="184" t="s">
        <v>26</v>
      </c>
      <c r="D15" s="184" t="s">
        <v>31</v>
      </c>
      <c r="E15" s="184" t="s">
        <v>42</v>
      </c>
      <c r="F15" s="184" t="s">
        <v>204</v>
      </c>
      <c r="G15" s="184">
        <v>3</v>
      </c>
      <c r="H15" s="184">
        <v>2</v>
      </c>
      <c r="I15" s="184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5">
      <c r="B16" s="184">
        <v>13</v>
      </c>
      <c r="C16" s="184" t="s">
        <v>26</v>
      </c>
      <c r="D16" s="184" t="s">
        <v>47</v>
      </c>
      <c r="E16" s="184" t="s">
        <v>50</v>
      </c>
      <c r="F16" s="184" t="s">
        <v>204</v>
      </c>
      <c r="G16" s="184">
        <v>4</v>
      </c>
      <c r="H16" s="184">
        <v>3</v>
      </c>
      <c r="I16" s="184">
        <v>1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2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5">
      <c r="B17" s="184">
        <v>14</v>
      </c>
      <c r="C17" s="184" t="s">
        <v>26</v>
      </c>
      <c r="D17" s="184" t="s">
        <v>31</v>
      </c>
      <c r="E17" s="184" t="s">
        <v>42</v>
      </c>
      <c r="F17" s="184" t="s">
        <v>204</v>
      </c>
      <c r="G17" s="184">
        <v>5</v>
      </c>
      <c r="H17" s="184">
        <v>3</v>
      </c>
      <c r="I17" s="184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1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5">
      <c r="B18" s="184">
        <v>15</v>
      </c>
      <c r="C18" s="184" t="s">
        <v>26</v>
      </c>
      <c r="D18" s="184" t="s">
        <v>47</v>
      </c>
      <c r="E18" s="184" t="s">
        <v>50</v>
      </c>
      <c r="F18" s="184" t="s">
        <v>204</v>
      </c>
      <c r="G18" s="184">
        <v>6</v>
      </c>
      <c r="H18" s="184">
        <v>4</v>
      </c>
      <c r="I18" s="184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5">
      <c r="B19" s="184">
        <v>16</v>
      </c>
      <c r="C19" s="184" t="s">
        <v>26</v>
      </c>
      <c r="D19" s="184" t="s">
        <v>31</v>
      </c>
      <c r="E19" s="184" t="s">
        <v>50</v>
      </c>
      <c r="F19" s="184" t="s">
        <v>204</v>
      </c>
      <c r="G19" s="184">
        <v>7</v>
      </c>
      <c r="H19" s="184">
        <v>4</v>
      </c>
      <c r="I19" s="184">
        <v>2</v>
      </c>
      <c r="Q19" s="2" t="s">
        <v>67</v>
      </c>
      <c r="R19" s="8">
        <f t="shared" si="0"/>
        <v>2</v>
      </c>
      <c r="S19" s="9">
        <f t="shared" si="1"/>
        <v>0</v>
      </c>
      <c r="T19" s="9">
        <f t="shared" si="2"/>
        <v>0</v>
      </c>
      <c r="U19" s="9">
        <f t="shared" si="3"/>
        <v>1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32" ht="14.25" customHeight="1" x14ac:dyDescent="0.5">
      <c r="B20" s="184">
        <v>17</v>
      </c>
      <c r="C20" s="184" t="s">
        <v>26</v>
      </c>
      <c r="D20" s="184" t="s">
        <v>47</v>
      </c>
      <c r="E20" s="184" t="s">
        <v>50</v>
      </c>
      <c r="F20" s="184" t="s">
        <v>99</v>
      </c>
      <c r="G20" s="184">
        <v>8</v>
      </c>
      <c r="H20" s="184">
        <v>5</v>
      </c>
      <c r="I20" s="184">
        <v>3</v>
      </c>
      <c r="X20" s="52" t="str">
        <f t="shared" si="5"/>
        <v/>
      </c>
      <c r="Y20" s="52" t="str">
        <f t="shared" si="6"/>
        <v/>
      </c>
      <c r="Z20" s="52" t="str">
        <f t="shared" si="7"/>
        <v>5M/LG</v>
      </c>
    </row>
    <row r="21" spans="2:32" ht="14.25" customHeight="1" x14ac:dyDescent="0.5">
      <c r="B21" s="184">
        <v>18</v>
      </c>
      <c r="C21" s="184" t="s">
        <v>26</v>
      </c>
      <c r="D21" s="184" t="s">
        <v>31</v>
      </c>
      <c r="E21" s="184" t="s">
        <v>42</v>
      </c>
      <c r="F21" s="184" t="s">
        <v>99</v>
      </c>
      <c r="G21" s="184">
        <v>9</v>
      </c>
      <c r="H21" s="184">
        <v>5</v>
      </c>
      <c r="I21" s="184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5M/WW</v>
      </c>
    </row>
    <row r="22" spans="2:32" ht="14.25" customHeight="1" x14ac:dyDescent="0.5">
      <c r="B22" s="184">
        <v>19</v>
      </c>
      <c r="C22" s="184" t="s">
        <v>47</v>
      </c>
      <c r="D22" s="184" t="s">
        <v>26</v>
      </c>
      <c r="E22" s="184" t="s">
        <v>58</v>
      </c>
      <c r="F22" s="184" t="s">
        <v>204</v>
      </c>
      <c r="G22" s="184">
        <v>1</v>
      </c>
      <c r="H22" s="184">
        <v>1</v>
      </c>
      <c r="I22" s="184">
        <v>1</v>
      </c>
      <c r="X22" s="52" t="str">
        <f t="shared" si="5"/>
        <v>LG/5M</v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5">
      <c r="B23" s="184">
        <v>20</v>
      </c>
      <c r="C23" s="184" t="s">
        <v>31</v>
      </c>
      <c r="D23" s="184" t="s">
        <v>47</v>
      </c>
      <c r="E23" s="184" t="s">
        <v>67</v>
      </c>
      <c r="F23" s="184" t="s">
        <v>205</v>
      </c>
      <c r="G23" s="184">
        <v>1</v>
      </c>
      <c r="H23" s="184">
        <v>1</v>
      </c>
      <c r="I23" s="184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84">
        <v>21</v>
      </c>
      <c r="C24" s="184" t="s">
        <v>26</v>
      </c>
      <c r="D24" s="184" t="s">
        <v>31</v>
      </c>
      <c r="E24" s="184" t="s">
        <v>202</v>
      </c>
      <c r="F24" s="184" t="s">
        <v>99</v>
      </c>
      <c r="G24" s="184">
        <v>1</v>
      </c>
      <c r="H24" s="184">
        <v>1</v>
      </c>
      <c r="I24" s="184">
        <v>1</v>
      </c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  <c r="AB24" s="158" t="s">
        <v>30</v>
      </c>
      <c r="AC24" s="165">
        <f>Table63132[[#This Row],[Finishes]]+Table63132[[#This Row],[Midranges]]+Table63132[[#This Row],[Threes]]+Table63132[[#This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84">
        <v>22</v>
      </c>
      <c r="C25" s="184" t="s">
        <v>26</v>
      </c>
      <c r="D25" s="184" t="s">
        <v>47</v>
      </c>
      <c r="E25" s="184" t="s">
        <v>115</v>
      </c>
      <c r="F25" s="184" t="s">
        <v>205</v>
      </c>
      <c r="G25" s="184">
        <v>2</v>
      </c>
      <c r="H25" s="184">
        <v>2</v>
      </c>
      <c r="I25" s="184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>5M/LG</v>
      </c>
      <c r="AB25" s="159" t="s">
        <v>35</v>
      </c>
      <c r="AC25" s="166">
        <f>Table63132[[#This Row],[Finishes]]+Table63132[[#This Row],[Midranges]]+Table63132[[#This Row],[Threes]]+Table63132[[#This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5">
      <c r="B26" s="184">
        <v>23</v>
      </c>
      <c r="C26" s="184" t="s">
        <v>26</v>
      </c>
      <c r="D26" s="184" t="s">
        <v>31</v>
      </c>
      <c r="E26" s="184" t="s">
        <v>50</v>
      </c>
      <c r="F26" s="184" t="s">
        <v>204</v>
      </c>
      <c r="G26" s="184">
        <v>3</v>
      </c>
      <c r="H26" s="184">
        <v>2</v>
      </c>
      <c r="I26" s="184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>5M/WW</v>
      </c>
      <c r="AB26" s="158" t="s">
        <v>37</v>
      </c>
      <c r="AC26" s="165">
        <f>Table63132[[#This Row],[Finishes]]+Table63132[[#This Row],[Midranges]]+Table63132[[#This Row],[Threes]]+Table63132[[#This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5">
      <c r="B27" s="184">
        <v>24</v>
      </c>
      <c r="C27" s="184" t="s">
        <v>26</v>
      </c>
      <c r="D27" s="184" t="s">
        <v>47</v>
      </c>
      <c r="E27" s="184" t="s">
        <v>50</v>
      </c>
      <c r="F27" s="184" t="s">
        <v>99</v>
      </c>
      <c r="G27" s="184">
        <v>4</v>
      </c>
      <c r="H27" s="184">
        <v>3</v>
      </c>
      <c r="I27" s="184">
        <v>2</v>
      </c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>5M/LG</v>
      </c>
      <c r="AB27" s="159" t="s">
        <v>42</v>
      </c>
      <c r="AC27" s="166">
        <f>Table63132[[#This Row],[Finishes]]+Table63132[[#This Row],[Midranges]]+Table63132[[#This Row],[Threes]]+Table63132[[#This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5">
      <c r="B28" s="184">
        <v>25</v>
      </c>
      <c r="C28" s="184" t="s">
        <v>26</v>
      </c>
      <c r="D28" s="184" t="s">
        <v>31</v>
      </c>
      <c r="E28" s="184" t="s">
        <v>50</v>
      </c>
      <c r="F28" s="184" t="s">
        <v>99</v>
      </c>
      <c r="G28" s="184">
        <v>5</v>
      </c>
      <c r="H28" s="184">
        <v>3</v>
      </c>
      <c r="I28" s="184">
        <v>3</v>
      </c>
      <c r="R28" s="16" t="str">
        <f t="shared" si="9"/>
        <v>5,</v>
      </c>
      <c r="S28" s="16" t="str">
        <f t="shared" si="9"/>
        <v>3,</v>
      </c>
      <c r="T28" s="16" t="str">
        <f t="shared" si="9"/>
        <v>2,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>5M/WW</v>
      </c>
      <c r="AB28" s="158" t="s">
        <v>115</v>
      </c>
      <c r="AC28" s="165">
        <f>Table63132[[#This Row],[Finishes]]+Table63132[[#This Row],[Midranges]]+Table63132[[#This Row],[Threes]]+Table63132[[#This Row],[Threes]]</f>
        <v>4</v>
      </c>
      <c r="AD28" s="156">
        <f>COUNTIFS(D4:D35, "Loose Gooses", E$4:E$35,AB28,F$4:F$35,"Finish")</f>
        <v>1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1</v>
      </c>
    </row>
    <row r="29" spans="2:32" ht="14.25" customHeight="1" x14ac:dyDescent="0.5">
      <c r="B29" s="184">
        <v>26</v>
      </c>
      <c r="C29" s="184" t="s">
        <v>47</v>
      </c>
      <c r="D29" s="184" t="s">
        <v>26</v>
      </c>
      <c r="E29" s="184" t="s">
        <v>58</v>
      </c>
      <c r="F29" s="184" t="s">
        <v>99</v>
      </c>
      <c r="G29" s="184">
        <v>1</v>
      </c>
      <c r="H29" s="184">
        <v>1</v>
      </c>
      <c r="I29" s="184">
        <v>1</v>
      </c>
      <c r="R29" s="16" t="str">
        <f t="shared" si="9"/>
        <v>5,</v>
      </c>
      <c r="S29" s="16" t="str">
        <f t="shared" si="9"/>
        <v>2,</v>
      </c>
      <c r="T29" s="16" t="str">
        <f t="shared" si="9"/>
        <v>1,</v>
      </c>
      <c r="U29" s="16" t="str">
        <f t="shared" si="9"/>
        <v>1,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Table63132[[#This Row],[Finishes]]+Table63132[[#This Row],[Midranges]]+Table63132[[#This Row],[Threes]]+Table63132[[#This Row],[Threes]]</f>
        <v>1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0</v>
      </c>
    </row>
    <row r="30" spans="2:32" ht="14.25" customHeight="1" x14ac:dyDescent="0.5">
      <c r="B30" s="184">
        <v>27</v>
      </c>
      <c r="C30" s="184" t="s">
        <v>31</v>
      </c>
      <c r="D30" s="184" t="s">
        <v>47</v>
      </c>
      <c r="E30" s="184" t="s">
        <v>52</v>
      </c>
      <c r="F30" s="184" t="s">
        <v>99</v>
      </c>
      <c r="G30" s="184">
        <v>1</v>
      </c>
      <c r="H30" s="184">
        <v>1</v>
      </c>
      <c r="I30" s="184">
        <v>1</v>
      </c>
      <c r="R30" s="16" t="str">
        <f t="shared" si="9"/>
        <v>1,</v>
      </c>
      <c r="S30" s="16" t="str">
        <f t="shared" si="9"/>
        <v>0,</v>
      </c>
      <c r="T30" s="16" t="str">
        <f t="shared" si="9"/>
        <v>1,</v>
      </c>
      <c r="U30" s="16" t="str">
        <f t="shared" si="9"/>
        <v>0,</v>
      </c>
      <c r="X30" s="52" t="str">
        <f t="shared" si="5"/>
        <v/>
      </c>
      <c r="Y30" s="52" t="str">
        <f t="shared" si="6"/>
        <v>WW/LG</v>
      </c>
      <c r="Z30" s="52" t="str">
        <f t="shared" si="7"/>
        <v/>
      </c>
      <c r="AB30" s="158" t="s">
        <v>50</v>
      </c>
      <c r="AC30" s="165">
        <f>Table63132[[#This Row],[Finishes]]+Table63132[[#This Row],[Midranges]]+Table63132[[#This Row],[Threes]]+Table63132[[#This Row],[Threes]]</f>
        <v>5</v>
      </c>
      <c r="AD30" s="156">
        <f>COUNTIFS(D4:D35, "Loose Gooses", E$4:E$35,AB30,F$4:F$35,"Finish")</f>
        <v>3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5">
      <c r="B31" s="184">
        <v>28</v>
      </c>
      <c r="C31" s="184" t="s">
        <v>26</v>
      </c>
      <c r="D31" s="184" t="s">
        <v>31</v>
      </c>
      <c r="E31" s="184" t="s">
        <v>50</v>
      </c>
      <c r="F31" s="184" t="s">
        <v>99</v>
      </c>
      <c r="G31" s="184">
        <v>1</v>
      </c>
      <c r="H31" s="184">
        <v>1</v>
      </c>
      <c r="I31" s="184">
        <v>1</v>
      </c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>5M/WW</v>
      </c>
      <c r="AB31" s="159" t="s">
        <v>52</v>
      </c>
      <c r="AC31" s="166">
        <f>Table63132[[#This Row],[Finishes]]+Table63132[[#This Row],[Midranges]]+Table63132[[#This Row],[Threes]]+Table63132[[#This Row],[Threes]]</f>
        <v>2</v>
      </c>
      <c r="AD31" s="157">
        <f>COUNTIFS(D4:D35, "Loose Gooses", E$4:E$35,AB31,F$4:F$35,"Finish")</f>
        <v>1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5">
      <c r="B32" s="184">
        <v>29</v>
      </c>
      <c r="C32" s="184" t="s">
        <v>47</v>
      </c>
      <c r="D32" s="184" t="s">
        <v>26</v>
      </c>
      <c r="E32" s="184" t="s">
        <v>58</v>
      </c>
      <c r="F32" s="184" t="s">
        <v>99</v>
      </c>
      <c r="G32" s="184">
        <v>1</v>
      </c>
      <c r="H32" s="184">
        <v>1</v>
      </c>
      <c r="I32" s="184">
        <v>1</v>
      </c>
      <c r="R32" s="16" t="str">
        <f t="shared" si="9"/>
        <v>10,</v>
      </c>
      <c r="S32" s="16" t="str">
        <f t="shared" si="9"/>
        <v>6,</v>
      </c>
      <c r="T32" s="16" t="str">
        <f t="shared" si="9"/>
        <v>4,</v>
      </c>
      <c r="U32" s="16" t="str">
        <f t="shared" si="9"/>
        <v>0,</v>
      </c>
      <c r="X32" s="52" t="str">
        <f t="shared" si="5"/>
        <v>LG/5M</v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Table63132[[#This Row],[Finishes]]+Table63132[[#This Row],[Midranges]]+Table63132[[#This Row],[Threes]]+Table63132[[#This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5">
      <c r="B33" s="184">
        <v>30</v>
      </c>
      <c r="C33" s="184" t="s">
        <v>31</v>
      </c>
      <c r="D33" s="184" t="s">
        <v>47</v>
      </c>
      <c r="E33" s="184" t="s">
        <v>37</v>
      </c>
      <c r="F33" s="184" t="s">
        <v>204</v>
      </c>
      <c r="G33" s="184">
        <v>1</v>
      </c>
      <c r="H33" s="184">
        <v>1</v>
      </c>
      <c r="I33" s="184">
        <v>1</v>
      </c>
      <c r="R33" s="16" t="str">
        <f t="shared" si="9"/>
        <v>2,</v>
      </c>
      <c r="S33" s="16" t="str">
        <f t="shared" si="9"/>
        <v>1,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>WW/LG</v>
      </c>
      <c r="Z33" s="52" t="str">
        <f t="shared" si="7"/>
        <v/>
      </c>
      <c r="AB33" s="159" t="s">
        <v>55</v>
      </c>
      <c r="AC33" s="166">
        <f>Table63132[[#This Row],[Finishes]]+Table63132[[#This Row],[Midranges]]+Table63132[[#This Row],[Threes]]+Table63132[[#This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Table63132[[#This Row],[Finishes]]+Table63132[[#This Row],[Midranges]]+Table63132[[#This Row],[Threes]]+Table63132[[#This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Table63132[[#This Row],[Finishes]]+Table63132[[#This Row],[Midranges]]+Table63132[[#This Row],[Threes]]+Table63132[[#This Row],[Threes]]</f>
        <v>2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1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2,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"Did not Play",</v>
      </c>
      <c r="S37" s="16" t="str">
        <f t="shared" si="9"/>
        <v>"Did not Play",</v>
      </c>
      <c r="T37" s="16" t="str">
        <f t="shared" si="9"/>
        <v>"Did not Play",</v>
      </c>
      <c r="U37" s="16" t="str">
        <f t="shared" si="9"/>
        <v>"Did not Play",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1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"Date":["15-August"],</v>
      </c>
    </row>
    <row r="45" spans="2:32" ht="14.25" customHeight="1" x14ac:dyDescent="0.45">
      <c r="B45" s="74" t="str">
        <f>C2</f>
        <v>15-August</v>
      </c>
      <c r="C45" s="16">
        <f>MAX(L3:L5)</f>
        <v>20</v>
      </c>
      <c r="D45" s="16">
        <f>COUNT(B4:B42)-C45-E45</f>
        <v>5</v>
      </c>
      <c r="E45" s="16">
        <f>MIN(L3:L5)</f>
        <v>5</v>
      </c>
      <c r="F45" s="16">
        <f>L3</f>
        <v>5</v>
      </c>
      <c r="G45" s="16">
        <f>COUNTIF(Y4:Y39, "WW/LG")</f>
        <v>5</v>
      </c>
      <c r="H45" s="16">
        <f>COUNTIF(Z4:Z39, "5M/LG")</f>
        <v>8</v>
      </c>
      <c r="I45" s="16">
        <f>L5</f>
        <v>5</v>
      </c>
      <c r="J45" s="16">
        <f>COUNTIF(X4:X39, "LG/WW")</f>
        <v>0</v>
      </c>
      <c r="K45" s="16">
        <f>COUNTIF(Z4:Z39, "5M/WW")</f>
        <v>12</v>
      </c>
      <c r="L45" s="16">
        <f>L4</f>
        <v>20</v>
      </c>
      <c r="M45" s="16">
        <f>COUNTIF(X4:X39, "LG/5M")</f>
        <v>5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Play","Did not Play",1,5,5,1,2,10,2,"Did not Play","Did not Play",3,"Did not Play",0,2],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Play","Did not Play",1,3,2,0,1,6,1,"Did not Play","Did not Play",1,"Did not Play",0,0],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Play","Did not Play",0,2,1,1,1,4,1,"Did not Play","Did not Play",2,"Did not Play",0,0],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Play","Did not Play",0,0,1,0,0,0,0,"Did not Play","Did not Play",0,"Did not Play",0,1]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SfW</vt:lpstr>
      <vt:lpstr>Stats Global</vt:lpstr>
      <vt:lpstr>Statistics LG</vt:lpstr>
      <vt:lpstr>Statistics WW</vt:lpstr>
      <vt:lpstr>Statistics 5M</vt:lpstr>
      <vt:lpstr>Template</vt:lpstr>
      <vt:lpstr>Finals 1</vt:lpstr>
      <vt:lpstr>1708</vt:lpstr>
      <vt:lpstr>1508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2023-08-21T04:35:21Z</dcterms:modified>
</cp:coreProperties>
</file>