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51E30113-96C3-4D85-AEA0-E606ED9BCDBA}" xr6:coauthVersionLast="47" xr6:coauthVersionMax="47" xr10:uidLastSave="{00000000-0000-0000-0000-000000000000}"/>
  <bookViews>
    <workbookView xWindow="-98" yWindow="-98" windowWidth="22695" windowHeight="14595" firstSheet="1" activeTab="1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1807" sheetId="12" r:id="rId7"/>
    <sheet name="1707" sheetId="11" r:id="rId8"/>
    <sheet name="Preseason 3" sheetId="10" r:id="rId9"/>
    <sheet name="Preseason 2" sheetId="9" r:id="rId10"/>
    <sheet name="Preseason 1" sheetId="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3" l="1"/>
  <c r="AT29" i="3"/>
  <c r="AT30" i="3"/>
  <c r="AT31" i="3"/>
  <c r="AJ10" i="3" s="1"/>
  <c r="AT32" i="3"/>
  <c r="AT33" i="3"/>
  <c r="AT34" i="3"/>
  <c r="AJ13" i="3" s="1"/>
  <c r="AT35" i="3"/>
  <c r="AJ14" i="3" s="1"/>
  <c r="AT36" i="3"/>
  <c r="AJ15" i="3" s="1"/>
  <c r="AT37" i="3"/>
  <c r="AT38" i="3"/>
  <c r="AT39" i="3"/>
  <c r="AT40" i="3"/>
  <c r="AT41" i="3"/>
  <c r="AT42" i="3"/>
  <c r="AJ21" i="3" s="1"/>
  <c r="AT43" i="3"/>
  <c r="AJ22" i="3" s="1"/>
  <c r="AT44" i="3"/>
  <c r="AJ23" i="3" s="1"/>
  <c r="AT45" i="3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R16" i="12"/>
  <c r="R36" i="12" s="1"/>
  <c r="Z15" i="12"/>
  <c r="Y15" i="12"/>
  <c r="X15" i="12"/>
  <c r="U15" i="12"/>
  <c r="U35" i="12" s="1"/>
  <c r="T15" i="12"/>
  <c r="T35" i="12" s="1"/>
  <c r="S15" i="12"/>
  <c r="S35" i="12" s="1"/>
  <c r="R15" i="12"/>
  <c r="R35" i="12" s="1"/>
  <c r="Z14" i="12"/>
  <c r="Y14" i="12"/>
  <c r="X14" i="12"/>
  <c r="U14" i="12"/>
  <c r="U34" i="12" s="1"/>
  <c r="T14" i="12"/>
  <c r="T34" i="12" s="1"/>
  <c r="S14" i="12"/>
  <c r="S34" i="12" s="1"/>
  <c r="R14" i="12"/>
  <c r="R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R7" i="12"/>
  <c r="R27" i="12" s="1"/>
  <c r="Z6" i="12"/>
  <c r="Y6" i="12"/>
  <c r="X6" i="12"/>
  <c r="U6" i="12"/>
  <c r="U26" i="12" s="1"/>
  <c r="T6" i="12"/>
  <c r="T26" i="12" s="1"/>
  <c r="S6" i="12"/>
  <c r="S26" i="12" s="1"/>
  <c r="R6" i="12"/>
  <c r="R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K45" i="12" s="1"/>
  <c r="Y4" i="12"/>
  <c r="G45" i="12" s="1"/>
  <c r="X4" i="12"/>
  <c r="M45" i="12" s="1"/>
  <c r="U4" i="12"/>
  <c r="U24" i="12" s="1"/>
  <c r="T4" i="12"/>
  <c r="T24" i="12" s="1"/>
  <c r="S4" i="12"/>
  <c r="S24" i="12" s="1"/>
  <c r="R4" i="12"/>
  <c r="R24" i="12" s="1"/>
  <c r="M4" i="12"/>
  <c r="L4" i="12"/>
  <c r="L45" i="12" s="1"/>
  <c r="U3" i="12"/>
  <c r="U23" i="12" s="1"/>
  <c r="T3" i="12"/>
  <c r="T23" i="12" s="1"/>
  <c r="S3" i="12"/>
  <c r="S23" i="12" s="1"/>
  <c r="T46" i="12" s="1"/>
  <c r="R3" i="12"/>
  <c r="R23" i="12" s="1"/>
  <c r="M3" i="12"/>
  <c r="L3" i="12"/>
  <c r="E45" i="12" s="1"/>
  <c r="AI29" i="3"/>
  <c r="AE29" i="3" s="1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A6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8" i="3"/>
  <c r="AJ9" i="3"/>
  <c r="AJ11" i="3"/>
  <c r="AJ12" i="3"/>
  <c r="AJ16" i="3"/>
  <c r="AJ17" i="3"/>
  <c r="AJ18" i="3"/>
  <c r="AJ19" i="3"/>
  <c r="AJ20" i="3"/>
  <c r="AJ24" i="3"/>
  <c r="C4" i="5"/>
  <c r="AM41" i="3" l="1"/>
  <c r="AM33" i="3"/>
  <c r="AN42" i="3"/>
  <c r="AN34" i="3"/>
  <c r="AO43" i="3"/>
  <c r="AO35" i="3"/>
  <c r="AM40" i="3"/>
  <c r="AM32" i="3"/>
  <c r="AN41" i="3"/>
  <c r="AN33" i="3"/>
  <c r="AO42" i="3"/>
  <c r="AO34" i="3"/>
  <c r="AM39" i="3"/>
  <c r="AM31" i="3"/>
  <c r="AN40" i="3"/>
  <c r="AN32" i="3"/>
  <c r="AO41" i="3"/>
  <c r="AO33" i="3"/>
  <c r="AM38" i="3"/>
  <c r="AC17" i="3" s="1"/>
  <c r="AM30" i="3"/>
  <c r="AC9" i="3" s="1"/>
  <c r="AN39" i="3"/>
  <c r="AN31" i="3"/>
  <c r="AO40" i="3"/>
  <c r="AG19" i="3" s="1"/>
  <c r="AO32" i="3"/>
  <c r="AG11" i="3" s="1"/>
  <c r="AM45" i="3"/>
  <c r="AM37" i="3"/>
  <c r="AM29" i="3"/>
  <c r="AQ29" i="3" s="1"/>
  <c r="AN38" i="3"/>
  <c r="AN30" i="3"/>
  <c r="AO39" i="3"/>
  <c r="AO31" i="3"/>
  <c r="AM44" i="3"/>
  <c r="AM36" i="3"/>
  <c r="AN45" i="3"/>
  <c r="AN37" i="3"/>
  <c r="AN29" i="3"/>
  <c r="AO38" i="3"/>
  <c r="AO30" i="3"/>
  <c r="AM43" i="3"/>
  <c r="AM35" i="3"/>
  <c r="AN44" i="3"/>
  <c r="AE23" i="3" s="1"/>
  <c r="AN36" i="3"/>
  <c r="AO45" i="3"/>
  <c r="AO37" i="3"/>
  <c r="AO29" i="3"/>
  <c r="AM42" i="3"/>
  <c r="AM34" i="3"/>
  <c r="AN43" i="3"/>
  <c r="AE22" i="3" s="1"/>
  <c r="AN35" i="3"/>
  <c r="AE14" i="3" s="1"/>
  <c r="AO44" i="3"/>
  <c r="AO36" i="3"/>
  <c r="AR44" i="3"/>
  <c r="T47" i="12"/>
  <c r="N5" i="12"/>
  <c r="U30" i="12"/>
  <c r="T48" i="12" s="1"/>
  <c r="U38" i="12"/>
  <c r="F45" i="12"/>
  <c r="N45" i="12"/>
  <c r="U37" i="12"/>
  <c r="R5" i="12"/>
  <c r="R25" i="12" s="1"/>
  <c r="T4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O4" i="12" s="1"/>
  <c r="Q45" i="12" s="1"/>
  <c r="C45" i="12"/>
  <c r="D45" i="12" s="1"/>
  <c r="AR35" i="3"/>
  <c r="AC8" i="3"/>
  <c r="AQ38" i="3"/>
  <c r="AF29" i="3"/>
  <c r="AG29" i="3"/>
  <c r="AH29" i="3"/>
  <c r="R14" i="11"/>
  <c r="AL40" i="3" s="1"/>
  <c r="R9" i="11"/>
  <c r="AL35" i="3" s="1"/>
  <c r="R8" i="11"/>
  <c r="AL34" i="3" s="1"/>
  <c r="R3" i="11"/>
  <c r="AL29" i="3" s="1"/>
  <c r="G45" i="11"/>
  <c r="G8" i="3" s="1"/>
  <c r="M45" i="11"/>
  <c r="M8" i="3" s="1"/>
  <c r="K45" i="11"/>
  <c r="K8" i="3" s="1"/>
  <c r="T48" i="11"/>
  <c r="R6" i="11"/>
  <c r="AL32" i="3" s="1"/>
  <c r="R12" i="11"/>
  <c r="AL38" i="3" s="1"/>
  <c r="R18" i="11"/>
  <c r="AL44" i="3" s="1"/>
  <c r="E45" i="11"/>
  <c r="E8" i="3" s="1"/>
  <c r="V6" i="3" s="1"/>
  <c r="R4" i="11"/>
  <c r="AL30" i="3" s="1"/>
  <c r="R17" i="11"/>
  <c r="AL43" i="3" s="1"/>
  <c r="R16" i="11"/>
  <c r="AL42" i="3" s="1"/>
  <c r="R10" i="11"/>
  <c r="AL36" i="3" s="1"/>
  <c r="T46" i="11"/>
  <c r="T47" i="11"/>
  <c r="N5" i="11"/>
  <c r="R7" i="11"/>
  <c r="AL33" i="3" s="1"/>
  <c r="R15" i="11"/>
  <c r="AL41" i="3" s="1"/>
  <c r="F45" i="11"/>
  <c r="F8" i="3" s="1"/>
  <c r="N45" i="11"/>
  <c r="N8" i="3" s="1"/>
  <c r="R5" i="11"/>
  <c r="AL31" i="3" s="1"/>
  <c r="R13" i="11"/>
  <c r="AL39" i="3" s="1"/>
  <c r="H45" i="11"/>
  <c r="H8" i="3" s="1"/>
  <c r="R11" i="11"/>
  <c r="AL37" i="3" s="1"/>
  <c r="R19" i="11"/>
  <c r="AL45" i="3" s="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4" i="2"/>
  <c r="B43" i="2"/>
  <c r="B42" i="2"/>
  <c r="B41" i="2"/>
  <c r="B40" i="2"/>
  <c r="B39" i="2"/>
  <c r="B38" i="2"/>
  <c r="B37" i="2"/>
  <c r="B25" i="2"/>
  <c r="B26" i="2"/>
  <c r="B61" i="2"/>
  <c r="C61" i="2"/>
  <c r="L61" i="2"/>
  <c r="M61" i="2"/>
  <c r="N61" i="2"/>
  <c r="O61" i="2"/>
  <c r="P61" i="2"/>
  <c r="Q61" i="2"/>
  <c r="R61" i="2"/>
  <c r="S61" i="2"/>
  <c r="T61" i="2"/>
  <c r="U61" i="2"/>
  <c r="V61" i="2"/>
  <c r="U14" i="2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AS32" i="3" l="1"/>
  <c r="AS40" i="3"/>
  <c r="AR43" i="3"/>
  <c r="AQ30" i="3"/>
  <c r="O3" i="12"/>
  <c r="O45" i="12" s="1"/>
  <c r="O5" i="12"/>
  <c r="P45" i="12" s="1"/>
  <c r="R32" i="11"/>
  <c r="R29" i="11"/>
  <c r="AE17" i="3"/>
  <c r="AR38" i="3"/>
  <c r="AE20" i="3"/>
  <c r="AR41" i="3"/>
  <c r="AC21" i="3"/>
  <c r="AQ42" i="3"/>
  <c r="AC11" i="3"/>
  <c r="AQ32" i="3"/>
  <c r="AC24" i="3"/>
  <c r="AQ45" i="3"/>
  <c r="R33" i="11"/>
  <c r="R26" i="11"/>
  <c r="R34" i="11"/>
  <c r="AQ41" i="3"/>
  <c r="AC20" i="3"/>
  <c r="AC23" i="3"/>
  <c r="AQ44" i="3"/>
  <c r="AG23" i="3"/>
  <c r="AS44" i="3"/>
  <c r="AG13" i="3"/>
  <c r="AS34" i="3"/>
  <c r="AE11" i="3"/>
  <c r="AR32" i="3"/>
  <c r="R38" i="11"/>
  <c r="AE18" i="3"/>
  <c r="AR39" i="3"/>
  <c r="R25" i="11"/>
  <c r="R30" i="11"/>
  <c r="AG22" i="3"/>
  <c r="AS43" i="3"/>
  <c r="AS29" i="3"/>
  <c r="AG8" i="3"/>
  <c r="AG10" i="3"/>
  <c r="AS31" i="3"/>
  <c r="AR37" i="3"/>
  <c r="AE16" i="3"/>
  <c r="AC14" i="3"/>
  <c r="AQ35" i="3"/>
  <c r="R28" i="11"/>
  <c r="AG14" i="3"/>
  <c r="AS35" i="3"/>
  <c r="AS41" i="3"/>
  <c r="AG20" i="3"/>
  <c r="R36" i="11"/>
  <c r="AR29" i="3"/>
  <c r="AE8" i="3"/>
  <c r="AQ31" i="3"/>
  <c r="AC10" i="3"/>
  <c r="AN9" i="3" s="1"/>
  <c r="AE13" i="3"/>
  <c r="AR34" i="3"/>
  <c r="AQ40" i="3"/>
  <c r="AC19" i="3"/>
  <c r="AG16" i="3"/>
  <c r="AS37" i="3"/>
  <c r="R31" i="11"/>
  <c r="AS38" i="3"/>
  <c r="AG17" i="3"/>
  <c r="R37" i="11"/>
  <c r="AS30" i="3"/>
  <c r="AG9" i="3"/>
  <c r="AG12" i="3"/>
  <c r="AS33" i="3"/>
  <c r="AR31" i="3"/>
  <c r="AE10" i="3"/>
  <c r="AQ37" i="3"/>
  <c r="AC16" i="3"/>
  <c r="AG21" i="3"/>
  <c r="AS42" i="3"/>
  <c r="AE19" i="3"/>
  <c r="I14" i="2" s="1"/>
  <c r="I61" i="2" s="1"/>
  <c r="AR40" i="3"/>
  <c r="R35" i="11"/>
  <c r="AR30" i="3"/>
  <c r="AE9" i="3"/>
  <c r="AR33" i="3"/>
  <c r="AE12" i="3"/>
  <c r="AR36" i="3"/>
  <c r="AE15" i="3"/>
  <c r="AC13" i="3"/>
  <c r="AQ34" i="3"/>
  <c r="AS39" i="3"/>
  <c r="AG18" i="3"/>
  <c r="AR45" i="3"/>
  <c r="AE24" i="3"/>
  <c r="I19" i="2" s="1"/>
  <c r="AC22" i="3"/>
  <c r="AQ43" i="3"/>
  <c r="R24" i="11"/>
  <c r="R39" i="11"/>
  <c r="R27" i="11"/>
  <c r="R23" i="11"/>
  <c r="AC12" i="3"/>
  <c r="AM9" i="3" s="1"/>
  <c r="AQ33" i="3"/>
  <c r="AQ36" i="3"/>
  <c r="AC15" i="3"/>
  <c r="AQ39" i="3"/>
  <c r="AC18" i="3"/>
  <c r="AG15" i="3"/>
  <c r="AS36" i="3"/>
  <c r="AE21" i="3"/>
  <c r="AR42" i="3"/>
  <c r="AG24" i="3"/>
  <c r="AS45" i="3"/>
  <c r="O4" i="11"/>
  <c r="Q45" i="11" s="1"/>
  <c r="Q8" i="3" s="1"/>
  <c r="D7" i="6" s="1"/>
  <c r="J4" i="6" s="1"/>
  <c r="R9" i="10"/>
  <c r="R29" i="10" s="1"/>
  <c r="R17" i="10"/>
  <c r="R37" i="10" s="1"/>
  <c r="R12" i="10"/>
  <c r="R32" i="10" s="1"/>
  <c r="D45" i="11"/>
  <c r="D8" i="3" s="1"/>
  <c r="C8" i="3"/>
  <c r="T6" i="3" s="1"/>
  <c r="O3" i="11"/>
  <c r="O45" i="11" s="1"/>
  <c r="O8" i="3" s="1"/>
  <c r="D7" i="4" s="1"/>
  <c r="J3" i="4" s="1"/>
  <c r="O5" i="11"/>
  <c r="P45" i="11" s="1"/>
  <c r="P8" i="3" s="1"/>
  <c r="D7" i="5" s="1"/>
  <c r="J4" i="5" s="1"/>
  <c r="G45" i="10"/>
  <c r="G7" i="3" s="1"/>
  <c r="M6" i="4" s="1"/>
  <c r="AB41" i="3"/>
  <c r="AB33" i="3"/>
  <c r="AC42" i="3"/>
  <c r="AC34" i="3"/>
  <c r="AD43" i="3"/>
  <c r="AD35" i="3"/>
  <c r="K45" i="10"/>
  <c r="K7" i="3" s="1"/>
  <c r="M6" i="5" s="1"/>
  <c r="AB40" i="3"/>
  <c r="AB32" i="3"/>
  <c r="AC41" i="3"/>
  <c r="AC33" i="3"/>
  <c r="AD42" i="3"/>
  <c r="AD34" i="3"/>
  <c r="AB39" i="3"/>
  <c r="AB31" i="3"/>
  <c r="AC40" i="3"/>
  <c r="AC32" i="3"/>
  <c r="AD41" i="3"/>
  <c r="AD33" i="3"/>
  <c r="E45" i="10"/>
  <c r="E7" i="3" s="1"/>
  <c r="R4" i="10"/>
  <c r="R11" i="10"/>
  <c r="R16" i="10"/>
  <c r="AB38" i="3"/>
  <c r="AB30" i="3"/>
  <c r="AC39" i="3"/>
  <c r="AC31" i="3"/>
  <c r="AD40" i="3"/>
  <c r="AD32" i="3"/>
  <c r="N5" i="10"/>
  <c r="AA44" i="3"/>
  <c r="AA36" i="3"/>
  <c r="AB45" i="3"/>
  <c r="AB37" i="3"/>
  <c r="AB29" i="3"/>
  <c r="AC38" i="3"/>
  <c r="AC30" i="3"/>
  <c r="AD39" i="3"/>
  <c r="AD31" i="3"/>
  <c r="R3" i="10"/>
  <c r="AA43" i="3"/>
  <c r="AA35" i="3"/>
  <c r="AB44" i="3"/>
  <c r="AB36" i="3"/>
  <c r="AC45" i="3"/>
  <c r="AC37" i="3"/>
  <c r="AC29" i="3"/>
  <c r="AD38" i="3"/>
  <c r="AD30" i="3"/>
  <c r="AB43" i="3"/>
  <c r="AB35" i="3"/>
  <c r="AC44" i="3"/>
  <c r="AC36" i="3"/>
  <c r="AD45" i="3"/>
  <c r="AD37" i="3"/>
  <c r="AD29" i="3"/>
  <c r="R8" i="10"/>
  <c r="R19" i="10"/>
  <c r="AB42" i="3"/>
  <c r="AB34" i="3"/>
  <c r="AC43" i="3"/>
  <c r="AC35" i="3"/>
  <c r="AD44" i="3"/>
  <c r="AD36" i="3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O4" i="7" s="1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C4" i="4" s="1"/>
  <c r="R13" i="8"/>
  <c r="R33" i="8" s="1"/>
  <c r="H45" i="8"/>
  <c r="H5" i="3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X10" i="5"/>
  <c r="U7" i="6"/>
  <c r="AA6" i="4"/>
  <c r="AA4" i="4"/>
  <c r="X8" i="5"/>
  <c r="U9" i="6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L41" i="5" s="1"/>
  <c r="M7" i="5"/>
  <c r="M41" i="5" s="1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L41" i="4" s="1"/>
  <c r="M7" i="4"/>
  <c r="M41" i="4" s="1"/>
  <c r="O7" i="4"/>
  <c r="O41" i="4" s="1"/>
  <c r="P7" i="4"/>
  <c r="P41" i="4" s="1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P4" i="4"/>
  <c r="L4" i="4"/>
  <c r="B6" i="6"/>
  <c r="B7" i="6"/>
  <c r="C7" i="6"/>
  <c r="I4" i="6" s="1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D5" i="5"/>
  <c r="B6" i="5"/>
  <c r="B7" i="5"/>
  <c r="C7" i="5"/>
  <c r="I4" i="5" s="1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I3" i="4" s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3" i="3" s="1"/>
  <c r="B11" i="4"/>
  <c r="A12" i="4"/>
  <c r="B12" i="4"/>
  <c r="A13" i="4"/>
  <c r="S85" i="3" s="1"/>
  <c r="B13" i="4"/>
  <c r="A14" i="4"/>
  <c r="B14" i="4"/>
  <c r="A15" i="4"/>
  <c r="S87" i="3" s="1"/>
  <c r="B15" i="4"/>
  <c r="A16" i="4"/>
  <c r="S88" i="3" s="1"/>
  <c r="B16" i="4"/>
  <c r="A17" i="4"/>
  <c r="S89" i="3" s="1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X6" i="5"/>
  <c r="U8" i="6"/>
  <c r="AA5" i="4"/>
  <c r="U5" i="6"/>
  <c r="X7" i="5"/>
  <c r="AA7" i="4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S90" i="3"/>
  <c r="S86" i="3"/>
  <c r="S84" i="3"/>
  <c r="T45" i="11" l="1"/>
  <c r="AN10" i="3"/>
  <c r="AM10" i="3"/>
  <c r="AN11" i="3"/>
  <c r="AM11" i="3"/>
  <c r="AA21" i="3"/>
  <c r="AP42" i="3"/>
  <c r="AA9" i="3"/>
  <c r="AP30" i="3"/>
  <c r="AA20" i="3"/>
  <c r="E15" i="2" s="1"/>
  <c r="AP41" i="3"/>
  <c r="AP36" i="3"/>
  <c r="AA15" i="3"/>
  <c r="AA18" i="3"/>
  <c r="AP39" i="3"/>
  <c r="AA8" i="3"/>
  <c r="AP29" i="3"/>
  <c r="AA16" i="3"/>
  <c r="AP37" i="3"/>
  <c r="AA10" i="3"/>
  <c r="AP31" i="3"/>
  <c r="AA19" i="3"/>
  <c r="AB19" i="3" s="1"/>
  <c r="AP40" i="3"/>
  <c r="AP35" i="3"/>
  <c r="AA14" i="3"/>
  <c r="AP43" i="3"/>
  <c r="AA22" i="3"/>
  <c r="E17" i="2" s="1"/>
  <c r="AP44" i="3"/>
  <c r="AA23" i="3"/>
  <c r="AA12" i="3"/>
  <c r="AB12" i="3" s="1"/>
  <c r="AP33" i="3"/>
  <c r="AA13" i="3"/>
  <c r="AP34" i="3"/>
  <c r="AA11" i="3"/>
  <c r="AP32" i="3"/>
  <c r="AA17" i="3"/>
  <c r="AB17" i="3" s="1"/>
  <c r="AP38" i="3"/>
  <c r="AA24" i="3"/>
  <c r="AP45" i="3"/>
  <c r="C6" i="4"/>
  <c r="O4" i="10"/>
  <c r="Q45" i="10" s="1"/>
  <c r="Q7" i="3" s="1"/>
  <c r="D6" i="6" s="1"/>
  <c r="C6" i="5"/>
  <c r="AA38" i="3"/>
  <c r="U6" i="3"/>
  <c r="C41" i="6"/>
  <c r="H4" i="6"/>
  <c r="Q36" i="6" s="1"/>
  <c r="H3" i="4"/>
  <c r="O47" i="4" s="1"/>
  <c r="C41" i="4"/>
  <c r="H4" i="5"/>
  <c r="C41" i="5"/>
  <c r="C4" i="6"/>
  <c r="M4" i="4"/>
  <c r="D45" i="10"/>
  <c r="D7" i="3" s="1"/>
  <c r="C7" i="3"/>
  <c r="R33" i="10"/>
  <c r="AA39" i="3"/>
  <c r="R31" i="10"/>
  <c r="AA37" i="3"/>
  <c r="C6" i="6"/>
  <c r="R25" i="10"/>
  <c r="AA31" i="3"/>
  <c r="R24" i="10"/>
  <c r="AA30" i="3"/>
  <c r="R35" i="10"/>
  <c r="AA41" i="3"/>
  <c r="R27" i="10"/>
  <c r="AA33" i="3"/>
  <c r="R39" i="10"/>
  <c r="AA45" i="3"/>
  <c r="R28" i="10"/>
  <c r="AA34" i="3"/>
  <c r="R34" i="10"/>
  <c r="AA40" i="3"/>
  <c r="R23" i="10"/>
  <c r="AA29" i="3"/>
  <c r="R26" i="10"/>
  <c r="AA32" i="3"/>
  <c r="R36" i="10"/>
  <c r="AA42" i="3"/>
  <c r="V10" i="5"/>
  <c r="K14" i="2"/>
  <c r="K61" i="2" s="1"/>
  <c r="T10" i="5"/>
  <c r="R10" i="5"/>
  <c r="G14" i="2"/>
  <c r="G61" i="2" s="1"/>
  <c r="O3" i="10"/>
  <c r="O45" i="10" s="1"/>
  <c r="O7" i="3" s="1"/>
  <c r="D6" i="4" s="1"/>
  <c r="O5" i="10"/>
  <c r="P45" i="10" s="1"/>
  <c r="P7" i="3" s="1"/>
  <c r="D6" i="5" s="1"/>
  <c r="T42" i="3" s="1"/>
  <c r="T45" i="7"/>
  <c r="O3" i="7"/>
  <c r="O45" i="7" s="1"/>
  <c r="O5" i="7"/>
  <c r="P45" i="7" s="1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AD19" i="3"/>
  <c r="AF19" i="3"/>
  <c r="AF13" i="3"/>
  <c r="X4" i="5"/>
  <c r="Q6" i="6"/>
  <c r="AF10" i="3"/>
  <c r="Q8" i="6"/>
  <c r="AF14" i="3"/>
  <c r="T5" i="5"/>
  <c r="AF12" i="3"/>
  <c r="Q9" i="6"/>
  <c r="AF24" i="3"/>
  <c r="H19" i="2" s="1"/>
  <c r="Q5" i="6"/>
  <c r="AF17" i="3"/>
  <c r="U7" i="4"/>
  <c r="AD8" i="3"/>
  <c r="T6" i="5"/>
  <c r="R6" i="5"/>
  <c r="O5" i="8"/>
  <c r="P45" i="8" s="1"/>
  <c r="T45" i="8"/>
  <c r="G17" i="2"/>
  <c r="G18" i="2"/>
  <c r="I17" i="2"/>
  <c r="I16" i="2"/>
  <c r="G16" i="2"/>
  <c r="AD11" i="3"/>
  <c r="I15" i="2"/>
  <c r="K16" i="2"/>
  <c r="G15" i="2"/>
  <c r="E18" i="2"/>
  <c r="T41" i="3"/>
  <c r="AH13" i="3"/>
  <c r="AB11" i="3" l="1"/>
  <c r="P47" i="5"/>
  <c r="O44" i="4"/>
  <c r="T45" i="10"/>
  <c r="E14" i="2"/>
  <c r="E61" i="2" s="1"/>
  <c r="P10" i="5"/>
  <c r="E19" i="2"/>
  <c r="P5" i="5"/>
  <c r="W10" i="5"/>
  <c r="J14" i="2"/>
  <c r="J61" i="2" s="1"/>
  <c r="U10" i="5"/>
  <c r="H14" i="2"/>
  <c r="H61" i="2" s="1"/>
  <c r="Q34" i="6"/>
  <c r="S10" i="5"/>
  <c r="F14" i="2"/>
  <c r="F61" i="2" s="1"/>
  <c r="Q10" i="5"/>
  <c r="D14" i="2"/>
  <c r="D61" i="2" s="1"/>
  <c r="L5" i="4"/>
  <c r="C5" i="5"/>
  <c r="P48" i="5" s="1"/>
  <c r="O5" i="4"/>
  <c r="C5" i="6"/>
  <c r="Q37" i="6" s="1"/>
  <c r="C5" i="4"/>
  <c r="O48" i="4" s="1"/>
  <c r="S5" i="4"/>
  <c r="AB16" i="3"/>
  <c r="AD20" i="3"/>
  <c r="O7" i="6"/>
  <c r="AF20" i="3"/>
  <c r="Q7" i="6"/>
  <c r="O35" i="6" s="1"/>
  <c r="P35" i="6" s="1"/>
  <c r="AB20" i="3"/>
  <c r="M7" i="6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S7" i="4"/>
  <c r="AB8" i="3"/>
  <c r="S4" i="4"/>
  <c r="AB22" i="3"/>
  <c r="D17" i="2" s="1"/>
  <c r="M9" i="6"/>
  <c r="AB24" i="3"/>
  <c r="D19" i="2" s="1"/>
  <c r="P4" i="5"/>
  <c r="S8" i="4"/>
  <c r="AB9" i="3"/>
  <c r="P8" i="5"/>
  <c r="AB23" i="3"/>
  <c r="D18" i="2" s="1"/>
  <c r="V6" i="5"/>
  <c r="I18" i="2"/>
  <c r="O45" i="4"/>
  <c r="K15" i="2"/>
  <c r="K19" i="2"/>
  <c r="Q35" i="6"/>
  <c r="K18" i="2"/>
  <c r="K17" i="2"/>
  <c r="E16" i="2"/>
  <c r="G19" i="2"/>
  <c r="P43" i="5"/>
  <c r="O46" i="4"/>
  <c r="Q32" i="6" l="1"/>
  <c r="Q33" i="6"/>
  <c r="P45" i="5"/>
  <c r="AF11" i="3"/>
  <c r="AB10" i="3"/>
  <c r="AN8" i="3" s="1"/>
  <c r="M6" i="6"/>
  <c r="P44" i="5"/>
  <c r="P46" i="5"/>
  <c r="AH11" i="3"/>
  <c r="O43" i="4"/>
  <c r="P7" i="6"/>
  <c r="F15" i="2"/>
  <c r="N7" i="6"/>
  <c r="D15" i="2"/>
  <c r="R7" i="6"/>
  <c r="H15" i="2"/>
  <c r="AB13" i="3"/>
  <c r="P6" i="5"/>
  <c r="AH20" i="3"/>
  <c r="S7" i="6"/>
  <c r="V4" i="5"/>
  <c r="V8" i="5"/>
  <c r="AH23" i="3"/>
  <c r="J18" i="2" s="1"/>
  <c r="M45" i="4"/>
  <c r="N45" i="4" s="1"/>
  <c r="Y8" i="4"/>
  <c r="AH9" i="3"/>
  <c r="Y4" i="4"/>
  <c r="AH22" i="3"/>
  <c r="J17" i="2" s="1"/>
  <c r="S9" i="6"/>
  <c r="AH24" i="3"/>
  <c r="J19" i="2" s="1"/>
  <c r="R5" i="5"/>
  <c r="AD12" i="3"/>
  <c r="O9" i="6"/>
  <c r="O34" i="6" s="1"/>
  <c r="P34" i="6" s="1"/>
  <c r="AD24" i="3"/>
  <c r="F19" i="2" s="1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M5" i="6"/>
  <c r="S6" i="4"/>
  <c r="M44" i="4" s="1"/>
  <c r="N44" i="4" s="1"/>
  <c r="AB21" i="3"/>
  <c r="D16" i="2" s="1"/>
  <c r="P7" i="5"/>
  <c r="N44" i="5" s="1"/>
  <c r="O44" i="5" s="1"/>
  <c r="AB18" i="3"/>
  <c r="AM8" i="3" s="1"/>
  <c r="S82" i="3"/>
  <c r="S81" i="3"/>
  <c r="S80" i="3"/>
  <c r="S79" i="3"/>
  <c r="N46" i="5" l="1"/>
  <c r="O46" i="5" s="1"/>
  <c r="O33" i="6"/>
  <c r="P33" i="6" s="1"/>
  <c r="N47" i="5"/>
  <c r="O47" i="5" s="1"/>
  <c r="T7" i="6"/>
  <c r="J15" i="2"/>
  <c r="O36" i="6"/>
  <c r="P36" i="6" s="1"/>
  <c r="M47" i="4"/>
  <c r="N47" i="4" s="1"/>
  <c r="N45" i="5"/>
  <c r="O45" i="5" s="1"/>
  <c r="G3" i="2"/>
  <c r="I3" i="2"/>
  <c r="K3" i="2"/>
  <c r="J44" i="5" l="1"/>
  <c r="S78" i="3"/>
  <c r="K49" i="2"/>
  <c r="J49" i="2"/>
  <c r="I49" i="2"/>
  <c r="H49" i="2"/>
  <c r="G49" i="2"/>
  <c r="F49" i="2"/>
  <c r="E49" i="2"/>
  <c r="D49" i="2"/>
  <c r="S77" i="3"/>
  <c r="S76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U76" i="3"/>
  <c r="V76" i="3"/>
  <c r="V77" i="3" l="1"/>
  <c r="O42" i="4"/>
  <c r="V53" i="3" s="1"/>
  <c r="T55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U77" i="3"/>
  <c r="T76" i="3"/>
  <c r="P9" i="6"/>
  <c r="V7" i="3"/>
  <c r="T43" i="3"/>
  <c r="T7" i="3"/>
  <c r="L42" i="5"/>
  <c r="V54" i="3" s="1"/>
  <c r="U55" i="3" s="1"/>
  <c r="X6" i="4" l="1"/>
  <c r="Z4" i="4"/>
  <c r="H11" i="2"/>
  <c r="H58" i="2" s="1"/>
  <c r="X5" i="4"/>
  <c r="H66" i="2"/>
  <c r="R9" i="6"/>
  <c r="H7" i="2"/>
  <c r="H54" i="2" s="1"/>
  <c r="U5" i="5"/>
  <c r="S6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W6" i="5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U78" i="3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V78" i="3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P5" i="6"/>
  <c r="Z6" i="4"/>
  <c r="S9" i="5"/>
  <c r="T77" i="3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I43" i="4"/>
  <c r="K35" i="6"/>
  <c r="L42" i="4"/>
  <c r="T54" i="3" s="1"/>
  <c r="W54" i="3" s="1"/>
  <c r="W55" i="3"/>
  <c r="E50" i="2"/>
  <c r="K62" i="2"/>
  <c r="T9" i="6"/>
  <c r="T5" i="6"/>
  <c r="U46" i="3"/>
  <c r="U47" i="3"/>
  <c r="V47" i="3" s="1"/>
  <c r="U48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U6" i="5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N9" i="6"/>
  <c r="D12" i="2"/>
  <c r="N5" i="6"/>
  <c r="D4" i="2"/>
  <c r="T8" i="4"/>
  <c r="D8" i="2"/>
  <c r="Q6" i="5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3" i="3"/>
  <c r="W53" i="3" s="1"/>
  <c r="J46" i="5"/>
  <c r="E54" i="2"/>
  <c r="E60" i="2"/>
  <c r="E62" i="2"/>
  <c r="V48" i="3"/>
  <c r="W48" i="3"/>
  <c r="E64" i="2"/>
  <c r="V46" i="3"/>
  <c r="W46" i="3"/>
  <c r="W47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<sst xmlns="http://schemas.openxmlformats.org/spreadsheetml/2006/main" count="1276" uniqueCount="222">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</sst>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4" fillId="0" borderId="1"/>
    <xf numFmtId="9" fontId="15" fillId="0" borderId="0" applyFont="0" applyFill="0" applyBorder="0" applyAlignment="0" applyProtection="0"/>
  </cellStyleXfs>
  <cellXfs count="144">
    <xf numFmtId="0" fontId="0" fillId="0" borderId="0" xfId="0" applyFont="1" applyAlignment="1"/>
    <xf numFmtId="0" fontId="15" fillId="0" borderId="0" xfId="0" applyFont="1"/>
    <xf numFmtId="0" fontId="15" fillId="0" borderId="0" xfId="0" applyFont="1" applyAlignment="1"/>
    <xf numFmtId="0" fontId="17" fillId="0" borderId="0" xfId="0" applyFont="1"/>
    <xf numFmtId="0" fontId="16" fillId="0" borderId="1" xfId="0" applyFont="1" applyBorder="1"/>
    <xf numFmtId="2" fontId="16" fillId="0" borderId="0" xfId="0" applyNumberFormat="1" applyFont="1"/>
    <xf numFmtId="164" fontId="18" fillId="0" borderId="0" xfId="0" applyNumberFormat="1" applyFont="1"/>
    <xf numFmtId="0" fontId="17" fillId="0" borderId="0" xfId="0" applyFont="1" applyAlignment="1"/>
    <xf numFmtId="2" fontId="15" fillId="0" borderId="0" xfId="0" applyNumberFormat="1" applyFont="1"/>
    <xf numFmtId="1" fontId="15" fillId="0" borderId="0" xfId="0" applyNumberFormat="1" applyFont="1"/>
    <xf numFmtId="1" fontId="16" fillId="0" borderId="0" xfId="0" applyNumberFormat="1" applyFont="1"/>
    <xf numFmtId="10" fontId="16" fillId="0" borderId="0" xfId="0" applyNumberFormat="1" applyFont="1"/>
    <xf numFmtId="0" fontId="15" fillId="0" borderId="0" xfId="0" applyFont="1"/>
    <xf numFmtId="16" fontId="15" fillId="0" borderId="0" xfId="0" applyNumberFormat="1" applyFont="1" applyAlignment="1"/>
    <xf numFmtId="0" fontId="20" fillId="0" borderId="0" xfId="0" applyFont="1" applyAlignment="1"/>
    <xf numFmtId="0" fontId="22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0" fillId="0" borderId="3" xfId="0" applyFont="1" applyFill="1" applyBorder="1"/>
    <xf numFmtId="0" fontId="20" fillId="0" borderId="4" xfId="0" applyFont="1" applyFill="1" applyBorder="1"/>
    <xf numFmtId="0" fontId="20" fillId="0" borderId="4" xfId="0" applyFont="1" applyFill="1" applyBorder="1" applyAlignment="1"/>
    <xf numFmtId="0" fontId="21" fillId="0" borderId="4" xfId="0" applyFont="1" applyFill="1" applyBorder="1" applyAlignment="1"/>
    <xf numFmtId="0" fontId="17" fillId="0" borderId="5" xfId="0" applyFont="1" applyFill="1" applyBorder="1"/>
    <xf numFmtId="0" fontId="0" fillId="0" borderId="0" xfId="0"/>
    <xf numFmtId="0" fontId="26" fillId="0" borderId="0" xfId="0" applyFont="1"/>
    <xf numFmtId="9" fontId="0" fillId="0" borderId="0" xfId="2" applyFont="1" applyAlignment="1"/>
    <xf numFmtId="0" fontId="20" fillId="0" borderId="0" xfId="0" applyFont="1" applyFill="1"/>
    <xf numFmtId="0" fontId="20" fillId="0" borderId="0" xfId="0" applyFont="1" applyFill="1" applyAlignment="1"/>
    <xf numFmtId="0" fontId="21" fillId="0" borderId="0" xfId="0" applyFont="1" applyFill="1" applyAlignment="1"/>
    <xf numFmtId="1" fontId="0" fillId="0" borderId="0" xfId="0" quotePrefix="1" applyNumberFormat="1" applyFont="1" applyFill="1" applyAlignment="1"/>
    <xf numFmtId="2" fontId="16" fillId="0" borderId="0" xfId="0" applyNumberFormat="1" applyFont="1" applyFill="1"/>
    <xf numFmtId="1" fontId="15" fillId="0" borderId="0" xfId="0" applyNumberFormat="1" applyFont="1" applyFill="1" applyAlignment="1"/>
    <xf numFmtId="0" fontId="15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1" fillId="0" borderId="5" xfId="0" applyFont="1" applyFill="1" applyBorder="1" applyAlignment="1"/>
    <xf numFmtId="9" fontId="0" fillId="0" borderId="0" xfId="0" applyNumberFormat="1" applyFont="1" applyAlignment="1"/>
    <xf numFmtId="0" fontId="16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20" fillId="0" borderId="0" xfId="0" applyFont="1" applyAlignment="1">
      <alignment horizontal="center"/>
    </xf>
    <xf numFmtId="0" fontId="14" fillId="0" borderId="0" xfId="0" applyFont="1" applyAlignment="1"/>
    <xf numFmtId="165" fontId="26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2" fillId="0" borderId="0" xfId="0" applyFont="1" applyAlignment="1"/>
    <xf numFmtId="16" fontId="13" fillId="0" borderId="0" xfId="0" applyNumberFormat="1" applyFont="1" applyAlignment="1"/>
    <xf numFmtId="0" fontId="15" fillId="0" borderId="0" xfId="0" applyFont="1" applyFill="1" applyAlignment="1"/>
    <xf numFmtId="0" fontId="24" fillId="0" borderId="1" xfId="1" applyNumberFormat="1"/>
    <xf numFmtId="0" fontId="25" fillId="0" borderId="1" xfId="0" applyFont="1" applyBorder="1" applyAlignment="1">
      <alignment horizontal="center"/>
    </xf>
    <xf numFmtId="49" fontId="16" fillId="0" borderId="0" xfId="0" applyNumberFormat="1" applyFont="1"/>
    <xf numFmtId="0" fontId="17" fillId="3" borderId="0" xfId="0" applyFont="1" applyFill="1"/>
    <xf numFmtId="0" fontId="15" fillId="3" borderId="0" xfId="0" applyFont="1" applyFill="1"/>
    <xf numFmtId="0" fontId="20" fillId="0" borderId="0" xfId="0" applyNumberFormat="1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17" fillId="0" borderId="1" xfId="0" applyFont="1" applyFill="1" applyBorder="1"/>
    <xf numFmtId="0" fontId="11" fillId="0" borderId="1" xfId="0" applyFont="1" applyFill="1" applyBorder="1" applyAlignment="1"/>
    <xf numFmtId="9" fontId="0" fillId="0" borderId="1" xfId="2" applyFont="1" applyFill="1" applyBorder="1" applyAlignment="1"/>
    <xf numFmtId="9" fontId="0" fillId="0" borderId="1" xfId="0" applyNumberFormat="1" applyFont="1" applyFill="1" applyBorder="1" applyAlignment="1"/>
    <xf numFmtId="0" fontId="27" fillId="0" borderId="1" xfId="0" applyFont="1" applyFill="1" applyBorder="1" applyAlignment="1">
      <alignment vertical="center"/>
    </xf>
    <xf numFmtId="0" fontId="21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15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16" fillId="0" borderId="2" xfId="0" applyNumberFormat="1" applyFont="1" applyFill="1" applyBorder="1"/>
    <xf numFmtId="1" fontId="15" fillId="0" borderId="2" xfId="0" applyNumberFormat="1" applyFont="1" applyFill="1" applyBorder="1" applyAlignment="1"/>
    <xf numFmtId="0" fontId="15" fillId="0" borderId="2" xfId="0" applyFont="1" applyFill="1" applyBorder="1"/>
    <xf numFmtId="1" fontId="16" fillId="0" borderId="6" xfId="0" applyNumberFormat="1" applyFont="1" applyFill="1" applyBorder="1"/>
    <xf numFmtId="0" fontId="6" fillId="0" borderId="0" xfId="0" applyFont="1" applyAlignment="1"/>
    <xf numFmtId="0" fontId="17" fillId="0" borderId="0" xfId="0" applyFont="1" applyFill="1"/>
    <xf numFmtId="0" fontId="16" fillId="0" borderId="0" xfId="0" applyFont="1" applyFill="1" applyAlignment="1">
      <alignment horizontal="center"/>
    </xf>
    <xf numFmtId="0" fontId="6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16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16" fillId="3" borderId="0" xfId="0" applyFont="1" applyFill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9" fontId="16" fillId="0" borderId="1" xfId="2" applyFont="1" applyFill="1" applyBorder="1" applyAlignment="1">
      <alignment vertical="center"/>
    </xf>
    <xf numFmtId="0" fontId="10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19" fillId="3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9" fontId="16" fillId="0" borderId="0" xfId="0" applyNumberFormat="1" applyFont="1" applyAlignment="1">
      <alignment vertical="center"/>
    </xf>
    <xf numFmtId="0" fontId="15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16" fillId="0" borderId="0" xfId="0" applyNumberFormat="1" applyFont="1" applyAlignment="1">
      <alignment vertical="center"/>
    </xf>
    <xf numFmtId="1" fontId="16" fillId="0" borderId="1" xfId="0" applyNumberFormat="1" applyFont="1" applyFill="1" applyBorder="1" applyAlignment="1">
      <alignment vertical="center"/>
    </xf>
    <xf numFmtId="0" fontId="25" fillId="0" borderId="1" xfId="0" applyFont="1" applyBorder="1" applyAlignment="1"/>
    <xf numFmtId="0" fontId="5" fillId="0" borderId="0" xfId="0" applyFont="1" applyAlignment="1"/>
    <xf numFmtId="0" fontId="5" fillId="0" borderId="0" xfId="0" applyFont="1"/>
    <xf numFmtId="0" fontId="16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8" fillId="0" borderId="1" xfId="0" applyFont="1" applyFill="1" applyBorder="1"/>
    <xf numFmtId="0" fontId="28" fillId="0" borderId="1" xfId="0" applyFont="1" applyFill="1" applyBorder="1" applyAlignment="1"/>
    <xf numFmtId="0" fontId="29" fillId="0" borderId="1" xfId="0" applyFont="1" applyFill="1" applyBorder="1" applyAlignment="1"/>
    <xf numFmtId="0" fontId="26" fillId="0" borderId="1" xfId="0" applyFont="1" applyFill="1" applyBorder="1" applyAlignment="1">
      <alignment vertical="center"/>
    </xf>
    <xf numFmtId="0" fontId="20" fillId="3" borderId="2" xfId="0" applyFont="1" applyFill="1" applyBorder="1" applyAlignment="1"/>
    <xf numFmtId="16" fontId="0" fillId="3" borderId="2" xfId="0" applyNumberFormat="1" applyFont="1" applyFill="1" applyBorder="1" applyAlignment="1"/>
    <xf numFmtId="0" fontId="15" fillId="3" borderId="2" xfId="0" applyFont="1" applyFill="1" applyBorder="1" applyAlignment="1"/>
    <xf numFmtId="0" fontId="0" fillId="3" borderId="2" xfId="0" applyFont="1" applyFill="1" applyBorder="1" applyAlignment="1"/>
    <xf numFmtId="16" fontId="16" fillId="3" borderId="2" xfId="0" applyNumberFormat="1" applyFont="1" applyFill="1" applyBorder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16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16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0" fontId="2" fillId="0" borderId="0" xfId="0" applyFont="1" applyAlignment="1"/>
    <xf numFmtId="0" fontId="2" fillId="0" borderId="0" xfId="0" applyFont="1"/>
    <xf numFmtId="9" fontId="14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1" fillId="0" borderId="0" xfId="0" applyNumberFormat="1" applyFont="1"/>
    <xf numFmtId="16" fontId="16" fillId="5" borderId="0" xfId="0" applyNumberFormat="1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16" fillId="6" borderId="1" xfId="0" applyFont="1" applyFill="1" applyBorder="1" applyAlignment="1">
      <alignment vertical="center"/>
    </xf>
    <xf numFmtId="1" fontId="15" fillId="0" borderId="0" xfId="0" applyNumberFormat="1" applyFont="1" applyFill="1"/>
    <xf numFmtId="0" fontId="0" fillId="0" borderId="1" xfId="2" applyNumberFormat="1" applyFont="1" applyFill="1" applyBorder="1" applyAlignment="1"/>
    <xf numFmtId="10" fontId="20" fillId="0" borderId="1" xfId="2" applyNumberFormat="1" applyFont="1" applyFill="1" applyBorder="1" applyAlignment="1"/>
    <xf numFmtId="0" fontId="2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0.61538461538461542</c:v>
                </c:pt>
                <c:pt idx="1">
                  <c:v>0.23076923076923078</c:v>
                </c:pt>
                <c:pt idx="2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Global'!$T$75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Global'!$T$76:$T$90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Global'!$U$75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Global'!$U$76:$U$90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Global'!$V$75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Global'!$V$76:$V$90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567418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56</xdr:row>
      <xdr:rowOff>49696</xdr:rowOff>
    </xdr:from>
    <xdr:to>
      <xdr:col>24</xdr:col>
      <xdr:colOff>509380</xdr:colOff>
      <xdr:row>72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47" dataDxfId="145" headerRowBorderDxfId="146" tableBorderDxfId="144" totalsRowBorderDxfId="143">
  <autoFilter ref="Z7:AJ24" xr:uid="{598ECA3B-99B4-4CAB-8F81-5D711AA5A7FC}"/>
  <tableColumns count="11">
    <tableColumn id="1" xr3:uid="{9B036617-5450-4894-9268-827D2E0914FF}" name="Scoring" dataDxfId="142"/>
    <tableColumn id="2" xr3:uid="{6662CE93-E9C4-47DE-9476-E46126825B0A}" name="Points" dataDxfId="141">
      <calculatedColumnFormula>SUM(AL29,AA49,AL49,AA69,AL69,AA89,AL89)</calculatedColumnFormula>
    </tableColumn>
    <tableColumn id="3" xr3:uid="{8FDDFCB0-2692-4EB0-948C-7B877263B55B}" name="Average" dataDxfId="140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39">
      <calculatedColumnFormula>SUM(AM29,AB49,AM49,AB69,AM69,AB89,AM89)</calculatedColumnFormula>
    </tableColumn>
    <tableColumn id="5" xr3:uid="{5F324C66-956D-4EDC-870F-8EDE96C328C8}" name="Averages" dataDxfId="138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7">
      <calculatedColumnFormula>SUM(AN29,AC49,AN49,AC69,AN69,AC89,AN89)</calculatedColumnFormula>
    </tableColumn>
    <tableColumn id="7" xr3:uid="{8E7E6B37-23A0-4556-8839-B9D7834E3E68}" name="Averages2" dataDxfId="136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5">
      <calculatedColumnFormula>SUM(AO29,AD49,AO49,AD69,AO69,AD89,AO89)</calculatedColumnFormula>
    </tableColumn>
    <tableColumn id="9" xr3:uid="{E0C0BF1C-40E8-4137-8E0F-BB238D651DAE}" name="Averages3" dataDxfId="134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3">
      <calculatedColumnFormula>SfW!C3</calculatedColumnFormula>
    </tableColumn>
    <tableColumn id="11" xr3:uid="{E167D7FA-56F9-4571-B292-FF3869585F59}" name="Missed Games" dataDxfId="132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3" dataDxfId="22">
  <autoFilter ref="O3:X10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11" dataDxfId="10">
  <autoFilter ref="L4:U9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1" dataDxfId="130">
  <autoFilter ref="Z28:AI45" xr:uid="{84D0C431-52CF-4ABD-AA3E-D31975A289B1}"/>
  <tableColumns count="10">
    <tableColumn id="1" xr3:uid="{4DB7A2B8-7BD8-4BD7-8F53-2A7873A4EAAE}" name="Scoring" dataDxfId="129"/>
    <tableColumn id="2" xr3:uid="{BE8EBD49-660A-4C9F-970E-230EBB942EF1}" name="Points" dataDxfId="128">
      <calculatedColumnFormula>'Preseason 1'!R3+'Preseason 2'!R3+'Preseason 3'!R3</calculatedColumnFormula>
    </tableColumn>
    <tableColumn id="3" xr3:uid="{C2C49EF0-4D8C-4F8C-8D19-CDD1481D9568}" name="Finishes" dataDxfId="127">
      <calculatedColumnFormula>'Preseason 1'!S3+'Preseason 2'!S3+'Preseason 3'!S3</calculatedColumnFormula>
    </tableColumn>
    <tableColumn id="4" xr3:uid="{7E789F8C-B8F3-4D6E-AB6C-C9454835B062}" name="Midranges" dataDxfId="126">
      <calculatedColumnFormula>'Preseason 1'!T3+'Preseason 2'!T3+'Preseason 3'!T3</calculatedColumnFormula>
    </tableColumn>
    <tableColumn id="5" xr3:uid="{18C990F2-A6D0-4F57-B96A-D00066DCC8D8}" name="Threes" dataDxfId="125">
      <calculatedColumnFormula>'Preseason 1'!U3+'Preseason 2'!U3+'Preseason 3'!U3</calculatedColumnFormula>
    </tableColumn>
    <tableColumn id="6" xr3:uid="{40526534-76CA-42BA-A8B6-AB092D9CE18F}" name="Avg P" dataDxfId="124">
      <calculatedColumnFormula>AA29/($AA$27-Table2[[#This Row],[Missed Games]])</calculatedColumnFormula>
    </tableColumn>
    <tableColumn id="7" xr3:uid="{693AF117-21F6-4887-B78D-D59235BABA44}" name="Avg F" dataDxfId="123">
      <calculatedColumnFormula>AB29/($AA$27-Table2[[#This Row],[Missed Games]])</calculatedColumnFormula>
    </tableColumn>
    <tableColumn id="8" xr3:uid="{02AC8FBF-EBB3-4AFC-BAC5-B773E33B7279}" name="Avg M" dataDxfId="122">
      <calculatedColumnFormula>AC29/($AA$27-Table2[[#This Row],[Missed Games]])</calculatedColumnFormula>
    </tableColumn>
    <tableColumn id="9" xr3:uid="{CCF75EB4-34C4-4D47-9D51-E8D85C07E38B}" name="Avg T" dataDxfId="121">
      <calculatedColumnFormula>AD29/($AA$27-Table2[[#This Row],[Missed Games]])</calculatedColumnFormula>
    </tableColumn>
    <tableColumn id="10" xr3:uid="{1A786A5C-D0C2-4ABC-904C-983180542D5F}" name="Missed Games" dataDxfId="120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19" dataDxfId="118">
  <autoFilter ref="AK28:AT45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16">
      <calculatedColumnFormula>'1707'!R3+'1807'!R3</calculatedColumnFormula>
    </tableColumn>
    <tableColumn id="3" xr3:uid="{2D436F37-54B6-4820-9145-F48B4EF9B294}" name="Finishes" dataDxfId="115">
      <calculatedColumnFormula>'1707'!S3+'1807'!S3</calculatedColumnFormula>
    </tableColumn>
    <tableColumn id="4" xr3:uid="{1D9B6A22-B682-47F3-B738-7C138F317A41}" name="Midranges" dataDxfId="114">
      <calculatedColumnFormula>'1707'!T3+'1807'!T3</calculatedColumnFormula>
    </tableColumn>
    <tableColumn id="5" xr3:uid="{9966C9A0-3872-44E9-BB39-05DE197EAA68}" name="Threes" dataDxfId="113">
      <calculatedColumnFormula>'1707'!U3+'1807'!U3</calculatedColumnFormula>
    </tableColumn>
    <tableColumn id="6" xr3:uid="{CC4AB646-735F-425F-8528-C5EFE7FE11DC}" name="Avg P" dataDxfId="112">
      <calculatedColumnFormula>AL29/($AA$27-Table211[[#This Row],[Missed Games]])</calculatedColumnFormula>
    </tableColumn>
    <tableColumn id="7" xr3:uid="{F8D0247E-C6F7-467A-9F38-46084D44F8AB}" name="Avg F" dataDxfId="111">
      <calculatedColumnFormula>AM29/($AA$27-Table211[[#This Row],[Missed Games]])</calculatedColumnFormula>
    </tableColumn>
    <tableColumn id="8" xr3:uid="{7CCF1C77-9DB0-4EB2-B7D0-FD0BDBEBFA0E}" name="Avg M" dataDxfId="110">
      <calculatedColumnFormula>AN29/($AA$27-Table211[[#This Row],[Missed Games]])</calculatedColumnFormula>
    </tableColumn>
    <tableColumn id="9" xr3:uid="{582A1A4E-5383-4383-A480-735408867046}" name="Avg T" dataDxfId="109">
      <calculatedColumnFormula>AO29/($AA$27-Table211[[#This Row],[Missed Games]])</calculatedColumnFormula>
    </tableColumn>
    <tableColumn id="10" xr3:uid="{E547AEB5-F9BA-4C5F-8DCE-34B6A8FF303A}" name="Missed Games" dataDxfId="108">
      <calculatedColumnFormula>COUNTIF('1707'!V3, "TRUE")+COUNTIF('1807'!V3,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07" dataDxfId="106">
  <autoFilter ref="Z48:AI65" xr:uid="{D27C125F-71B2-44D9-9F7A-9BED67755DD3}"/>
  <tableColumns count="10">
    <tableColumn id="1" xr3:uid="{0B0344E8-2677-4FAB-9B03-4745991FB5AE}" name="Scoring" dataDxfId="105"/>
    <tableColumn id="2" xr3:uid="{58CA1107-8BB4-4A5D-BA00-31619C8D3973}" name="Points" dataDxfId="104">
      <calculatedColumnFormula>Template!R23</calculatedColumnFormula>
    </tableColumn>
    <tableColumn id="3" xr3:uid="{8090861E-1FDF-44F4-9DB6-BB814E32C754}" name="Finishes" dataDxfId="103">
      <calculatedColumnFormula>Template!S23</calculatedColumnFormula>
    </tableColumn>
    <tableColumn id="4" xr3:uid="{972D0347-DAB3-4985-A738-E5D78740D498}" name="Midranges" dataDxfId="102">
      <calculatedColumnFormula>Template!T23</calculatedColumnFormula>
    </tableColumn>
    <tableColumn id="5" xr3:uid="{48F5F884-1753-4988-9056-632B5EB6BBCB}" name="Threes" dataDxfId="101">
      <calculatedColumnFormula>Template!U23</calculatedColumnFormula>
    </tableColumn>
    <tableColumn id="6" xr3:uid="{6953B627-EA05-418F-A758-FD59263EA60D}" name="Avg P" dataDxfId="100">
      <calculatedColumnFormula>AA49/$AA$27</calculatedColumnFormula>
    </tableColumn>
    <tableColumn id="7" xr3:uid="{BE057C9C-5ECD-4AC2-A9C0-18C89CFB52BC}" name="Avg F" dataDxfId="99">
      <calculatedColumnFormula>AB49/$AA$27</calculatedColumnFormula>
    </tableColumn>
    <tableColumn id="8" xr3:uid="{0FDEBEE7-CD5E-4A44-A0AE-74F044F1FF46}" name="Avg M" dataDxfId="98">
      <calculatedColumnFormula>AC49/$AA$27</calculatedColumnFormula>
    </tableColumn>
    <tableColumn id="9" xr3:uid="{76975BB6-3677-41A8-BC24-7536B1D876D3}" name="Avg T" dataDxfId="97">
      <calculatedColumnFormula>AD49/$AA$27</calculatedColumnFormula>
    </tableColumn>
    <tableColumn id="10" xr3:uid="{E5ADB69B-3BA2-4019-8C83-8B02221F187E}" name="Missed Games" dataDxfId="96">
      <calculatedColumnFormula>COUNTIF(Template!V23,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95" dataDxfId="94">
  <autoFilter ref="AK48:AT65" xr:uid="{22B89D2C-1B74-4036-A4ED-A5E61F1B3AAC}"/>
  <tableColumns count="10">
    <tableColumn id="1" xr3:uid="{3D35891E-3654-497A-8DB2-BF0BD916CA29}" name="Scoring" dataDxfId="93"/>
    <tableColumn id="2" xr3:uid="{54B5B6AF-372A-4E07-B4D6-DFC66F7E20C5}" name="Points" dataDxfId="92">
      <calculatedColumnFormula>Template!AC23</calculatedColumnFormula>
    </tableColumn>
    <tableColumn id="3" xr3:uid="{6CA15B41-F560-4B43-8836-163F5BB5689C}" name="Finishes" dataDxfId="91">
      <calculatedColumnFormula>Template!AD23</calculatedColumnFormula>
    </tableColumn>
    <tableColumn id="4" xr3:uid="{8FF05262-0051-44F7-966E-8D405318BA69}" name="Midranges" dataDxfId="90">
      <calculatedColumnFormula>Template!AE23</calculatedColumnFormula>
    </tableColumn>
    <tableColumn id="5" xr3:uid="{F0D843FC-7A93-4C9A-BCCF-E789F7811B3B}" name="Threes" dataDxfId="89">
      <calculatedColumnFormula>Template!AF23</calculatedColumnFormula>
    </tableColumn>
    <tableColumn id="6" xr3:uid="{F0498F8A-F646-4C1F-A3CF-E89E73750FC1}" name="Avg P" dataDxfId="88">
      <calculatedColumnFormula>AL49/$AA$27</calculatedColumnFormula>
    </tableColumn>
    <tableColumn id="7" xr3:uid="{A387BC88-F45C-4386-8503-EFEA33BDAC38}" name="Avg F" dataDxfId="87">
      <calculatedColumnFormula>AM49/$AA$27</calculatedColumnFormula>
    </tableColumn>
    <tableColumn id="8" xr3:uid="{BEA82919-0828-4351-A01A-D72E13E63FAB}" name="Avg M" dataDxfId="86">
      <calculatedColumnFormula>AN49/$AA$27</calculatedColumnFormula>
    </tableColumn>
    <tableColumn id="9" xr3:uid="{ABEBCE01-BCA4-4342-966C-27301889B607}" name="Avg T" dataDxfId="85">
      <calculatedColumnFormula>AO49/$AA$27</calculatedColumnFormula>
    </tableColumn>
    <tableColumn id="10" xr3:uid="{65E7A8E7-4C51-42E4-AB0F-B7FF6099D70A}" name="Missed Games" dataDxfId="84">
      <calculatedColumnFormula>COUNTIF(Template!AG23,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3" dataDxfId="82">
  <autoFilter ref="AK68:AT85" xr:uid="{18C7D514-96DE-4BA6-B019-3E860ED143EC}"/>
  <tableColumns count="10">
    <tableColumn id="1" xr3:uid="{D144EF14-69FD-4E71-90C7-56F49F45FAE5}" name="Scoring" dataDxfId="81"/>
    <tableColumn id="2" xr3:uid="{34D1D392-F3E0-4C36-9EED-849D5B1149E6}" name="Points" dataDxfId="80">
      <calculatedColumnFormula>Template!AC43</calculatedColumnFormula>
    </tableColumn>
    <tableColumn id="3" xr3:uid="{E91D98A2-80BD-4E5C-9036-2FCC8185369F}" name="Finishes" dataDxfId="79">
      <calculatedColumnFormula>Template!AD43</calculatedColumnFormula>
    </tableColumn>
    <tableColumn id="4" xr3:uid="{D2E5029E-4811-4E9B-9A2D-5F5F8F322B0D}" name="Midranges" dataDxfId="78">
      <calculatedColumnFormula>Template!AE43</calculatedColumnFormula>
    </tableColumn>
    <tableColumn id="5" xr3:uid="{B3E76CEE-33DA-4B18-8DCE-8EBC7EE592D7}" name="Threes" dataDxfId="77">
      <calculatedColumnFormula>Template!AF43</calculatedColumnFormula>
    </tableColumn>
    <tableColumn id="6" xr3:uid="{6ABE1879-8018-4498-A9A1-22CF831F0364}" name="Avg P" dataDxfId="76">
      <calculatedColumnFormula>AL69/$AA$27</calculatedColumnFormula>
    </tableColumn>
    <tableColumn id="7" xr3:uid="{8DA4DD79-8A2A-49E4-996F-C1ACCED3C565}" name="Avg F" dataDxfId="75">
      <calculatedColumnFormula>AM69/$AA$27</calculatedColumnFormula>
    </tableColumn>
    <tableColumn id="8" xr3:uid="{256EA4BC-BA61-49E2-969F-0786AA9AA6EA}" name="Avg M" dataDxfId="74">
      <calculatedColumnFormula>AN69/$AA$27</calculatedColumnFormula>
    </tableColumn>
    <tableColumn id="9" xr3:uid="{0E5566B2-99EC-4B03-A074-8705C4EDA484}" name="Avg T" dataDxfId="73">
      <calculatedColumnFormula>AO69/$AA$27</calculatedColumnFormula>
    </tableColumn>
    <tableColumn id="10" xr3:uid="{3E2357F0-493E-401D-AC75-9AAB260F684E}" name="Missed Games" dataDxfId="72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1" dataDxfId="70">
  <autoFilter ref="Z68:AI85" xr:uid="{F118BED8-7AAF-4E55-A61F-C75C69A64AAE}"/>
  <tableColumns count="10">
    <tableColumn id="1" xr3:uid="{7723929D-65B3-40BB-8FDD-C4533243706C}" name="Scoring" dataDxfId="69"/>
    <tableColumn id="2" xr3:uid="{EC28DE3D-619E-4930-A3AF-7AD1BE1D4843}" name="Points" dataDxfId="68">
      <calculatedColumnFormula>Template!R43</calculatedColumnFormula>
    </tableColumn>
    <tableColumn id="3" xr3:uid="{9537269D-8C1D-42B5-866F-D03CE61A8512}" name="Finishes" dataDxfId="67">
      <calculatedColumnFormula>Template!S43</calculatedColumnFormula>
    </tableColumn>
    <tableColumn id="4" xr3:uid="{AC590DDB-BE19-4A14-8B98-1E5E2430AA45}" name="Midranges" dataDxfId="66">
      <calculatedColumnFormula>Template!T43</calculatedColumnFormula>
    </tableColumn>
    <tableColumn id="5" xr3:uid="{C96D3ACD-F34D-477E-86DE-4650EE56BC94}" name="Threes" dataDxfId="65">
      <calculatedColumnFormula>Template!U43</calculatedColumnFormula>
    </tableColumn>
    <tableColumn id="6" xr3:uid="{A43DE5E9-BB01-49FA-A204-66EE7BAA2E9F}" name="Avg P" dataDxfId="64">
      <calculatedColumnFormula>AA69/$AA$27</calculatedColumnFormula>
    </tableColumn>
    <tableColumn id="7" xr3:uid="{C75A19FF-6041-45C2-BACB-E347F06B6329}" name="Avg F" dataDxfId="63">
      <calculatedColumnFormula>AB69/$AA$27</calculatedColumnFormula>
    </tableColumn>
    <tableColumn id="8" xr3:uid="{00D3FCFC-C9C5-4C96-BE0E-8E1FDC95D07C}" name="Avg M" dataDxfId="62">
      <calculatedColumnFormula>AC69/$AA$27</calculatedColumnFormula>
    </tableColumn>
    <tableColumn id="9" xr3:uid="{0448FF4E-9D2D-47F6-89B7-F17D36B05E8A}" name="Avg T" dataDxfId="61">
      <calculatedColumnFormula>AD69/$AA$27</calculatedColumnFormula>
    </tableColumn>
    <tableColumn id="10" xr3:uid="{D5BDFA2D-095B-44F8-8567-15B3B1520E5A}" name="Missed Games" dataDxfId="60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59" dataDxfId="58">
  <autoFilter ref="Z88:AI105" xr:uid="{BDD2E472-3925-41A7-BECD-3315E6E71ECC}"/>
  <tableColumns count="10">
    <tableColumn id="1" xr3:uid="{9DBD966D-620C-4B97-A502-29D00ABE150B}" name="Scoring" dataDxfId="57"/>
    <tableColumn id="2" xr3:uid="{F8F81F0E-16B3-4472-9D90-A92149C763E4}" name="Points" dataDxfId="56">
      <calculatedColumnFormula>Template!R63</calculatedColumnFormula>
    </tableColumn>
    <tableColumn id="3" xr3:uid="{09859CE1-290D-4977-B02C-46F4E5A6FDC2}" name="Finishes" dataDxfId="55">
      <calculatedColumnFormula>Template!S63</calculatedColumnFormula>
    </tableColumn>
    <tableColumn id="4" xr3:uid="{7D751A0E-2895-46DF-B5E2-5A8AA5531CD2}" name="Midranges" dataDxfId="54">
      <calculatedColumnFormula>Template!T63</calculatedColumnFormula>
    </tableColumn>
    <tableColumn id="5" xr3:uid="{591CDC71-B0EA-413B-B6C1-77884E7E50D4}" name="Threes" dataDxfId="53">
      <calculatedColumnFormula>Template!U63</calculatedColumnFormula>
    </tableColumn>
    <tableColumn id="6" xr3:uid="{52ED768C-5557-42DC-9824-7A4D9B547153}" name="Avg P" dataDxfId="52">
      <calculatedColumnFormula>AA89/$AA$27</calculatedColumnFormula>
    </tableColumn>
    <tableColumn id="7" xr3:uid="{FC79BE87-72E2-4F5E-83D6-CDCE645EB943}" name="Avg F" dataDxfId="51">
      <calculatedColumnFormula>AB89/$AA$27</calculatedColumnFormula>
    </tableColumn>
    <tableColumn id="8" xr3:uid="{BA012C22-0D65-4C11-98A7-4F958703D04B}" name="Avg M" dataDxfId="50">
      <calculatedColumnFormula>AC89/$AA$27</calculatedColumnFormula>
    </tableColumn>
    <tableColumn id="9" xr3:uid="{63344F2B-5D94-417D-85E2-C2BFBACE3E7E}" name="Avg T" dataDxfId="49">
      <calculatedColumnFormula>AD89/$AA$27</calculatedColumnFormula>
    </tableColumn>
    <tableColumn id="10" xr3:uid="{1AD5A604-8909-45B3-8E43-11D407451CEA}" name="Missed Games" dataDxfId="48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47" dataDxfId="46">
  <autoFilter ref="AK88:AT105" xr:uid="{F9183685-60DE-4163-AA62-BE4F563EE570}"/>
  <tableColumns count="10">
    <tableColumn id="1" xr3:uid="{E62FBAA0-D6F6-4997-96C9-B6B13FAA9B6E}" name="Scoring" dataDxfId="45"/>
    <tableColumn id="2" xr3:uid="{0A655F6F-9A21-4167-85B6-B9F7DC2070CA}" name="Points" dataDxfId="44">
      <calculatedColumnFormula>Template!AC63</calculatedColumnFormula>
    </tableColumn>
    <tableColumn id="3" xr3:uid="{460771D3-3BD8-4DA3-AF1B-1A0F98EF1499}" name="Finishes" dataDxfId="43">
      <calculatedColumnFormula>Template!AD63</calculatedColumnFormula>
    </tableColumn>
    <tableColumn id="4" xr3:uid="{3C08B2D7-823D-49C3-A627-A5848E664B2F}" name="Midranges" dataDxfId="42">
      <calculatedColumnFormula>Template!AE63</calculatedColumnFormula>
    </tableColumn>
    <tableColumn id="5" xr3:uid="{E88F45FB-4C46-4674-86D5-74808E7E5368}" name="Threes" dataDxfId="41">
      <calculatedColumnFormula>Template!AF63</calculatedColumnFormula>
    </tableColumn>
    <tableColumn id="6" xr3:uid="{0C0E8016-1E6E-4F25-9675-4EE061FFD0F7}" name="Avg P" dataDxfId="40">
      <calculatedColumnFormula>AL89/$AA$27</calculatedColumnFormula>
    </tableColumn>
    <tableColumn id="7" xr3:uid="{F7AC350B-AE4B-4912-B21D-16D99E2AE8BF}" name="Avg F" dataDxfId="39">
      <calculatedColumnFormula>AM89/$AA$27</calculatedColumnFormula>
    </tableColumn>
    <tableColumn id="8" xr3:uid="{F451E5CA-B9C4-4EFA-A647-CEDB2FB39550}" name="Avg M" dataDxfId="38">
      <calculatedColumnFormula>AN89/$AA$27</calculatedColumnFormula>
    </tableColumn>
    <tableColumn id="9" xr3:uid="{ED1D92B5-05F1-40CE-A89F-E6627FAB4A59}" name="Avg T" dataDxfId="37">
      <calculatedColumnFormula>AO89/$AA$27</calculatedColumnFormula>
    </tableColumn>
    <tableColumn id="10" xr3:uid="{48A4808A-3DE6-4644-83F5-C2AEDDFC3E5E}" name="Missed Games" dataDxfId="36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20" t="s">
        <v>47</v>
      </c>
      <c r="D3" s="8">
        <f>'Stats Global'!AB8</f>
        <v>0</v>
      </c>
      <c r="E3" s="1">
        <f>'Stats Global'!AA8</f>
        <v>0</v>
      </c>
      <c r="F3" s="8">
        <f>'Stats Global'!AD8</f>
        <v>0</v>
      </c>
      <c r="G3" s="12">
        <f>'Stats Global'!AC8</f>
        <v>0</v>
      </c>
      <c r="H3" s="8">
        <f>'Stats Global'!AF8</f>
        <v>0</v>
      </c>
      <c r="I3" s="12">
        <f>'Stats Global'!AE8</f>
        <v>0</v>
      </c>
      <c r="J3" s="8">
        <f>'Stats Global'!AH8</f>
        <v>0</v>
      </c>
      <c r="K3" s="12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20" t="s">
        <v>47</v>
      </c>
      <c r="D4" s="8">
        <f>'Stats Global'!AB9</f>
        <v>2</v>
      </c>
      <c r="E4" s="12">
        <f>'Stats Global'!AA9</f>
        <v>2</v>
      </c>
      <c r="F4" s="8">
        <f>'Stats Global'!AD9</f>
        <v>2</v>
      </c>
      <c r="G4" s="12">
        <f>'Stats Global'!AC9</f>
        <v>2</v>
      </c>
      <c r="H4" s="8">
        <f>'Stats Global'!AF9</f>
        <v>0</v>
      </c>
      <c r="I4" s="12">
        <f>'Stats Global'!AE9</f>
        <v>0</v>
      </c>
      <c r="J4" s="8">
        <f>'Stats Global'!AH9</f>
        <v>0</v>
      </c>
      <c r="K4" s="12">
        <f>'Stats Global'!AG9</f>
        <v>0</v>
      </c>
      <c r="T4" s="12" t="s">
        <v>197</v>
      </c>
      <c r="U4" s="12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9" t="s">
        <v>26</v>
      </c>
      <c r="D5" s="8">
        <f>'Stats Global'!AB10</f>
        <v>0</v>
      </c>
      <c r="E5" s="12">
        <f>'Stats Global'!AA10</f>
        <v>0</v>
      </c>
      <c r="F5" s="8">
        <f>'Stats Global'!AD10</f>
        <v>0</v>
      </c>
      <c r="G5" s="12">
        <f>'Stats Global'!AC10</f>
        <v>0</v>
      </c>
      <c r="H5" s="8">
        <f>'Stats Global'!AF10</f>
        <v>0</v>
      </c>
      <c r="I5" s="12">
        <f>'Stats Global'!AE10</f>
        <v>0</v>
      </c>
      <c r="J5" s="8">
        <f>'Stats Global'!AH10</f>
        <v>0</v>
      </c>
      <c r="K5" s="12">
        <f>'Stats Global'!AG10</f>
        <v>0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194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>
        <f>'Stats Global'!AB11</f>
        <v>0</v>
      </c>
      <c r="E6" s="12">
        <f>'Stats Global'!AA11</f>
        <v>0</v>
      </c>
      <c r="F6" s="8">
        <f>'Stats Global'!AD11</f>
        <v>0</v>
      </c>
      <c r="G6" s="12">
        <f>'Stats Global'!AC11</f>
        <v>0</v>
      </c>
      <c r="H6" s="8">
        <f>'Stats Global'!AF11</f>
        <v>0</v>
      </c>
      <c r="I6" s="12">
        <f>'Stats Global'!AE11</f>
        <v>0</v>
      </c>
      <c r="J6" s="8">
        <f>'Stats Global'!AH11</f>
        <v>0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5" t="s">
        <v>190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9" t="s">
        <v>31</v>
      </c>
      <c r="D7" s="8">
        <f>'Stats Global'!AB12</f>
        <v>0</v>
      </c>
      <c r="E7" s="12">
        <f>'Stats Global'!AA12</f>
        <v>0</v>
      </c>
      <c r="F7" s="8">
        <f>'Stats Global'!AD12</f>
        <v>0</v>
      </c>
      <c r="G7" s="12">
        <f>'Stats Global'!AC12</f>
        <v>0</v>
      </c>
      <c r="H7" s="8">
        <f>'Stats Global'!AF12</f>
        <v>0</v>
      </c>
      <c r="I7" s="12">
        <f>'Stats Global'!AE12</f>
        <v>0</v>
      </c>
      <c r="J7" s="8">
        <f>'Stats Global'!AH12</f>
        <v>0</v>
      </c>
      <c r="K7" s="12">
        <f>'Stats Global'!AG12</f>
        <v>0</v>
      </c>
      <c r="L7" s="2" t="s">
        <v>38</v>
      </c>
      <c r="M7" s="2" t="s">
        <v>39</v>
      </c>
      <c r="N7" s="17" t="s">
        <v>153</v>
      </c>
      <c r="O7" s="17" t="s">
        <v>155</v>
      </c>
      <c r="T7" s="119" t="s">
        <v>195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20" t="s">
        <v>31</v>
      </c>
      <c r="D8" s="8">
        <f>'Stats Global'!AB13</f>
        <v>0</v>
      </c>
      <c r="E8" s="12">
        <f>'Stats Global'!AA13</f>
        <v>0</v>
      </c>
      <c r="F8" s="8">
        <f>'Stats Global'!AD13</f>
        <v>0</v>
      </c>
      <c r="G8" s="12">
        <f>'Stats Global'!AC13</f>
        <v>0</v>
      </c>
      <c r="H8" s="8">
        <f>'Stats Global'!AF13</f>
        <v>0</v>
      </c>
      <c r="I8" s="12">
        <f>'Stats Global'!AE13</f>
        <v>0</v>
      </c>
      <c r="J8" s="8">
        <f>'Stats Global'!AH13</f>
        <v>0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20" t="s">
        <v>198</v>
      </c>
      <c r="U8" s="12" t="str">
        <f t="shared" si="1"/>
        <v>../Images/WW_Final.png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20" t="s">
        <v>26</v>
      </c>
      <c r="D9" s="8">
        <f>'Stats Global'!AB14</f>
        <v>0</v>
      </c>
      <c r="E9" s="12">
        <f>'Stats Global'!AA14</f>
        <v>0</v>
      </c>
      <c r="F9" s="8">
        <f>'Stats Global'!AD14</f>
        <v>0</v>
      </c>
      <c r="G9" s="12">
        <f>'Stats Global'!AC14</f>
        <v>0</v>
      </c>
      <c r="H9" s="8">
        <f>'Stats Global'!AF14</f>
        <v>0</v>
      </c>
      <c r="I9" s="12">
        <f>'Stats Global'!AE14</f>
        <v>0</v>
      </c>
      <c r="J9" s="8">
        <f>'Stats Global'!AH14</f>
        <v>0</v>
      </c>
      <c r="K9" s="12">
        <f>'Stats Global'!AG14</f>
        <v>0</v>
      </c>
      <c r="L9" s="17" t="s">
        <v>213</v>
      </c>
      <c r="M9" s="17" t="s">
        <v>158</v>
      </c>
      <c r="T9" s="120" t="s">
        <v>200</v>
      </c>
      <c r="U9" s="12" t="str">
        <f t="shared" si="1"/>
        <v>../Images/5M_Final.png</v>
      </c>
      <c r="V9" s="12" t="str">
        <f t="shared" si="0"/>
        <v>../Images/Players/SamJ.png</v>
      </c>
    </row>
    <row r="10" spans="2:24" ht="14.25" customHeight="1" x14ac:dyDescent="0.45">
      <c r="B10" s="2" t="s">
        <v>44</v>
      </c>
      <c r="C10" s="120" t="s">
        <v>31</v>
      </c>
      <c r="D10" s="8">
        <f>'Stats Global'!AB15</f>
        <v>0</v>
      </c>
      <c r="E10" s="12">
        <f>'Stats Global'!AA15</f>
        <v>0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</v>
      </c>
      <c r="K10" s="12">
        <f>'Stats Global'!AG15</f>
        <v>0</v>
      </c>
      <c r="L10" s="17" t="s">
        <v>161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20" t="s">
        <v>199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9" t="s">
        <v>47</v>
      </c>
      <c r="D11" s="8">
        <f>'Stats Global'!AB16</f>
        <v>1</v>
      </c>
      <c r="E11" s="12">
        <f>'Stats Global'!AA16</f>
        <v>1</v>
      </c>
      <c r="F11" s="8">
        <f>'Stats Global'!AD16</f>
        <v>1</v>
      </c>
      <c r="G11" s="12">
        <f>'Stats Global'!AC16</f>
        <v>1</v>
      </c>
      <c r="H11" s="8">
        <f>'Stats Global'!AF16</f>
        <v>0</v>
      </c>
      <c r="I11" s="12">
        <f>'Stats Global'!AE16</f>
        <v>0</v>
      </c>
      <c r="J11" s="8">
        <f>'Stats Global'!AH16</f>
        <v>0</v>
      </c>
      <c r="K11" s="12">
        <f>'Stats Global'!AG16</f>
        <v>0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196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>
        <f>'Stats Global'!AB17</f>
        <v>3</v>
      </c>
      <c r="E12" s="12">
        <f>'Stats Global'!AA17</f>
        <v>3</v>
      </c>
      <c r="F12" s="8">
        <f>'Stats Global'!AD17</f>
        <v>0</v>
      </c>
      <c r="G12" s="12">
        <f>'Stats Global'!AC17</f>
        <v>0</v>
      </c>
      <c r="H12" s="8">
        <f>'Stats Global'!AF17</f>
        <v>1</v>
      </c>
      <c r="I12" s="12">
        <f>'Stats Global'!AE17</f>
        <v>1</v>
      </c>
      <c r="J12" s="8">
        <f>'Stats Global'!AH17</f>
        <v>1</v>
      </c>
      <c r="K12" s="12">
        <f>'Stats Global'!AG17</f>
        <v>1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6" t="s">
        <v>191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20" t="s">
        <v>31</v>
      </c>
      <c r="D13" s="8">
        <f>'Stats Global'!AB18</f>
        <v>2</v>
      </c>
      <c r="E13" s="12">
        <f>'Stats Global'!AA18</f>
        <v>2</v>
      </c>
      <c r="F13" s="8">
        <f>'Stats Global'!AD18</f>
        <v>0</v>
      </c>
      <c r="G13" s="12">
        <f>'Stats Global'!AC18</f>
        <v>0</v>
      </c>
      <c r="H13" s="8">
        <f>'Stats Global'!AF18</f>
        <v>2</v>
      </c>
      <c r="I13" s="12">
        <f>'Stats Global'!AE18</f>
        <v>2</v>
      </c>
      <c r="J13" s="8">
        <f>'Stats Global'!AH18</f>
        <v>0</v>
      </c>
      <c r="K13" s="12">
        <f>'Stats Global'!AG18</f>
        <v>0</v>
      </c>
      <c r="L13" s="2" t="s">
        <v>53</v>
      </c>
      <c r="M13" s="2" t="s">
        <v>33</v>
      </c>
      <c r="N13" s="17"/>
      <c r="T13" s="121" t="s">
        <v>198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29" t="s">
        <v>31</v>
      </c>
      <c r="D14" s="8">
        <f>'Stats Global'!AB19</f>
        <v>0</v>
      </c>
      <c r="E14" s="12">
        <f>'Stats Global'!AA19</f>
        <v>0</v>
      </c>
      <c r="F14" s="8">
        <f>'Stats Global'!AD19</f>
        <v>0</v>
      </c>
      <c r="G14" s="12">
        <f>'Stats Global'!AC19</f>
        <v>0</v>
      </c>
      <c r="H14" s="8">
        <f>'Stats Global'!AF19</f>
        <v>0</v>
      </c>
      <c r="I14" s="12">
        <f>'Stats Global'!AE19</f>
        <v>0</v>
      </c>
      <c r="J14" s="8">
        <f>'Stats Global'!AH19</f>
        <v>0</v>
      </c>
      <c r="K14" s="12">
        <f>'Stats Global'!AG19</f>
        <v>0</v>
      </c>
      <c r="L14" s="17" t="s">
        <v>212</v>
      </c>
      <c r="M14" s="2"/>
      <c r="N14" s="17"/>
      <c r="O14" s="17"/>
      <c r="P14" s="17"/>
      <c r="Q14" s="17"/>
      <c r="R14" s="17"/>
      <c r="S14" s="17"/>
      <c r="T14" s="130" t="s">
        <v>198</v>
      </c>
      <c r="U14" s="12" t="str">
        <f t="shared" ref="U14:U19" si="2">IF(C14="5 Musketeers", $X$3, IF(C14="Loose Gooses", $X$4, IF(C14="Wet Willies", $X$5, $X$6)))</f>
        <v>../Images/WW_Final.png</v>
      </c>
      <c r="V14" s="12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20" t="s">
        <v>26</v>
      </c>
      <c r="D15" s="8">
        <f>'Stats Global'!AB20</f>
        <v>1</v>
      </c>
      <c r="E15" s="12">
        <f>'Stats Global'!AA20</f>
        <v>1</v>
      </c>
      <c r="F15" s="8">
        <f>'Stats Global'!AD20</f>
        <v>1</v>
      </c>
      <c r="G15" s="12">
        <f>'Stats Global'!AC20</f>
        <v>1</v>
      </c>
      <c r="H15" s="8">
        <f>'Stats Global'!AF20</f>
        <v>0</v>
      </c>
      <c r="I15" s="12">
        <f>'Stats Global'!AE20</f>
        <v>0</v>
      </c>
      <c r="J15" s="8">
        <f>'Stats Global'!AH20</f>
        <v>0</v>
      </c>
      <c r="K15" s="12">
        <f>'Stats Global'!AG20</f>
        <v>0</v>
      </c>
      <c r="L15" s="2" t="s">
        <v>56</v>
      </c>
      <c r="M15" s="2" t="s">
        <v>33</v>
      </c>
      <c r="N15" s="17" t="s">
        <v>150</v>
      </c>
      <c r="O15" s="17" t="s">
        <v>151</v>
      </c>
      <c r="P15" s="17" t="s">
        <v>156</v>
      </c>
      <c r="Q15" s="17" t="s">
        <v>155</v>
      </c>
      <c r="T15" s="121" t="s">
        <v>200</v>
      </c>
      <c r="U15" s="12" t="str">
        <f t="shared" si="2"/>
        <v>../Images/5M_Final.png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20" t="s">
        <v>47</v>
      </c>
      <c r="D16" s="8">
        <f>'Stats Global'!AB21</f>
        <v>1</v>
      </c>
      <c r="E16" s="12">
        <f>'Stats Global'!AA21</f>
        <v>1</v>
      </c>
      <c r="F16" s="8">
        <f>'Stats Global'!AD21</f>
        <v>0</v>
      </c>
      <c r="G16" s="12">
        <f>'Stats Global'!AC21</f>
        <v>0</v>
      </c>
      <c r="H16" s="8">
        <f>'Stats Global'!AF21</f>
        <v>1</v>
      </c>
      <c r="I16" s="12">
        <f>'Stats Global'!AE21</f>
        <v>1</v>
      </c>
      <c r="J16" s="8">
        <f>'Stats Global'!AH21</f>
        <v>0</v>
      </c>
      <c r="K16" s="12">
        <f>'Stats Global'!AG21</f>
        <v>0</v>
      </c>
      <c r="L16" s="2" t="s">
        <v>59</v>
      </c>
      <c r="M16" s="17" t="s">
        <v>147</v>
      </c>
      <c r="N16" s="17" t="s">
        <v>148</v>
      </c>
      <c r="O16" s="17" t="s">
        <v>156</v>
      </c>
      <c r="P16" s="17" t="s">
        <v>155</v>
      </c>
      <c r="Q16" s="17" t="s">
        <v>158</v>
      </c>
      <c r="T16" s="121" t="s">
        <v>197</v>
      </c>
      <c r="U16" s="12" t="str">
        <f t="shared" si="2"/>
        <v>../Images/LG_Final.png</v>
      </c>
      <c r="V16" s="1" t="str">
        <f t="shared" si="3"/>
        <v>../Images/Players/Chris.png</v>
      </c>
      <c r="X16" s="17" t="s">
        <v>93</v>
      </c>
    </row>
    <row r="17" spans="2:24" ht="14.25" customHeight="1" x14ac:dyDescent="0.45">
      <c r="B17" s="2" t="s">
        <v>61</v>
      </c>
      <c r="C17" s="2" t="s">
        <v>47</v>
      </c>
      <c r="D17" s="8">
        <f>'Stats Global'!AB22</f>
        <v>5</v>
      </c>
      <c r="E17" s="12">
        <f>'Stats Global'!AA22</f>
        <v>5</v>
      </c>
      <c r="F17" s="8">
        <f>'Stats Global'!AD22</f>
        <v>3</v>
      </c>
      <c r="G17" s="12">
        <f>'Stats Global'!AC22</f>
        <v>3</v>
      </c>
      <c r="H17" s="8">
        <f>'Stats Global'!AF22</f>
        <v>0</v>
      </c>
      <c r="I17" s="12">
        <f>'Stats Global'!AE22</f>
        <v>0</v>
      </c>
      <c r="J17" s="8">
        <f>'Stats Global'!AH22</f>
        <v>1</v>
      </c>
      <c r="K17" s="12">
        <f>'Stats Global'!AG22</f>
        <v>1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7" t="s">
        <v>153</v>
      </c>
      <c r="R17" s="17" t="s">
        <v>154</v>
      </c>
      <c r="S17" s="17" t="s">
        <v>158</v>
      </c>
      <c r="T17" s="105" t="s">
        <v>192</v>
      </c>
      <c r="U17" s="12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20" t="s">
        <v>31</v>
      </c>
      <c r="D18" s="8">
        <f>'Stats Global'!AB23</f>
        <v>0</v>
      </c>
      <c r="E18" s="12">
        <f>'Stats Global'!AA23</f>
        <v>0</v>
      </c>
      <c r="F18" s="8">
        <f>'Stats Global'!AD23</f>
        <v>0</v>
      </c>
      <c r="G18" s="12">
        <f>'Stats Global'!AC23</f>
        <v>0</v>
      </c>
      <c r="H18" s="8">
        <f>'Stats Global'!AF23</f>
        <v>0</v>
      </c>
      <c r="I18" s="12">
        <f>'Stats Global'!AE23</f>
        <v>0</v>
      </c>
      <c r="J18" s="8">
        <f>'Stats Global'!AH23</f>
        <v>0</v>
      </c>
      <c r="K18" s="12">
        <f>'Stats Global'!AG23</f>
        <v>0</v>
      </c>
      <c r="L18" s="2" t="s">
        <v>65</v>
      </c>
      <c r="M18" s="2" t="s">
        <v>33</v>
      </c>
      <c r="N18" s="17" t="s">
        <v>149</v>
      </c>
      <c r="T18" s="120" t="s">
        <v>198</v>
      </c>
      <c r="U18" s="12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20" t="s">
        <v>26</v>
      </c>
      <c r="D19" s="8">
        <f>'Stats Global'!AB24</f>
        <v>0</v>
      </c>
      <c r="E19" s="12">
        <f>'Stats Global'!AA24</f>
        <v>0</v>
      </c>
      <c r="F19" s="8">
        <f>'Stats Global'!AD24</f>
        <v>0</v>
      </c>
      <c r="G19" s="12">
        <f>'Stats Global'!AC24</f>
        <v>0</v>
      </c>
      <c r="H19" s="8">
        <f>'Stats Global'!AF24</f>
        <v>0</v>
      </c>
      <c r="I19" s="12">
        <f>'Stats Global'!AE24</f>
        <v>0</v>
      </c>
      <c r="J19" s="8">
        <f>'Stats Global'!AH24</f>
        <v>0</v>
      </c>
      <c r="K19" s="12">
        <f>'Stats Global'!AG24</f>
        <v>0</v>
      </c>
      <c r="L19" s="17" t="s">
        <v>155</v>
      </c>
      <c r="M19" s="17" t="s">
        <v>158</v>
      </c>
      <c r="T19" s="120" t="s">
        <v>200</v>
      </c>
      <c r="U19" s="12" t="str">
        <f t="shared" si="2"/>
        <v>../Images/5M_Final.png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X21" s="17" t="s">
        <v>211</v>
      </c>
    </row>
    <row r="22" spans="2:24" ht="14.25" customHeight="1" x14ac:dyDescent="0.9">
      <c r="B22" s="142" t="s">
        <v>119</v>
      </c>
      <c r="C22" s="142"/>
      <c r="D22" s="104"/>
      <c r="X22" s="2" t="s">
        <v>70</v>
      </c>
    </row>
    <row r="23" spans="2:24" ht="14.25" customHeight="1" x14ac:dyDescent="0.9">
      <c r="B23" s="142"/>
      <c r="C23" s="142"/>
      <c r="D23" s="104"/>
      <c r="X23" s="2" t="s">
        <v>71</v>
      </c>
    </row>
    <row r="24" spans="2:24" ht="14.25" customHeight="1" x14ac:dyDescent="0.9">
      <c r="B24" s="17"/>
      <c r="C24" s="51"/>
      <c r="D24" s="51"/>
      <c r="W24" s="17"/>
      <c r="X24" s="2" t="s">
        <v>73</v>
      </c>
    </row>
    <row r="25" spans="2:24" ht="14.25" customHeight="1" x14ac:dyDescent="0.9">
      <c r="B25" s="18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7"/>
      <c r="D25" s="17"/>
      <c r="F25" s="51"/>
      <c r="G25" s="18"/>
      <c r="H25" s="18"/>
      <c r="I25" s="18"/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74</v>
      </c>
    </row>
    <row r="26" spans="2:24" ht="14.25" customHeight="1" x14ac:dyDescent="0.9">
      <c r="B26" s="18" t="str">
        <f>C49&amp;":["&amp;C50&amp;C51&amp;C52&amp;C53&amp;C54&amp;C55&amp;C56&amp;C57&amp;C58&amp;C59&amp;C60&amp;C61&amp;C62&amp;C63&amp;C64&amp;C65&amp;C66&amp;"],"</f>
        <v>"Team":["Loose Gooses","Loose Gooses","5 Musketeers","Wet Willies","Wet Willies","Wet Willies","5 Musketeers","Wet Willies","Loose Gooses","5 Musketeers","Wet Willies","Wet Willies","5 Musketeers","Loose Gooses","Loose Gooses","Wet Willies","5 Musketeers"],</v>
      </c>
      <c r="C26" s="17"/>
      <c r="D26" s="17"/>
      <c r="F26" s="5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2" t="s">
        <v>75</v>
      </c>
    </row>
    <row r="27" spans="2:24" ht="14.25" customHeight="1" x14ac:dyDescent="0.45">
      <c r="B27" s="18" t="str">
        <f>D49&amp;":["&amp;D50&amp;D51&amp;D52&amp;D53&amp;D54&amp;D55&amp;D56&amp;D57&amp;D58&amp;D59&amp;D60&amp;D61&amp;D62&amp;D63&amp;D64&amp;D65&amp;D66&amp;"],"</f>
        <v>"PPG":[0,2,0,0,0,0,0,0,1,3,2,0,1,1,5,0,0],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str">
        <f>E49&amp;":["&amp;E50&amp;E51&amp;E52&amp;E53&amp;E54&amp;E55&amp;E56&amp;E57&amp;E58&amp;E59&amp;E60&amp;E61&amp;E62&amp;E63&amp;E64&amp;E65&amp;E66&amp;"],"</f>
        <v>"TP":[0,2,0,0,0,0,0,0,1,3,2,0,1,1,5,0,0],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F49&amp;":["&amp;F50&amp;F51&amp;F52&amp;F53&amp;F54&amp;F55&amp;F56&amp;F57&amp;F58&amp;F59&amp;F60&amp;F61&amp;F62&amp;F63&amp;F64&amp;F65&amp;F66&amp;"],"</f>
        <v>"FPG":[0,2,0,0,0,0,0,0,1,0,0,0,1,0,3,0,0],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str">
        <f>G49&amp;":["&amp;G50&amp;G51&amp;G52&amp;G53&amp;G54&amp;G55&amp;G56&amp;G57&amp;G58&amp;G59&amp;G60&amp;G61&amp;G62&amp;G63&amp;G64&amp;G65&amp;G66&amp;"],"</f>
        <v>"TF":[0,2,0,0,0,0,0,0,1,0,0,0,1,0,3,0,0],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H49&amp;":["&amp;H50&amp;H51&amp;H52&amp;H53&amp;H54&amp;H55&amp;H56&amp;H57&amp;H58&amp;H59&amp;H60&amp;H61&amp;H62&amp;H63&amp;H64&amp;H65&amp;H66&amp;"],"</f>
        <v>"MPG":[0,0,0,0,0,0,0,0,0,1,2,0,0,1,0,0,0],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str">
        <f>I49&amp;":["&amp;I50&amp;I51&amp;I52&amp;I53&amp;I54&amp;I55&amp;I56&amp;I57&amp;I58&amp;I59&amp;I60&amp;I61&amp;I62&amp;I63&amp;I64&amp;I65&amp;I66&amp;"],"</f>
        <v>"TM":[0,0,0,0,0,0,0,0,0,1,2,0,0,1,0,0,0],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J49&amp;":["&amp;J50&amp;J51&amp;J52&amp;J53&amp;J54&amp;J55&amp;J56&amp;J57&amp;J58&amp;J59&amp;J60&amp;J61&amp;J62&amp;J63&amp;J64&amp;J65&amp;J66&amp;"],"</f>
        <v>"TPG":[0,0,0,0,0,0,0,0,0,1,0,0,0,0,1,0,0],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K49&amp;":["&amp;K50&amp;K51&amp;K52&amp;K53&amp;K54&amp;K55&amp;K56&amp;K57&amp;K58&amp;K59&amp;K60&amp;K61&amp;K62&amp;K63&amp;K64&amp;K65&amp;K66&amp;"],"</f>
        <v>"TT":[0,0,0,0,0,0,0,0,0,1,0,0,0,0,1,0,0],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Willies","Drafted by 5 Musketeers","Out due to injury. Signed by Wet Willies","Retained by Loose Gooses","GM of 5 Musketeers","Drafted by Wet Willies","Drafted by Wet Willies","Drafted by 5 Musketeers","Drafted by Loose Gooses","GM of Loose Gooses","Drafted by Wet Willies","Drafted by 5 Musketeers"],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WW_Final.png","../Images/5M_Final.png","../Images/WW_Final.png","../Images/LG_Final.png","../Images/5M_Final.png","../Images/WW_Final.png","../Images/WW_Final.png","../Images/5M_Final.png","../Images/LG_Final.png","../Images/LG_Final.png","../Images/WW_Final.png","../Images/5M_Final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7"/>
      <c r="D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2:23" ht="14.25" customHeight="1" x14ac:dyDescent="0.45">
      <c r="B49" s="18" t="str">
        <f>CHAR(34)&amp;B2&amp;CHAR(34)</f>
        <v>"Name"</v>
      </c>
      <c r="C49" s="18" t="str">
        <f>CHAR(34)&amp;C2&amp;CHAR(34)</f>
        <v>"Team"</v>
      </c>
      <c r="D49" s="18" t="str">
        <f>CHAR(34)&amp;"PPG"&amp;CHAR(34)</f>
        <v>"PPG"</v>
      </c>
      <c r="E49" s="18" t="str">
        <f>CHAR(34)&amp;"TP"&amp;CHAR(34)</f>
        <v>"TP"</v>
      </c>
      <c r="F49" s="18" t="str">
        <f>CHAR(34)&amp;"FPG"&amp;CHAR(34)</f>
        <v>"FPG"</v>
      </c>
      <c r="G49" s="18" t="str">
        <f>CHAR(34)&amp;"TF"&amp;CHAR(34)</f>
        <v>"TF"</v>
      </c>
      <c r="H49" s="18" t="str">
        <f>CHAR(34)&amp;"MPG"&amp;CHAR(34)</f>
        <v>"MPG"</v>
      </c>
      <c r="I49" s="18" t="str">
        <f>CHAR(34)&amp;"TM"&amp;CHAR(34)</f>
        <v>"TM"</v>
      </c>
      <c r="J49" s="18" t="str">
        <f>CHAR(34)&amp;"TPG"&amp;CHAR(34)</f>
        <v>"TPG"</v>
      </c>
      <c r="K49" s="18" t="str">
        <f>CHAR(34)&amp;"TT"&amp;CHAR(34)</f>
        <v>"TT"</v>
      </c>
      <c r="L49" s="18" t="str">
        <f t="shared" ref="L49:V49" si="4">CHAR(34)&amp;L2&amp;CHAR(34)</f>
        <v>"AccoladesOne"</v>
      </c>
      <c r="M49" s="18" t="str">
        <f t="shared" si="4"/>
        <v>"AccoladesTwo"</v>
      </c>
      <c r="N49" s="18" t="str">
        <f t="shared" si="4"/>
        <v>"AccoladesThree"</v>
      </c>
      <c r="O49" s="18" t="str">
        <f t="shared" si="4"/>
        <v>"AccoladesFour"</v>
      </c>
      <c r="P49" s="18" t="str">
        <f t="shared" si="4"/>
        <v>"AccoladesFive"</v>
      </c>
      <c r="Q49" s="18" t="str">
        <f t="shared" si="4"/>
        <v>"AccoladesSix"</v>
      </c>
      <c r="R49" s="18" t="str">
        <f t="shared" si="4"/>
        <v>"AccoladesSeven"</v>
      </c>
      <c r="S49" s="18" t="str">
        <f t="shared" si="4"/>
        <v>"AccoladesEight"</v>
      </c>
      <c r="T49" s="18" t="str">
        <f t="shared" si="4"/>
        <v>"History"</v>
      </c>
      <c r="U49" s="18" t="str">
        <f t="shared" si="4"/>
        <v>"TeamImage"</v>
      </c>
      <c r="V49" s="18" t="str">
        <f t="shared" si="4"/>
        <v>"PlayerImage"</v>
      </c>
      <c r="W49" s="17"/>
    </row>
    <row r="50" spans="2:23" ht="14.25" customHeight="1" x14ac:dyDescent="0.45">
      <c r="B50" s="18" t="str">
        <f t="shared" ref="B50:C65" si="5">CHAR(34)&amp;B3&amp;CHAR(34)&amp;","</f>
        <v>"Jasper Collier",</v>
      </c>
      <c r="C50" s="18" t="str">
        <f t="shared" si="5"/>
        <v>"Loose Gooses",</v>
      </c>
      <c r="D50" s="18" t="str">
        <f t="shared" ref="D50:D65" si="6">ROUND(D3,2)&amp;","</f>
        <v>0,</v>
      </c>
      <c r="E50" s="18" t="str">
        <f t="shared" ref="E50:E65" si="7">E3&amp;","</f>
        <v>0,</v>
      </c>
      <c r="F50" s="18" t="str">
        <f t="shared" ref="F50:F65" si="8">ROUND(F3,2)&amp;","</f>
        <v>0,</v>
      </c>
      <c r="G50" s="18" t="str">
        <f t="shared" ref="G50:G65" si="9">G3&amp;","</f>
        <v>0,</v>
      </c>
      <c r="H50" s="18" t="str">
        <f t="shared" ref="H50:H65" si="10">ROUND(H3,2)&amp;","</f>
        <v>0,</v>
      </c>
      <c r="I50" s="18" t="str">
        <f t="shared" ref="I50:I65" si="11">I3&amp;","</f>
        <v>0,</v>
      </c>
      <c r="J50" s="18" t="str">
        <f t="shared" ref="J50:J65" si="12">ROUND(J3,2)&amp;","</f>
        <v>0,</v>
      </c>
      <c r="K50" s="18" t="str">
        <f t="shared" ref="K50:K65" si="13">K3&amp;","</f>
        <v>0,</v>
      </c>
      <c r="L50" s="18" t="str">
        <f t="shared" ref="L50:V50" si="14">CHAR(34)&amp;L3&amp;CHAR(34)&amp;","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si="14"/>
        <v>"Drafted by Loose Gooses",</v>
      </c>
      <c r="U50" s="18" t="str">
        <f t="shared" si="14"/>
        <v>"../Images/LG_Final.png",</v>
      </c>
      <c r="V50" s="18" t="str">
        <f t="shared" si="14"/>
        <v>"../Images/Players/Jasper.png",</v>
      </c>
    </row>
    <row r="51" spans="2:23" ht="14.25" customHeight="1" x14ac:dyDescent="0.45">
      <c r="B51" s="18" t="str">
        <f t="shared" si="5"/>
        <v>"Conor Farrington",</v>
      </c>
      <c r="C51" s="18" t="str">
        <f t="shared" si="5"/>
        <v>"Loose Gooses",</v>
      </c>
      <c r="D51" s="18" t="str">
        <f t="shared" si="6"/>
        <v>2,</v>
      </c>
      <c r="E51" s="18" t="str">
        <f t="shared" si="7"/>
        <v>2,</v>
      </c>
      <c r="F51" s="18" t="str">
        <f t="shared" si="8"/>
        <v>2,</v>
      </c>
      <c r="G51" s="18" t="str">
        <f t="shared" si="9"/>
        <v>2,</v>
      </c>
      <c r="H51" s="18" t="str">
        <f t="shared" si="10"/>
        <v>0,</v>
      </c>
      <c r="I51" s="18" t="str">
        <f t="shared" si="11"/>
        <v>0,</v>
      </c>
      <c r="J51" s="18" t="str">
        <f t="shared" si="12"/>
        <v>0,</v>
      </c>
      <c r="K51" s="18" t="str">
        <f t="shared" si="13"/>
        <v>0,</v>
      </c>
      <c r="L51" s="18" t="str">
        <f t="shared" ref="L51:V51" si="15">CHAR(34)&amp;L4&amp;CHAR(34)&amp;","</f>
        <v>"",</v>
      </c>
      <c r="M51" s="18" t="str">
        <f t="shared" si="15"/>
        <v>"",</v>
      </c>
      <c r="N51" s="18" t="str">
        <f t="shared" si="15"/>
        <v>"",</v>
      </c>
      <c r="O51" s="18" t="str">
        <f t="shared" si="15"/>
        <v>"",</v>
      </c>
      <c r="P51" s="18" t="str">
        <f t="shared" si="15"/>
        <v>"",</v>
      </c>
      <c r="Q51" s="18" t="str">
        <f t="shared" si="15"/>
        <v>"",</v>
      </c>
      <c r="R51" s="18" t="str">
        <f t="shared" si="15"/>
        <v>"",</v>
      </c>
      <c r="S51" s="18" t="str">
        <f t="shared" si="15"/>
        <v>"",</v>
      </c>
      <c r="T51" s="18" t="str">
        <f t="shared" si="15"/>
        <v>"Drafted by Loose Gooses",</v>
      </c>
      <c r="U51" s="18" t="str">
        <f t="shared" si="15"/>
        <v>"../Images/LG_Final.png",</v>
      </c>
      <c r="V51" s="18" t="str">
        <f t="shared" si="15"/>
        <v>"../Images/Players/Conor.png",</v>
      </c>
    </row>
    <row r="52" spans="2:23" ht="14.25" customHeight="1" x14ac:dyDescent="0.45">
      <c r="B52" s="18" t="str">
        <f t="shared" si="5"/>
        <v>"Alexander Galt",</v>
      </c>
      <c r="C52" s="18" t="str">
        <f t="shared" si="5"/>
        <v>"5 Musketeers",</v>
      </c>
      <c r="D52" s="18" t="str">
        <f t="shared" si="6"/>
        <v>0,</v>
      </c>
      <c r="E52" s="18" t="str">
        <f t="shared" si="7"/>
        <v>0,</v>
      </c>
      <c r="F52" s="18" t="str">
        <f t="shared" si="8"/>
        <v>0,</v>
      </c>
      <c r="G52" s="18" t="str">
        <f t="shared" si="9"/>
        <v>0,</v>
      </c>
      <c r="H52" s="18" t="str">
        <f t="shared" si="10"/>
        <v>0,</v>
      </c>
      <c r="I52" s="18" t="str">
        <f t="shared" si="11"/>
        <v>0,</v>
      </c>
      <c r="J52" s="18" t="str">
        <f t="shared" si="12"/>
        <v>0,</v>
      </c>
      <c r="K52" s="18" t="str">
        <f t="shared" si="13"/>
        <v>0,</v>
      </c>
      <c r="L52" s="18" t="str">
        <f t="shared" ref="L52:V52" si="16">CHAR(34)&amp;L5&amp;CHAR(34)&amp;","</f>
        <v>"All-Defence Team T1",</v>
      </c>
      <c r="M52" s="18" t="str">
        <f t="shared" si="16"/>
        <v>"Champion T1",</v>
      </c>
      <c r="N52" s="18" t="str">
        <f t="shared" si="16"/>
        <v>"All-Offence Team T2",</v>
      </c>
      <c r="O52" s="18" t="str">
        <f t="shared" si="16"/>
        <v>"All-Defence Team T2",</v>
      </c>
      <c r="P52" s="18" t="str">
        <f t="shared" si="16"/>
        <v>"",</v>
      </c>
      <c r="Q52" s="18" t="str">
        <f t="shared" si="16"/>
        <v>"",</v>
      </c>
      <c r="R52" s="18" t="str">
        <f t="shared" si="16"/>
        <v>"",</v>
      </c>
      <c r="S52" s="18" t="str">
        <f t="shared" si="16"/>
        <v>"",</v>
      </c>
      <c r="T52" s="18" t="str">
        <f t="shared" si="16"/>
        <v>"Retained by 5 Musketeers",</v>
      </c>
      <c r="U52" s="18" t="str">
        <f t="shared" si="16"/>
        <v>"../Images/5M_Final.png",</v>
      </c>
      <c r="V52" s="18" t="str">
        <f t="shared" si="16"/>
        <v>"../Images/Players/Alex.png",</v>
      </c>
    </row>
    <row r="53" spans="2:23" ht="14.25" customHeight="1" x14ac:dyDescent="0.45">
      <c r="B53" s="18" t="str">
        <f t="shared" si="5"/>
        <v>"Rudy Hoschke",</v>
      </c>
      <c r="C53" s="18" t="str">
        <f t="shared" si="5"/>
        <v>"Wet Willies",</v>
      </c>
      <c r="D53" s="18" t="str">
        <f t="shared" si="6"/>
        <v>0,</v>
      </c>
      <c r="E53" s="18" t="str">
        <f t="shared" si="7"/>
        <v>0,</v>
      </c>
      <c r="F53" s="18" t="str">
        <f t="shared" si="8"/>
        <v>0,</v>
      </c>
      <c r="G53" s="18" t="str">
        <f t="shared" si="9"/>
        <v>0,</v>
      </c>
      <c r="H53" s="18" t="str">
        <f t="shared" si="10"/>
        <v>0,</v>
      </c>
      <c r="I53" s="18" t="str">
        <f t="shared" si="11"/>
        <v>0,</v>
      </c>
      <c r="J53" s="18" t="str">
        <f t="shared" si="12"/>
        <v>0,</v>
      </c>
      <c r="K53" s="18" t="str">
        <f t="shared" si="13"/>
        <v>0,</v>
      </c>
      <c r="L53" s="18" t="str">
        <f t="shared" ref="L53:V53" si="17">CHAR(34)&amp;L6&amp;CHAR(34)&amp;","</f>
        <v>"All-Offence Team T1",</v>
      </c>
      <c r="M53" s="18" t="str">
        <f t="shared" si="17"/>
        <v>"All-Defence Team T1",</v>
      </c>
      <c r="N53" s="18" t="str">
        <f t="shared" si="17"/>
        <v>"Champion T1",</v>
      </c>
      <c r="O53" s="18" t="str">
        <f t="shared" si="17"/>
        <v>"All-Offence Team T2",</v>
      </c>
      <c r="P53" s="18" t="str">
        <f t="shared" si="17"/>
        <v>"All-Defence Team T2",</v>
      </c>
      <c r="Q53" s="18" t="str">
        <f t="shared" si="17"/>
        <v>"Scoring Champ T2",</v>
      </c>
      <c r="R53" s="18" t="str">
        <f t="shared" si="17"/>
        <v>"GM",</v>
      </c>
      <c r="S53" s="18" t="str">
        <f t="shared" si="17"/>
        <v>"",</v>
      </c>
      <c r="T53" s="18" t="str">
        <f t="shared" si="17"/>
        <v>"GM of Wet Willies",</v>
      </c>
      <c r="U53" s="18" t="str">
        <f t="shared" si="17"/>
        <v>"../Images/WW_Final.png",</v>
      </c>
      <c r="V53" s="18" t="str">
        <f t="shared" si="17"/>
        <v>"../Images/Players/Rudy.png",</v>
      </c>
    </row>
    <row r="54" spans="2:23" ht="14.25" customHeight="1" x14ac:dyDescent="0.45">
      <c r="B54" s="18" t="str">
        <f t="shared" si="5"/>
        <v>"Michael Iffland",</v>
      </c>
      <c r="C54" s="18" t="str">
        <f t="shared" si="5"/>
        <v>"Wet Willies",</v>
      </c>
      <c r="D54" s="18" t="str">
        <f t="shared" si="6"/>
        <v>0,</v>
      </c>
      <c r="E54" s="18" t="str">
        <f t="shared" si="7"/>
        <v>0,</v>
      </c>
      <c r="F54" s="18" t="str">
        <f t="shared" si="8"/>
        <v>0,</v>
      </c>
      <c r="G54" s="18" t="str">
        <f t="shared" si="9"/>
        <v>0,</v>
      </c>
      <c r="H54" s="18" t="str">
        <f t="shared" si="10"/>
        <v>0,</v>
      </c>
      <c r="I54" s="18" t="str">
        <f t="shared" si="11"/>
        <v>0,</v>
      </c>
      <c r="J54" s="18" t="str">
        <f t="shared" si="12"/>
        <v>0,</v>
      </c>
      <c r="K54" s="18" t="str">
        <f t="shared" si="13"/>
        <v>0,</v>
      </c>
      <c r="L54" s="18" t="str">
        <f t="shared" ref="L54:V54" si="18">CHAR(34)&amp;L7&amp;CHAR(34)&amp;","</f>
        <v>"Playmaker T1",</v>
      </c>
      <c r="M54" s="18" t="str">
        <f t="shared" si="18"/>
        <v>"Thirdman T1",</v>
      </c>
      <c r="N54" s="18" t="str">
        <f t="shared" si="18"/>
        <v>"All-Offence Team T2",</v>
      </c>
      <c r="O54" s="18" t="str">
        <f t="shared" si="18"/>
        <v>"All-2nd-Defence Team T2",</v>
      </c>
      <c r="P54" s="18" t="str">
        <f t="shared" si="18"/>
        <v>"",</v>
      </c>
      <c r="Q54" s="18" t="str">
        <f t="shared" si="18"/>
        <v>"",</v>
      </c>
      <c r="R54" s="18" t="str">
        <f t="shared" si="18"/>
        <v>"",</v>
      </c>
      <c r="S54" s="18" t="str">
        <f t="shared" si="18"/>
        <v>"",</v>
      </c>
      <c r="T54" s="18" t="str">
        <f t="shared" si="18"/>
        <v>"Retained by Wet Willies",</v>
      </c>
      <c r="U54" s="18" t="str">
        <f t="shared" si="18"/>
        <v>"../Images/WW_Final.png",</v>
      </c>
      <c r="V54" s="18" t="str">
        <f t="shared" si="18"/>
        <v>"../Images/Players/Michael.png",</v>
      </c>
    </row>
    <row r="55" spans="2:23" ht="14.25" customHeight="1" x14ac:dyDescent="0.45">
      <c r="B55" s="18" t="str">
        <f t="shared" si="5"/>
        <v>"Lukas Johnston",</v>
      </c>
      <c r="C55" s="18" t="str">
        <f t="shared" si="5"/>
        <v>"Wet Willies",</v>
      </c>
      <c r="D55" s="18" t="str">
        <f t="shared" si="6"/>
        <v>0,</v>
      </c>
      <c r="E55" s="18" t="str">
        <f t="shared" si="7"/>
        <v>0,</v>
      </c>
      <c r="F55" s="18" t="str">
        <f t="shared" si="8"/>
        <v>0,</v>
      </c>
      <c r="G55" s="18" t="str">
        <f t="shared" si="9"/>
        <v>0,</v>
      </c>
      <c r="H55" s="18" t="str">
        <f t="shared" si="10"/>
        <v>0,</v>
      </c>
      <c r="I55" s="18" t="str">
        <f t="shared" si="11"/>
        <v>0,</v>
      </c>
      <c r="J55" s="18" t="str">
        <f t="shared" si="12"/>
        <v>0,</v>
      </c>
      <c r="K55" s="18" t="str">
        <f t="shared" si="13"/>
        <v>0,</v>
      </c>
      <c r="L55" s="18" t="str">
        <f t="shared" ref="L55:V55" si="19">CHAR(34)&amp;L8&amp;CHAR(34)&amp;","</f>
        <v>"MVP Runner Up T1",</v>
      </c>
      <c r="M55" s="18" t="str">
        <f t="shared" si="19"/>
        <v>"All-Offence Team T1",</v>
      </c>
      <c r="N55" s="18" t="str">
        <f t="shared" si="19"/>
        <v>"All-2nd-Offence Team T2",</v>
      </c>
      <c r="O55" s="18" t="str">
        <f t="shared" si="19"/>
        <v>"",</v>
      </c>
      <c r="P55" s="18" t="str">
        <f t="shared" si="19"/>
        <v>"",</v>
      </c>
      <c r="Q55" s="18" t="str">
        <f t="shared" si="19"/>
        <v>"",</v>
      </c>
      <c r="R55" s="18" t="str">
        <f t="shared" si="19"/>
        <v>"",</v>
      </c>
      <c r="S55" s="18" t="str">
        <f t="shared" si="19"/>
        <v>"",</v>
      </c>
      <c r="T55" s="18" t="str">
        <f t="shared" si="19"/>
        <v>"Drafted by Wet Willies",</v>
      </c>
      <c r="U55" s="18" t="str">
        <f t="shared" si="19"/>
        <v>"../Images/WW_Final.png",</v>
      </c>
      <c r="V55" s="18" t="str">
        <f t="shared" si="19"/>
        <v>"../Images/Players/Lukas.png",</v>
      </c>
    </row>
    <row r="56" spans="2:23" ht="14.25" customHeight="1" x14ac:dyDescent="0.45">
      <c r="B56" s="18" t="str">
        <f t="shared" si="5"/>
        <v>"Sam James",</v>
      </c>
      <c r="C56" s="18" t="str">
        <f t="shared" si="5"/>
        <v>"5 Musketeers",</v>
      </c>
      <c r="D56" s="18" t="str">
        <f t="shared" si="6"/>
        <v>0,</v>
      </c>
      <c r="E56" s="18" t="str">
        <f t="shared" si="7"/>
        <v>0,</v>
      </c>
      <c r="F56" s="18" t="str">
        <f t="shared" si="8"/>
        <v>0,</v>
      </c>
      <c r="G56" s="18" t="str">
        <f t="shared" si="9"/>
        <v>0,</v>
      </c>
      <c r="H56" s="18" t="str">
        <f t="shared" si="10"/>
        <v>0,</v>
      </c>
      <c r="I56" s="18" t="str">
        <f t="shared" si="11"/>
        <v>0,</v>
      </c>
      <c r="J56" s="18" t="str">
        <f t="shared" si="12"/>
        <v>0,</v>
      </c>
      <c r="K56" s="18" t="str">
        <f t="shared" si="13"/>
        <v>0,</v>
      </c>
      <c r="L56" s="18" t="str">
        <f t="shared" ref="L56:V56" si="20">CHAR(34)&amp;L9&amp;CHAR(34)&amp;","</f>
        <v>"Miles Morales",</v>
      </c>
      <c r="M56" s="18" t="str">
        <f t="shared" si="20"/>
        <v>"Champion T2",</v>
      </c>
      <c r="N56" s="18" t="str">
        <f t="shared" si="20"/>
        <v>"",</v>
      </c>
      <c r="O56" s="18" t="str">
        <f t="shared" si="20"/>
        <v>"",</v>
      </c>
      <c r="P56" s="18" t="str">
        <f t="shared" si="20"/>
        <v>"",</v>
      </c>
      <c r="Q56" s="18" t="str">
        <f t="shared" si="20"/>
        <v>"",</v>
      </c>
      <c r="R56" s="18" t="str">
        <f t="shared" si="20"/>
        <v>"",</v>
      </c>
      <c r="S56" s="18" t="str">
        <f t="shared" si="20"/>
        <v>"",</v>
      </c>
      <c r="T56" s="18" t="str">
        <f t="shared" si="20"/>
        <v>"Drafted by 5 Musketeers",</v>
      </c>
      <c r="U56" s="18" t="str">
        <f t="shared" si="20"/>
        <v>"../Images/5M_Final.png",</v>
      </c>
      <c r="V56" s="18" t="str">
        <f t="shared" si="20"/>
        <v>"../Images/Players/SamJ.png",</v>
      </c>
    </row>
    <row r="57" spans="2:23" ht="14.25" customHeight="1" x14ac:dyDescent="0.45">
      <c r="B57" s="18" t="str">
        <f t="shared" si="5"/>
        <v>"Clarrie Jones",</v>
      </c>
      <c r="C57" s="18" t="str">
        <f t="shared" si="5"/>
        <v>"Wet Willies",</v>
      </c>
      <c r="D57" s="18" t="str">
        <f t="shared" si="6"/>
        <v>0,</v>
      </c>
      <c r="E57" s="18" t="str">
        <f t="shared" si="7"/>
        <v>0,</v>
      </c>
      <c r="F57" s="18" t="str">
        <f t="shared" si="8"/>
        <v>0,</v>
      </c>
      <c r="G57" s="18" t="str">
        <f t="shared" si="9"/>
        <v>0,</v>
      </c>
      <c r="H57" s="18" t="str">
        <f t="shared" si="10"/>
        <v>0,</v>
      </c>
      <c r="I57" s="18" t="str">
        <f t="shared" si="11"/>
        <v>0,</v>
      </c>
      <c r="J57" s="18" t="str">
        <f t="shared" si="12"/>
        <v>0,</v>
      </c>
      <c r="K57" s="18" t="str">
        <f t="shared" si="13"/>
        <v>0,</v>
      </c>
      <c r="L57" s="18" t="str">
        <f t="shared" ref="L57:V57" si="21">CHAR(34)&amp;L10&amp;CHAR(34)&amp;","</f>
        <v>"LTBO Manager",</v>
      </c>
      <c r="M57" s="18" t="str">
        <f t="shared" si="21"/>
        <v>"Champion T1",</v>
      </c>
      <c r="N57" s="18" t="str">
        <f t="shared" si="21"/>
        <v>"Finals MVP T1",</v>
      </c>
      <c r="O57" s="18" t="str">
        <f t="shared" si="21"/>
        <v>"Fifthman T2",</v>
      </c>
      <c r="P57" s="18" t="str">
        <f t="shared" si="21"/>
        <v>"All-2nd-Offence Team T2",</v>
      </c>
      <c r="Q57" s="18" t="str">
        <f t="shared" si="21"/>
        <v>"All-2nd-Defence Team T2",</v>
      </c>
      <c r="R57" s="18" t="str">
        <f t="shared" si="21"/>
        <v>"Champion T2",</v>
      </c>
      <c r="S57" s="18" t="str">
        <f t="shared" si="21"/>
        <v>"",</v>
      </c>
      <c r="T57" s="18" t="str">
        <f t="shared" si="21"/>
        <v>"Out due to injury. Signed by Wet Willies",</v>
      </c>
      <c r="U57" s="18" t="str">
        <f t="shared" si="21"/>
        <v>"../Images/WW_Final.png",</v>
      </c>
      <c r="V57" s="18" t="str">
        <f t="shared" si="21"/>
        <v>"../Images/Players/Clarrie.png",</v>
      </c>
    </row>
    <row r="58" spans="2:23" ht="14.25" customHeight="1" x14ac:dyDescent="0.45">
      <c r="B58" s="18" t="str">
        <f t="shared" si="5"/>
        <v>"William Kim",</v>
      </c>
      <c r="C58" s="18" t="str">
        <f t="shared" si="5"/>
        <v>"Loose Gooses",</v>
      </c>
      <c r="D58" s="18" t="str">
        <f t="shared" si="6"/>
        <v>1,</v>
      </c>
      <c r="E58" s="18" t="str">
        <f t="shared" si="7"/>
        <v>1,</v>
      </c>
      <c r="F58" s="18" t="str">
        <f t="shared" si="8"/>
        <v>1,</v>
      </c>
      <c r="G58" s="18" t="str">
        <f t="shared" si="9"/>
        <v>1,</v>
      </c>
      <c r="H58" s="18" t="str">
        <f t="shared" si="10"/>
        <v>0,</v>
      </c>
      <c r="I58" s="18" t="str">
        <f t="shared" si="11"/>
        <v>0,</v>
      </c>
      <c r="J58" s="18" t="str">
        <f t="shared" si="12"/>
        <v>0,</v>
      </c>
      <c r="K58" s="18" t="str">
        <f t="shared" si="13"/>
        <v>0,</v>
      </c>
      <c r="L58" s="18" t="str">
        <f t="shared" ref="L58:V58" si="22">CHAR(34)&amp;L11&amp;CHAR(34)&amp;","</f>
        <v>"MVP T1",</v>
      </c>
      <c r="M58" s="18" t="str">
        <f t="shared" si="22"/>
        <v>"All-Offence Team T1",</v>
      </c>
      <c r="N58" s="18" t="str">
        <f t="shared" si="22"/>
        <v>"All-Defence Team T1",</v>
      </c>
      <c r="O58" s="18" t="str">
        <f t="shared" si="22"/>
        <v>"All-2nd-Offence Team T2",</v>
      </c>
      <c r="P58" s="18" t="str">
        <f t="shared" si="22"/>
        <v>"All-Defence Team T2",</v>
      </c>
      <c r="Q58" s="18" t="str">
        <f t="shared" si="22"/>
        <v>"Champion T2",</v>
      </c>
      <c r="R58" s="18" t="str">
        <f t="shared" si="22"/>
        <v>"Finals MVP T2",</v>
      </c>
      <c r="S58" s="18" t="str">
        <f t="shared" si="22"/>
        <v>"",</v>
      </c>
      <c r="T58" s="18" t="str">
        <f t="shared" si="22"/>
        <v>"Retained by Loose Gooses",</v>
      </c>
      <c r="U58" s="18" t="str">
        <f t="shared" si="22"/>
        <v>"../Images/LG_Final.png",</v>
      </c>
      <c r="V58" s="18" t="str">
        <f t="shared" si="22"/>
        <v>"../Images/Players/Kimmy.png",</v>
      </c>
    </row>
    <row r="59" spans="2:23" ht="14.25" customHeight="1" x14ac:dyDescent="0.45">
      <c r="B59" s="18" t="str">
        <f t="shared" si="5"/>
        <v>"Samuel McConaghy",</v>
      </c>
      <c r="C59" s="18" t="str">
        <f t="shared" si="5"/>
        <v>"5 Musketeers",</v>
      </c>
      <c r="D59" s="18" t="str">
        <f t="shared" si="6"/>
        <v>3,</v>
      </c>
      <c r="E59" s="18" t="str">
        <f t="shared" si="7"/>
        <v>3,</v>
      </c>
      <c r="F59" s="18" t="str">
        <f t="shared" si="8"/>
        <v>0,</v>
      </c>
      <c r="G59" s="18" t="str">
        <f t="shared" si="9"/>
        <v>0,</v>
      </c>
      <c r="H59" s="18" t="str">
        <f t="shared" si="10"/>
        <v>1,</v>
      </c>
      <c r="I59" s="18" t="str">
        <f t="shared" si="11"/>
        <v>1,</v>
      </c>
      <c r="J59" s="18" t="str">
        <f t="shared" si="12"/>
        <v>1,</v>
      </c>
      <c r="K59" s="18" t="str">
        <f t="shared" si="13"/>
        <v>1,</v>
      </c>
      <c r="L59" s="18" t="str">
        <f t="shared" ref="L59:V59" si="23">CHAR(34)&amp;L12&amp;CHAR(34)&amp;","</f>
        <v>"GM",</v>
      </c>
      <c r="M59" s="18" t="str">
        <f t="shared" si="23"/>
        <v>"All-Offence Team T1",</v>
      </c>
      <c r="N59" s="18" t="str">
        <f t="shared" si="23"/>
        <v>"All-Defence Team T1",</v>
      </c>
      <c r="O59" s="18" t="str">
        <f t="shared" si="23"/>
        <v>"All-Offence Team T2",</v>
      </c>
      <c r="P59" s="18" t="str">
        <f t="shared" si="23"/>
        <v>"All-Defence Team T2",</v>
      </c>
      <c r="Q59" s="18" t="str">
        <f t="shared" si="23"/>
        <v>"",</v>
      </c>
      <c r="R59" s="18" t="str">
        <f t="shared" si="23"/>
        <v>"",</v>
      </c>
      <c r="S59" s="18" t="str">
        <f t="shared" si="23"/>
        <v>"",</v>
      </c>
      <c r="T59" s="18" t="str">
        <f t="shared" si="23"/>
        <v>"GM of 5 Musketeers",</v>
      </c>
      <c r="U59" s="18" t="str">
        <f t="shared" si="23"/>
        <v>"../Images/5M_Final.png",</v>
      </c>
      <c r="V59" s="18" t="str">
        <f t="shared" si="23"/>
        <v>"../Images/Players/SamM.png",</v>
      </c>
    </row>
    <row r="60" spans="2:23" ht="14.25" customHeight="1" x14ac:dyDescent="0.45">
      <c r="B60" s="18" t="str">
        <f t="shared" si="5"/>
        <v>"Ryan Pattemore",</v>
      </c>
      <c r="C60" s="18" t="str">
        <f t="shared" si="5"/>
        <v>"Wet Willies",</v>
      </c>
      <c r="D60" s="18" t="str">
        <f t="shared" si="6"/>
        <v>2,</v>
      </c>
      <c r="E60" s="18" t="str">
        <f t="shared" si="7"/>
        <v>2,</v>
      </c>
      <c r="F60" s="18" t="str">
        <f t="shared" si="8"/>
        <v>0,</v>
      </c>
      <c r="G60" s="18" t="str">
        <f t="shared" si="9"/>
        <v>0,</v>
      </c>
      <c r="H60" s="18" t="str">
        <f t="shared" si="10"/>
        <v>2,</v>
      </c>
      <c r="I60" s="18" t="str">
        <f t="shared" si="11"/>
        <v>2,</v>
      </c>
      <c r="J60" s="18" t="str">
        <f t="shared" si="12"/>
        <v>0,</v>
      </c>
      <c r="K60" s="18" t="str">
        <f t="shared" si="13"/>
        <v>0,</v>
      </c>
      <c r="L60" s="18" t="str">
        <f t="shared" ref="L60:V60" si="24">CHAR(34)&amp;L13&amp;CHAR(34)&amp;","</f>
        <v>"Perimeter T1",</v>
      </c>
      <c r="M60" s="18" t="str">
        <f t="shared" si="24"/>
        <v>"Champion T1",</v>
      </c>
      <c r="N60" s="18" t="str">
        <f t="shared" si="24"/>
        <v>"",</v>
      </c>
      <c r="O60" s="18" t="str">
        <f t="shared" si="24"/>
        <v>"",</v>
      </c>
      <c r="P60" s="18" t="str">
        <f t="shared" si="24"/>
        <v>"",</v>
      </c>
      <c r="Q60" s="18" t="str">
        <f t="shared" si="24"/>
        <v>"",</v>
      </c>
      <c r="R60" s="18" t="str">
        <f t="shared" si="24"/>
        <v>"",</v>
      </c>
      <c r="S60" s="18" t="str">
        <f t="shared" si="24"/>
        <v>"",</v>
      </c>
      <c r="T60" s="18" t="str">
        <f t="shared" si="24"/>
        <v>"Drafted by Wet Willies",</v>
      </c>
      <c r="U60" s="18" t="str">
        <f t="shared" si="24"/>
        <v>"../Images/WW_Final.png",</v>
      </c>
      <c r="V60" s="18" t="str">
        <f t="shared" si="24"/>
        <v>"../Images/Players/Ryan.png",</v>
      </c>
    </row>
    <row r="61" spans="2:23" ht="14.25" customHeight="1" x14ac:dyDescent="0.45">
      <c r="B61" s="18" t="str">
        <f t="shared" si="5"/>
        <v>"William Scott",</v>
      </c>
      <c r="C61" s="18" t="str">
        <f t="shared" si="5"/>
        <v>"Wet Willies",</v>
      </c>
      <c r="D61" s="18" t="str">
        <f t="shared" si="6"/>
        <v>0,</v>
      </c>
      <c r="E61" s="18" t="str">
        <f t="shared" si="7"/>
        <v>0,</v>
      </c>
      <c r="F61" s="18" t="str">
        <f t="shared" si="8"/>
        <v>0,</v>
      </c>
      <c r="G61" s="18" t="str">
        <f t="shared" si="9"/>
        <v>0,</v>
      </c>
      <c r="H61" s="18" t="str">
        <f t="shared" si="10"/>
        <v>0,</v>
      </c>
      <c r="I61" s="18" t="str">
        <f t="shared" si="11"/>
        <v>0,</v>
      </c>
      <c r="J61" s="18" t="str">
        <f t="shared" si="12"/>
        <v>0,</v>
      </c>
      <c r="K61" s="18" t="str">
        <f t="shared" si="13"/>
        <v>0,</v>
      </c>
      <c r="L61" s="18" t="str">
        <f t="shared" ref="L61:V61" si="25">CHAR(34)&amp;L14&amp;CHAR(34)&amp;","</f>
        <v>"LTBO Photographer",</v>
      </c>
      <c r="M61" s="18" t="str">
        <f t="shared" si="25"/>
        <v>"",</v>
      </c>
      <c r="N61" s="18" t="str">
        <f t="shared" si="25"/>
        <v>"",</v>
      </c>
      <c r="O61" s="18" t="str">
        <f t="shared" si="25"/>
        <v>"",</v>
      </c>
      <c r="P61" s="18" t="str">
        <f t="shared" si="25"/>
        <v>"",</v>
      </c>
      <c r="Q61" s="18" t="str">
        <f t="shared" si="25"/>
        <v>"",</v>
      </c>
      <c r="R61" s="18" t="str">
        <f t="shared" si="25"/>
        <v>"",</v>
      </c>
      <c r="S61" s="18" t="str">
        <f t="shared" si="25"/>
        <v>"",</v>
      </c>
      <c r="T61" s="18" t="str">
        <f t="shared" si="25"/>
        <v>"Drafted by Wet Willies",</v>
      </c>
      <c r="U61" s="18" t="str">
        <f t="shared" si="25"/>
        <v>"../Images/WW_Final.png",</v>
      </c>
      <c r="V61" s="18" t="str">
        <f t="shared" si="25"/>
        <v>"../Images/Players/Will.png",</v>
      </c>
    </row>
    <row r="62" spans="2:23" ht="14.25" customHeight="1" x14ac:dyDescent="0.45">
      <c r="B62" s="18" t="str">
        <f t="shared" si="5"/>
        <v>"Nicholas Szogi",</v>
      </c>
      <c r="C62" s="18" t="str">
        <f t="shared" si="5"/>
        <v>"5 Musketeers",</v>
      </c>
      <c r="D62" s="18" t="str">
        <f t="shared" si="6"/>
        <v>1,</v>
      </c>
      <c r="E62" s="18" t="str">
        <f t="shared" si="7"/>
        <v>1,</v>
      </c>
      <c r="F62" s="18" t="str">
        <f t="shared" si="8"/>
        <v>1,</v>
      </c>
      <c r="G62" s="18" t="str">
        <f t="shared" si="9"/>
        <v>1,</v>
      </c>
      <c r="H62" s="18" t="str">
        <f t="shared" si="10"/>
        <v>0,</v>
      </c>
      <c r="I62" s="18" t="str">
        <f t="shared" si="11"/>
        <v>0,</v>
      </c>
      <c r="J62" s="18" t="str">
        <f t="shared" si="12"/>
        <v>0,</v>
      </c>
      <c r="K62" s="18" t="str">
        <f t="shared" si="13"/>
        <v>0,</v>
      </c>
      <c r="L62" s="18" t="str">
        <f t="shared" ref="L62:V62" si="26">CHAR(34)&amp;L15&amp;CHAR(34)&amp;","</f>
        <v>"The Biggest Bird",</v>
      </c>
      <c r="M62" s="18" t="str">
        <f t="shared" si="26"/>
        <v>"Champion T1",</v>
      </c>
      <c r="N62" s="18" t="str">
        <f t="shared" si="26"/>
        <v>"MVP Runner Up T2",</v>
      </c>
      <c r="O62" s="18" t="str">
        <f t="shared" si="26"/>
        <v>"X-Factor T2",</v>
      </c>
      <c r="P62" s="18" t="str">
        <f t="shared" si="26"/>
        <v>"All-2nd-Offence Team T2",</v>
      </c>
      <c r="Q62" s="18" t="str">
        <f t="shared" si="26"/>
        <v>"All-2nd-Defence Team T2",</v>
      </c>
      <c r="R62" s="18" t="str">
        <f t="shared" si="26"/>
        <v>"",</v>
      </c>
      <c r="S62" s="18" t="str">
        <f t="shared" si="26"/>
        <v>"",</v>
      </c>
      <c r="T62" s="18" t="str">
        <f t="shared" si="26"/>
        <v>"Drafted by 5 Musketeers",</v>
      </c>
      <c r="U62" s="18" t="str">
        <f t="shared" si="26"/>
        <v>"../Images/5M_Final.png",</v>
      </c>
      <c r="V62" s="18" t="str">
        <f t="shared" si="26"/>
        <v>"../Images/Players/Nick.png",</v>
      </c>
    </row>
    <row r="63" spans="2:23" ht="14.25" customHeight="1" x14ac:dyDescent="0.45">
      <c r="B63" s="18" t="str">
        <f t="shared" si="5"/>
        <v>"Christopher Tomkinson",</v>
      </c>
      <c r="C63" s="18" t="str">
        <f t="shared" si="5"/>
        <v>"Loose Gooses",</v>
      </c>
      <c r="D63" s="18" t="str">
        <f t="shared" si="6"/>
        <v>1,</v>
      </c>
      <c r="E63" s="18" t="str">
        <f t="shared" si="7"/>
        <v>1,</v>
      </c>
      <c r="F63" s="18" t="str">
        <f t="shared" si="8"/>
        <v>0,</v>
      </c>
      <c r="G63" s="18" t="str">
        <f t="shared" si="9"/>
        <v>0,</v>
      </c>
      <c r="H63" s="18" t="str">
        <f t="shared" si="10"/>
        <v>1,</v>
      </c>
      <c r="I63" s="18" t="str">
        <f t="shared" si="11"/>
        <v>1,</v>
      </c>
      <c r="J63" s="18" t="str">
        <f t="shared" si="12"/>
        <v>0,</v>
      </c>
      <c r="K63" s="18" t="str">
        <f t="shared" si="13"/>
        <v>0,</v>
      </c>
      <c r="L63" s="18" t="str">
        <f t="shared" ref="L63:V63" si="27">CHAR(34)&amp;L16&amp;CHAR(34)&amp;","</f>
        <v>"MIP T1",</v>
      </c>
      <c r="M63" s="18" t="str">
        <f t="shared" si="27"/>
        <v>"MIP T2",</v>
      </c>
      <c r="N63" s="18" t="str">
        <f t="shared" si="27"/>
        <v>"MVP T2",</v>
      </c>
      <c r="O63" s="18" t="str">
        <f t="shared" si="27"/>
        <v>"All-2nd-Offence Team T2",</v>
      </c>
      <c r="P63" s="18" t="str">
        <f t="shared" si="27"/>
        <v>"All-2nd-Defence Team T2",</v>
      </c>
      <c r="Q63" s="18" t="str">
        <f t="shared" si="27"/>
        <v>"Champion T2",</v>
      </c>
      <c r="R63" s="18" t="str">
        <f t="shared" si="27"/>
        <v>"",</v>
      </c>
      <c r="S63" s="18" t="str">
        <f t="shared" si="27"/>
        <v>"",</v>
      </c>
      <c r="T63" s="18" t="str">
        <f t="shared" si="27"/>
        <v>"Drafted by Loose Gooses",</v>
      </c>
      <c r="U63" s="18" t="str">
        <f t="shared" si="27"/>
        <v>"../Images/LG_Final.png",</v>
      </c>
      <c r="V63" s="18" t="str">
        <f t="shared" si="27"/>
        <v>"../Images/Players/Chris.png",</v>
      </c>
    </row>
    <row r="64" spans="2:23" ht="14.25" customHeight="1" x14ac:dyDescent="0.45">
      <c r="B64" s="18" t="str">
        <f t="shared" si="5"/>
        <v>"Angus Walker",</v>
      </c>
      <c r="C64" s="18" t="str">
        <f t="shared" si="5"/>
        <v>"Loose Gooses",</v>
      </c>
      <c r="D64" s="18" t="str">
        <f t="shared" si="6"/>
        <v>5,</v>
      </c>
      <c r="E64" s="18" t="str">
        <f t="shared" si="7"/>
        <v>5,</v>
      </c>
      <c r="F64" s="18" t="str">
        <f t="shared" si="8"/>
        <v>3,</v>
      </c>
      <c r="G64" s="18" t="str">
        <f t="shared" si="9"/>
        <v>3,</v>
      </c>
      <c r="H64" s="18" t="str">
        <f t="shared" si="10"/>
        <v>0,</v>
      </c>
      <c r="I64" s="18" t="str">
        <f t="shared" si="11"/>
        <v>0,</v>
      </c>
      <c r="J64" s="18" t="str">
        <f t="shared" si="12"/>
        <v>1,</v>
      </c>
      <c r="K64" s="18" t="str">
        <f t="shared" si="13"/>
        <v>1,</v>
      </c>
      <c r="L64" s="18" t="str">
        <f t="shared" ref="L64:V64" si="28">CHAR(34)&amp;L17&amp;CHAR(34)&amp;","</f>
        <v>"LTBO CEO",</v>
      </c>
      <c r="M64" s="18" t="str">
        <f t="shared" si="28"/>
        <v>"GM",</v>
      </c>
      <c r="N64" s="18" t="str">
        <f t="shared" si="28"/>
        <v>"All-Offence Team T1",</v>
      </c>
      <c r="O64" s="18" t="str">
        <f t="shared" si="28"/>
        <v>"All-Defence Team T1",</v>
      </c>
      <c r="P64" s="18" t="str">
        <f t="shared" si="28"/>
        <v>"Scoring Champ T1",</v>
      </c>
      <c r="Q64" s="18" t="str">
        <f t="shared" si="28"/>
        <v>"All-Offence Team T2",</v>
      </c>
      <c r="R64" s="18" t="str">
        <f t="shared" si="28"/>
        <v>"All-Defence Team T2",</v>
      </c>
      <c r="S64" s="18" t="str">
        <f t="shared" si="28"/>
        <v>"Champion T2",</v>
      </c>
      <c r="T64" s="18" t="str">
        <f t="shared" si="28"/>
        <v>"GM of Loose Gooses",</v>
      </c>
      <c r="U64" s="18" t="str">
        <f t="shared" si="28"/>
        <v>"../Images/LG_Final.png",</v>
      </c>
      <c r="V64" s="18" t="str">
        <f t="shared" si="28"/>
        <v>"../Images/Players/Angus.png",</v>
      </c>
    </row>
    <row r="65" spans="2:22" ht="14.25" customHeight="1" x14ac:dyDescent="0.45">
      <c r="B65" s="18" t="str">
        <f t="shared" si="5"/>
        <v>"Willie Weekes",</v>
      </c>
      <c r="C65" s="18" t="str">
        <f t="shared" si="5"/>
        <v>"Wet Willies",</v>
      </c>
      <c r="D65" s="18" t="str">
        <f t="shared" si="6"/>
        <v>0,</v>
      </c>
      <c r="E65" s="18" t="str">
        <f t="shared" si="7"/>
        <v>0,</v>
      </c>
      <c r="F65" s="18" t="str">
        <f t="shared" si="8"/>
        <v>0,</v>
      </c>
      <c r="G65" s="18" t="str">
        <f t="shared" si="9"/>
        <v>0,</v>
      </c>
      <c r="H65" s="18" t="str">
        <f t="shared" si="10"/>
        <v>0,</v>
      </c>
      <c r="I65" s="18" t="str">
        <f t="shared" si="11"/>
        <v>0,</v>
      </c>
      <c r="J65" s="18" t="str">
        <f t="shared" si="12"/>
        <v>0,</v>
      </c>
      <c r="K65" s="18" t="str">
        <f t="shared" si="13"/>
        <v>0,</v>
      </c>
      <c r="L65" s="18" t="str">
        <f t="shared" ref="L65:V65" si="29">CHAR(34)&amp;L18&amp;CHAR(34)&amp;","</f>
        <v>"Teammate T1",</v>
      </c>
      <c r="M65" s="18" t="str">
        <f t="shared" si="29"/>
        <v>"Champion T1",</v>
      </c>
      <c r="N65" s="18" t="str">
        <f t="shared" si="29"/>
        <v>"Teammate T2",</v>
      </c>
      <c r="O65" s="18" t="str">
        <f t="shared" si="29"/>
        <v>"",</v>
      </c>
      <c r="P65" s="18" t="str">
        <f t="shared" si="29"/>
        <v>"",</v>
      </c>
      <c r="Q65" s="18" t="str">
        <f t="shared" si="29"/>
        <v>"",</v>
      </c>
      <c r="R65" s="18" t="str">
        <f t="shared" si="29"/>
        <v>"",</v>
      </c>
      <c r="S65" s="18" t="str">
        <f t="shared" si="29"/>
        <v>"",</v>
      </c>
      <c r="T65" s="18" t="str">
        <f t="shared" si="29"/>
        <v>"Drafted by Wet Willies",</v>
      </c>
      <c r="U65" s="18" t="str">
        <f t="shared" si="29"/>
        <v>"../Images/WW_Final.png",</v>
      </c>
      <c r="V65" s="18" t="str">
        <f t="shared" si="29"/>
        <v>"../Images/Players/Willie.png",</v>
      </c>
    </row>
    <row r="66" spans="2:22" ht="14.25" customHeight="1" x14ac:dyDescent="0.45">
      <c r="B66" s="18" t="str">
        <f>CHAR(34)&amp;B19&amp;CHAR(34)</f>
        <v>"Mitch Yue"</v>
      </c>
      <c r="C66" s="18" t="str">
        <f>CHAR(34)&amp;C19&amp;CHAR(34)</f>
        <v>"5 Musketeers"</v>
      </c>
      <c r="D66" s="18">
        <f>ROUND(D19,2)</f>
        <v>0</v>
      </c>
      <c r="E66" s="18">
        <f>E19</f>
        <v>0</v>
      </c>
      <c r="F66" s="18">
        <f>ROUND(F19,2)</f>
        <v>0</v>
      </c>
      <c r="G66" s="18">
        <f>G19</f>
        <v>0</v>
      </c>
      <c r="H66" s="18">
        <f>ROUND(H19,2)</f>
        <v>0</v>
      </c>
      <c r="I66" s="18">
        <f>I19</f>
        <v>0</v>
      </c>
      <c r="J66" s="18">
        <f>ROUND(J19,2)</f>
        <v>0</v>
      </c>
      <c r="K66" s="18">
        <f>K19</f>
        <v>0</v>
      </c>
      <c r="L66" s="18" t="str">
        <f t="shared" ref="L66:V66" si="30">CHAR(34)&amp;L19&amp;CHAR(34)</f>
        <v>"All-2nd-Defence Team T2"</v>
      </c>
      <c r="M66" s="18" t="str">
        <f t="shared" si="30"/>
        <v>"Champion T2"</v>
      </c>
      <c r="N66" s="18" t="str">
        <f t="shared" si="30"/>
        <v>""</v>
      </c>
      <c r="O66" s="18" t="str">
        <f t="shared" si="30"/>
        <v>""</v>
      </c>
      <c r="P66" s="18" t="str">
        <f t="shared" si="30"/>
        <v>""</v>
      </c>
      <c r="Q66" s="18" t="str">
        <f t="shared" si="30"/>
        <v>""</v>
      </c>
      <c r="R66" s="18" t="str">
        <f t="shared" si="30"/>
        <v>""</v>
      </c>
      <c r="S66" s="18" t="str">
        <f t="shared" si="30"/>
        <v>""</v>
      </c>
      <c r="T66" s="18" t="str">
        <f t="shared" si="30"/>
        <v>"Drafted by 5 Musketeers"</v>
      </c>
      <c r="U66" s="18" t="str">
        <f t="shared" si="30"/>
        <v>"../Images/5M_Final.png"</v>
      </c>
      <c r="V66" s="18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3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8</v>
      </c>
      <c r="N3" s="11">
        <f>L3/(L3+M3)</f>
        <v>0.52941176470588236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50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15</v>
      </c>
      <c r="M4" s="12">
        <f>COUNTIF(D3:D40, "5 Musketeers")</f>
        <v>6</v>
      </c>
      <c r="N4" s="11">
        <f t="shared" ref="N4:N5" si="4">L4/(L4+M4)</f>
        <v>0.7142857142857143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12</v>
      </c>
      <c r="N5" s="11">
        <f t="shared" si="4"/>
        <v>0.14285714285714285</v>
      </c>
      <c r="O5" s="12">
        <f>IF(AND(N5&gt;N4, N5&gt;N3), 3, IF(OR(N5&gt;N4, N5&gt;N3), 2, 1))</f>
        <v>1</v>
      </c>
      <c r="Q5" s="2" t="s">
        <v>30</v>
      </c>
      <c r="R5" s="9">
        <f t="shared" si="0"/>
        <v>7</v>
      </c>
      <c r="S5" s="10">
        <f t="shared" si="1"/>
        <v>7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61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205</v>
      </c>
      <c r="G10" s="26">
        <v>2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30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31</v>
      </c>
      <c r="E12" s="26" t="s">
        <v>30</v>
      </c>
      <c r="F12" s="26" t="s">
        <v>205</v>
      </c>
      <c r="G12" s="26">
        <v>2</v>
      </c>
      <c r="H12" s="26">
        <v>5</v>
      </c>
      <c r="I12" s="26">
        <v>2</v>
      </c>
      <c r="Q12" s="2" t="s">
        <v>50</v>
      </c>
      <c r="R12" s="9">
        <f t="shared" si="0"/>
        <v>6</v>
      </c>
      <c r="S12" s="10">
        <f t="shared" si="1"/>
        <v>1</v>
      </c>
      <c r="T12" s="10">
        <f t="shared" si="2"/>
        <v>5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5M/WW</v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58</v>
      </c>
      <c r="F13" s="26" t="s">
        <v>206</v>
      </c>
      <c r="G13" s="26">
        <v>1</v>
      </c>
      <c r="H13" s="26">
        <v>1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0</v>
      </c>
      <c r="U13" s="10">
        <f t="shared" si="3"/>
        <v>1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58</v>
      </c>
      <c r="F14" s="26" t="s">
        <v>205</v>
      </c>
      <c r="G14" s="26">
        <v>2</v>
      </c>
      <c r="H14" s="26">
        <v>6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47</v>
      </c>
      <c r="E15" s="26" t="s">
        <v>30</v>
      </c>
      <c r="F15" s="26" t="s">
        <v>205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2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5M/LG</v>
      </c>
      <c r="AB15" s="2"/>
    </row>
    <row r="16" spans="2:31" ht="14.25" customHeight="1" x14ac:dyDescent="0.45">
      <c r="B16" s="26">
        <v>13</v>
      </c>
      <c r="C16" s="26" t="s">
        <v>26</v>
      </c>
      <c r="D16" s="26" t="s">
        <v>31</v>
      </c>
      <c r="E16" s="26" t="s">
        <v>50</v>
      </c>
      <c r="F16" s="26" t="s">
        <v>205</v>
      </c>
      <c r="G16" s="26">
        <v>2</v>
      </c>
      <c r="H16" s="26">
        <v>7</v>
      </c>
      <c r="I16" s="26">
        <v>1</v>
      </c>
      <c r="Q16" s="2" t="s">
        <v>58</v>
      </c>
      <c r="R16" s="9">
        <f t="shared" si="0"/>
        <v>5</v>
      </c>
      <c r="S16" s="10">
        <f t="shared" si="1"/>
        <v>2</v>
      </c>
      <c r="T16" s="10">
        <f t="shared" si="2"/>
        <v>1</v>
      </c>
      <c r="U16" s="10">
        <f t="shared" si="3"/>
        <v>1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5M/WW</v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47</v>
      </c>
      <c r="E17" s="26" t="s">
        <v>55</v>
      </c>
      <c r="F17" s="26" t="s">
        <v>205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5M/LG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31</v>
      </c>
      <c r="E18" s="26" t="s">
        <v>50</v>
      </c>
      <c r="F18" s="26" t="s">
        <v>99</v>
      </c>
      <c r="G18" s="26">
        <v>4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5M/WW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47</v>
      </c>
      <c r="E19" s="26" t="s">
        <v>50</v>
      </c>
      <c r="F19" s="26" t="s">
        <v>99</v>
      </c>
      <c r="G19" s="26">
        <v>5</v>
      </c>
      <c r="H19" s="26">
        <v>3</v>
      </c>
      <c r="I19" s="26">
        <v>2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5M/LG</v>
      </c>
    </row>
    <row r="20" spans="2:28" ht="14.25" customHeight="1" x14ac:dyDescent="0.45">
      <c r="B20" s="26">
        <v>17</v>
      </c>
      <c r="C20" s="26" t="s">
        <v>26</v>
      </c>
      <c r="D20" s="26" t="s">
        <v>31</v>
      </c>
      <c r="E20" s="26" t="s">
        <v>55</v>
      </c>
      <c r="F20" s="26" t="s">
        <v>205</v>
      </c>
      <c r="G20" s="26">
        <v>6</v>
      </c>
      <c r="H20" s="26">
        <v>9</v>
      </c>
      <c r="I20" s="26">
        <v>1</v>
      </c>
      <c r="X20" s="54" t="str">
        <f t="shared" si="5"/>
        <v/>
      </c>
      <c r="Y20" s="54" t="str">
        <f t="shared" si="6"/>
        <v/>
      </c>
      <c r="Z20" s="54" t="str">
        <f t="shared" si="7"/>
        <v>5M/WW</v>
      </c>
    </row>
    <row r="21" spans="2:28" ht="14.25" customHeight="1" x14ac:dyDescent="0.45">
      <c r="B21" s="26">
        <v>18</v>
      </c>
      <c r="C21" s="26" t="s">
        <v>26</v>
      </c>
      <c r="D21" s="26" t="s">
        <v>47</v>
      </c>
      <c r="E21" s="26" t="s">
        <v>50</v>
      </c>
      <c r="F21" s="26" t="s">
        <v>99</v>
      </c>
      <c r="G21" s="26">
        <v>7</v>
      </c>
      <c r="H21" s="26">
        <v>4</v>
      </c>
      <c r="I21" s="26">
        <v>1</v>
      </c>
      <c r="X21" s="54" t="str">
        <f t="shared" ref="X21:X22" si="8">IF(AND(C21="Loose Gooses",D21="Wet Willies"),"LG/WW", IF(AND(C21="Loose Gooses",D21="5 Musketeers"),"LG/5M", ""))</f>
        <v/>
      </c>
      <c r="Y21" s="54" t="str">
        <f t="shared" ref="Y21:Y22" si="9">IF(AND(C21="Wet Willies",D21="Loose Gooses"),"WW/LG", IF(AND(C21="Wet Willies",D21="5 Musketeers"),"WW/5M", ""))</f>
        <v/>
      </c>
      <c r="Z21" s="54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6">
        <v>19</v>
      </c>
      <c r="C22" s="26" t="s">
        <v>31</v>
      </c>
      <c r="D22" s="26" t="s">
        <v>26</v>
      </c>
      <c r="E22" s="26" t="s">
        <v>52</v>
      </c>
      <c r="F22" s="26" t="s">
        <v>206</v>
      </c>
      <c r="G22" s="26">
        <v>1</v>
      </c>
      <c r="H22" s="26">
        <v>1</v>
      </c>
      <c r="I22" s="26">
        <v>1</v>
      </c>
      <c r="X22" s="54" t="str">
        <f t="shared" si="8"/>
        <v/>
      </c>
      <c r="Y22" s="54" t="str">
        <f t="shared" si="9"/>
        <v>WW/5M</v>
      </c>
      <c r="Z22" s="54" t="str">
        <f t="shared" si="10"/>
        <v/>
      </c>
    </row>
    <row r="23" spans="2:28" ht="14.25" customHeight="1" x14ac:dyDescent="0.45">
      <c r="B23" s="26">
        <v>20</v>
      </c>
      <c r="C23" s="26" t="s">
        <v>31</v>
      </c>
      <c r="D23" s="26" t="s">
        <v>47</v>
      </c>
      <c r="E23" s="26" t="s">
        <v>42</v>
      </c>
      <c r="F23" s="26" t="s">
        <v>205</v>
      </c>
      <c r="G23" s="26">
        <v>2</v>
      </c>
      <c r="H23" s="26">
        <v>5</v>
      </c>
      <c r="I23" s="26">
        <v>1</v>
      </c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5"/>
        <v/>
      </c>
      <c r="Y23" s="54" t="str">
        <f t="shared" si="6"/>
        <v>WW/LG</v>
      </c>
      <c r="Z23" s="54" t="str">
        <f t="shared" si="7"/>
        <v/>
      </c>
    </row>
    <row r="24" spans="2:28" ht="14.25" customHeight="1" x14ac:dyDescent="0.45">
      <c r="B24" s="26">
        <v>21</v>
      </c>
      <c r="C24" s="26" t="s">
        <v>26</v>
      </c>
      <c r="D24" s="26" t="s">
        <v>31</v>
      </c>
      <c r="E24" s="26" t="s">
        <v>30</v>
      </c>
      <c r="F24" s="26" t="s">
        <v>205</v>
      </c>
      <c r="G24" s="26">
        <v>1</v>
      </c>
      <c r="H24" s="26">
        <v>1</v>
      </c>
      <c r="I24" s="26">
        <v>1</v>
      </c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>5M/WW</v>
      </c>
    </row>
    <row r="25" spans="2:28" ht="14.25" customHeight="1" x14ac:dyDescent="0.45">
      <c r="B25" s="26">
        <v>22</v>
      </c>
      <c r="C25" s="26" t="s">
        <v>47</v>
      </c>
      <c r="D25" s="26" t="s">
        <v>26</v>
      </c>
      <c r="E25" s="26" t="s">
        <v>58</v>
      </c>
      <c r="F25" s="26" t="s">
        <v>205</v>
      </c>
      <c r="G25" s="26">
        <v>1</v>
      </c>
      <c r="H25" s="26">
        <v>1</v>
      </c>
      <c r="I25" s="26">
        <v>1</v>
      </c>
      <c r="Q25" s="7"/>
      <c r="R25" s="17" t="str">
        <f t="shared" si="12"/>
        <v>7,</v>
      </c>
      <c r="S25" s="17" t="str">
        <f t="shared" si="12"/>
        <v>7,</v>
      </c>
      <c r="T25" s="17" t="str">
        <f t="shared" si="12"/>
        <v>0,</v>
      </c>
      <c r="U25" s="17" t="str">
        <f t="shared" si="12"/>
        <v>0,</v>
      </c>
      <c r="X25" s="54" t="str">
        <f t="shared" si="5"/>
        <v>LG/5M</v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>
        <v>23</v>
      </c>
      <c r="C26" s="26" t="s">
        <v>47</v>
      </c>
      <c r="D26" s="26" t="s">
        <v>31</v>
      </c>
      <c r="E26" s="26" t="s">
        <v>61</v>
      </c>
      <c r="F26" s="26" t="s">
        <v>205</v>
      </c>
      <c r="G26" s="26">
        <v>2</v>
      </c>
      <c r="H26" s="26">
        <v>2</v>
      </c>
      <c r="I26" s="26">
        <v>1</v>
      </c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5"/>
        <v>LG/WW</v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>
        <v>24</v>
      </c>
      <c r="C27" s="26" t="s">
        <v>47</v>
      </c>
      <c r="D27" s="26" t="s">
        <v>26</v>
      </c>
      <c r="E27" s="26" t="s">
        <v>61</v>
      </c>
      <c r="F27" s="26" t="s">
        <v>99</v>
      </c>
      <c r="G27" s="26">
        <v>3</v>
      </c>
      <c r="H27" s="26">
        <v>2</v>
      </c>
      <c r="I27" s="26">
        <v>2</v>
      </c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5"/>
        <v>LG/5M</v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>
        <v>25</v>
      </c>
      <c r="C28" s="26" t="s">
        <v>47</v>
      </c>
      <c r="D28" s="26" t="s">
        <v>31</v>
      </c>
      <c r="E28" s="26" t="s">
        <v>58</v>
      </c>
      <c r="F28" s="26" t="s">
        <v>99</v>
      </c>
      <c r="G28" s="26">
        <v>4</v>
      </c>
      <c r="H28" s="26">
        <v>3</v>
      </c>
      <c r="I28" s="26">
        <v>1</v>
      </c>
      <c r="R28" s="17" t="str">
        <f t="shared" si="12"/>
        <v>1,</v>
      </c>
      <c r="S28" s="17" t="str">
        <f t="shared" si="12"/>
        <v>1,</v>
      </c>
      <c r="T28" s="17" t="str">
        <f t="shared" si="12"/>
        <v>0,</v>
      </c>
      <c r="U28" s="17" t="str">
        <f t="shared" si="12"/>
        <v>0,</v>
      </c>
      <c r="X28" s="54" t="str">
        <f t="shared" si="5"/>
        <v>LG/WW</v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>
        <v>26</v>
      </c>
      <c r="C29" s="26" t="s">
        <v>47</v>
      </c>
      <c r="D29" s="26" t="s">
        <v>26</v>
      </c>
      <c r="E29" s="26" t="s">
        <v>61</v>
      </c>
      <c r="F29" s="26" t="s">
        <v>205</v>
      </c>
      <c r="G29" s="26">
        <v>5</v>
      </c>
      <c r="H29" s="26">
        <v>3</v>
      </c>
      <c r="I29" s="26">
        <v>1</v>
      </c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5"/>
        <v>LG/5M</v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1,</v>
      </c>
      <c r="T32" s="17" t="str">
        <f t="shared" si="12"/>
        <v>5,</v>
      </c>
      <c r="U32" s="17" t="str">
        <f t="shared" si="12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2,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1,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2,</v>
      </c>
      <c r="T35" s="17" t="str">
        <f t="shared" si="12"/>
        <v>0,</v>
      </c>
      <c r="U35" s="17" t="str">
        <f t="shared" si="12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12"/>
        <v>5,</v>
      </c>
      <c r="S36" s="17" t="str">
        <f t="shared" si="12"/>
        <v>2,</v>
      </c>
      <c r="T36" s="17" t="str">
        <f t="shared" si="12"/>
        <v>1,</v>
      </c>
      <c r="U36" s="17" t="str">
        <f t="shared" si="12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2" t="s">
        <v>119</v>
      </c>
      <c r="U41" s="142"/>
      <c r="V41" s="142"/>
    </row>
    <row r="42" spans="2:26" ht="14.25" customHeight="1" x14ac:dyDescent="0.9">
      <c r="R42" s="104"/>
      <c r="S42" s="104"/>
      <c r="T42" s="142"/>
      <c r="U42" s="142"/>
      <c r="V42" s="142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9" t="str">
        <f>C2</f>
        <v>12-July</v>
      </c>
      <c r="C45" s="17">
        <f>MAX(L3:L5)</f>
        <v>15</v>
      </c>
      <c r="D45" s="17">
        <f>COUNT(B4:B42)-C45-E45</f>
        <v>9</v>
      </c>
      <c r="E45" s="17">
        <f>MIN(L3:L5)</f>
        <v>2</v>
      </c>
      <c r="F45" s="17">
        <f>L3</f>
        <v>9</v>
      </c>
      <c r="G45" s="17">
        <f>COUNTIF(Y4:Y39, "WW/LG")</f>
        <v>1</v>
      </c>
      <c r="H45" s="17">
        <f>COUNTIF(Z4:Z39, "5M/LG")</f>
        <v>7</v>
      </c>
      <c r="I45" s="17">
        <f>L5</f>
        <v>2</v>
      </c>
      <c r="J45" s="17">
        <f>COUNTIF(X4:X39, "LG/WW")</f>
        <v>4</v>
      </c>
      <c r="K45" s="17">
        <f>COUNTIF(Z4:Z39, "5M/WW")</f>
        <v>8</v>
      </c>
      <c r="L45" s="17">
        <f>L4</f>
        <v>15</v>
      </c>
      <c r="M45" s="17">
        <f>COUNTIF(X4:X39, "LG/5M")</f>
        <v>5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5</v>
      </c>
      <c r="M3" s="12">
        <f>COUNTIF(D3:D40, "Loose Gooses")</f>
        <v>6</v>
      </c>
      <c r="N3" s="11">
        <f>L3/(L3+M3)</f>
        <v>0.45454545454545453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58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12</v>
      </c>
      <c r="M4" s="12">
        <f>COUNTIF(D3:D40, "5 Musketeers")</f>
        <v>3</v>
      </c>
      <c r="N4" s="11">
        <f t="shared" ref="N4:N5" si="4">L4/(L4+M4)</f>
        <v>0.8</v>
      </c>
      <c r="O4" s="12">
        <f>IF(AND(N4&gt;N3, N4&gt;N5), 3, IF(OR(N4&gt;N3, N4&gt;N5), 2, 1))</f>
        <v>3</v>
      </c>
      <c r="Q4" s="2" t="s">
        <v>28</v>
      </c>
      <c r="R4" s="9">
        <f t="shared" si="0"/>
        <v>2</v>
      </c>
      <c r="S4" s="10">
        <f t="shared" si="1"/>
        <v>1</v>
      </c>
      <c r="T4" s="10">
        <f t="shared" si="2"/>
        <v>1</v>
      </c>
      <c r="U4" s="10">
        <f t="shared" si="3"/>
        <v>0</v>
      </c>
      <c r="V4" s="27" t="b">
        <v>0</v>
      </c>
      <c r="X4" s="54" t="str">
        <f t="shared" ref="X4:X20" si="5">IF(AND(C4="Loose Gooses",D4="Wet Willies"),"LG/WW", IF(AND(C4="Loose Gooses",D4="5 Musketeers"),"LG/5M", ""))</f>
        <v>LG/5M</v>
      </c>
      <c r="Y4" s="54" t="str">
        <f t="shared" ref="Y4:Y20" si="6">IF(AND(C4="Wet Willies",D4="Loose Gooses"),"WW/LG", IF(AND(C4="Wet Willies",D4="5 Musketeers"),"WW/5M", ""))</f>
        <v/>
      </c>
      <c r="Z4" s="54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30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31</v>
      </c>
      <c r="E7" s="26" t="s">
        <v>50</v>
      </c>
      <c r="F7" s="26" t="s">
        <v>206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5M/WW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47</v>
      </c>
      <c r="E8" s="26" t="s">
        <v>115</v>
      </c>
      <c r="F8" s="26" t="s">
        <v>99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5M/LG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2</v>
      </c>
      <c r="S9" s="10">
        <f t="shared" si="1"/>
        <v>1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5</v>
      </c>
      <c r="H10" s="26">
        <v>3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30</v>
      </c>
      <c r="F11" s="26" t="s">
        <v>205</v>
      </c>
      <c r="G11" s="26">
        <v>6</v>
      </c>
      <c r="H11" s="26">
        <v>4</v>
      </c>
      <c r="I11" s="26">
        <v>1</v>
      </c>
      <c r="Q11" s="2" t="s">
        <v>46</v>
      </c>
      <c r="R11" s="9">
        <f t="shared" si="0"/>
        <v>3</v>
      </c>
      <c r="S11" s="10">
        <f t="shared" si="1"/>
        <v>1</v>
      </c>
      <c r="T11" s="10">
        <f t="shared" si="2"/>
        <v>0</v>
      </c>
      <c r="U11" s="10">
        <f t="shared" si="3"/>
        <v>1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30</v>
      </c>
      <c r="F12" s="26" t="s">
        <v>205</v>
      </c>
      <c r="G12" s="26">
        <v>7</v>
      </c>
      <c r="H12" s="26">
        <v>4</v>
      </c>
      <c r="I12" s="26">
        <v>2</v>
      </c>
      <c r="Q12" s="2" t="s">
        <v>50</v>
      </c>
      <c r="R12" s="9">
        <f t="shared" si="0"/>
        <v>6</v>
      </c>
      <c r="S12" s="10">
        <f t="shared" si="1"/>
        <v>0</v>
      </c>
      <c r="T12" s="10">
        <f t="shared" si="2"/>
        <v>4</v>
      </c>
      <c r="U12" s="10">
        <f t="shared" si="3"/>
        <v>1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99</v>
      </c>
      <c r="G13" s="26">
        <v>8</v>
      </c>
      <c r="H13" s="26">
        <v>5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55</v>
      </c>
      <c r="F14" s="26" t="s">
        <v>206</v>
      </c>
      <c r="G14" s="26">
        <v>9</v>
      </c>
      <c r="H14" s="26">
        <v>5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31</v>
      </c>
      <c r="E15" s="26" t="s">
        <v>115</v>
      </c>
      <c r="F15" s="26" t="s">
        <v>205</v>
      </c>
      <c r="G15" s="26">
        <v>10</v>
      </c>
      <c r="H15" s="26">
        <v>6</v>
      </c>
      <c r="I15" s="26">
        <v>1</v>
      </c>
      <c r="Q15" s="2" t="s">
        <v>55</v>
      </c>
      <c r="R15" s="9">
        <f t="shared" si="0"/>
        <v>2</v>
      </c>
      <c r="S15" s="10">
        <f t="shared" si="1"/>
        <v>0</v>
      </c>
      <c r="T15" s="10">
        <f t="shared" si="2"/>
        <v>0</v>
      </c>
      <c r="U15" s="10">
        <f t="shared" si="3"/>
        <v>1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5M/WW</v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46</v>
      </c>
      <c r="F16" s="26" t="s">
        <v>205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46</v>
      </c>
      <c r="F17" s="26" t="s">
        <v>206</v>
      </c>
      <c r="G17" s="26">
        <v>2</v>
      </c>
      <c r="H17" s="26">
        <v>7</v>
      </c>
      <c r="I17" s="26">
        <v>2</v>
      </c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206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8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28</v>
      </c>
      <c r="F20" s="26" t="s">
        <v>205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ref="X21:X39" si="8">IF(AND(C21="Loose Gooses",D21="Wet Willies"),"LG/WW", IF(AND(C21="Loose Gooses",D21="5 Musketeers"),"LG/5M", ""))</f>
        <v/>
      </c>
      <c r="Y21" s="54" t="str">
        <f t="shared" ref="Y21:Y39" si="9">IF(AND(C21="Wet Willies",D21="Loose Gooses"),"WW/LG", IF(AND(C21="Wet Willies",D21="5 Musketeers"),"WW/5M", ""))</f>
        <v/>
      </c>
      <c r="Z21" s="54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2,</v>
      </c>
      <c r="S24" s="17" t="str">
        <f t="shared" si="12"/>
        <v>1,</v>
      </c>
      <c r="T24" s="17" t="str">
        <f t="shared" si="12"/>
        <v>1,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5,</v>
      </c>
      <c r="S25" s="17" t="str">
        <f t="shared" si="12"/>
        <v>3,</v>
      </c>
      <c r="T25" s="17" t="str">
        <f t="shared" si="12"/>
        <v>0,</v>
      </c>
      <c r="U25" s="17" t="str">
        <f t="shared" si="12"/>
        <v>1,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12"/>
        <v>2,</v>
      </c>
      <c r="S29" s="17" t="str">
        <f t="shared" si="12"/>
        <v>1,</v>
      </c>
      <c r="T29" s="17" t="str">
        <f t="shared" si="12"/>
        <v>1,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"Did not Play",</v>
      </c>
      <c r="S30" s="17" t="str">
        <f t="shared" si="12"/>
        <v>"Did not Play",</v>
      </c>
      <c r="T30" s="17" t="str">
        <f t="shared" si="12"/>
        <v>"Did not Play",</v>
      </c>
      <c r="U30" s="17" t="str">
        <f t="shared" si="12"/>
        <v>"Did not Play",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3,</v>
      </c>
      <c r="S31" s="17" t="str">
        <f t="shared" si="12"/>
        <v>1,</v>
      </c>
      <c r="T31" s="17" t="str">
        <f t="shared" si="12"/>
        <v>0,</v>
      </c>
      <c r="U31" s="17" t="str">
        <f t="shared" si="12"/>
        <v>1,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0,</v>
      </c>
      <c r="T32" s="17" t="str">
        <f t="shared" si="12"/>
        <v>4,</v>
      </c>
      <c r="U32" s="17" t="str">
        <f t="shared" si="12"/>
        <v>1,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"Did not Play",</v>
      </c>
      <c r="S34" s="17" t="str">
        <f t="shared" si="12"/>
        <v>"Did not Play",</v>
      </c>
      <c r="T34" s="17" t="str">
        <f t="shared" si="12"/>
        <v>"Did not Play",</v>
      </c>
      <c r="U34" s="17" t="str">
        <f t="shared" si="12"/>
        <v>"Did not Play",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1,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0,</v>
      </c>
      <c r="T36" s="17" t="str">
        <f t="shared" si="12"/>
        <v>1,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2" t="s">
        <v>119</v>
      </c>
      <c r="U41" s="142"/>
      <c r="V41" s="142"/>
    </row>
    <row r="42" spans="2:26" ht="14.25" customHeight="1" x14ac:dyDescent="0.9">
      <c r="R42" s="104"/>
      <c r="S42" s="104"/>
      <c r="T42" s="142"/>
      <c r="U42" s="142"/>
      <c r="V42" s="142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9" t="str">
        <f>C2</f>
        <v>11-July</v>
      </c>
      <c r="C45" s="17">
        <f>MAX(L3:L5)</f>
        <v>12</v>
      </c>
      <c r="D45" s="17">
        <f>COUNT(B4:B42)-C45-E45</f>
        <v>5</v>
      </c>
      <c r="E45" s="17">
        <f>MIN(L3:L5)</f>
        <v>0</v>
      </c>
      <c r="F45" s="17">
        <f>L3</f>
        <v>5</v>
      </c>
      <c r="G45" s="17">
        <f>COUNTIF(Y4:Y39, "WW/LG")</f>
        <v>0</v>
      </c>
      <c r="H45" s="17">
        <f>COUNTIF(Z4:Z39, "5M/LG")</f>
        <v>6</v>
      </c>
      <c r="I45" s="17">
        <f>L5</f>
        <v>0</v>
      </c>
      <c r="J45" s="17">
        <f>COUNTIF(X4:X39, "LG/WW")</f>
        <v>2</v>
      </c>
      <c r="K45" s="17">
        <f>COUNTIF(Z4:Z39, "5M/WW")</f>
        <v>6</v>
      </c>
      <c r="L45" s="17">
        <f>L4</f>
        <v>12</v>
      </c>
      <c r="M45" s="17">
        <f>COUNTIF(X4:X39, "LG/5M")</f>
        <v>3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T1000"/>
  <sheetViews>
    <sheetView tabSelected="1" topLeftCell="J7" zoomScale="70" zoomScaleNormal="70" workbookViewId="0">
      <selection activeCell="AJ45" sqref="AJ45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46" ht="14.25" customHeight="1" x14ac:dyDescent="0.45"/>
    <row r="2" spans="2:46" ht="14.25" customHeight="1" x14ac:dyDescent="0.45">
      <c r="B2" s="3" t="s">
        <v>76</v>
      </c>
    </row>
    <row r="3" spans="2:46" ht="14.25" customHeight="1" x14ac:dyDescent="0.45"/>
    <row r="4" spans="2:46" ht="14.25" customHeight="1" x14ac:dyDescent="0.45">
      <c r="B4" s="114" t="s">
        <v>72</v>
      </c>
      <c r="C4" s="114" t="s">
        <v>77</v>
      </c>
      <c r="D4" s="114" t="s">
        <v>78</v>
      </c>
      <c r="E4" s="114" t="s">
        <v>79</v>
      </c>
      <c r="F4" s="114" t="s">
        <v>171</v>
      </c>
      <c r="G4" s="114" t="s">
        <v>177</v>
      </c>
      <c r="H4" s="114" t="s">
        <v>178</v>
      </c>
      <c r="I4" s="114" t="s">
        <v>172</v>
      </c>
      <c r="J4" s="114" t="s">
        <v>179</v>
      </c>
      <c r="K4" s="114" t="s">
        <v>180</v>
      </c>
      <c r="L4" s="114" t="s">
        <v>173</v>
      </c>
      <c r="M4" s="114" t="s">
        <v>181</v>
      </c>
      <c r="N4" s="114" t="s">
        <v>182</v>
      </c>
      <c r="O4" s="114" t="s">
        <v>174</v>
      </c>
      <c r="P4" s="114" t="s">
        <v>175</v>
      </c>
      <c r="Q4" s="114" t="s">
        <v>176</v>
      </c>
      <c r="S4" s="3" t="s">
        <v>80</v>
      </c>
    </row>
    <row r="5" spans="2:46" ht="14.25" customHeight="1" x14ac:dyDescent="0.45">
      <c r="B5" s="133" t="str">
        <f>'Preseason 1'!B45</f>
        <v>11-July</v>
      </c>
      <c r="C5" s="133">
        <f>'Preseason 1'!C45</f>
        <v>12</v>
      </c>
      <c r="D5" s="133">
        <f>'Preseason 1'!D45</f>
        <v>5</v>
      </c>
      <c r="E5" s="133">
        <f>'Preseason 1'!E45</f>
        <v>0</v>
      </c>
      <c r="F5" s="133">
        <f>'Preseason 1'!F45</f>
        <v>5</v>
      </c>
      <c r="G5" s="133">
        <f>'Preseason 1'!G45</f>
        <v>0</v>
      </c>
      <c r="H5" s="133">
        <f>'Preseason 1'!H45</f>
        <v>6</v>
      </c>
      <c r="I5" s="133">
        <f>'Preseason 1'!I45</f>
        <v>0</v>
      </c>
      <c r="J5" s="133">
        <f>'Preseason 1'!J45</f>
        <v>2</v>
      </c>
      <c r="K5" s="133">
        <f>'Preseason 1'!K45</f>
        <v>6</v>
      </c>
      <c r="L5" s="133">
        <f>'Preseason 1'!L45</f>
        <v>12</v>
      </c>
      <c r="M5" s="133">
        <f>'Preseason 1'!M45</f>
        <v>3</v>
      </c>
      <c r="N5" s="133">
        <f>'Preseason 1'!N45</f>
        <v>0</v>
      </c>
      <c r="O5" s="133">
        <f>'Preseason 1'!O45</f>
        <v>2</v>
      </c>
      <c r="P5" s="133">
        <f>'Preseason 1'!P45</f>
        <v>1</v>
      </c>
      <c r="Q5" s="133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AR5" s="65"/>
      <c r="AS5" s="65"/>
      <c r="AT5" s="65"/>
    </row>
    <row r="6" spans="2:46" ht="14.25" customHeight="1" x14ac:dyDescent="0.45">
      <c r="B6" s="133" t="str">
        <f>'Preseason 2'!B45</f>
        <v>12-July</v>
      </c>
      <c r="C6" s="133">
        <f>'Preseason 2'!C45</f>
        <v>15</v>
      </c>
      <c r="D6" s="133">
        <f>'Preseason 2'!D45</f>
        <v>9</v>
      </c>
      <c r="E6" s="133">
        <f>'Preseason 2'!E45</f>
        <v>2</v>
      </c>
      <c r="F6" s="133">
        <f>'Preseason 2'!F45</f>
        <v>9</v>
      </c>
      <c r="G6" s="133">
        <f>'Preseason 2'!G45</f>
        <v>1</v>
      </c>
      <c r="H6" s="133">
        <f>'Preseason 2'!H45</f>
        <v>7</v>
      </c>
      <c r="I6" s="133">
        <f>'Preseason 2'!I45</f>
        <v>2</v>
      </c>
      <c r="J6" s="133">
        <f>'Preseason 2'!J45</f>
        <v>4</v>
      </c>
      <c r="K6" s="133">
        <f>'Preseason 2'!K45</f>
        <v>8</v>
      </c>
      <c r="L6" s="133">
        <f>'Preseason 2'!L45</f>
        <v>15</v>
      </c>
      <c r="M6" s="133">
        <f>'Preseason 2'!M45</f>
        <v>5</v>
      </c>
      <c r="N6" s="133">
        <f>'Preseason 2'!N45</f>
        <v>1</v>
      </c>
      <c r="O6" s="133">
        <f>'Preseason 2'!O45</f>
        <v>2</v>
      </c>
      <c r="P6" s="133">
        <f>'Preseason 2'!P45</f>
        <v>1</v>
      </c>
      <c r="Q6" s="133">
        <f>'Preseason 2'!Q45</f>
        <v>3</v>
      </c>
      <c r="S6" s="5">
        <f>SUM(C8:E40)/COUNT(C8:C40)</f>
        <v>13</v>
      </c>
      <c r="T6" s="134">
        <f>AVERAGE(C8:C40)</f>
        <v>8</v>
      </c>
      <c r="U6" s="134">
        <f t="shared" ref="U6:V6" si="0">AVERAGE(D8:D40)</f>
        <v>3</v>
      </c>
      <c r="V6" s="134">
        <f t="shared" si="0"/>
        <v>2</v>
      </c>
      <c r="Z6" s="74" t="s">
        <v>167</v>
      </c>
      <c r="AA6" s="9">
        <f>AA46+AA65+AL27+AL46+AL65+AA84+AL84</f>
        <v>1</v>
      </c>
      <c r="AK6" s="30"/>
      <c r="AL6" s="30"/>
      <c r="AM6" s="30" t="s">
        <v>221</v>
      </c>
      <c r="AO6" s="44"/>
      <c r="AP6" s="28"/>
      <c r="AR6" s="65"/>
      <c r="AS6" s="65"/>
      <c r="AT6" s="65"/>
    </row>
    <row r="7" spans="2:46" ht="14.25" customHeight="1" x14ac:dyDescent="0.45">
      <c r="B7" s="133" t="str">
        <f>'Preseason 3'!B45</f>
        <v>13-July</v>
      </c>
      <c r="C7" s="133">
        <f>'Preseason 3'!C45</f>
        <v>8</v>
      </c>
      <c r="D7" s="133">
        <f>'Preseason 3'!D45</f>
        <v>4</v>
      </c>
      <c r="E7" s="133">
        <f>'Preseason 3'!E45</f>
        <v>1</v>
      </c>
      <c r="F7" s="133">
        <f>'Preseason 3'!F45</f>
        <v>8</v>
      </c>
      <c r="G7" s="133">
        <f>'Preseason 3'!G45</f>
        <v>2</v>
      </c>
      <c r="H7" s="133">
        <f>'Preseason 3'!H45</f>
        <v>0</v>
      </c>
      <c r="I7" s="133">
        <f>'Preseason 3'!I45</f>
        <v>4</v>
      </c>
      <c r="J7" s="133">
        <f>'Preseason 3'!J45</f>
        <v>4</v>
      </c>
      <c r="K7" s="133">
        <f>'Preseason 3'!K45</f>
        <v>1</v>
      </c>
      <c r="L7" s="133">
        <f>'Preseason 3'!L45</f>
        <v>1</v>
      </c>
      <c r="M7" s="133">
        <f>'Preseason 3'!M45</f>
        <v>4</v>
      </c>
      <c r="N7" s="133">
        <f>'Preseason 3'!N45</f>
        <v>2</v>
      </c>
      <c r="O7" s="133">
        <f>'Preseason 3'!O45</f>
        <v>3</v>
      </c>
      <c r="P7" s="133">
        <f>'Preseason 3'!P45</f>
        <v>2</v>
      </c>
      <c r="Q7" s="133">
        <f>'Preseason 3'!Q45</f>
        <v>1</v>
      </c>
      <c r="S7" s="3" t="s">
        <v>83</v>
      </c>
      <c r="T7" s="6">
        <f>T6/$S$6</f>
        <v>0.61538461538461542</v>
      </c>
      <c r="U7" s="6">
        <f>U6/$S$6</f>
        <v>0.23076923076923078</v>
      </c>
      <c r="V7" s="6">
        <f>V6/$S$6</f>
        <v>0.15384615384615385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6"/>
      <c r="AL7" s="66"/>
      <c r="AM7" s="66" t="s">
        <v>80</v>
      </c>
      <c r="AN7" s="14" t="s">
        <v>220</v>
      </c>
      <c r="AO7" s="14"/>
      <c r="AR7" s="62"/>
      <c r="AS7" s="63"/>
      <c r="AT7" s="61"/>
    </row>
    <row r="8" spans="2:46" ht="14.25" customHeight="1" x14ac:dyDescent="0.45">
      <c r="B8" s="128" t="str">
        <f>'1707'!B45</f>
        <v>17-July</v>
      </c>
      <c r="C8" s="128">
        <f>'1707'!C45</f>
        <v>8</v>
      </c>
      <c r="D8" s="128">
        <f>'1707'!D45</f>
        <v>3</v>
      </c>
      <c r="E8" s="128">
        <f>'1707'!E45</f>
        <v>2</v>
      </c>
      <c r="F8" s="128">
        <f>'1707'!F45</f>
        <v>8</v>
      </c>
      <c r="G8" s="128">
        <f>'1707'!G45</f>
        <v>0</v>
      </c>
      <c r="H8" s="128">
        <f>'1707'!H45</f>
        <v>3</v>
      </c>
      <c r="I8" s="128">
        <f>'1707'!I45</f>
        <v>2</v>
      </c>
      <c r="J8" s="128">
        <f>'1707'!J45</f>
        <v>5</v>
      </c>
      <c r="K8" s="128">
        <f>'1707'!K45</f>
        <v>0</v>
      </c>
      <c r="L8" s="128">
        <f>'1707'!L45</f>
        <v>3</v>
      </c>
      <c r="M8" s="128">
        <f>'1707'!M45</f>
        <v>3</v>
      </c>
      <c r="N8" s="128">
        <f>'1707'!N45</f>
        <v>2</v>
      </c>
      <c r="O8" s="128">
        <f>'1707'!O45</f>
        <v>3</v>
      </c>
      <c r="P8" s="128">
        <f>'1707'!P45</f>
        <v>1</v>
      </c>
      <c r="Q8" s="128">
        <f>'1707'!Q45</f>
        <v>2</v>
      </c>
      <c r="Z8" s="68" t="s">
        <v>45</v>
      </c>
      <c r="AA8" s="69">
        <f t="shared" ref="AA8:AA24" si="1">SUM(AL29,AA49,AL49,AA69,AL69,AA89,AL89)</f>
        <v>0</v>
      </c>
      <c r="AB8" s="70">
        <f>IF($AA$6-Table1[[#This Row],[Missed Games]]=0, 0,Table1[[#This Row],[Points]]/($AA$6-Table1[[#This Row],[Missed Games]]))</f>
        <v>0</v>
      </c>
      <c r="AC8" s="71">
        <f t="shared" ref="AC8:AC24" si="2">SUM(AM29,AB49,AM49,AB69,AM69,AB89,AM89)</f>
        <v>0</v>
      </c>
      <c r="AD8" s="72">
        <f>IF($AA$6-Table1[[#This Row],[Missed Games]]=0, 0,Table1[[#This Row],[Finishes]]/($AA$6-Table1[[#This Row],[Missed Games]]))</f>
        <v>0</v>
      </c>
      <c r="AE8" s="71">
        <f t="shared" ref="AE8:AE24" si="3">SUM(AN29,AC49,AN49,AC69,AN69,AC89,AN89)</f>
        <v>0</v>
      </c>
      <c r="AF8" s="72">
        <f>IF($AA$6-Table1[[#This Row],[Missed Games]]=0, 0,Table1[[#This Row],[Midranges]]/($AA$6-Table1[[#This Row],[Missed Games]]))</f>
        <v>0</v>
      </c>
      <c r="AG8" s="71">
        <f t="shared" ref="AG8:AG24" si="4">SUM(AO29,AD49,AO49,AD69,AO69,AD89,AO89)</f>
        <v>0</v>
      </c>
      <c r="AH8" s="72">
        <f>IF($AA$6-Table1[[#This Row],[Missed Games]]=0, 0,Table1[[#This Row],[Threes]]/($AA$6-Table1[[#This Row],[Missed Games]]))</f>
        <v>0</v>
      </c>
      <c r="AI8" s="68" t="str">
        <f>SfW!C3</f>
        <v>Loose Gooses</v>
      </c>
      <c r="AJ8" s="73">
        <f t="shared" ref="AJ8:AJ24" si="5">SUM(AT29,AI49,AT49,AI69,AT69,AI89,AT89)</f>
        <v>0</v>
      </c>
      <c r="AK8" s="67"/>
      <c r="AL8" s="141" t="s">
        <v>0</v>
      </c>
      <c r="AM8" s="140">
        <f>AVERAGE(Table1[Average])</f>
        <v>0.88235294117647056</v>
      </c>
      <c r="AN8" s="140">
        <f>MEDIAN(Table1[Average])</f>
        <v>0</v>
      </c>
      <c r="AO8" s="37"/>
      <c r="AP8" s="18"/>
      <c r="AR8" s="62"/>
      <c r="AS8" s="63"/>
      <c r="AT8" s="40"/>
    </row>
    <row r="9" spans="2:46" ht="14.25" customHeight="1" x14ac:dyDescent="0.45">
      <c r="B9" s="115"/>
      <c r="C9" s="116"/>
      <c r="D9" s="116"/>
      <c r="E9" s="116"/>
      <c r="F9" s="116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Z9" s="68" t="s">
        <v>49</v>
      </c>
      <c r="AA9" s="69">
        <f t="shared" si="1"/>
        <v>2</v>
      </c>
      <c r="AB9" s="70">
        <f>IF($AA$6-Table1[[#This Row],[Missed Games]]=0, 0,Table1[[#This Row],[Points]]/($AA$6-Table1[[#This Row],[Missed Games]]))</f>
        <v>2</v>
      </c>
      <c r="AC9" s="71">
        <f t="shared" si="2"/>
        <v>2</v>
      </c>
      <c r="AD9" s="72">
        <f>IF($AA$6-Table1[[#This Row],[Missed Games]]=0, 0,Table1[[#This Row],[Finishes]]/($AA$6-Table1[[#This Row],[Missed Games]]))</f>
        <v>2</v>
      </c>
      <c r="AE9" s="71">
        <f t="shared" si="3"/>
        <v>0</v>
      </c>
      <c r="AF9" s="72">
        <f>IF($AA$6-Table1[[#This Row],[Missed Games]]=0, 0,Table1[[#This Row],[Midranges]]/($AA$6-Table1[[#This Row],[Missed Games]]))</f>
        <v>0</v>
      </c>
      <c r="AG9" s="71">
        <f t="shared" si="4"/>
        <v>0</v>
      </c>
      <c r="AH9" s="72">
        <f>IF($AA$6-Table1[[#This Row],[Missed Games]]=0, 0,Table1[[#This Row],[Threes]]/($AA$6-Table1[[#This Row],[Missed Games]]))</f>
        <v>0</v>
      </c>
      <c r="AI9" s="68" t="str">
        <f>SfW!C4</f>
        <v>Loose Gooses</v>
      </c>
      <c r="AJ9" s="73">
        <f t="shared" si="5"/>
        <v>0</v>
      </c>
      <c r="AK9" s="67"/>
      <c r="AL9" s="141" t="s">
        <v>1</v>
      </c>
      <c r="AM9" s="140">
        <f>AVERAGE(Table1[Finishes])</f>
        <v>0.41176470588235292</v>
      </c>
      <c r="AN9" s="140">
        <f>MEDIAN(Table1[Finishes])</f>
        <v>0</v>
      </c>
      <c r="AO9" s="37"/>
      <c r="AP9" s="18"/>
      <c r="AR9" s="62"/>
      <c r="AS9" s="63"/>
      <c r="AT9" s="40"/>
    </row>
    <row r="10" spans="2:46" ht="14.25" customHeight="1" x14ac:dyDescent="0.45">
      <c r="B10" s="115"/>
      <c r="C10" s="116"/>
      <c r="D10" s="116"/>
      <c r="E10" s="116"/>
      <c r="F10" s="116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Z10" s="68" t="s">
        <v>51</v>
      </c>
      <c r="AA10" s="69">
        <f t="shared" si="1"/>
        <v>0</v>
      </c>
      <c r="AB10" s="70">
        <f>IF($AA$6-Table1[[#This Row],[Missed Games]]=0, 0,Table1[[#This Row],[Points]]/($AA$6-Table1[[#This Row],[Missed Games]]))</f>
        <v>0</v>
      </c>
      <c r="AC10" s="71">
        <f t="shared" si="2"/>
        <v>0</v>
      </c>
      <c r="AD10" s="72">
        <f>IF($AA$6-Table1[[#This Row],[Missed Games]]=0, 0,Table1[[#This Row],[Finishes]]/($AA$6-Table1[[#This Row],[Missed Games]]))</f>
        <v>0</v>
      </c>
      <c r="AE10" s="71">
        <f t="shared" si="3"/>
        <v>0</v>
      </c>
      <c r="AF10" s="72">
        <f>IF($AA$6-Table1[[#This Row],[Missed Games]]=0, 0,Table1[[#This Row],[Midranges]]/($AA$6-Table1[[#This Row],[Missed Games]]))</f>
        <v>0</v>
      </c>
      <c r="AG10" s="71">
        <f t="shared" si="4"/>
        <v>0</v>
      </c>
      <c r="AH10" s="72">
        <f>IF($AA$6-Table1[[#This Row],[Missed Games]]=0, 0,Table1[[#This Row],[Threes]]/($AA$6-Table1[[#This Row],[Missed Games]]))</f>
        <v>0</v>
      </c>
      <c r="AI10" s="68" t="str">
        <f>SfW!C5</f>
        <v>5 Musketeers</v>
      </c>
      <c r="AJ10" s="73">
        <f t="shared" si="5"/>
        <v>1</v>
      </c>
      <c r="AK10" s="67"/>
      <c r="AL10" s="141" t="s">
        <v>220</v>
      </c>
      <c r="AM10" s="140">
        <f>AVERAGE(Table1[Midranges])</f>
        <v>0.23529411764705882</v>
      </c>
      <c r="AN10" s="140">
        <f>MEDIAN(Table1[Midranges])</f>
        <v>0</v>
      </c>
      <c r="AO10" s="37"/>
      <c r="AP10" s="18"/>
      <c r="AR10" s="62"/>
      <c r="AS10" s="63"/>
      <c r="AT10" s="40"/>
    </row>
    <row r="11" spans="2:46" ht="14.25" customHeight="1" x14ac:dyDescent="0.45">
      <c r="B11" s="115"/>
      <c r="C11" s="116"/>
      <c r="D11" s="116"/>
      <c r="E11" s="116"/>
      <c r="F11" s="116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Z11" s="68" t="s">
        <v>54</v>
      </c>
      <c r="AA11" s="69">
        <f t="shared" si="1"/>
        <v>0</v>
      </c>
      <c r="AB11" s="70">
        <f>IF($AA$6-Table1[[#This Row],[Missed Games]]=0, 0,Table1[[#This Row],[Points]]/($AA$6-Table1[[#This Row],[Missed Games]]))</f>
        <v>0</v>
      </c>
      <c r="AC11" s="71">
        <f t="shared" si="2"/>
        <v>0</v>
      </c>
      <c r="AD11" s="72">
        <f>IF($AA$6-Table1[[#This Row],[Missed Games]]=0, 0,Table1[[#This Row],[Finishes]]/($AA$6-Table1[[#This Row],[Missed Games]]))</f>
        <v>0</v>
      </c>
      <c r="AE11" s="71">
        <f t="shared" si="3"/>
        <v>0</v>
      </c>
      <c r="AF11" s="72">
        <f>IF($AA$6-Table1[[#This Row],[Missed Games]]=0, 0,Table1[[#This Row],[Midranges]]/($AA$6-Table1[[#This Row],[Missed Games]]))</f>
        <v>0</v>
      </c>
      <c r="AG11" s="71">
        <f t="shared" si="4"/>
        <v>0</v>
      </c>
      <c r="AH11" s="72">
        <f>IF($AA$6-Table1[[#This Row],[Missed Games]]=0, 0,Table1[[#This Row],[Threes]]/($AA$6-Table1[[#This Row],[Missed Games]]))</f>
        <v>0</v>
      </c>
      <c r="AI11" s="68" t="str">
        <f>SfW!C6</f>
        <v>Wet Willies</v>
      </c>
      <c r="AJ11" s="73">
        <f t="shared" si="5"/>
        <v>1</v>
      </c>
      <c r="AK11" s="67"/>
      <c r="AL11" s="141" t="s">
        <v>3</v>
      </c>
      <c r="AM11" s="140">
        <f>AVERAGE(Table1[Threes])</f>
        <v>0.11764705882352941</v>
      </c>
      <c r="AN11" s="140">
        <f>MEDIAN(Table1[Threes])</f>
        <v>0</v>
      </c>
      <c r="AO11" s="37"/>
      <c r="AR11" s="62"/>
      <c r="AS11" s="63"/>
      <c r="AT11" s="40"/>
    </row>
    <row r="12" spans="2:46" ht="14.25" customHeight="1" x14ac:dyDescent="0.45">
      <c r="B12" s="115"/>
      <c r="C12" s="116"/>
      <c r="D12" s="116"/>
      <c r="E12" s="116"/>
      <c r="F12" s="116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Z12" s="68" t="s">
        <v>57</v>
      </c>
      <c r="AA12" s="69">
        <f t="shared" si="1"/>
        <v>0</v>
      </c>
      <c r="AB12" s="70">
        <f>IF($AA$6-Table1[[#This Row],[Missed Games]]=0, 0,Table1[[#This Row],[Points]]/($AA$6-Table1[[#This Row],[Missed Games]]))</f>
        <v>0</v>
      </c>
      <c r="AC12" s="71">
        <f t="shared" si="2"/>
        <v>0</v>
      </c>
      <c r="AD12" s="72">
        <f>IF($AA$6-Table1[[#This Row],[Missed Games]]=0, 0,Table1[[#This Row],[Finishes]]/($AA$6-Table1[[#This Row],[Missed Games]]))</f>
        <v>0</v>
      </c>
      <c r="AE12" s="71">
        <f t="shared" si="3"/>
        <v>0</v>
      </c>
      <c r="AF12" s="72">
        <f>IF($AA$6-Table1[[#This Row],[Missed Games]]=0, 0,Table1[[#This Row],[Midranges]]/($AA$6-Table1[[#This Row],[Missed Games]]))</f>
        <v>0</v>
      </c>
      <c r="AG12" s="71">
        <f t="shared" si="4"/>
        <v>0</v>
      </c>
      <c r="AH12" s="72">
        <f>IF($AA$6-Table1[[#This Row],[Missed Games]]=0, 0,Table1[[#This Row],[Threes]]/($AA$6-Table1[[#This Row],[Missed Games]]))</f>
        <v>0</v>
      </c>
      <c r="AI12" s="68" t="str">
        <f>SfW!C7</f>
        <v>Wet Willies</v>
      </c>
      <c r="AJ12" s="73">
        <f t="shared" si="5"/>
        <v>0</v>
      </c>
      <c r="AK12" s="67"/>
      <c r="AL12" s="67"/>
      <c r="AM12" s="67"/>
      <c r="AO12" s="37"/>
      <c r="AR12" s="62"/>
      <c r="AS12" s="63"/>
      <c r="AT12" s="40"/>
    </row>
    <row r="13" spans="2:46" ht="14.25" customHeight="1" x14ac:dyDescent="0.45">
      <c r="B13" s="115"/>
      <c r="C13" s="116"/>
      <c r="D13" s="116"/>
      <c r="E13" s="116"/>
      <c r="F13" s="116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Z13" s="68" t="s">
        <v>60</v>
      </c>
      <c r="AA13" s="69">
        <f t="shared" si="1"/>
        <v>0</v>
      </c>
      <c r="AB13" s="70">
        <f>IF($AA$6-Table1[[#This Row],[Missed Games]]=0, 0,Table1[[#This Row],[Points]]/($AA$6-Table1[[#This Row],[Missed Games]]))</f>
        <v>0</v>
      </c>
      <c r="AC13" s="71">
        <f t="shared" si="2"/>
        <v>0</v>
      </c>
      <c r="AD13" s="72">
        <f>IF($AA$6-Table1[[#This Row],[Missed Games]]=0, 0,Table1[[#This Row],[Finishes]]/($AA$6-Table1[[#This Row],[Missed Games]]))</f>
        <v>0</v>
      </c>
      <c r="AE13" s="71">
        <f t="shared" si="3"/>
        <v>0</v>
      </c>
      <c r="AF13" s="72">
        <f>IF($AA$6-Table1[[#This Row],[Missed Games]]=0, 0,Table1[[#This Row],[Midranges]]/($AA$6-Table1[[#This Row],[Missed Games]]))</f>
        <v>0</v>
      </c>
      <c r="AG13" s="71">
        <f t="shared" si="4"/>
        <v>0</v>
      </c>
      <c r="AH13" s="72">
        <f>IF($AA$6-Table1[[#This Row],[Missed Games]]=0, 0,Table1[[#This Row],[Threes]]/($AA$6-Table1[[#This Row],[Missed Games]]))</f>
        <v>0</v>
      </c>
      <c r="AI13" s="68" t="str">
        <f>SfW!C8</f>
        <v>Wet Willies</v>
      </c>
      <c r="AJ13" s="73">
        <f t="shared" si="5"/>
        <v>1</v>
      </c>
      <c r="AK13" s="67"/>
      <c r="AL13" s="67"/>
      <c r="AM13" s="67"/>
      <c r="AO13" s="37"/>
      <c r="AR13" s="62"/>
      <c r="AS13" s="64"/>
      <c r="AT13" s="40"/>
    </row>
    <row r="14" spans="2:46" ht="14.25" customHeight="1" x14ac:dyDescent="0.45">
      <c r="B14" s="115"/>
      <c r="C14" s="116"/>
      <c r="D14" s="116"/>
      <c r="E14" s="116"/>
      <c r="F14" s="116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Z14" s="77" t="s">
        <v>93</v>
      </c>
      <c r="AA14" s="69">
        <f t="shared" si="1"/>
        <v>0</v>
      </c>
      <c r="AB14" s="70">
        <f>IF($AA$6-Table1[[#This Row],[Missed Games]]=0, 0,Table1[[#This Row],[Points]]/($AA$6-Table1[[#This Row],[Missed Games]]))</f>
        <v>0</v>
      </c>
      <c r="AC14" s="71">
        <f t="shared" si="2"/>
        <v>0</v>
      </c>
      <c r="AD14" s="72">
        <f>IF($AA$6-Table1[[#This Row],[Missed Games]]=0, 0,Table1[[#This Row],[Finishes]]/($AA$6-Table1[[#This Row],[Missed Games]]))</f>
        <v>0</v>
      </c>
      <c r="AE14" s="71">
        <f t="shared" si="3"/>
        <v>0</v>
      </c>
      <c r="AF14" s="72">
        <f>IF($AA$6-Table1[[#This Row],[Missed Games]]=0, 0,Table1[[#This Row],[Midranges]]/($AA$6-Table1[[#This Row],[Missed Games]]))</f>
        <v>0</v>
      </c>
      <c r="AG14" s="71">
        <f t="shared" si="4"/>
        <v>0</v>
      </c>
      <c r="AH14" s="72">
        <f>IF($AA$6-Table1[[#This Row],[Missed Games]]=0, 0,Table1[[#This Row],[Threes]]/($AA$6-Table1[[#This Row],[Missed Games]]))</f>
        <v>0</v>
      </c>
      <c r="AI14" s="68" t="str">
        <f>SfW!C9</f>
        <v>5 Musketeers</v>
      </c>
      <c r="AJ14" s="73">
        <f t="shared" si="5"/>
        <v>0</v>
      </c>
      <c r="AK14" s="67"/>
      <c r="AL14" s="67"/>
      <c r="AM14" s="67"/>
      <c r="AO14" s="37"/>
      <c r="AR14" s="62"/>
      <c r="AS14" s="64"/>
      <c r="AT14" s="40"/>
    </row>
    <row r="15" spans="2:46" ht="14.25" customHeight="1" x14ac:dyDescent="0.45">
      <c r="B15" s="115"/>
      <c r="C15" s="116"/>
      <c r="D15" s="116"/>
      <c r="E15" s="116"/>
      <c r="F15" s="116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Z15" s="77" t="s">
        <v>63</v>
      </c>
      <c r="AA15" s="69">
        <f t="shared" si="1"/>
        <v>0</v>
      </c>
      <c r="AB15" s="70">
        <f>IF($AA$6-Table1[[#This Row],[Missed Games]]=0, 0,Table1[[#This Row],[Points]]/($AA$6-Table1[[#This Row],[Missed Games]]))</f>
        <v>0</v>
      </c>
      <c r="AC15" s="71">
        <f t="shared" si="2"/>
        <v>0</v>
      </c>
      <c r="AD15" s="72">
        <f>IF($AA$6-Table1[[#This Row],[Missed Games]]=0, 0,Table1[[#This Row],[Finishes]]/($AA$6-Table1[[#This Row],[Missed Games]]))</f>
        <v>0</v>
      </c>
      <c r="AE15" s="71">
        <f t="shared" si="3"/>
        <v>0</v>
      </c>
      <c r="AF15" s="72">
        <f>IF($AA$6-Table1[[#This Row],[Missed Games]]=0, 0,Table1[[#This Row],[Midranges]]/($AA$6-Table1[[#This Row],[Missed Games]]))</f>
        <v>0</v>
      </c>
      <c r="AG15" s="71">
        <f t="shared" si="4"/>
        <v>0</v>
      </c>
      <c r="AH15" s="72">
        <f>IF($AA$6-Table1[[#This Row],[Missed Games]]=0, 0,Table1[[#This Row],[Threes]]/($AA$6-Table1[[#This Row],[Missed Games]]))</f>
        <v>0</v>
      </c>
      <c r="AI15" s="68" t="str">
        <f>SfW!C10</f>
        <v>Wet Willies</v>
      </c>
      <c r="AJ15" s="73">
        <f t="shared" si="5"/>
        <v>1</v>
      </c>
      <c r="AK15" s="67"/>
      <c r="AL15" s="67"/>
      <c r="AM15" s="67"/>
      <c r="AO15" s="37"/>
      <c r="AR15" s="62"/>
      <c r="AS15" s="63"/>
      <c r="AT15" s="40"/>
    </row>
    <row r="16" spans="2:46" ht="14.25" customHeight="1" x14ac:dyDescent="0.45">
      <c r="B16" s="115"/>
      <c r="C16" s="116"/>
      <c r="D16" s="116"/>
      <c r="E16" s="116"/>
      <c r="F16" s="116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Z16" s="77" t="s">
        <v>66</v>
      </c>
      <c r="AA16" s="69">
        <f t="shared" si="1"/>
        <v>1</v>
      </c>
      <c r="AB16" s="70">
        <f>IF($AA$6-Table1[[#This Row],[Missed Games]]=0, 0,Table1[[#This Row],[Points]]/($AA$6-Table1[[#This Row],[Missed Games]]))</f>
        <v>1</v>
      </c>
      <c r="AC16" s="71">
        <f t="shared" si="2"/>
        <v>1</v>
      </c>
      <c r="AD16" s="72">
        <f>IF($AA$6-Table1[[#This Row],[Missed Games]]=0, 0,Table1[[#This Row],[Finishes]]/($AA$6-Table1[[#This Row],[Missed Games]]))</f>
        <v>1</v>
      </c>
      <c r="AE16" s="71">
        <f t="shared" si="3"/>
        <v>0</v>
      </c>
      <c r="AF16" s="72">
        <f>IF($AA$6-Table1[[#This Row],[Missed Games]]=0, 0,Table1[[#This Row],[Midranges]]/($AA$6-Table1[[#This Row],[Missed Games]]))</f>
        <v>0</v>
      </c>
      <c r="AG16" s="71">
        <f t="shared" si="4"/>
        <v>0</v>
      </c>
      <c r="AH16" s="72">
        <f>IF($AA$6-Table1[[#This Row],[Missed Games]]=0, 0,Table1[[#This Row],[Threes]]/($AA$6-Table1[[#This Row],[Missed Games]]))</f>
        <v>0</v>
      </c>
      <c r="AI16" s="68" t="str">
        <f>SfW!C11</f>
        <v>Loose Gooses</v>
      </c>
      <c r="AJ16" s="73">
        <f t="shared" si="5"/>
        <v>0</v>
      </c>
      <c r="AK16" s="67"/>
      <c r="AL16" s="67"/>
      <c r="AM16" s="67"/>
      <c r="AO16" s="37"/>
      <c r="AR16" s="62"/>
      <c r="AS16" s="63"/>
      <c r="AT16" s="40"/>
    </row>
    <row r="17" spans="2:46" ht="14.25" customHeight="1" x14ac:dyDescent="0.45">
      <c r="B17" s="115"/>
      <c r="C17" s="116"/>
      <c r="D17" s="116"/>
      <c r="E17" s="116"/>
      <c r="F17" s="116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Z17" s="77" t="s">
        <v>68</v>
      </c>
      <c r="AA17" s="69">
        <f t="shared" si="1"/>
        <v>3</v>
      </c>
      <c r="AB17" s="70">
        <f>IF($AA$6-Table1[[#This Row],[Missed Games]]=0, 0,Table1[[#This Row],[Points]]/($AA$6-Table1[[#This Row],[Missed Games]]))</f>
        <v>3</v>
      </c>
      <c r="AC17" s="71">
        <f t="shared" si="2"/>
        <v>0</v>
      </c>
      <c r="AD17" s="72">
        <f>IF($AA$6-Table1[[#This Row],[Missed Games]]=0, 0,Table1[[#This Row],[Finishes]]/($AA$6-Table1[[#This Row],[Missed Games]]))</f>
        <v>0</v>
      </c>
      <c r="AE17" s="71">
        <f t="shared" si="3"/>
        <v>1</v>
      </c>
      <c r="AF17" s="72">
        <f>IF($AA$6-Table1[[#This Row],[Missed Games]]=0, 0,Table1[[#This Row],[Midranges]]/($AA$6-Table1[[#This Row],[Missed Games]]))</f>
        <v>1</v>
      </c>
      <c r="AG17" s="71">
        <f t="shared" si="4"/>
        <v>1</v>
      </c>
      <c r="AH17" s="72">
        <f>IF($AA$6-Table1[[#This Row],[Missed Games]]=0, 0,Table1[[#This Row],[Threes]]/($AA$6-Table1[[#This Row],[Missed Games]]))</f>
        <v>1</v>
      </c>
      <c r="AI17" s="68" t="str">
        <f>SfW!C12</f>
        <v>5 Musketeers</v>
      </c>
      <c r="AJ17" s="73">
        <f t="shared" si="5"/>
        <v>0</v>
      </c>
      <c r="AK17" s="67"/>
      <c r="AL17" s="67"/>
      <c r="AM17" s="67"/>
      <c r="AO17" s="37"/>
      <c r="AR17" s="62"/>
      <c r="AS17" s="63"/>
      <c r="AT17" s="40"/>
    </row>
    <row r="18" spans="2:46" ht="14.25" customHeight="1" x14ac:dyDescent="0.45">
      <c r="B18" s="115"/>
      <c r="C18" s="116"/>
      <c r="D18" s="116"/>
      <c r="E18" s="116"/>
      <c r="F18" s="116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Z18" s="77" t="s">
        <v>69</v>
      </c>
      <c r="AA18" s="69">
        <f t="shared" si="1"/>
        <v>2</v>
      </c>
      <c r="AB18" s="70">
        <f>IF($AA$6-Table1[[#This Row],[Missed Games]]=0, 0,Table1[[#This Row],[Points]]/($AA$6-Table1[[#This Row],[Missed Games]]))</f>
        <v>2</v>
      </c>
      <c r="AC18" s="71">
        <f t="shared" si="2"/>
        <v>0</v>
      </c>
      <c r="AD18" s="72">
        <f>IF($AA$6-Table1[[#This Row],[Missed Games]]=0, 0,Table1[[#This Row],[Finishes]]/($AA$6-Table1[[#This Row],[Missed Games]]))</f>
        <v>0</v>
      </c>
      <c r="AE18" s="71">
        <f t="shared" si="3"/>
        <v>2</v>
      </c>
      <c r="AF18" s="72">
        <f>IF($AA$6-Table1[[#This Row],[Missed Games]]=0, 0,Table1[[#This Row],[Midranges]]/($AA$6-Table1[[#This Row],[Missed Games]]))</f>
        <v>2</v>
      </c>
      <c r="AG18" s="71">
        <f t="shared" si="4"/>
        <v>0</v>
      </c>
      <c r="AH18" s="72">
        <f>IF($AA$6-Table1[[#This Row],[Missed Games]]=0, 0,Table1[[#This Row],[Threes]]/($AA$6-Table1[[#This Row],[Missed Games]]))</f>
        <v>0</v>
      </c>
      <c r="AI18" s="68" t="str">
        <f>SfW!C13</f>
        <v>Wet Willies</v>
      </c>
      <c r="AJ18" s="73">
        <f t="shared" si="5"/>
        <v>0</v>
      </c>
      <c r="AK18" s="67"/>
      <c r="AL18" s="67"/>
      <c r="AM18" s="67"/>
      <c r="AO18" s="37"/>
      <c r="AR18" s="62"/>
      <c r="AS18" s="64"/>
      <c r="AT18" s="40"/>
    </row>
    <row r="19" spans="2:46" ht="14.25" customHeight="1" x14ac:dyDescent="0.45">
      <c r="B19" s="118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Z19" s="122" t="s">
        <v>201</v>
      </c>
      <c r="AA19" s="69">
        <f t="shared" si="1"/>
        <v>0</v>
      </c>
      <c r="AB19" s="70">
        <f>IF($AA$6-Table1[[#This Row],[Missed Games]]=0, 0,Table1[[#This Row],[Points]]/($AA$6-Table1[[#This Row],[Missed Games]]))</f>
        <v>0</v>
      </c>
      <c r="AC19" s="71">
        <f t="shared" si="2"/>
        <v>0</v>
      </c>
      <c r="AD19" s="72">
        <f>IF($AA$6-Table1[[#This Row],[Missed Games]]=0, 0,Table1[[#This Row],[Finishes]]/($AA$6-Table1[[#This Row],[Missed Games]]))</f>
        <v>0</v>
      </c>
      <c r="AE19" s="71">
        <f t="shared" si="3"/>
        <v>0</v>
      </c>
      <c r="AF19" s="72">
        <f>IF($AA$6-Table1[[#This Row],[Missed Games]]=0, 0,Table1[[#This Row],[Midranges]]/($AA$6-Table1[[#This Row],[Missed Games]]))</f>
        <v>0</v>
      </c>
      <c r="AG19" s="71">
        <f t="shared" si="4"/>
        <v>0</v>
      </c>
      <c r="AH19" s="72">
        <f>IF($AA$6-Table1[[#This Row],[Missed Games]]=0, 0,Table1[[#This Row],[Threes]]/($AA$6-Table1[[#This Row],[Missed Games]]))</f>
        <v>0</v>
      </c>
      <c r="AI19" s="68" t="s">
        <v>31</v>
      </c>
      <c r="AJ19" s="73">
        <f t="shared" si="5"/>
        <v>0</v>
      </c>
      <c r="AK19" s="67"/>
      <c r="AL19" s="67"/>
      <c r="AM19" s="67"/>
      <c r="AO19" s="37"/>
      <c r="AR19" s="62"/>
      <c r="AS19" s="64"/>
      <c r="AT19" s="40"/>
    </row>
    <row r="20" spans="2:46" ht="14.25" customHeight="1" x14ac:dyDescent="0.45">
      <c r="B20" s="118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Z20" s="122" t="s">
        <v>128</v>
      </c>
      <c r="AA20" s="69">
        <f t="shared" si="1"/>
        <v>1</v>
      </c>
      <c r="AB20" s="70">
        <f>IF($AA$6-Table1[[#This Row],[Missed Games]]=0, 0,Table1[[#This Row],[Points]]/($AA$6-Table1[[#This Row],[Missed Games]]))</f>
        <v>1</v>
      </c>
      <c r="AC20" s="71">
        <f t="shared" si="2"/>
        <v>1</v>
      </c>
      <c r="AD20" s="125">
        <f>IF($AA$6-Table1[[#This Row],[Missed Games]]=0, 0,Table1[[#This Row],[Finishes]]/($AA$6-Table1[[#This Row],[Missed Games]]))</f>
        <v>1</v>
      </c>
      <c r="AE20" s="71">
        <f t="shared" si="3"/>
        <v>0</v>
      </c>
      <c r="AF20" s="125">
        <f>IF($AA$6-Table1[[#This Row],[Missed Games]]=0, 0,Table1[[#This Row],[Midranges]]/($AA$6-Table1[[#This Row],[Missed Games]]))</f>
        <v>0</v>
      </c>
      <c r="AG20" s="71">
        <f t="shared" si="4"/>
        <v>0</v>
      </c>
      <c r="AH20" s="125">
        <f>IF($AA$6-Table1[[#This Row],[Missed Games]]=0, 0,Table1[[#This Row],[Threes]]/($AA$6-Table1[[#This Row],[Missed Games]]))</f>
        <v>0</v>
      </c>
      <c r="AI20" s="122" t="str">
        <f>SfW!C15</f>
        <v>5 Musketeers</v>
      </c>
      <c r="AJ20" s="73">
        <f t="shared" si="5"/>
        <v>0</v>
      </c>
      <c r="AK20" s="67"/>
      <c r="AL20" s="67"/>
      <c r="AM20" s="67"/>
      <c r="AO20" s="37"/>
      <c r="AR20" s="62"/>
      <c r="AS20" s="63"/>
      <c r="AT20" s="40"/>
    </row>
    <row r="21" spans="2:46" ht="14.25" customHeight="1" x14ac:dyDescent="0.45">
      <c r="B21" s="118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Z21" s="122" t="s">
        <v>127</v>
      </c>
      <c r="AA21" s="69">
        <f t="shared" si="1"/>
        <v>1</v>
      </c>
      <c r="AB21" s="70">
        <f>IF($AA$6-Table1[[#This Row],[Missed Games]]=0, 0,Table1[[#This Row],[Points]]/($AA$6-Table1[[#This Row],[Missed Games]]))</f>
        <v>1</v>
      </c>
      <c r="AC21" s="71">
        <f t="shared" si="2"/>
        <v>0</v>
      </c>
      <c r="AD21" s="125">
        <f>IF($AA$6-Table1[[#This Row],[Missed Games]]=0, 0,Table1[[#This Row],[Finishes]]/($AA$6-Table1[[#This Row],[Missed Games]]))</f>
        <v>0</v>
      </c>
      <c r="AE21" s="71">
        <f t="shared" si="3"/>
        <v>1</v>
      </c>
      <c r="AF21" s="125">
        <f>IF($AA$6-Table1[[#This Row],[Missed Games]]=0, 0,Table1[[#This Row],[Midranges]]/($AA$6-Table1[[#This Row],[Missed Games]]))</f>
        <v>1</v>
      </c>
      <c r="AG21" s="71">
        <f t="shared" si="4"/>
        <v>0</v>
      </c>
      <c r="AH21" s="125">
        <f>IF($AA$6-Table1[[#This Row],[Missed Games]]=0, 0,Table1[[#This Row],[Threes]]/($AA$6-Table1[[#This Row],[Missed Games]]))</f>
        <v>0</v>
      </c>
      <c r="AI21" s="122" t="str">
        <f>SfW!C16</f>
        <v>Loose Gooses</v>
      </c>
      <c r="AJ21" s="73">
        <f t="shared" si="5"/>
        <v>0</v>
      </c>
      <c r="AK21" s="67"/>
      <c r="AL21" s="67"/>
      <c r="AM21" s="67"/>
      <c r="AO21" s="37"/>
      <c r="AR21" s="62"/>
      <c r="AS21" s="64"/>
      <c r="AT21" s="40"/>
    </row>
    <row r="22" spans="2:46" ht="14.25" customHeight="1" x14ac:dyDescent="0.45"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Z22" s="122" t="s">
        <v>73</v>
      </c>
      <c r="AA22" s="69">
        <f t="shared" si="1"/>
        <v>5</v>
      </c>
      <c r="AB22" s="70">
        <f>IF($AA$6-Table1[[#This Row],[Missed Games]]=0, 0,Table1[[#This Row],[Points]]/($AA$6-Table1[[#This Row],[Missed Games]]))</f>
        <v>5</v>
      </c>
      <c r="AC22" s="71">
        <f t="shared" si="2"/>
        <v>3</v>
      </c>
      <c r="AD22" s="125">
        <f>IF($AA$6-Table1[[#This Row],[Missed Games]]=0, 0,Table1[[#This Row],[Finishes]]/($AA$6-Table1[[#This Row],[Missed Games]]))</f>
        <v>3</v>
      </c>
      <c r="AE22" s="71">
        <f t="shared" si="3"/>
        <v>0</v>
      </c>
      <c r="AF22" s="125">
        <f>IF($AA$6-Table1[[#This Row],[Missed Games]]=0, 0,Table1[[#This Row],[Midranges]]/($AA$6-Table1[[#This Row],[Missed Games]]))</f>
        <v>0</v>
      </c>
      <c r="AG22" s="71">
        <f t="shared" si="4"/>
        <v>1</v>
      </c>
      <c r="AH22" s="125">
        <f>IF($AA$6-Table1[[#This Row],[Missed Games]]=0, 0,Table1[[#This Row],[Threes]]/($AA$6-Table1[[#This Row],[Missed Games]]))</f>
        <v>1</v>
      </c>
      <c r="AI22" s="122" t="str">
        <f>SfW!C17</f>
        <v>Loose Gooses</v>
      </c>
      <c r="AJ22" s="73">
        <f t="shared" si="5"/>
        <v>0</v>
      </c>
      <c r="AK22" s="67"/>
      <c r="AL22" s="67"/>
      <c r="AM22" s="67"/>
      <c r="AO22" s="37"/>
      <c r="AR22" s="62"/>
      <c r="AS22" s="64"/>
      <c r="AT22" s="40"/>
    </row>
    <row r="23" spans="2:46" ht="14.25" customHeight="1" x14ac:dyDescent="0.45"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Z23" s="123" t="s">
        <v>74</v>
      </c>
      <c r="AA23" s="69">
        <f t="shared" si="1"/>
        <v>0</v>
      </c>
      <c r="AB23" s="124">
        <f>IF($AA$6-Table1[[#This Row],[Missed Games]]=0, 0,Table1[[#This Row],[Points]]/($AA$6-Table1[[#This Row],[Missed Games]]))</f>
        <v>0</v>
      </c>
      <c r="AC23" s="71">
        <f t="shared" si="2"/>
        <v>0</v>
      </c>
      <c r="AD23" s="126">
        <f>IF($AA$6-Table1[[#This Row],[Missed Games]]=0, 0,Table1[[#This Row],[Finishes]]/($AA$6-Table1[[#This Row],[Missed Games]]))</f>
        <v>0</v>
      </c>
      <c r="AE23" s="71">
        <f t="shared" si="3"/>
        <v>0</v>
      </c>
      <c r="AF23" s="126">
        <f>IF($AA$6-Table1[[#This Row],[Missed Games]]=0, 0,Table1[[#This Row],[Midranges]]/($AA$6-Table1[[#This Row],[Missed Games]]))</f>
        <v>0</v>
      </c>
      <c r="AG23" s="71">
        <f t="shared" si="4"/>
        <v>0</v>
      </c>
      <c r="AH23" s="126">
        <f>IF($AA$6-Table1[[#This Row],[Missed Games]]=0, 0,Table1[[#This Row],[Threes]]/($AA$6-Table1[[#This Row],[Missed Games]]))</f>
        <v>0</v>
      </c>
      <c r="AI23" s="123" t="str">
        <f>SfW!C18</f>
        <v>Wet Willies</v>
      </c>
      <c r="AJ23" s="73">
        <f t="shared" si="5"/>
        <v>0</v>
      </c>
      <c r="AK23" s="67"/>
      <c r="AL23" s="67"/>
      <c r="AM23" s="67"/>
      <c r="AO23" s="37"/>
      <c r="AS23" s="39"/>
      <c r="AT23" s="4"/>
    </row>
    <row r="24" spans="2:46" ht="14.25" customHeight="1" x14ac:dyDescent="0.45"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Z24" s="68" t="s">
        <v>75</v>
      </c>
      <c r="AA24" s="69">
        <f t="shared" si="1"/>
        <v>0</v>
      </c>
      <c r="AB24" s="70">
        <f>IF($AA$6-Table1[[#This Row],[Missed Games]]=0, 0,Table1[[#This Row],[Points]]/($AA$6-Table1[[#This Row],[Missed Games]]))</f>
        <v>0</v>
      </c>
      <c r="AC24" s="71">
        <f t="shared" si="2"/>
        <v>0</v>
      </c>
      <c r="AD24" s="72">
        <f>IF($AA$6-Table1[[#This Row],[Missed Games]]=0, 0,Table1[[#This Row],[Finishes]]/($AA$6-Table1[[#This Row],[Missed Games]]))</f>
        <v>0</v>
      </c>
      <c r="AE24" s="71">
        <f t="shared" si="3"/>
        <v>0</v>
      </c>
      <c r="AF24" s="72">
        <f>IF($AA$6-Table1[[#This Row],[Missed Games]]=0, 0,Table1[[#This Row],[Midranges]]/($AA$6-Table1[[#This Row],[Missed Games]]))</f>
        <v>0</v>
      </c>
      <c r="AG24" s="71">
        <f t="shared" si="4"/>
        <v>0</v>
      </c>
      <c r="AH24" s="72">
        <f>IF($AA$6-Table1[[#This Row],[Missed Games]]=0, 0,Table1[[#This Row],[Threes]]/($AA$6-Table1[[#This Row],[Missed Games]]))</f>
        <v>0</v>
      </c>
      <c r="AI24" s="68" t="str">
        <f>SfW!C19</f>
        <v>5 Musketeers</v>
      </c>
      <c r="AJ24" s="73">
        <f t="shared" si="5"/>
        <v>1</v>
      </c>
      <c r="AL24" s="45"/>
      <c r="AM24" s="46"/>
      <c r="AN24" s="5"/>
      <c r="AT24" s="4"/>
    </row>
    <row r="25" spans="2:46" ht="14.25" customHeight="1" x14ac:dyDescent="0.45"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AB25" s="18"/>
    </row>
    <row r="26" spans="2:46" ht="14.25" customHeight="1" x14ac:dyDescent="0.45"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AM26" s="17"/>
      <c r="AN26" s="17"/>
      <c r="AO26" s="17"/>
      <c r="AP26" s="17"/>
      <c r="AQ26" s="17"/>
      <c r="AR26" s="17"/>
      <c r="AS26" s="17"/>
      <c r="AT26" s="17"/>
    </row>
    <row r="27" spans="2:46" ht="14.25" customHeight="1" x14ac:dyDescent="0.45"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Z27" s="49" t="s">
        <v>165</v>
      </c>
      <c r="AA27" s="1">
        <v>3</v>
      </c>
      <c r="AI27" s="3"/>
      <c r="AK27" s="49" t="s">
        <v>125</v>
      </c>
      <c r="AL27" s="12">
        <v>1</v>
      </c>
      <c r="AM27" s="17"/>
      <c r="AN27" s="17"/>
      <c r="AO27" s="17"/>
      <c r="AP27" s="17"/>
      <c r="AQ27" s="17"/>
      <c r="AR27" s="17"/>
      <c r="AS27" s="17"/>
      <c r="AT27" s="3"/>
    </row>
    <row r="28" spans="2:46" ht="14.25" customHeight="1" x14ac:dyDescent="0.45"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164</v>
      </c>
      <c r="AI28" s="75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164</v>
      </c>
      <c r="AT28" s="75" t="s">
        <v>120</v>
      </c>
    </row>
    <row r="29" spans="2:46" ht="14.25" customHeight="1" x14ac:dyDescent="0.45"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3"/>
      <c r="S29" t="s">
        <v>114</v>
      </c>
      <c r="X29" s="20"/>
      <c r="Y29" s="20"/>
      <c r="Z29" s="49" t="s">
        <v>45</v>
      </c>
      <c r="AA29" s="32">
        <f>'Preseason 1'!R3+'Preseason 2'!R3+'Preseason 3'!R3</f>
        <v>0</v>
      </c>
      <c r="AB29" s="32">
        <f>'Preseason 1'!S3+'Preseason 2'!S3+'Preseason 3'!S3</f>
        <v>0</v>
      </c>
      <c r="AC29" s="32">
        <f>'Preseason 1'!T3+'Preseason 2'!T3+'Preseason 3'!T3</f>
        <v>0</v>
      </c>
      <c r="AD29" s="32">
        <f>'Preseason 1'!U3+'Preseason 2'!U3+'Preseason 3'!U3</f>
        <v>0</v>
      </c>
      <c r="AE29" s="34">
        <f>AA29/($AA$27-Table2[[#This Row],[Missed Games]])</f>
        <v>0</v>
      </c>
      <c r="AF29" s="34">
        <f>AB29/($AA$27-Table2[[#This Row],[Missed Games]])</f>
        <v>0</v>
      </c>
      <c r="AG29" s="34">
        <f>AC29/($AA$27-Table2[[#This Row],[Missed Games]])</f>
        <v>0</v>
      </c>
      <c r="AH29" s="34">
        <f>AD29/($AA$27-Table2[[#This Row],[Missed Games]])</f>
        <v>0</v>
      </c>
      <c r="AI29" s="36">
        <f>COUNTIF('Preseason 1'!V3, "TRUE")+COUNTIF('Preseason 2'!V3, "TRUE")+COUNTIF('Preseason 3'!V3, "TRUE")</f>
        <v>1</v>
      </c>
      <c r="AJ29" s="36"/>
      <c r="AK29" s="49" t="s">
        <v>45</v>
      </c>
      <c r="AL29" s="32">
        <f>'1707'!R3+'1807'!R3</f>
        <v>0</v>
      </c>
      <c r="AM29" s="32">
        <f>'1707'!S3+'1807'!S3</f>
        <v>0</v>
      </c>
      <c r="AN29" s="32">
        <f>'1707'!T3+'1807'!T3</f>
        <v>0</v>
      </c>
      <c r="AO29" s="32">
        <f>'1707'!U3+'1807'!U3</f>
        <v>0</v>
      </c>
      <c r="AP29" s="34">
        <f>AL29/($AA$27-Table211[[#This Row],[Missed Games]])</f>
        <v>0</v>
      </c>
      <c r="AQ29" s="34">
        <f>AM29/($AA$27-Table211[[#This Row],[Missed Games]])</f>
        <v>0</v>
      </c>
      <c r="AR29" s="34">
        <f>AN29/($AA$27-Table211[[#This Row],[Missed Games]])</f>
        <v>0</v>
      </c>
      <c r="AS29" s="34">
        <f>AO29/($AA$27-Table211[[#This Row],[Missed Games]])</f>
        <v>0</v>
      </c>
      <c r="AT29" s="32">
        <f>COUNTIF('1707'!V3, "TRUE")+COUNTIF('1807'!V3, "TRUE")</f>
        <v>0</v>
      </c>
    </row>
    <row r="30" spans="2:46" ht="14.25" customHeight="1" x14ac:dyDescent="0.45"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3"/>
      <c r="S30" s="105" t="s">
        <v>183</v>
      </c>
      <c r="Z30" s="49" t="s">
        <v>49</v>
      </c>
      <c r="AA30" s="32">
        <f>'Preseason 1'!R4+'Preseason 2'!R4+'Preseason 3'!R4</f>
        <v>2</v>
      </c>
      <c r="AB30" s="32">
        <f>'Preseason 1'!S4+'Preseason 2'!S4+'Preseason 3'!S4</f>
        <v>1</v>
      </c>
      <c r="AC30" s="32">
        <f>'Preseason 1'!T4+'Preseason 2'!T4+'Preseason 3'!T4</f>
        <v>1</v>
      </c>
      <c r="AD30" s="32">
        <f>'Preseason 1'!U4+'Preseason 2'!U4+'Preseason 3'!U4</f>
        <v>0</v>
      </c>
      <c r="AE30" s="34">
        <f>AA30/($AA$27-Table2[[#This Row],[Missed Games]])</f>
        <v>0.66666666666666663</v>
      </c>
      <c r="AF30" s="139">
        <f>AB30/($AA$27-Table2[[#This Row],[Missed Games]])</f>
        <v>0.33333333333333331</v>
      </c>
      <c r="AG30" s="34">
        <f>AC30/($AA$27-Table2[[#This Row],[Missed Games]])</f>
        <v>0.33333333333333331</v>
      </c>
      <c r="AH30" s="139">
        <f>AD30/($AA$27-Table2[[#This Row],[Missed Games]])</f>
        <v>0</v>
      </c>
      <c r="AI30" s="36">
        <f>COUNTIF('Preseason 1'!V4, "TRUE")+COUNTIF('Preseason 2'!V4, "TRUE")+COUNTIF('Preseason 3'!V4, "TRUE")</f>
        <v>0</v>
      </c>
      <c r="AJ30" s="36"/>
      <c r="AK30" s="49" t="s">
        <v>49</v>
      </c>
      <c r="AL30" s="32">
        <f>'1707'!R4+'1807'!R4</f>
        <v>2</v>
      </c>
      <c r="AM30" s="32">
        <f>'1707'!S4+'1807'!S4</f>
        <v>2</v>
      </c>
      <c r="AN30" s="32">
        <f>'1707'!T4+'1807'!T4</f>
        <v>0</v>
      </c>
      <c r="AO30" s="32">
        <f>'1707'!U4+'1807'!U4</f>
        <v>0</v>
      </c>
      <c r="AP30" s="32">
        <f>AL30/($AA$27-Table211[[#This Row],[Missed Games]])</f>
        <v>0.66666666666666663</v>
      </c>
      <c r="AQ30" s="32">
        <f>AM30/($AA$27-Table211[[#This Row],[Missed Games]])</f>
        <v>0.66666666666666663</v>
      </c>
      <c r="AR30" s="32">
        <f>AN30/($AA$27-Table211[[#This Row],[Missed Games]])</f>
        <v>0</v>
      </c>
      <c r="AS30" s="32">
        <f>AO30/($AA$27-Table211[[#This Row],[Missed Games]])</f>
        <v>0</v>
      </c>
      <c r="AT30" s="32">
        <f>COUNTIF('1707'!V4, "TRUE")+COUNTIF('1807'!V4, "TRUE")</f>
        <v>0</v>
      </c>
    </row>
    <row r="31" spans="2:46" ht="14.25" customHeight="1" x14ac:dyDescent="0.45"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3"/>
      <c r="S31" s="105" t="s">
        <v>184</v>
      </c>
      <c r="Z31" s="49" t="s">
        <v>51</v>
      </c>
      <c r="AA31" s="32">
        <f>'Preseason 1'!R5+'Preseason 2'!R5+'Preseason 3'!R5</f>
        <v>12</v>
      </c>
      <c r="AB31" s="32">
        <f>'Preseason 1'!S5+'Preseason 2'!S5+'Preseason 3'!S5</f>
        <v>10</v>
      </c>
      <c r="AC31" s="32">
        <f>'Preseason 1'!T5+'Preseason 2'!T5+'Preseason 3'!T5</f>
        <v>0</v>
      </c>
      <c r="AD31" s="32">
        <f>'Preseason 1'!U5+'Preseason 2'!U5+'Preseason 3'!U5</f>
        <v>1</v>
      </c>
      <c r="AE31" s="34">
        <f>AA31/($AA$27-Table2[[#This Row],[Missed Games]])</f>
        <v>6</v>
      </c>
      <c r="AF31" s="139">
        <f>AB31/($AA$27-Table2[[#This Row],[Missed Games]])</f>
        <v>5</v>
      </c>
      <c r="AG31" s="34">
        <f>AC31/($AA$27-Table2[[#This Row],[Missed Games]])</f>
        <v>0</v>
      </c>
      <c r="AH31" s="139">
        <f>AD31/($AA$27-Table2[[#This Row],[Missed Games]])</f>
        <v>0.5</v>
      </c>
      <c r="AI31" s="36">
        <f>COUNTIF('Preseason 1'!V5, "TRUE")+COUNTIF('Preseason 2'!V5, "TRUE")+COUNTIF('Preseason 3'!V5, "TRUE")</f>
        <v>1</v>
      </c>
      <c r="AJ31" s="36"/>
      <c r="AK31" s="49" t="s">
        <v>51</v>
      </c>
      <c r="AL31" s="32">
        <f>'1707'!R5+'1807'!R5</f>
        <v>0</v>
      </c>
      <c r="AM31" s="32">
        <f>'1707'!S5+'1807'!S5</f>
        <v>0</v>
      </c>
      <c r="AN31" s="32">
        <f>'1707'!T5+'1807'!T5</f>
        <v>0</v>
      </c>
      <c r="AO31" s="32">
        <f>'1707'!U5+'1807'!U5</f>
        <v>0</v>
      </c>
      <c r="AP31" s="32">
        <f>AL31/($AA$27-Table211[[#This Row],[Missed Games]])</f>
        <v>0</v>
      </c>
      <c r="AQ31" s="32">
        <f>AM31/($AA$27-Table211[[#This Row],[Missed Games]])</f>
        <v>0</v>
      </c>
      <c r="AR31" s="32">
        <f>AN31/($AA$27-Table211[[#This Row],[Missed Games]])</f>
        <v>0</v>
      </c>
      <c r="AS31" s="32">
        <f>AO31/($AA$27-Table211[[#This Row],[Missed Games]])</f>
        <v>0</v>
      </c>
      <c r="AT31" s="32">
        <f>COUNTIF('1707'!V5, "TRUE")+COUNTIF('1807'!V5, "TRUE")</f>
        <v>1</v>
      </c>
    </row>
    <row r="32" spans="2:46" ht="14.25" customHeight="1" x14ac:dyDescent="0.45"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S32" s="105" t="s">
        <v>185</v>
      </c>
      <c r="X32" s="19"/>
      <c r="Z32" s="49" t="s">
        <v>54</v>
      </c>
      <c r="AA32" s="32">
        <f>'Preseason 1'!R6+'Preseason 2'!R6+'Preseason 3'!R6</f>
        <v>0</v>
      </c>
      <c r="AB32" s="32">
        <f>'Preseason 1'!S6+'Preseason 2'!S6+'Preseason 3'!S6</f>
        <v>0</v>
      </c>
      <c r="AC32" s="32">
        <f>'Preseason 1'!T6+'Preseason 2'!T6+'Preseason 3'!T6</f>
        <v>0</v>
      </c>
      <c r="AD32" s="32">
        <f>'Preseason 1'!U6+'Preseason 2'!U6+'Preseason 3'!U6</f>
        <v>0</v>
      </c>
      <c r="AE32" s="34" t="e">
        <f>AA32/($AA$27-Table2[[#This Row],[Missed Games]])</f>
        <v>#DIV/0!</v>
      </c>
      <c r="AF32" s="139" t="e">
        <f>AB32/($AA$27-Table2[[#This Row],[Missed Games]])</f>
        <v>#DIV/0!</v>
      </c>
      <c r="AG32" s="34" t="e">
        <f>AC32/($AA$27-Table2[[#This Row],[Missed Games]])</f>
        <v>#DIV/0!</v>
      </c>
      <c r="AH32" s="139" t="e">
        <f>AD32/($AA$27-Table2[[#This Row],[Missed Games]])</f>
        <v>#DIV/0!</v>
      </c>
      <c r="AI32" s="36">
        <f>COUNTIF('Preseason 1'!V6, "TRUE")+COUNTIF('Preseason 2'!V6, "TRUE")+COUNTIF('Preseason 3'!V6, "TRUE")</f>
        <v>3</v>
      </c>
      <c r="AJ32" s="36"/>
      <c r="AK32" s="49" t="s">
        <v>54</v>
      </c>
      <c r="AL32" s="32">
        <f>'1707'!R6+'1807'!R6</f>
        <v>0</v>
      </c>
      <c r="AM32" s="32">
        <f>'1707'!S6+'1807'!S6</f>
        <v>0</v>
      </c>
      <c r="AN32" s="32">
        <f>'1707'!T6+'1807'!T6</f>
        <v>0</v>
      </c>
      <c r="AO32" s="32">
        <f>'1707'!U6+'1807'!U6</f>
        <v>0</v>
      </c>
      <c r="AP32" s="32">
        <f>AL32/($AA$27-Table211[[#This Row],[Missed Games]])</f>
        <v>0</v>
      </c>
      <c r="AQ32" s="32">
        <f>AM32/($AA$27-Table211[[#This Row],[Missed Games]])</f>
        <v>0</v>
      </c>
      <c r="AR32" s="32">
        <f>AN32/($AA$27-Table211[[#This Row],[Missed Games]])</f>
        <v>0</v>
      </c>
      <c r="AS32" s="32">
        <f>AO32/($AA$27-Table211[[#This Row],[Missed Games]])</f>
        <v>0</v>
      </c>
      <c r="AT32" s="32">
        <f>COUNTIF('1707'!V6, "TRUE")+COUNTIF('1807'!V6, "TRUE")</f>
        <v>1</v>
      </c>
    </row>
    <row r="33" spans="2:46" ht="14.25" customHeight="1" x14ac:dyDescent="0.45"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S33" s="105" t="s">
        <v>186</v>
      </c>
      <c r="Z33" s="49" t="s">
        <v>57</v>
      </c>
      <c r="AA33" s="32">
        <f>'Preseason 1'!R7+'Preseason 2'!R7+'Preseason 3'!R7</f>
        <v>3</v>
      </c>
      <c r="AB33" s="32">
        <f>'Preseason 1'!S7+'Preseason 2'!S7+'Preseason 3'!S7</f>
        <v>0</v>
      </c>
      <c r="AC33" s="32">
        <f>'Preseason 1'!T7+'Preseason 2'!T7+'Preseason 3'!T7</f>
        <v>1</v>
      </c>
      <c r="AD33" s="32">
        <f>'Preseason 1'!U7+'Preseason 2'!U7+'Preseason 3'!U7</f>
        <v>1</v>
      </c>
      <c r="AE33" s="34">
        <f>AA33/($AA$27-Table2[[#This Row],[Missed Games]])</f>
        <v>1</v>
      </c>
      <c r="AF33" s="139">
        <f>AB33/($AA$27-Table2[[#This Row],[Missed Games]])</f>
        <v>0</v>
      </c>
      <c r="AG33" s="34">
        <f>AC33/($AA$27-Table2[[#This Row],[Missed Games]])</f>
        <v>0.33333333333333331</v>
      </c>
      <c r="AH33" s="139">
        <f>AD33/($AA$27-Table2[[#This Row],[Missed Games]])</f>
        <v>0.33333333333333331</v>
      </c>
      <c r="AI33" s="36">
        <f>COUNTIF('Preseason 1'!V7, "TRUE")+COUNTIF('Preseason 2'!V7, "TRUE")+COUNTIF('Preseason 3'!V7, "TRUE")</f>
        <v>0</v>
      </c>
      <c r="AJ33" s="36"/>
      <c r="AK33" s="49" t="s">
        <v>57</v>
      </c>
      <c r="AL33" s="32">
        <f>'1707'!R7+'1807'!R7</f>
        <v>0</v>
      </c>
      <c r="AM33" s="32">
        <f>'1707'!S7+'1807'!S7</f>
        <v>0</v>
      </c>
      <c r="AN33" s="32">
        <f>'1707'!T7+'1807'!T7</f>
        <v>0</v>
      </c>
      <c r="AO33" s="32">
        <f>'1707'!U7+'1807'!U7</f>
        <v>0</v>
      </c>
      <c r="AP33" s="32">
        <f>AL33/($AA$27-Table211[[#This Row],[Missed Games]])</f>
        <v>0</v>
      </c>
      <c r="AQ33" s="32">
        <f>AM33/($AA$27-Table211[[#This Row],[Missed Games]])</f>
        <v>0</v>
      </c>
      <c r="AR33" s="32">
        <f>AN33/($AA$27-Table211[[#This Row],[Missed Games]])</f>
        <v>0</v>
      </c>
      <c r="AS33" s="32">
        <f>AO33/($AA$27-Table211[[#This Row],[Missed Games]])</f>
        <v>0</v>
      </c>
      <c r="AT33" s="32">
        <f>COUNTIF('1707'!V7, "TRUE")+COUNTIF('1807'!V7, "TRUE")</f>
        <v>0</v>
      </c>
    </row>
    <row r="34" spans="2:46" ht="14.25" customHeight="1" x14ac:dyDescent="0.45"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S34" s="105" t="s">
        <v>187</v>
      </c>
      <c r="Z34" s="49" t="s">
        <v>60</v>
      </c>
      <c r="AA34" s="32">
        <f>'Preseason 1'!R8+'Preseason 2'!R8+'Preseason 3'!R8</f>
        <v>1</v>
      </c>
      <c r="AB34" s="32">
        <f>'Preseason 1'!S8+'Preseason 2'!S8+'Preseason 3'!S8</f>
        <v>1</v>
      </c>
      <c r="AC34" s="32">
        <f>'Preseason 1'!T8+'Preseason 2'!T8+'Preseason 3'!T8</f>
        <v>0</v>
      </c>
      <c r="AD34" s="32">
        <f>'Preseason 1'!U8+'Preseason 2'!U8+'Preseason 3'!U8</f>
        <v>0</v>
      </c>
      <c r="AE34" s="34">
        <f>AA34/($AA$27-Table2[[#This Row],[Missed Games]])</f>
        <v>0.33333333333333331</v>
      </c>
      <c r="AF34" s="139">
        <f>AB34/($AA$27-Table2[[#This Row],[Missed Games]])</f>
        <v>0.33333333333333331</v>
      </c>
      <c r="AG34" s="34">
        <f>AC34/($AA$27-Table2[[#This Row],[Missed Games]])</f>
        <v>0</v>
      </c>
      <c r="AH34" s="139">
        <f>AD34/($AA$27-Table2[[#This Row],[Missed Games]])</f>
        <v>0</v>
      </c>
      <c r="AI34" s="36">
        <f>COUNTIF('Preseason 1'!V8, "TRUE")+COUNTIF('Preseason 2'!V8, "TRUE")+COUNTIF('Preseason 3'!V8, "TRUE")</f>
        <v>0</v>
      </c>
      <c r="AJ34" s="36"/>
      <c r="AK34" s="49" t="s">
        <v>60</v>
      </c>
      <c r="AL34" s="32">
        <f>'1707'!R8+'1807'!R8</f>
        <v>0</v>
      </c>
      <c r="AM34" s="32">
        <f>'1707'!S8+'1807'!S8</f>
        <v>0</v>
      </c>
      <c r="AN34" s="32">
        <f>'1707'!T8+'1807'!T8</f>
        <v>0</v>
      </c>
      <c r="AO34" s="32">
        <f>'1707'!U8+'1807'!U8</f>
        <v>0</v>
      </c>
      <c r="AP34" s="32">
        <f>AL34/($AA$27-Table211[[#This Row],[Missed Games]])</f>
        <v>0</v>
      </c>
      <c r="AQ34" s="32">
        <f>AM34/($AA$27-Table211[[#This Row],[Missed Games]])</f>
        <v>0</v>
      </c>
      <c r="AR34" s="32">
        <f>AN34/($AA$27-Table211[[#This Row],[Missed Games]])</f>
        <v>0</v>
      </c>
      <c r="AS34" s="32">
        <f>AO34/($AA$27-Table211[[#This Row],[Missed Games]])</f>
        <v>0</v>
      </c>
      <c r="AT34" s="32">
        <f>COUNTIF('1707'!V8, "TRUE")+COUNTIF('1807'!V8, "TRUE")</f>
        <v>1</v>
      </c>
    </row>
    <row r="35" spans="2:46" ht="14.25" customHeight="1" x14ac:dyDescent="0.45"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S35" s="105" t="s">
        <v>188</v>
      </c>
      <c r="Z35" s="36" t="s">
        <v>93</v>
      </c>
      <c r="AA35" s="32">
        <f>'Preseason 1'!R9+'Preseason 2'!R9+'Preseason 3'!R9</f>
        <v>2</v>
      </c>
      <c r="AB35" s="32">
        <f>'Preseason 1'!S9+'Preseason 2'!S9+'Preseason 3'!S9</f>
        <v>1</v>
      </c>
      <c r="AC35" s="32">
        <f>'Preseason 1'!T9+'Preseason 2'!T9+'Preseason 3'!T9</f>
        <v>1</v>
      </c>
      <c r="AD35" s="32">
        <f>'Preseason 1'!U9+'Preseason 2'!U9+'Preseason 3'!U9</f>
        <v>0</v>
      </c>
      <c r="AE35" s="34">
        <f>AA35/($AA$27-Table2[[#This Row],[Missed Games]])</f>
        <v>0.66666666666666663</v>
      </c>
      <c r="AF35" s="139">
        <f>AB35/($AA$27-Table2[[#This Row],[Missed Games]])</f>
        <v>0.33333333333333331</v>
      </c>
      <c r="AG35" s="34">
        <f>AC35/($AA$27-Table2[[#This Row],[Missed Games]])</f>
        <v>0.33333333333333331</v>
      </c>
      <c r="AH35" s="139">
        <f>AD35/($AA$27-Table2[[#This Row],[Missed Games]])</f>
        <v>0</v>
      </c>
      <c r="AI35" s="36">
        <f>COUNTIF('Preseason 1'!V9, "TRUE")+COUNTIF('Preseason 2'!V9, "TRUE")+COUNTIF('Preseason 3'!V9, "TRUE")</f>
        <v>0</v>
      </c>
      <c r="AJ35" s="36"/>
      <c r="AK35" s="36" t="s">
        <v>93</v>
      </c>
      <c r="AL35" s="32">
        <f>'1707'!R9+'1807'!R9</f>
        <v>0</v>
      </c>
      <c r="AM35" s="32">
        <f>'1707'!S9+'1807'!S9</f>
        <v>0</v>
      </c>
      <c r="AN35" s="32">
        <f>'1707'!T9+'1807'!T9</f>
        <v>0</v>
      </c>
      <c r="AO35" s="32">
        <f>'1707'!U9+'1807'!U9</f>
        <v>0</v>
      </c>
      <c r="AP35" s="32">
        <f>AL35/($AA$27-Table211[[#This Row],[Missed Games]])</f>
        <v>0</v>
      </c>
      <c r="AQ35" s="32">
        <f>AM35/($AA$27-Table211[[#This Row],[Missed Games]])</f>
        <v>0</v>
      </c>
      <c r="AR35" s="32">
        <f>AN35/($AA$27-Table211[[#This Row],[Missed Games]])</f>
        <v>0</v>
      </c>
      <c r="AS35" s="32">
        <f>AO35/($AA$27-Table211[[#This Row],[Missed Games]])</f>
        <v>0</v>
      </c>
      <c r="AT35" s="32">
        <f>COUNTIF('1707'!V9, "TRUE")+COUNTIF('1807'!V9, "TRUE")</f>
        <v>0</v>
      </c>
    </row>
    <row r="36" spans="2:46" ht="14.25" customHeight="1" x14ac:dyDescent="0.45"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S36" s="105" t="s">
        <v>189</v>
      </c>
      <c r="Z36" s="49" t="s">
        <v>63</v>
      </c>
      <c r="AA36" s="32">
        <f>'Preseason 1'!R10+'Preseason 2'!R10+'Preseason 3'!R10</f>
        <v>2</v>
      </c>
      <c r="AB36" s="32">
        <f>'Preseason 1'!S10+'Preseason 2'!S10+'Preseason 3'!S10</f>
        <v>0</v>
      </c>
      <c r="AC36" s="32">
        <f>'Preseason 1'!T10+'Preseason 2'!T10+'Preseason 3'!T10</f>
        <v>0</v>
      </c>
      <c r="AD36" s="32">
        <f>'Preseason 1'!U10+'Preseason 2'!U10+'Preseason 3'!U10</f>
        <v>1</v>
      </c>
      <c r="AE36" s="34">
        <f>AA36/($AA$27-Table2[[#This Row],[Missed Games]])</f>
        <v>1</v>
      </c>
      <c r="AF36" s="139">
        <f>AB36/($AA$27-Table2[[#This Row],[Missed Games]])</f>
        <v>0</v>
      </c>
      <c r="AG36" s="34">
        <f>AC36/($AA$27-Table2[[#This Row],[Missed Games]])</f>
        <v>0</v>
      </c>
      <c r="AH36" s="139">
        <f>AD36/($AA$27-Table2[[#This Row],[Missed Games]])</f>
        <v>0.5</v>
      </c>
      <c r="AI36" s="36">
        <f>COUNTIF('Preseason 1'!V10, "TRUE")+COUNTIF('Preseason 2'!V10, "TRUE")+COUNTIF('Preseason 3'!V10, "TRUE")</f>
        <v>1</v>
      </c>
      <c r="AJ36" s="36"/>
      <c r="AK36" s="49" t="s">
        <v>63</v>
      </c>
      <c r="AL36" s="32">
        <f>'1707'!R10+'1807'!R10</f>
        <v>0</v>
      </c>
      <c r="AM36" s="32">
        <f>'1707'!S10+'1807'!S10</f>
        <v>0</v>
      </c>
      <c r="AN36" s="32">
        <f>'1707'!T10+'1807'!T10</f>
        <v>0</v>
      </c>
      <c r="AO36" s="32">
        <f>'1707'!U10+'1807'!U10</f>
        <v>0</v>
      </c>
      <c r="AP36" s="32">
        <f>AL36/($AA$27-Table211[[#This Row],[Missed Games]])</f>
        <v>0</v>
      </c>
      <c r="AQ36" s="32">
        <f>AM36/($AA$27-Table211[[#This Row],[Missed Games]])</f>
        <v>0</v>
      </c>
      <c r="AR36" s="32">
        <f>AN36/($AA$27-Table211[[#This Row],[Missed Games]])</f>
        <v>0</v>
      </c>
      <c r="AS36" s="32">
        <f>AO36/($AA$27-Table211[[#This Row],[Missed Games]])</f>
        <v>0</v>
      </c>
      <c r="AT36" s="32">
        <f>COUNTIF('1707'!V10, "TRUE")+COUNTIF('1807'!V10, "TRUE")</f>
        <v>1</v>
      </c>
    </row>
    <row r="37" spans="2:46" ht="14.25" customHeight="1" x14ac:dyDescent="0.45"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Z37" s="49" t="s">
        <v>66</v>
      </c>
      <c r="AA37" s="32">
        <f>'Preseason 1'!R11+'Preseason 2'!R11+'Preseason 3'!R11</f>
        <v>5</v>
      </c>
      <c r="AB37" s="32">
        <f>'Preseason 1'!S11+'Preseason 2'!S11+'Preseason 3'!S11</f>
        <v>1</v>
      </c>
      <c r="AC37" s="32">
        <f>'Preseason 1'!T11+'Preseason 2'!T11+'Preseason 3'!T11</f>
        <v>2</v>
      </c>
      <c r="AD37" s="32">
        <f>'Preseason 1'!U11+'Preseason 2'!U11+'Preseason 3'!U11</f>
        <v>1</v>
      </c>
      <c r="AE37" s="34">
        <f>AA37/($AA$27-Table2[[#This Row],[Missed Games]])</f>
        <v>1.6666666666666667</v>
      </c>
      <c r="AF37" s="139">
        <f>AB37/($AA$27-Table2[[#This Row],[Missed Games]])</f>
        <v>0.33333333333333331</v>
      </c>
      <c r="AG37" s="34">
        <f>AC37/($AA$27-Table2[[#This Row],[Missed Games]])</f>
        <v>0.66666666666666663</v>
      </c>
      <c r="AH37" s="139">
        <f>AD37/($AA$27-Table2[[#This Row],[Missed Games]])</f>
        <v>0.33333333333333331</v>
      </c>
      <c r="AI37" s="36">
        <f>COUNTIF('Preseason 1'!V11, "TRUE")+COUNTIF('Preseason 2'!V11, "TRUE")+COUNTIF('Preseason 3'!V11, "TRUE")</f>
        <v>0</v>
      </c>
      <c r="AJ37" s="36"/>
      <c r="AK37" s="49" t="s">
        <v>66</v>
      </c>
      <c r="AL37" s="32">
        <f>'1707'!R11+'1807'!R11</f>
        <v>1</v>
      </c>
      <c r="AM37" s="32">
        <f>'1707'!S11+'1807'!S11</f>
        <v>1</v>
      </c>
      <c r="AN37" s="32">
        <f>'1707'!T11+'1807'!T11</f>
        <v>0</v>
      </c>
      <c r="AO37" s="32">
        <f>'1707'!U11+'1807'!U11</f>
        <v>0</v>
      </c>
      <c r="AP37" s="32">
        <f>AL37/($AA$27-Table211[[#This Row],[Missed Games]])</f>
        <v>0.33333333333333331</v>
      </c>
      <c r="AQ37" s="32">
        <f>AM37/($AA$27-Table211[[#This Row],[Missed Games]])</f>
        <v>0.33333333333333331</v>
      </c>
      <c r="AR37" s="32">
        <f>AN37/($AA$27-Table211[[#This Row],[Missed Games]])</f>
        <v>0</v>
      </c>
      <c r="AS37" s="32">
        <f>AO37/($AA$27-Table211[[#This Row],[Missed Games]])</f>
        <v>0</v>
      </c>
      <c r="AT37" s="32">
        <f>COUNTIF('1707'!V11, "TRUE")+COUNTIF('1807'!V11, "TRUE")</f>
        <v>0</v>
      </c>
    </row>
    <row r="38" spans="2:46" ht="14.25" customHeight="1" x14ac:dyDescent="0.45"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Z38" s="49" t="s">
        <v>68</v>
      </c>
      <c r="AA38" s="32">
        <f>'Preseason 1'!R12+'Preseason 2'!R12+'Preseason 3'!R12</f>
        <v>12</v>
      </c>
      <c r="AB38" s="32">
        <f>'Preseason 1'!S12+'Preseason 2'!S12+'Preseason 3'!S12</f>
        <v>1</v>
      </c>
      <c r="AC38" s="32">
        <f>'Preseason 1'!T12+'Preseason 2'!T12+'Preseason 3'!T12</f>
        <v>9</v>
      </c>
      <c r="AD38" s="32">
        <f>'Preseason 1'!U12+'Preseason 2'!U12+'Preseason 3'!U12</f>
        <v>1</v>
      </c>
      <c r="AE38" s="34">
        <f>AA38/($AA$27-Table2[[#This Row],[Missed Games]])</f>
        <v>4</v>
      </c>
      <c r="AF38" s="139">
        <f>AB38/($AA$27-Table2[[#This Row],[Missed Games]])</f>
        <v>0.33333333333333331</v>
      </c>
      <c r="AG38" s="34">
        <f>AC38/($AA$27-Table2[[#This Row],[Missed Games]])</f>
        <v>3</v>
      </c>
      <c r="AH38" s="139">
        <f>AD38/($AA$27-Table2[[#This Row],[Missed Games]])</f>
        <v>0.33333333333333331</v>
      </c>
      <c r="AI38" s="36">
        <f>COUNTIF('Preseason 1'!V12, "TRUE")+COUNTIF('Preseason 2'!V12, "TRUE")+COUNTIF('Preseason 3'!V12, "TRUE")</f>
        <v>0</v>
      </c>
      <c r="AJ38" s="36"/>
      <c r="AK38" s="49" t="s">
        <v>68</v>
      </c>
      <c r="AL38" s="32">
        <f>'1707'!R12+'1807'!R12</f>
        <v>3</v>
      </c>
      <c r="AM38" s="32">
        <f>'1707'!S12+'1807'!S12</f>
        <v>0</v>
      </c>
      <c r="AN38" s="32">
        <f>'1707'!T12+'1807'!T12</f>
        <v>1</v>
      </c>
      <c r="AO38" s="32">
        <f>'1707'!U12+'1807'!U12</f>
        <v>1</v>
      </c>
      <c r="AP38" s="32">
        <f>AL38/($AA$27-Table211[[#This Row],[Missed Games]])</f>
        <v>1</v>
      </c>
      <c r="AQ38" s="32">
        <f>AM38/($AA$27-Table211[[#This Row],[Missed Games]])</f>
        <v>0</v>
      </c>
      <c r="AR38" s="32">
        <f>AN38/($AA$27-Table211[[#This Row],[Missed Games]])</f>
        <v>0.33333333333333331</v>
      </c>
      <c r="AS38" s="32">
        <f>AO38/($AA$27-Table211[[#This Row],[Missed Games]])</f>
        <v>0.33333333333333331</v>
      </c>
      <c r="AT38" s="32">
        <f>COUNTIF('1707'!V12, "TRUE")+COUNTIF('1807'!V12, "TRUE")</f>
        <v>0</v>
      </c>
    </row>
    <row r="39" spans="2:46" ht="14.25" customHeight="1" x14ac:dyDescent="0.45"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Z39" s="49" t="s">
        <v>69</v>
      </c>
      <c r="AA39" s="32">
        <f>'Preseason 1'!R13+'Preseason 2'!R13+'Preseason 3'!R13</f>
        <v>2</v>
      </c>
      <c r="AB39" s="32">
        <f>'Preseason 1'!S13+'Preseason 2'!S13+'Preseason 3'!S13</f>
        <v>0</v>
      </c>
      <c r="AC39" s="32">
        <f>'Preseason 1'!T13+'Preseason 2'!T13+'Preseason 3'!T13</f>
        <v>0</v>
      </c>
      <c r="AD39" s="32">
        <f>'Preseason 1'!U13+'Preseason 2'!U13+'Preseason 3'!U13</f>
        <v>1</v>
      </c>
      <c r="AE39" s="34">
        <f>AA39/($AA$27-Table2[[#This Row],[Missed Games]])</f>
        <v>0.66666666666666663</v>
      </c>
      <c r="AF39" s="139">
        <f>AB39/($AA$27-Table2[[#This Row],[Missed Games]])</f>
        <v>0</v>
      </c>
      <c r="AG39" s="34">
        <f>AC39/($AA$27-Table2[[#This Row],[Missed Games]])</f>
        <v>0</v>
      </c>
      <c r="AH39" s="139">
        <f>AD39/($AA$27-Table2[[#This Row],[Missed Games]])</f>
        <v>0.33333333333333331</v>
      </c>
      <c r="AI39" s="36">
        <f>COUNTIF('Preseason 1'!V13, "TRUE")+COUNTIF('Preseason 2'!V13, "TRUE")+COUNTIF('Preseason 3'!V13, "TRUE")</f>
        <v>0</v>
      </c>
      <c r="AJ39" s="76"/>
      <c r="AK39" s="49" t="s">
        <v>69</v>
      </c>
      <c r="AL39" s="32">
        <f>'1707'!R13+'1807'!R13</f>
        <v>2</v>
      </c>
      <c r="AM39" s="32">
        <f>'1707'!S13+'1807'!S13</f>
        <v>0</v>
      </c>
      <c r="AN39" s="32">
        <f>'1707'!T13+'1807'!T13</f>
        <v>2</v>
      </c>
      <c r="AO39" s="32">
        <f>'1707'!U13+'1807'!U13</f>
        <v>0</v>
      </c>
      <c r="AP39" s="32">
        <f>AL39/($AA$27-Table211[[#This Row],[Missed Games]])</f>
        <v>0.66666666666666663</v>
      </c>
      <c r="AQ39" s="32">
        <f>AM39/($AA$27-Table211[[#This Row],[Missed Games]])</f>
        <v>0</v>
      </c>
      <c r="AR39" s="32">
        <f>AN39/($AA$27-Table211[[#This Row],[Missed Games]])</f>
        <v>0.66666666666666663</v>
      </c>
      <c r="AS39" s="32">
        <f>AO39/($AA$27-Table211[[#This Row],[Missed Games]])</f>
        <v>0</v>
      </c>
      <c r="AT39" s="32">
        <f>COUNTIF('1707'!V13, "TRUE")+COUNTIF('1807'!V13, "TRUE")</f>
        <v>0</v>
      </c>
    </row>
    <row r="40" spans="2:46" ht="14.25" customHeight="1" x14ac:dyDescent="0.45"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S40" s="14" t="s">
        <v>116</v>
      </c>
      <c r="Z40" s="36" t="s">
        <v>201</v>
      </c>
      <c r="AA40" s="32">
        <f>'Preseason 1'!R14+'Preseason 2'!R14+'Preseason 3'!R14</f>
        <v>1</v>
      </c>
      <c r="AB40" s="32">
        <f>'Preseason 1'!S14+'Preseason 2'!S14+'Preseason 3'!S14</f>
        <v>1</v>
      </c>
      <c r="AC40" s="32">
        <f>'Preseason 1'!T14+'Preseason 2'!T14+'Preseason 3'!T14</f>
        <v>0</v>
      </c>
      <c r="AD40" s="32">
        <f>'Preseason 1'!U14+'Preseason 2'!U14+'Preseason 3'!U14</f>
        <v>0</v>
      </c>
      <c r="AE40" s="34">
        <f>AA40/($AA$27-Table2[[#This Row],[Missed Games]])</f>
        <v>0.5</v>
      </c>
      <c r="AF40" s="139">
        <f>AB40/($AA$27-Table2[[#This Row],[Missed Games]])</f>
        <v>0.5</v>
      </c>
      <c r="AG40" s="34">
        <f>AC40/($AA$27-Table2[[#This Row],[Missed Games]])</f>
        <v>0</v>
      </c>
      <c r="AH40" s="139">
        <f>AD40/($AA$27-Table2[[#This Row],[Missed Games]])</f>
        <v>0</v>
      </c>
      <c r="AI40" s="36">
        <f>COUNTIF('Preseason 1'!V14, "TRUE")+COUNTIF('Preseason 2'!V14, "TRUE")+COUNTIF('Preseason 3'!V14, "TRUE")</f>
        <v>1</v>
      </c>
      <c r="AJ40" s="36"/>
      <c r="AK40" s="36" t="s">
        <v>201</v>
      </c>
      <c r="AL40" s="32">
        <f>'1707'!R14+'1807'!R14</f>
        <v>0</v>
      </c>
      <c r="AM40" s="32">
        <f>'1707'!S14+'1807'!S14</f>
        <v>0</v>
      </c>
      <c r="AN40" s="32">
        <f>'1707'!T14+'1807'!T14</f>
        <v>0</v>
      </c>
      <c r="AO40" s="32">
        <f>'1707'!U14+'1807'!U14</f>
        <v>0</v>
      </c>
      <c r="AP40" s="32">
        <f>AL40/($AA$27-Table211[[#This Row],[Missed Games]])</f>
        <v>0</v>
      </c>
      <c r="AQ40" s="32">
        <f>AM40/($AA$27-Table211[[#This Row],[Missed Games]])</f>
        <v>0</v>
      </c>
      <c r="AR40" s="32">
        <f>AN40/($AA$27-Table211[[#This Row],[Missed Games]])</f>
        <v>0</v>
      </c>
      <c r="AS40" s="32">
        <f>AO40/($AA$27-Table211[[#This Row],[Missed Games]])</f>
        <v>0</v>
      </c>
      <c r="AT40" s="32">
        <f>COUNTIF('1707'!V14, "TRUE")+COUNTIF('1807'!V14, "TRUE")</f>
        <v>0</v>
      </c>
    </row>
    <row r="41" spans="2:46" ht="14.25" customHeight="1" x14ac:dyDescent="0.45">
      <c r="S41" s="14" t="s">
        <v>108</v>
      </c>
      <c r="T41">
        <f>'Statistics LG'!J3</f>
        <v>3</v>
      </c>
      <c r="V41" s="28"/>
      <c r="Z41" s="36" t="s">
        <v>128</v>
      </c>
      <c r="AA41" s="32">
        <f>'Preseason 1'!R15+'Preseason 2'!R15+'Preseason 3'!R15</f>
        <v>5</v>
      </c>
      <c r="AB41" s="32">
        <f>'Preseason 1'!S15+'Preseason 2'!S15+'Preseason 3'!S15</f>
        <v>3</v>
      </c>
      <c r="AC41" s="32">
        <f>'Preseason 1'!T15+'Preseason 2'!T15+'Preseason 3'!T15</f>
        <v>0</v>
      </c>
      <c r="AD41" s="32">
        <f>'Preseason 1'!U15+'Preseason 2'!U15+'Preseason 3'!U15</f>
        <v>1</v>
      </c>
      <c r="AE41" s="34">
        <f>AA41/($AA$27-Table2[[#This Row],[Missed Games]])</f>
        <v>1.6666666666666667</v>
      </c>
      <c r="AF41" s="139">
        <f>AB41/($AA$27-Table2[[#This Row],[Missed Games]])</f>
        <v>1</v>
      </c>
      <c r="AG41" s="34">
        <f>AC41/($AA$27-Table2[[#This Row],[Missed Games]])</f>
        <v>0</v>
      </c>
      <c r="AH41" s="139">
        <f>AD41/($AA$27-Table2[[#This Row],[Missed Games]])</f>
        <v>0.33333333333333331</v>
      </c>
      <c r="AI41" s="36">
        <f>COUNTIF('Preseason 1'!V15, "TRUE")+COUNTIF('Preseason 2'!V15, "TRUE")+COUNTIF('Preseason 3'!V15, "TRUE")</f>
        <v>0</v>
      </c>
      <c r="AJ41" s="36"/>
      <c r="AK41" s="36" t="s">
        <v>128</v>
      </c>
      <c r="AL41" s="32">
        <f>'1707'!R15+'1807'!R15</f>
        <v>1</v>
      </c>
      <c r="AM41" s="32">
        <f>'1707'!S15+'1807'!S15</f>
        <v>1</v>
      </c>
      <c r="AN41" s="32">
        <f>'1707'!T15+'1807'!T15</f>
        <v>0</v>
      </c>
      <c r="AO41" s="32">
        <f>'1707'!U15+'1807'!U15</f>
        <v>0</v>
      </c>
      <c r="AP41" s="32">
        <f>AL41/($AA$27-Table211[[#This Row],[Missed Games]])</f>
        <v>0.33333333333333331</v>
      </c>
      <c r="AQ41" s="32">
        <f>AM41/($AA$27-Table211[[#This Row],[Missed Games]])</f>
        <v>0.33333333333333331</v>
      </c>
      <c r="AR41" s="32">
        <f>AN41/($AA$27-Table211[[#This Row],[Missed Games]])</f>
        <v>0</v>
      </c>
      <c r="AS41" s="32">
        <f>AO41/($AA$27-Table211[[#This Row],[Missed Games]])</f>
        <v>0</v>
      </c>
      <c r="AT41" s="32">
        <f>COUNTIF('1707'!V15, "TRUE")+COUNTIF('1807'!V15, "TRUE")</f>
        <v>0</v>
      </c>
    </row>
    <row r="42" spans="2:46" ht="14.25" customHeight="1" x14ac:dyDescent="0.45">
      <c r="S42" s="14" t="s">
        <v>109</v>
      </c>
      <c r="T42">
        <f>'Statistics WW'!J4</f>
        <v>1</v>
      </c>
      <c r="V42" s="28"/>
      <c r="Z42" s="36" t="s">
        <v>127</v>
      </c>
      <c r="AA42" s="32">
        <f>'Preseason 1'!R16+'Preseason 2'!R16+'Preseason 3'!R16</f>
        <v>7</v>
      </c>
      <c r="AB42" s="32">
        <f>'Preseason 1'!S16+'Preseason 2'!S16+'Preseason 3'!S16</f>
        <v>3</v>
      </c>
      <c r="AC42" s="32">
        <f>'Preseason 1'!T16+'Preseason 2'!T16+'Preseason 3'!T16</f>
        <v>2</v>
      </c>
      <c r="AD42" s="32">
        <f>'Preseason 1'!U16+'Preseason 2'!U16+'Preseason 3'!U16</f>
        <v>1</v>
      </c>
      <c r="AE42" s="34">
        <f>AA42/($AA$27-Table2[[#This Row],[Missed Games]])</f>
        <v>2.3333333333333335</v>
      </c>
      <c r="AF42" s="139">
        <f>AB42/($AA$27-Table2[[#This Row],[Missed Games]])</f>
        <v>1</v>
      </c>
      <c r="AG42" s="34">
        <f>AC42/($AA$27-Table2[[#This Row],[Missed Games]])</f>
        <v>0.66666666666666663</v>
      </c>
      <c r="AH42" s="139">
        <f>AD42/($AA$27-Table2[[#This Row],[Missed Games]])</f>
        <v>0.33333333333333331</v>
      </c>
      <c r="AI42" s="36">
        <f>COUNTIF('Preseason 1'!V16, "TRUE")+COUNTIF('Preseason 2'!V16, "TRUE")+COUNTIF('Preseason 3'!V16, "TRUE")</f>
        <v>0</v>
      </c>
      <c r="AJ42" s="36"/>
      <c r="AK42" s="36" t="s">
        <v>127</v>
      </c>
      <c r="AL42" s="32">
        <f>'1707'!R16+'1807'!R16</f>
        <v>1</v>
      </c>
      <c r="AM42" s="32">
        <f>'1707'!S16+'1807'!S16</f>
        <v>0</v>
      </c>
      <c r="AN42" s="32">
        <f>'1707'!T16+'1807'!T16</f>
        <v>1</v>
      </c>
      <c r="AO42" s="32">
        <f>'1707'!U16+'1807'!U16</f>
        <v>0</v>
      </c>
      <c r="AP42" s="32">
        <f>AL42/($AA$27-Table211[[#This Row],[Missed Games]])</f>
        <v>0.33333333333333331</v>
      </c>
      <c r="AQ42" s="32">
        <f>AM42/($AA$27-Table211[[#This Row],[Missed Games]])</f>
        <v>0</v>
      </c>
      <c r="AR42" s="32">
        <f>AN42/($AA$27-Table211[[#This Row],[Missed Games]])</f>
        <v>0.33333333333333331</v>
      </c>
      <c r="AS42" s="32">
        <f>AO42/($AA$27-Table211[[#This Row],[Missed Games]])</f>
        <v>0</v>
      </c>
      <c r="AT42" s="32">
        <f>COUNTIF('1707'!V16, "TRUE")+COUNTIF('1807'!V16, "TRUE")</f>
        <v>0</v>
      </c>
    </row>
    <row r="43" spans="2:46" ht="14.25" customHeight="1" x14ac:dyDescent="0.45">
      <c r="S43" s="14" t="s">
        <v>110</v>
      </c>
      <c r="T43">
        <f>'Statistics 5M'!J4</f>
        <v>2</v>
      </c>
      <c r="V43" s="28"/>
      <c r="Z43" s="36" t="s">
        <v>73</v>
      </c>
      <c r="AA43" s="32">
        <f>'Preseason 1'!R17+'Preseason 2'!R17+'Preseason 3'!R17</f>
        <v>12</v>
      </c>
      <c r="AB43" s="32">
        <f>'Preseason 1'!S17+'Preseason 2'!S17+'Preseason 3'!S17</f>
        <v>6</v>
      </c>
      <c r="AC43" s="32">
        <f>'Preseason 1'!T17+'Preseason 2'!T17+'Preseason 3'!T17</f>
        <v>2</v>
      </c>
      <c r="AD43" s="32">
        <f>'Preseason 1'!U17+'Preseason 2'!U17+'Preseason 3'!U17</f>
        <v>2</v>
      </c>
      <c r="AE43" s="34">
        <f>AA43/($AA$27-Table2[[#This Row],[Missed Games]])</f>
        <v>4</v>
      </c>
      <c r="AF43" s="139">
        <f>AB43/($AA$27-Table2[[#This Row],[Missed Games]])</f>
        <v>2</v>
      </c>
      <c r="AG43" s="34">
        <f>AC43/($AA$27-Table2[[#This Row],[Missed Games]])</f>
        <v>0.66666666666666663</v>
      </c>
      <c r="AH43" s="139">
        <f>AD43/($AA$27-Table2[[#This Row],[Missed Games]])</f>
        <v>0.66666666666666663</v>
      </c>
      <c r="AI43" s="36">
        <f>COUNTIF('Preseason 1'!V17, "TRUE")+COUNTIF('Preseason 2'!V17, "TRUE")+COUNTIF('Preseason 3'!V17, "TRUE")</f>
        <v>0</v>
      </c>
      <c r="AJ43" s="36"/>
      <c r="AK43" s="36" t="s">
        <v>73</v>
      </c>
      <c r="AL43" s="32">
        <f>'1707'!R17+'1807'!R17</f>
        <v>5</v>
      </c>
      <c r="AM43" s="32">
        <f>'1707'!S17+'1807'!S17</f>
        <v>3</v>
      </c>
      <c r="AN43" s="32">
        <f>'1707'!T17+'1807'!T17</f>
        <v>0</v>
      </c>
      <c r="AO43" s="32">
        <f>'1707'!U17+'1807'!U17</f>
        <v>1</v>
      </c>
      <c r="AP43" s="32">
        <f>AL43/($AA$27-Table211[[#This Row],[Missed Games]])</f>
        <v>1.6666666666666667</v>
      </c>
      <c r="AQ43" s="32">
        <f>AM43/($AA$27-Table211[[#This Row],[Missed Games]])</f>
        <v>1</v>
      </c>
      <c r="AR43" s="32">
        <f>AN43/($AA$27-Table211[[#This Row],[Missed Games]])</f>
        <v>0</v>
      </c>
      <c r="AS43" s="32">
        <f>AO43/($AA$27-Table211[[#This Row],[Missed Games]])</f>
        <v>0.33333333333333331</v>
      </c>
      <c r="AT43" s="32">
        <f>COUNTIF('1707'!V17, "TRUE")+COUNTIF('1807'!V17, "TRUE")</f>
        <v>0</v>
      </c>
    </row>
    <row r="44" spans="2:46" ht="14.25" customHeight="1" x14ac:dyDescent="0.45">
      <c r="Z44" s="36" t="s">
        <v>74</v>
      </c>
      <c r="AA44" s="32">
        <f>'Preseason 1'!R18+'Preseason 2'!R18+'Preseason 3'!R18</f>
        <v>0</v>
      </c>
      <c r="AB44" s="32">
        <f>'Preseason 1'!S18+'Preseason 2'!S18+'Preseason 3'!S18</f>
        <v>0</v>
      </c>
      <c r="AC44" s="32">
        <f>'Preseason 1'!T18+'Preseason 2'!T18+'Preseason 3'!T18</f>
        <v>0</v>
      </c>
      <c r="AD44" s="32">
        <f>'Preseason 1'!U18+'Preseason 2'!U18+'Preseason 3'!U18</f>
        <v>0</v>
      </c>
      <c r="AE44" s="34">
        <f>AA44/($AA$27-Table2[[#This Row],[Missed Games]])</f>
        <v>0</v>
      </c>
      <c r="AF44" s="139">
        <f>AB44/($AA$27-Table2[[#This Row],[Missed Games]])</f>
        <v>0</v>
      </c>
      <c r="AG44" s="34">
        <f>AC44/($AA$27-Table2[[#This Row],[Missed Games]])</f>
        <v>0</v>
      </c>
      <c r="AH44" s="139">
        <f>AD44/($AA$27-Table2[[#This Row],[Missed Games]])</f>
        <v>0</v>
      </c>
      <c r="AI44" s="36">
        <f>COUNTIF('Preseason 1'!V18, "TRUE")+COUNTIF('Preseason 2'!V18, "TRUE")+COUNTIF('Preseason 3'!V18, "TRUE")</f>
        <v>0</v>
      </c>
      <c r="AJ44" s="36"/>
      <c r="AK44" s="36" t="s">
        <v>74</v>
      </c>
      <c r="AL44" s="32">
        <f>'1707'!R18+'1807'!R18</f>
        <v>0</v>
      </c>
      <c r="AM44" s="32">
        <f>'1707'!S18+'1807'!S18</f>
        <v>0</v>
      </c>
      <c r="AN44" s="32">
        <f>'1707'!T18+'1807'!T18</f>
        <v>0</v>
      </c>
      <c r="AO44" s="32">
        <f>'1707'!U18+'1807'!U18</f>
        <v>0</v>
      </c>
      <c r="AP44" s="32">
        <f>AL44/($AA$27-Table211[[#This Row],[Missed Games]])</f>
        <v>0</v>
      </c>
      <c r="AQ44" s="32">
        <f>AM44/($AA$27-Table211[[#This Row],[Missed Games]])</f>
        <v>0</v>
      </c>
      <c r="AR44" s="32">
        <f>AN44/($AA$27-Table211[[#This Row],[Missed Games]])</f>
        <v>0</v>
      </c>
      <c r="AS44" s="32">
        <f>AO44/($AA$27-Table211[[#This Row],[Missed Games]])</f>
        <v>0</v>
      </c>
      <c r="AT44" s="32">
        <f>COUNTIF('1707'!V18, "TRUE")+COUNTIF('1807'!V18, "TRUE")</f>
        <v>0</v>
      </c>
    </row>
    <row r="45" spans="2:46" ht="14.25" customHeight="1" x14ac:dyDescent="0.45">
      <c r="S45" s="14" t="s">
        <v>143</v>
      </c>
      <c r="U45" s="14" t="s">
        <v>82</v>
      </c>
      <c r="V45" s="14" t="s">
        <v>85</v>
      </c>
      <c r="W45" s="14" t="s">
        <v>144</v>
      </c>
      <c r="Y45" s="17"/>
      <c r="Z45" s="49" t="s">
        <v>75</v>
      </c>
      <c r="AA45" s="32">
        <f>'Preseason 1'!R19+'Preseason 2'!R19+'Preseason 3'!R19</f>
        <v>0</v>
      </c>
      <c r="AB45" s="32">
        <f>'Preseason 1'!S19+'Preseason 2'!S19+'Preseason 3'!S19</f>
        <v>0</v>
      </c>
      <c r="AC45" s="32">
        <f>'Preseason 1'!T19+'Preseason 2'!T19+'Preseason 3'!T19</f>
        <v>0</v>
      </c>
      <c r="AD45" s="32">
        <f>'Preseason 1'!U19+'Preseason 2'!U19+'Preseason 3'!U19</f>
        <v>0</v>
      </c>
      <c r="AE45" s="34">
        <f>AA45/($AA$27-Table2[[#This Row],[Missed Games]])</f>
        <v>0</v>
      </c>
      <c r="AF45" s="139">
        <f>AB45/($AA$27-Table2[[#This Row],[Missed Games]])</f>
        <v>0</v>
      </c>
      <c r="AG45" s="34">
        <f>AC45/($AA$27-Table2[[#This Row],[Missed Games]])</f>
        <v>0</v>
      </c>
      <c r="AH45" s="139">
        <f>AD45/($AA$27-Table2[[#This Row],[Missed Games]])</f>
        <v>0</v>
      </c>
      <c r="AI45" s="36">
        <f>COUNTIF('Preseason 1'!V19, "TRUE")+COUNTIF('Preseason 2'!V19, "TRUE")+COUNTIF('Preseason 3'!V19, "TRUE")</f>
        <v>0</v>
      </c>
      <c r="AJ45" s="36"/>
      <c r="AK45" s="49" t="s">
        <v>75</v>
      </c>
      <c r="AL45" s="32">
        <f>'1707'!R19+'1807'!R19</f>
        <v>0</v>
      </c>
      <c r="AM45" s="32">
        <f>'1707'!S19+'1807'!S19</f>
        <v>0</v>
      </c>
      <c r="AN45" s="32">
        <f>'1707'!T19+'1807'!T19</f>
        <v>0</v>
      </c>
      <c r="AO45" s="32">
        <f>'1707'!U19+'1807'!U19</f>
        <v>0</v>
      </c>
      <c r="AP45" s="32">
        <f>AL45/($AA$27-Table211[[#This Row],[Missed Games]])</f>
        <v>0</v>
      </c>
      <c r="AQ45" s="32">
        <f>AM45/($AA$27-Table211[[#This Row],[Missed Games]])</f>
        <v>0</v>
      </c>
      <c r="AR45" s="32">
        <f>AN45/($AA$27-Table211[[#This Row],[Missed Games]])</f>
        <v>0</v>
      </c>
      <c r="AS45" s="32">
        <f>AO45/($AA$27-Table211[[#This Row],[Missed Games]])</f>
        <v>0</v>
      </c>
      <c r="AT45" s="32">
        <f>COUNTIF('1707'!V19, "TRUE")+COUNTIF('1807'!V19, "TRUE")</f>
        <v>1</v>
      </c>
    </row>
    <row r="46" spans="2:46" ht="14.25" customHeight="1" x14ac:dyDescent="0.45">
      <c r="T46" s="14" t="s">
        <v>1</v>
      </c>
      <c r="U46" s="19">
        <f>SUM(Table1[Finishes])</f>
        <v>7</v>
      </c>
      <c r="V46" s="18">
        <f>U46/AA6</f>
        <v>7</v>
      </c>
      <c r="W46" s="28">
        <f>U46/SUM($U$46:$U$48)</f>
        <v>0.53846153846153844</v>
      </c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T47" s="14" t="s">
        <v>2</v>
      </c>
      <c r="U47" s="19">
        <f>SUM(Table1[Midranges])</f>
        <v>4</v>
      </c>
      <c r="V47" s="18">
        <f>U47/AA6</f>
        <v>4</v>
      </c>
      <c r="W47" s="28">
        <f>U47/SUM($U$46:$U$48)</f>
        <v>0.30769230769230771</v>
      </c>
      <c r="Z47" s="49" t="s">
        <v>126</v>
      </c>
      <c r="AA47" s="12">
        <v>0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0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T48" s="14" t="s">
        <v>3</v>
      </c>
      <c r="U48" s="19">
        <f>SUM(Table1[Threes])</f>
        <v>2</v>
      </c>
      <c r="V48" s="18">
        <f>U48/AA6</f>
        <v>2</v>
      </c>
      <c r="W48" s="28">
        <f>U48/SUM($U$46:$U$48)</f>
        <v>0.15384615384615385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164</v>
      </c>
      <c r="AI48" s="75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164</v>
      </c>
      <c r="AT48" s="75" t="s">
        <v>120</v>
      </c>
    </row>
    <row r="49" spans="19:46" ht="14.25" customHeight="1" x14ac:dyDescent="0.45">
      <c r="Z49" s="49" t="s">
        <v>45</v>
      </c>
      <c r="AA49" s="32"/>
      <c r="AB49" s="32"/>
      <c r="AC49" s="32"/>
      <c r="AD49" s="32"/>
      <c r="AE49" s="32"/>
      <c r="AF49" s="32"/>
      <c r="AG49" s="32"/>
      <c r="AH49" s="32"/>
      <c r="AI49" s="32"/>
      <c r="AJ49" s="36"/>
      <c r="AK49" s="49" t="s">
        <v>45</v>
      </c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9:46" ht="14.25" customHeight="1" x14ac:dyDescent="0.45">
      <c r="Z50" s="49" t="s">
        <v>49</v>
      </c>
      <c r="AA50" s="32"/>
      <c r="AB50" s="32"/>
      <c r="AC50" s="32"/>
      <c r="AD50" s="32"/>
      <c r="AE50" s="32"/>
      <c r="AF50" s="32"/>
      <c r="AG50" s="32"/>
      <c r="AH50" s="32"/>
      <c r="AI50" s="32"/>
      <c r="AJ50" s="36"/>
      <c r="AK50" s="49" t="s">
        <v>49</v>
      </c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9:46" ht="14.25" customHeight="1" x14ac:dyDescent="0.45">
      <c r="T51" s="14" t="s">
        <v>130</v>
      </c>
      <c r="Z51" s="49" t="s">
        <v>51</v>
      </c>
      <c r="AA51" s="32"/>
      <c r="AB51" s="32"/>
      <c r="AC51" s="32"/>
      <c r="AD51" s="32"/>
      <c r="AE51" s="32"/>
      <c r="AF51" s="32"/>
      <c r="AG51" s="32"/>
      <c r="AH51" s="32"/>
      <c r="AI51" s="32"/>
      <c r="AJ51" s="36"/>
      <c r="AK51" s="49" t="s">
        <v>51</v>
      </c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9:46" ht="14.25" customHeight="1" x14ac:dyDescent="0.45">
      <c r="T52" s="14" t="s">
        <v>108</v>
      </c>
      <c r="U52" s="14" t="s">
        <v>109</v>
      </c>
      <c r="V52" s="14" t="s">
        <v>110</v>
      </c>
      <c r="Z52" s="49" t="s">
        <v>54</v>
      </c>
      <c r="AA52" s="32"/>
      <c r="AB52" s="32"/>
      <c r="AC52" s="32"/>
      <c r="AD52" s="32"/>
      <c r="AE52" s="32"/>
      <c r="AF52" s="32"/>
      <c r="AG52" s="32"/>
      <c r="AH52" s="32"/>
      <c r="AI52" s="32"/>
      <c r="AJ52" s="36"/>
      <c r="AK52" s="49" t="s">
        <v>54</v>
      </c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9:46" ht="14.25" customHeight="1" x14ac:dyDescent="0.45">
      <c r="S53" s="14" t="s">
        <v>132</v>
      </c>
      <c r="T53" s="42" t="s">
        <v>131</v>
      </c>
      <c r="U53" s="39">
        <f>'Statistics LG'!L42</f>
        <v>1</v>
      </c>
      <c r="V53" s="39">
        <f>'Statistics LG'!O42</f>
        <v>0.5</v>
      </c>
      <c r="W53" s="39">
        <f>AVERAGE(U53:V53)</f>
        <v>0.75</v>
      </c>
      <c r="Z53" s="49" t="s">
        <v>57</v>
      </c>
      <c r="AA53" s="32"/>
      <c r="AB53" s="32"/>
      <c r="AC53" s="32"/>
      <c r="AD53" s="32"/>
      <c r="AE53" s="32"/>
      <c r="AF53" s="32"/>
      <c r="AG53" s="32"/>
      <c r="AH53" s="32"/>
      <c r="AI53" s="32"/>
      <c r="AJ53" s="36"/>
      <c r="AK53" s="49" t="s">
        <v>57</v>
      </c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9:46" ht="14.25" customHeight="1" x14ac:dyDescent="0.45">
      <c r="S54" s="14" t="s">
        <v>133</v>
      </c>
      <c r="T54" s="39">
        <f>1-'Statistics LG'!L42</f>
        <v>0</v>
      </c>
      <c r="U54" s="42" t="s">
        <v>131</v>
      </c>
      <c r="V54" s="39">
        <f>'Statistics WW'!L42</f>
        <v>1</v>
      </c>
      <c r="W54" s="39">
        <f>AVERAGE(T54:V54)</f>
        <v>0.5</v>
      </c>
      <c r="Z54" s="49" t="s">
        <v>60</v>
      </c>
      <c r="AA54" s="32"/>
      <c r="AB54" s="32"/>
      <c r="AC54" s="32"/>
      <c r="AD54" s="32"/>
      <c r="AE54" s="32"/>
      <c r="AF54" s="32"/>
      <c r="AG54" s="32"/>
      <c r="AH54" s="32"/>
      <c r="AI54" s="32"/>
      <c r="AJ54" s="36"/>
      <c r="AK54" s="49" t="s">
        <v>60</v>
      </c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9:46" ht="14.25" customHeight="1" x14ac:dyDescent="0.45">
      <c r="S55" s="14" t="s">
        <v>134</v>
      </c>
      <c r="T55" s="39">
        <f>1-V53</f>
        <v>0.5</v>
      </c>
      <c r="U55" s="39">
        <f>1-V54</f>
        <v>0</v>
      </c>
      <c r="V55" s="42" t="s">
        <v>131</v>
      </c>
      <c r="W55" s="39">
        <f>AVERAGE(T55:V55)</f>
        <v>0.25</v>
      </c>
      <c r="Z55" s="36" t="s">
        <v>93</v>
      </c>
      <c r="AA55" s="32"/>
      <c r="AB55" s="32"/>
      <c r="AC55" s="32"/>
      <c r="AD55" s="32"/>
      <c r="AE55" s="32"/>
      <c r="AF55" s="32"/>
      <c r="AG55" s="32"/>
      <c r="AH55" s="32"/>
      <c r="AI55" s="32"/>
      <c r="AJ55" s="36"/>
      <c r="AK55" s="36" t="s">
        <v>93</v>
      </c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9:46" ht="14.25" customHeight="1" x14ac:dyDescent="0.45">
      <c r="V56" s="43"/>
      <c r="W56" s="131"/>
      <c r="Z56" s="49" t="s">
        <v>63</v>
      </c>
      <c r="AA56" s="32"/>
      <c r="AB56" s="32"/>
      <c r="AC56" s="32"/>
      <c r="AD56" s="32"/>
      <c r="AE56" s="32"/>
      <c r="AF56" s="32"/>
      <c r="AG56" s="32"/>
      <c r="AH56" s="32"/>
      <c r="AI56" s="32"/>
      <c r="AJ56" s="36"/>
      <c r="AK56" s="49" t="s">
        <v>63</v>
      </c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9:46" ht="14.25" customHeight="1" x14ac:dyDescent="0.45">
      <c r="Z57" s="49" t="s">
        <v>66</v>
      </c>
      <c r="AA57" s="32"/>
      <c r="AB57" s="32"/>
      <c r="AC57" s="32"/>
      <c r="AD57" s="32"/>
      <c r="AE57" s="32"/>
      <c r="AF57" s="32"/>
      <c r="AG57" s="32"/>
      <c r="AH57" s="32"/>
      <c r="AI57" s="32"/>
      <c r="AJ57" s="36"/>
      <c r="AK57" s="49" t="s">
        <v>66</v>
      </c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9:46" ht="14.25" customHeight="1" x14ac:dyDescent="0.45">
      <c r="Z58" s="49" t="s">
        <v>68</v>
      </c>
      <c r="AA58" s="32"/>
      <c r="AB58" s="32"/>
      <c r="AC58" s="32"/>
      <c r="AD58" s="32"/>
      <c r="AE58" s="32"/>
      <c r="AF58" s="32"/>
      <c r="AG58" s="32"/>
      <c r="AH58" s="32"/>
      <c r="AI58" s="32"/>
      <c r="AJ58" s="36"/>
      <c r="AK58" s="49" t="s">
        <v>68</v>
      </c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9:46" ht="14.25" customHeight="1" x14ac:dyDescent="0.45">
      <c r="Z59" s="49" t="s">
        <v>69</v>
      </c>
      <c r="AA59" s="32"/>
      <c r="AB59" s="32"/>
      <c r="AC59" s="32"/>
      <c r="AD59" s="32"/>
      <c r="AE59" s="32"/>
      <c r="AF59" s="32"/>
      <c r="AG59" s="32"/>
      <c r="AH59" s="32"/>
      <c r="AI59" s="32"/>
      <c r="AJ59" s="36"/>
      <c r="AK59" s="49" t="s">
        <v>69</v>
      </c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9:46" ht="14.25" customHeight="1" x14ac:dyDescent="0.45">
      <c r="Z60" s="36" t="s">
        <v>201</v>
      </c>
      <c r="AA60" s="32"/>
      <c r="AB60" s="32"/>
      <c r="AC60" s="32"/>
      <c r="AD60" s="32"/>
      <c r="AE60" s="32"/>
      <c r="AF60" s="32"/>
      <c r="AG60" s="32"/>
      <c r="AH60" s="32"/>
      <c r="AI60" s="32"/>
      <c r="AJ60" s="36"/>
      <c r="AK60" s="36" t="s">
        <v>201</v>
      </c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9:46" ht="14.25" customHeight="1" x14ac:dyDescent="0.45">
      <c r="Z61" s="36" t="s">
        <v>128</v>
      </c>
      <c r="AA61" s="32"/>
      <c r="AB61" s="32"/>
      <c r="AC61" s="32"/>
      <c r="AD61" s="32"/>
      <c r="AE61" s="32"/>
      <c r="AF61" s="32"/>
      <c r="AG61" s="32"/>
      <c r="AH61" s="32"/>
      <c r="AI61" s="32"/>
      <c r="AJ61" s="36"/>
      <c r="AK61" s="36" t="s">
        <v>128</v>
      </c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9:46" ht="14.25" customHeight="1" x14ac:dyDescent="0.45">
      <c r="Z62" s="36" t="s">
        <v>127</v>
      </c>
      <c r="AA62" s="32"/>
      <c r="AB62" s="32"/>
      <c r="AC62" s="32"/>
      <c r="AD62" s="32"/>
      <c r="AE62" s="32"/>
      <c r="AF62" s="32"/>
      <c r="AG62" s="32"/>
      <c r="AH62" s="32"/>
      <c r="AI62" s="32"/>
      <c r="AJ62" s="36"/>
      <c r="AK62" s="36" t="s">
        <v>127</v>
      </c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9:46" ht="14.25" customHeight="1" x14ac:dyDescent="0.45">
      <c r="Z63" s="36" t="s">
        <v>73</v>
      </c>
      <c r="AA63" s="32"/>
      <c r="AB63" s="32"/>
      <c r="AC63" s="32"/>
      <c r="AD63" s="32"/>
      <c r="AE63" s="32"/>
      <c r="AF63" s="32"/>
      <c r="AG63" s="32"/>
      <c r="AH63" s="32"/>
      <c r="AI63" s="32"/>
      <c r="AJ63" s="36"/>
      <c r="AK63" s="36" t="s">
        <v>73</v>
      </c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9:46" ht="14.25" customHeight="1" x14ac:dyDescent="0.45">
      <c r="Z64" s="36" t="s">
        <v>74</v>
      </c>
      <c r="AA64" s="32"/>
      <c r="AB64" s="32"/>
      <c r="AC64" s="32"/>
      <c r="AD64" s="32"/>
      <c r="AE64" s="32"/>
      <c r="AF64" s="32"/>
      <c r="AG64" s="32"/>
      <c r="AH64" s="32"/>
      <c r="AI64" s="32"/>
      <c r="AJ64" s="36"/>
      <c r="AK64" s="36" t="s">
        <v>74</v>
      </c>
      <c r="AL64" s="32"/>
      <c r="AM64" s="32"/>
      <c r="AN64" s="32"/>
      <c r="AO64" s="32"/>
      <c r="AP64" s="32"/>
      <c r="AQ64" s="32"/>
      <c r="AR64" s="32"/>
      <c r="AS64" s="32"/>
      <c r="AT64" s="32"/>
    </row>
    <row r="65" spans="18:46" ht="14.25" customHeight="1" x14ac:dyDescent="0.45">
      <c r="Z65" s="49" t="s">
        <v>75</v>
      </c>
      <c r="AA65" s="32"/>
      <c r="AB65" s="32"/>
      <c r="AC65" s="32"/>
      <c r="AD65" s="32"/>
      <c r="AE65" s="32"/>
      <c r="AF65" s="32"/>
      <c r="AG65" s="32"/>
      <c r="AH65" s="32"/>
      <c r="AI65" s="32"/>
      <c r="AJ65" s="36"/>
      <c r="AK65" s="49" t="s">
        <v>75</v>
      </c>
      <c r="AL65" s="32"/>
      <c r="AM65" s="32"/>
      <c r="AN65" s="32"/>
      <c r="AO65" s="32"/>
      <c r="AP65" s="32"/>
      <c r="AQ65" s="32"/>
      <c r="AR65" s="32"/>
      <c r="AS65" s="32"/>
      <c r="AT65" s="32"/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5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5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164</v>
      </c>
      <c r="AI68" s="75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164</v>
      </c>
      <c r="AT68" s="75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R70" s="48"/>
      <c r="S70" s="17"/>
      <c r="T70" s="17"/>
      <c r="U70" s="17"/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T74" s="14" t="s">
        <v>145</v>
      </c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S75" s="47" t="s">
        <v>72</v>
      </c>
      <c r="T75" t="s">
        <v>108</v>
      </c>
      <c r="U75" t="s">
        <v>109</v>
      </c>
      <c r="V75" t="s">
        <v>110</v>
      </c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R76">
        <v>1</v>
      </c>
      <c r="S76" s="48" t="str">
        <f>'Statistics LG'!A4</f>
        <v>11-July</v>
      </c>
      <c r="T76">
        <f>'Statistics LG'!D4</f>
        <v>2</v>
      </c>
      <c r="U76">
        <f>'Statistics WW'!D4</f>
        <v>1</v>
      </c>
      <c r="V76">
        <f>'Statistics 5M'!D4</f>
        <v>3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R77">
        <v>2</v>
      </c>
      <c r="S77" s="48" t="str">
        <f>'Statistics LG'!A5</f>
        <v>12-July</v>
      </c>
      <c r="T77">
        <f>T76+'Statistics LG'!D5</f>
        <v>4</v>
      </c>
      <c r="U77">
        <f>U76+'Statistics WW'!D5</f>
        <v>2</v>
      </c>
      <c r="V77">
        <f>V76+'Statistics 5M'!D5</f>
        <v>6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 s="17">
        <v>3</v>
      </c>
      <c r="S78" s="48" t="str">
        <f>'Statistics LG'!A6</f>
        <v>13-July</v>
      </c>
      <c r="T78" s="17">
        <f>T77+'Statistics LG'!D6</f>
        <v>7</v>
      </c>
      <c r="U78" s="17">
        <f>U77+'Statistics WW'!D6</f>
        <v>4</v>
      </c>
      <c r="V78" s="17">
        <f>V77+'Statistics 5M'!D6</f>
        <v>7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 s="17">
        <v>4</v>
      </c>
      <c r="S79" s="48" t="str">
        <f>'Statistics LG'!A7</f>
        <v>17-July</v>
      </c>
      <c r="T79" s="17">
        <f>T78+'Statistics LG'!D7</f>
        <v>10</v>
      </c>
      <c r="U79" s="17">
        <f>U78+'Statistics WW'!D7</f>
        <v>5</v>
      </c>
      <c r="V79" s="17">
        <f>V78+'Statistics 5M'!D7</f>
        <v>9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5</v>
      </c>
      <c r="S80" s="48">
        <f>'Statistics LG'!A8</f>
        <v>0</v>
      </c>
      <c r="T80" s="17">
        <f>T79+'Statistics LG'!D8</f>
        <v>10</v>
      </c>
      <c r="U80" s="17">
        <f>U79+'Statistics WW'!D8</f>
        <v>5</v>
      </c>
      <c r="V80" s="17">
        <f>V79+'Statistics 5M'!D8</f>
        <v>9</v>
      </c>
      <c r="Z80" s="36" t="s">
        <v>201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201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6</v>
      </c>
      <c r="S81" s="48">
        <f>'Statistics LG'!A9</f>
        <v>0</v>
      </c>
      <c r="T81" s="17">
        <f>T80+'Statistics LG'!D9</f>
        <v>10</v>
      </c>
      <c r="U81" s="17">
        <f>U80+'Statistics WW'!D9</f>
        <v>5</v>
      </c>
      <c r="V81" s="17">
        <f>V80+'Statistics 5M'!D9</f>
        <v>9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7</v>
      </c>
      <c r="S82" s="48">
        <f>'Statistics LG'!A10</f>
        <v>0</v>
      </c>
      <c r="T82" s="17">
        <f>T81+'Statistics LG'!D10</f>
        <v>10</v>
      </c>
      <c r="U82" s="17">
        <f>U81+'Statistics WW'!D10</f>
        <v>5</v>
      </c>
      <c r="V82" s="17">
        <f>V81+'Statistics 5M'!D10</f>
        <v>9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8</v>
      </c>
      <c r="S83" s="48">
        <f>'Statistics LG'!A11</f>
        <v>0</v>
      </c>
      <c r="T83" s="17">
        <f>T82+'Statistics LG'!D11</f>
        <v>10</v>
      </c>
      <c r="U83" s="17">
        <f>U82+'Statistics WW'!D11</f>
        <v>5</v>
      </c>
      <c r="V83" s="17">
        <f>V82+'Statistics 5M'!D11</f>
        <v>9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9</v>
      </c>
      <c r="S84" s="48">
        <f>'Statistics LG'!A12</f>
        <v>0</v>
      </c>
      <c r="T84" s="17">
        <f>T83+'Statistics LG'!D12</f>
        <v>10</v>
      </c>
      <c r="U84" s="17">
        <f>U83+'Statistics WW'!D12</f>
        <v>5</v>
      </c>
      <c r="V84" s="17">
        <f>V83+'Statistics 5M'!D12</f>
        <v>9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10</v>
      </c>
      <c r="S85" s="48">
        <f>'Statistics LG'!A13</f>
        <v>0</v>
      </c>
      <c r="T85" s="17">
        <f>T84+'Statistics LG'!D13</f>
        <v>10</v>
      </c>
      <c r="U85" s="17">
        <f>U84+'Statistics WW'!D13</f>
        <v>5</v>
      </c>
      <c r="V85" s="17">
        <f>V84+'Statistics 5M'!D13</f>
        <v>9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11</v>
      </c>
      <c r="S86" s="48">
        <f>'Statistics LG'!A14</f>
        <v>0</v>
      </c>
      <c r="T86" s="17">
        <f>T85+'Statistics LG'!D14</f>
        <v>10</v>
      </c>
      <c r="U86" s="17">
        <f>U85+'Statistics WW'!D14</f>
        <v>5</v>
      </c>
      <c r="V86" s="17">
        <f>V85+'Statistics 5M'!D14</f>
        <v>9</v>
      </c>
      <c r="Z86" s="68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8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12</v>
      </c>
      <c r="S87" s="48">
        <f>'Statistics LG'!A15</f>
        <v>0</v>
      </c>
      <c r="T87" s="17">
        <f>T86+'Statistics LG'!D15</f>
        <v>10</v>
      </c>
      <c r="U87" s="17">
        <f>U86+'Statistics WW'!D15</f>
        <v>5</v>
      </c>
      <c r="V87" s="17">
        <f>V86+'Statistics 5M'!D15</f>
        <v>9</v>
      </c>
      <c r="Z87" s="49" t="s">
        <v>166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202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13</v>
      </c>
      <c r="S88" s="48">
        <f>'Statistics LG'!A16</f>
        <v>0</v>
      </c>
      <c r="T88" s="17">
        <f>T87+'Statistics LG'!D16</f>
        <v>10</v>
      </c>
      <c r="U88" s="17">
        <f>U87+'Statistics WW'!D16</f>
        <v>5</v>
      </c>
      <c r="V88" s="17">
        <f>V87+'Statistics 5M'!D16</f>
        <v>9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164</v>
      </c>
      <c r="AI88" s="75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164</v>
      </c>
      <c r="AT88" s="75" t="s">
        <v>120</v>
      </c>
    </row>
    <row r="89" spans="18:46" ht="14.25" customHeight="1" x14ac:dyDescent="0.45">
      <c r="R89" s="17">
        <v>14</v>
      </c>
      <c r="S89" s="48">
        <f>'Statistics LG'!A17</f>
        <v>0</v>
      </c>
      <c r="T89" s="17">
        <f>T88+'Statistics LG'!D17</f>
        <v>10</v>
      </c>
      <c r="U89" s="17">
        <f>U88+'Statistics WW'!D17</f>
        <v>5</v>
      </c>
      <c r="V89" s="17">
        <f>V88+'Statistics 5M'!D17</f>
        <v>9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15</v>
      </c>
      <c r="S90" s="48">
        <f>'Statistics LG'!A18</f>
        <v>0</v>
      </c>
      <c r="T90" s="17">
        <f>T89+'Statistics LG'!D18</f>
        <v>10</v>
      </c>
      <c r="U90" s="17">
        <f>U89+'Statistics WW'!D18</f>
        <v>5</v>
      </c>
      <c r="V90" s="17">
        <f>V89+'Statistics 5M'!D18</f>
        <v>9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201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201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3" type="noConversion"/>
  <conditionalFormatting sqref="U109:U118 W103:W108">
    <cfRule type="cellIs" dxfId="149" priority="4" operator="greaterThan">
      <formula>0</formula>
    </cfRule>
  </conditionalFormatting>
  <conditionalFormatting sqref="U109:U118 W103:W108">
    <cfRule type="cellIs" dxfId="148" priority="3" operator="less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55" zoomScaleNormal="55" workbookViewId="0">
      <selection activeCell="F8" sqref="F8"/>
    </sheetView>
  </sheetViews>
  <sheetFormatPr defaultColWidth="14.3984375" defaultRowHeight="15" customHeight="1" x14ac:dyDescent="0.45"/>
  <cols>
    <col min="1" max="24" width="8.73046875" style="81" customWidth="1"/>
    <col min="25" max="25" width="9.6640625" style="81" customWidth="1"/>
    <col min="26" max="28" width="8.73046875" style="81" customWidth="1"/>
    <col min="29" max="29" width="9.53125" style="81" customWidth="1"/>
    <col min="30" max="30" width="9.265625" style="81" customWidth="1"/>
    <col min="31" max="31" width="10.265625" style="81" customWidth="1"/>
    <col min="32" max="32" width="11.33203125" style="81" customWidth="1"/>
    <col min="33" max="33" width="12.46484375" style="81" customWidth="1"/>
    <col min="34" max="34" width="11.06640625" style="81" customWidth="1"/>
    <col min="35" max="35" width="11.33203125" style="81" customWidth="1"/>
    <col min="36" max="39" width="14.3984375" style="81" customWidth="1"/>
    <col min="40" max="16384" width="14.3984375" style="81"/>
  </cols>
  <sheetData>
    <row r="1" spans="1:30" ht="14.35" customHeight="1" x14ac:dyDescent="0.45">
      <c r="L1" s="58"/>
      <c r="M1" s="58"/>
      <c r="N1" s="83"/>
      <c r="O1" s="58"/>
      <c r="P1" s="58"/>
    </row>
    <row r="2" spans="1:30" ht="14.35" customHeight="1" x14ac:dyDescent="0.45">
      <c r="B2" s="82" t="s">
        <v>111</v>
      </c>
      <c r="H2" s="86" t="s">
        <v>90</v>
      </c>
      <c r="I2" s="86" t="s">
        <v>91</v>
      </c>
      <c r="J2" s="58" t="s">
        <v>92</v>
      </c>
      <c r="L2" s="86" t="s">
        <v>86</v>
      </c>
      <c r="N2" s="58"/>
      <c r="O2" s="86" t="s">
        <v>87</v>
      </c>
      <c r="R2" s="108" t="s">
        <v>193</v>
      </c>
      <c r="AA2" s="58"/>
    </row>
    <row r="3" spans="1:30" ht="14.3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>
        <f>SUM(B7:B40)</f>
        <v>8</v>
      </c>
      <c r="I3" s="86">
        <f>SUM(C7:C40)</f>
        <v>3</v>
      </c>
      <c r="J3" s="83">
        <f>SUM(D7:D40)</f>
        <v>3</v>
      </c>
      <c r="L3" s="86" t="s">
        <v>88</v>
      </c>
      <c r="M3" s="86" t="s">
        <v>89</v>
      </c>
      <c r="N3" s="83"/>
      <c r="O3" s="86" t="s">
        <v>88</v>
      </c>
      <c r="P3" s="86" t="s">
        <v>89</v>
      </c>
      <c r="R3" s="109" t="s">
        <v>4</v>
      </c>
      <c r="S3" s="110" t="s">
        <v>0</v>
      </c>
      <c r="T3" s="110" t="s">
        <v>85</v>
      </c>
      <c r="U3" s="111" t="s">
        <v>1</v>
      </c>
      <c r="V3" s="112" t="s">
        <v>80</v>
      </c>
      <c r="W3" s="112" t="s">
        <v>2</v>
      </c>
      <c r="X3" s="112" t="s">
        <v>117</v>
      </c>
      <c r="Y3" s="111" t="s">
        <v>3</v>
      </c>
      <c r="Z3" s="112" t="s">
        <v>118</v>
      </c>
      <c r="AA3" s="112" t="s">
        <v>120</v>
      </c>
      <c r="AD3" s="87"/>
    </row>
    <row r="4" spans="1:30" ht="14.35" customHeight="1" x14ac:dyDescent="0.45">
      <c r="A4" s="135" t="str">
        <f>'Stats Global'!B5</f>
        <v>11-July</v>
      </c>
      <c r="B4" s="136">
        <f>'Stats Global'!F5</f>
        <v>5</v>
      </c>
      <c r="C4" s="136">
        <f>'Stats Global'!G5+'Stats Global'!H5</f>
        <v>6</v>
      </c>
      <c r="D4" s="136">
        <f>'Stats Global'!O5</f>
        <v>2</v>
      </c>
      <c r="E4" s="137" t="s">
        <v>46</v>
      </c>
      <c r="F4" s="137" t="s">
        <v>207</v>
      </c>
      <c r="J4" s="89"/>
      <c r="L4" s="138">
        <f>'Stats Global'!J5</f>
        <v>2</v>
      </c>
      <c r="M4" s="138">
        <f>'Stats Global'!G5</f>
        <v>0</v>
      </c>
      <c r="N4" s="91"/>
      <c r="O4" s="138">
        <f>'Stats Global'!M5</f>
        <v>3</v>
      </c>
      <c r="P4" s="138">
        <f>'Stats Global'!H5</f>
        <v>6</v>
      </c>
      <c r="R4" s="113" t="s">
        <v>61</v>
      </c>
      <c r="S4" s="103">
        <f>'Stats Global'!AA22</f>
        <v>5</v>
      </c>
      <c r="T4" s="103">
        <f>'Stats Global'!AB22</f>
        <v>5</v>
      </c>
      <c r="U4" s="103">
        <f>'Stats Global'!AC22</f>
        <v>3</v>
      </c>
      <c r="V4" s="103">
        <f>'Stats Global'!AD22</f>
        <v>3</v>
      </c>
      <c r="W4" s="103">
        <f>'Stats Global'!AE22</f>
        <v>0</v>
      </c>
      <c r="X4" s="103">
        <f>'Stats Global'!AF22</f>
        <v>0</v>
      </c>
      <c r="Y4" s="103">
        <f>'Stats Global'!AG22</f>
        <v>1</v>
      </c>
      <c r="Z4" s="103">
        <f>'Stats Global'!AH22</f>
        <v>1</v>
      </c>
      <c r="AA4" s="103">
        <f>'Stats Global'!AJ22</f>
        <v>0</v>
      </c>
    </row>
    <row r="5" spans="1:30" ht="14.35" customHeight="1" x14ac:dyDescent="0.45">
      <c r="A5" s="135" t="str">
        <f>'Stats Global'!B6</f>
        <v>12-July</v>
      </c>
      <c r="B5" s="136">
        <f>'Stats Global'!F6</f>
        <v>9</v>
      </c>
      <c r="C5" s="136">
        <f>'Stats Global'!G6+'Stats Global'!H6</f>
        <v>8</v>
      </c>
      <c r="D5" s="136">
        <f>'Stats Global'!O6</f>
        <v>2</v>
      </c>
      <c r="E5" s="137" t="s">
        <v>61</v>
      </c>
      <c r="F5" s="137" t="s">
        <v>210</v>
      </c>
      <c r="I5" s="86"/>
      <c r="J5" s="89"/>
      <c r="L5" s="138">
        <f>'Stats Global'!J6</f>
        <v>4</v>
      </c>
      <c r="M5" s="138">
        <f>'Stats Global'!G6</f>
        <v>1</v>
      </c>
      <c r="N5" s="91"/>
      <c r="O5" s="138">
        <f>'Stats Global'!M6</f>
        <v>5</v>
      </c>
      <c r="P5" s="138">
        <f>'Stats Global'!H6</f>
        <v>7</v>
      </c>
      <c r="R5" s="89" t="s">
        <v>46</v>
      </c>
      <c r="S5" s="103">
        <f>'Stats Global'!AA16</f>
        <v>1</v>
      </c>
      <c r="T5" s="103">
        <f>'Stats Global'!AB16</f>
        <v>1</v>
      </c>
      <c r="U5" s="103">
        <f>'Stats Global'!AC16</f>
        <v>1</v>
      </c>
      <c r="V5" s="103">
        <f>'Stats Global'!AD16</f>
        <v>1</v>
      </c>
      <c r="W5" s="103">
        <f>'Stats Global'!AE16</f>
        <v>0</v>
      </c>
      <c r="X5" s="103">
        <f>'Stats Global'!AF16</f>
        <v>0</v>
      </c>
      <c r="Y5" s="103">
        <f>'Stats Global'!AG16</f>
        <v>0</v>
      </c>
      <c r="Z5" s="103">
        <f>'Stats Global'!AH16</f>
        <v>0</v>
      </c>
      <c r="AA5" s="103">
        <f>'Stats Global'!AJ16</f>
        <v>0</v>
      </c>
    </row>
    <row r="6" spans="1:30" ht="14.35" customHeight="1" x14ac:dyDescent="0.45">
      <c r="A6" s="135" t="str">
        <f>'Stats Global'!B7</f>
        <v>13-July</v>
      </c>
      <c r="B6" s="136">
        <f>'Stats Global'!F7</f>
        <v>8</v>
      </c>
      <c r="C6" s="136">
        <f>'Stats Global'!G7+'Stats Global'!H7</f>
        <v>2</v>
      </c>
      <c r="D6" s="136">
        <f>'Stats Global'!O7</f>
        <v>3</v>
      </c>
      <c r="E6" s="137" t="s">
        <v>61</v>
      </c>
      <c r="F6" s="137" t="s">
        <v>61</v>
      </c>
      <c r="I6" s="86"/>
      <c r="J6" s="89"/>
      <c r="L6" s="138">
        <f>'Stats Global'!J7</f>
        <v>4</v>
      </c>
      <c r="M6" s="138">
        <f>'Stats Global'!G7</f>
        <v>2</v>
      </c>
      <c r="N6" s="91"/>
      <c r="O6" s="138">
        <f>'Stats Global'!M7</f>
        <v>4</v>
      </c>
      <c r="P6" s="138">
        <f>'Stats Global'!H7</f>
        <v>0</v>
      </c>
      <c r="R6" s="89" t="s">
        <v>58</v>
      </c>
      <c r="S6" s="103">
        <f>'Stats Global'!AA21</f>
        <v>1</v>
      </c>
      <c r="T6" s="103">
        <f>'Stats Global'!AB21</f>
        <v>1</v>
      </c>
      <c r="U6" s="103">
        <f>'Stats Global'!AC21</f>
        <v>0</v>
      </c>
      <c r="V6" s="103">
        <f>'Stats Global'!AD21</f>
        <v>0</v>
      </c>
      <c r="W6" s="103">
        <f>'Stats Global'!AE21</f>
        <v>1</v>
      </c>
      <c r="X6" s="103">
        <f>'Stats Global'!AF21</f>
        <v>1</v>
      </c>
      <c r="Y6" s="103">
        <f>'Stats Global'!AG21</f>
        <v>0</v>
      </c>
      <c r="Z6" s="103">
        <f>'Stats Global'!AH21</f>
        <v>0</v>
      </c>
      <c r="AA6" s="103">
        <f>'Stats Global'!AJ21</f>
        <v>0</v>
      </c>
    </row>
    <row r="7" spans="1:30" ht="14.35" customHeight="1" x14ac:dyDescent="0.45">
      <c r="A7" s="80" t="str">
        <f>'Stats Global'!B8</f>
        <v>17-July</v>
      </c>
      <c r="B7" s="88">
        <f>'Stats Global'!F8</f>
        <v>8</v>
      </c>
      <c r="C7" s="88">
        <f>'Stats Global'!G8+'Stats Global'!H8</f>
        <v>3</v>
      </c>
      <c r="D7" s="88">
        <f>'Stats Global'!O8</f>
        <v>3</v>
      </c>
      <c r="E7" s="85" t="s">
        <v>61</v>
      </c>
      <c r="F7" s="85" t="s">
        <v>61</v>
      </c>
      <c r="I7" s="86"/>
      <c r="J7" s="89"/>
      <c r="L7" s="90">
        <f>'Stats Global'!J8</f>
        <v>5</v>
      </c>
      <c r="M7" s="90">
        <f>'Stats Global'!G8</f>
        <v>0</v>
      </c>
      <c r="N7" s="91"/>
      <c r="O7" s="90">
        <f>'Stats Global'!M8</f>
        <v>3</v>
      </c>
      <c r="P7" s="90">
        <f>'Stats Global'!H8</f>
        <v>3</v>
      </c>
      <c r="R7" s="89" t="s">
        <v>25</v>
      </c>
      <c r="S7" s="103">
        <f>'Stats Global'!AA8</f>
        <v>0</v>
      </c>
      <c r="T7" s="103">
        <f>'Stats Global'!AB8</f>
        <v>0</v>
      </c>
      <c r="U7" s="103">
        <f>'Stats Global'!AC8</f>
        <v>0</v>
      </c>
      <c r="V7" s="103">
        <f>'Stats Global'!AD8</f>
        <v>0</v>
      </c>
      <c r="W7" s="103">
        <f>'Stats Global'!AE8</f>
        <v>0</v>
      </c>
      <c r="X7" s="103">
        <f>'Stats Global'!AF8</f>
        <v>0</v>
      </c>
      <c r="Y7" s="103">
        <f>'Stats Global'!AG8</f>
        <v>0</v>
      </c>
      <c r="Z7" s="103">
        <f>'Stats Global'!AH8</f>
        <v>0</v>
      </c>
      <c r="AA7" s="103">
        <f>'Stats Global'!AJ8</f>
        <v>0</v>
      </c>
    </row>
    <row r="8" spans="1:30" ht="14.35" customHeight="1" x14ac:dyDescent="0.45">
      <c r="A8" s="80">
        <f>'Stats Global'!B9</f>
        <v>0</v>
      </c>
      <c r="B8" s="88">
        <f>'Stats Global'!F9</f>
        <v>0</v>
      </c>
      <c r="C8" s="88">
        <f>'Stats Global'!G9+'Stats Global'!H9</f>
        <v>0</v>
      </c>
      <c r="D8" s="88">
        <f>'Stats Global'!O9</f>
        <v>0</v>
      </c>
      <c r="E8" s="85"/>
      <c r="F8" s="85"/>
      <c r="I8" s="86"/>
      <c r="J8" s="89"/>
      <c r="L8" s="90">
        <f>'Stats Global'!J9</f>
        <v>0</v>
      </c>
      <c r="M8" s="90">
        <f>'Stats Global'!G9</f>
        <v>0</v>
      </c>
      <c r="N8" s="91"/>
      <c r="O8" s="90">
        <f>'Stats Global'!M9</f>
        <v>0</v>
      </c>
      <c r="P8" s="90">
        <f>'Stats Global'!H9</f>
        <v>0</v>
      </c>
      <c r="R8" s="89" t="s">
        <v>28</v>
      </c>
      <c r="S8" s="103">
        <f>'Stats Global'!AA9</f>
        <v>2</v>
      </c>
      <c r="T8" s="103">
        <f>'Stats Global'!AB9</f>
        <v>2</v>
      </c>
      <c r="U8" s="103">
        <f>'Stats Global'!AC9</f>
        <v>2</v>
      </c>
      <c r="V8" s="103">
        <f>'Stats Global'!AD9</f>
        <v>2</v>
      </c>
      <c r="W8" s="103">
        <f>'Stats Global'!AE9</f>
        <v>0</v>
      </c>
      <c r="X8" s="103">
        <f>'Stats Global'!AF9</f>
        <v>0</v>
      </c>
      <c r="Y8" s="103">
        <f>'Stats Global'!AG9</f>
        <v>0</v>
      </c>
      <c r="Z8" s="103">
        <f>'Stats Global'!AH9</f>
        <v>0</v>
      </c>
      <c r="AA8" s="103">
        <f>'Stats Global'!AJ9</f>
        <v>0</v>
      </c>
    </row>
    <row r="9" spans="1:30" ht="14.35" customHeight="1" x14ac:dyDescent="0.45">
      <c r="A9" s="80">
        <f>'Stats Global'!B10</f>
        <v>0</v>
      </c>
      <c r="B9" s="88">
        <f>'Stats Global'!F10</f>
        <v>0</v>
      </c>
      <c r="C9" s="88">
        <f>'Stats Global'!G10+'Stats Global'!H10</f>
        <v>0</v>
      </c>
      <c r="D9" s="88">
        <f>'Stats Global'!O10</f>
        <v>0</v>
      </c>
      <c r="E9" s="85"/>
      <c r="F9" s="85"/>
      <c r="I9" s="86"/>
      <c r="J9" s="89"/>
      <c r="L9" s="90">
        <f>'Stats Global'!J10</f>
        <v>0</v>
      </c>
      <c r="M9" s="90">
        <f>'Stats Global'!G10</f>
        <v>0</v>
      </c>
      <c r="N9" s="91"/>
      <c r="O9" s="90">
        <f>'Stats Global'!M10</f>
        <v>0</v>
      </c>
      <c r="P9" s="90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80">
        <f>'Stats Global'!B11</f>
        <v>0</v>
      </c>
      <c r="B10" s="88">
        <f>'Stats Global'!F11</f>
        <v>0</v>
      </c>
      <c r="C10" s="88">
        <f>'Stats Global'!G11+'Stats Global'!H11</f>
        <v>0</v>
      </c>
      <c r="D10" s="88">
        <f>'Stats Global'!O11</f>
        <v>0</v>
      </c>
      <c r="E10" s="85"/>
      <c r="F10" s="85"/>
      <c r="I10" s="86"/>
      <c r="J10" s="89"/>
      <c r="L10" s="90">
        <f>'Stats Global'!J11</f>
        <v>0</v>
      </c>
      <c r="M10" s="90">
        <f>'Stats Global'!G11</f>
        <v>0</v>
      </c>
      <c r="N10" s="91"/>
      <c r="O10" s="90">
        <f>'Stats Global'!M11</f>
        <v>0</v>
      </c>
      <c r="P10" s="90">
        <f>'Stats Global'!H11</f>
        <v>0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80">
        <f>'Stats Global'!B12</f>
        <v>0</v>
      </c>
      <c r="B11" s="88">
        <f>'Stats Global'!F12</f>
        <v>0</v>
      </c>
      <c r="C11" s="88">
        <f>'Stats Global'!G12+'Stats Global'!H12</f>
        <v>0</v>
      </c>
      <c r="D11" s="88">
        <f>'Stats Global'!O12</f>
        <v>0</v>
      </c>
      <c r="E11" s="85"/>
      <c r="F11" s="85"/>
      <c r="I11" s="86"/>
      <c r="J11" s="89"/>
      <c r="L11" s="90">
        <f>'Stats Global'!J12</f>
        <v>0</v>
      </c>
      <c r="M11" s="90">
        <f>'Stats Global'!G12</f>
        <v>0</v>
      </c>
      <c r="N11" s="91"/>
      <c r="O11" s="90">
        <f>'Stats Global'!M12</f>
        <v>0</v>
      </c>
      <c r="P11" s="90">
        <f>'Stats Global'!H12</f>
        <v>0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80">
        <f>'Stats Global'!B13</f>
        <v>0</v>
      </c>
      <c r="B12" s="88">
        <f>'Stats Global'!F13</f>
        <v>0</v>
      </c>
      <c r="C12" s="88">
        <f>'Stats Global'!G13+'Stats Global'!H13</f>
        <v>0</v>
      </c>
      <c r="D12" s="88">
        <f>'Stats Global'!O13</f>
        <v>0</v>
      </c>
      <c r="E12" s="85"/>
      <c r="F12" s="85"/>
      <c r="I12" s="86"/>
      <c r="J12" s="89"/>
      <c r="L12" s="90">
        <f>'Stats Global'!J13</f>
        <v>0</v>
      </c>
      <c r="M12" s="90">
        <f>'Stats Global'!G13</f>
        <v>0</v>
      </c>
      <c r="N12" s="91"/>
      <c r="O12" s="90">
        <f>'Stats Global'!M13</f>
        <v>0</v>
      </c>
      <c r="P12" s="90">
        <f>'Stats Global'!H13</f>
        <v>0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80">
        <f>'Stats Global'!B14</f>
        <v>0</v>
      </c>
      <c r="B13" s="88">
        <f>'Stats Global'!F14</f>
        <v>0</v>
      </c>
      <c r="C13" s="88">
        <f>'Stats Global'!G14+'Stats Global'!H14</f>
        <v>0</v>
      </c>
      <c r="D13" s="88">
        <f>'Stats Global'!O14</f>
        <v>0</v>
      </c>
      <c r="E13" s="85"/>
      <c r="F13" s="85"/>
      <c r="J13" s="89"/>
      <c r="L13" s="90">
        <f>'Stats Global'!J14</f>
        <v>0</v>
      </c>
      <c r="M13" s="90">
        <f>'Stats Global'!G14</f>
        <v>0</v>
      </c>
      <c r="N13" s="91"/>
      <c r="O13" s="90">
        <f>'Stats Global'!M14</f>
        <v>0</v>
      </c>
      <c r="P13" s="90">
        <f>'Stats Global'!H14</f>
        <v>0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80">
        <f>'Stats Global'!B15</f>
        <v>0</v>
      </c>
      <c r="B14" s="88">
        <f>'Stats Global'!F15</f>
        <v>0</v>
      </c>
      <c r="C14" s="88">
        <f>'Stats Global'!G15+'Stats Global'!H15</f>
        <v>0</v>
      </c>
      <c r="D14" s="88">
        <f>'Stats Global'!O15</f>
        <v>0</v>
      </c>
      <c r="E14" s="85"/>
      <c r="F14" s="85"/>
      <c r="J14" s="89"/>
      <c r="L14" s="90">
        <f>'Stats Global'!J15</f>
        <v>0</v>
      </c>
      <c r="M14" s="90">
        <f>'Stats Global'!G15</f>
        <v>0</v>
      </c>
      <c r="N14" s="91"/>
      <c r="O14" s="90">
        <f>'Stats Global'!M15</f>
        <v>0</v>
      </c>
      <c r="P14" s="90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80">
        <f>'Stats Global'!B16</f>
        <v>0</v>
      </c>
      <c r="B15" s="88">
        <f>'Stats Global'!F16</f>
        <v>0</v>
      </c>
      <c r="C15" s="88">
        <f>'Stats Global'!G16+'Stats Global'!H16</f>
        <v>0</v>
      </c>
      <c r="D15" s="88">
        <f>'Stats Global'!O16</f>
        <v>0</v>
      </c>
      <c r="E15" s="85"/>
      <c r="F15" s="85"/>
      <c r="J15" s="89"/>
      <c r="L15" s="90">
        <f>'Stats Global'!J16</f>
        <v>0</v>
      </c>
      <c r="M15" s="90">
        <f>'Stats Global'!G16</f>
        <v>0</v>
      </c>
      <c r="N15" s="91"/>
      <c r="O15" s="90">
        <f>'Stats Global'!M16</f>
        <v>0</v>
      </c>
      <c r="P15" s="90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80">
        <f>'Stats Global'!B17</f>
        <v>0</v>
      </c>
      <c r="B16" s="88">
        <f>'Stats Global'!F17</f>
        <v>0</v>
      </c>
      <c r="C16" s="88">
        <f>'Stats Global'!G17+'Stats Global'!H17</f>
        <v>0</v>
      </c>
      <c r="D16" s="88">
        <f>'Stats Global'!O17</f>
        <v>0</v>
      </c>
      <c r="E16" s="85"/>
      <c r="F16" s="85"/>
      <c r="J16" s="89"/>
      <c r="L16" s="90">
        <f>'Stats Global'!J17</f>
        <v>0</v>
      </c>
      <c r="M16" s="90">
        <f>'Stats Global'!G17</f>
        <v>0</v>
      </c>
      <c r="N16" s="91"/>
      <c r="O16" s="90">
        <f>'Stats Global'!M17</f>
        <v>0</v>
      </c>
      <c r="P16" s="90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80">
        <f>'Stats Global'!B18</f>
        <v>0</v>
      </c>
      <c r="B17" s="88">
        <f>'Stats Global'!F18</f>
        <v>0</v>
      </c>
      <c r="C17" s="88">
        <f>'Stats Global'!G18+'Stats Global'!H18</f>
        <v>0</v>
      </c>
      <c r="D17" s="88">
        <f>'Stats Global'!O18</f>
        <v>0</v>
      </c>
      <c r="E17" s="92"/>
      <c r="F17" s="92"/>
      <c r="J17" s="89"/>
      <c r="L17" s="90">
        <f>'Stats Global'!J18</f>
        <v>0</v>
      </c>
      <c r="M17" s="90">
        <f>'Stats Global'!G18</f>
        <v>0</v>
      </c>
      <c r="N17" s="91"/>
      <c r="O17" s="90">
        <f>'Stats Global'!M18</f>
        <v>0</v>
      </c>
      <c r="P17" s="90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80">
        <f>'Stats Global'!B19</f>
        <v>0</v>
      </c>
      <c r="B18" s="88">
        <f>'Stats Global'!F19</f>
        <v>0</v>
      </c>
      <c r="C18" s="88">
        <f>'Stats Global'!G19+'Stats Global'!H19</f>
        <v>0</v>
      </c>
      <c r="D18" s="88">
        <f>'Stats Global'!O19</f>
        <v>0</v>
      </c>
      <c r="E18" s="93"/>
      <c r="F18" s="93"/>
      <c r="J18" s="89"/>
      <c r="L18" s="90">
        <f>'Stats Global'!J19</f>
        <v>0</v>
      </c>
      <c r="M18" s="90">
        <f>'Stats Global'!G19</f>
        <v>0</v>
      </c>
      <c r="N18" s="91"/>
      <c r="O18" s="90">
        <f>'Stats Global'!M19</f>
        <v>0</v>
      </c>
      <c r="P18" s="90">
        <f>'Stats Global'!H19</f>
        <v>0</v>
      </c>
    </row>
    <row r="19" spans="1:23" ht="14.35" customHeight="1" x14ac:dyDescent="0.45">
      <c r="A19" s="80">
        <f>'Stats Global'!B20</f>
        <v>0</v>
      </c>
      <c r="B19" s="88">
        <f>'Stats Global'!F20</f>
        <v>0</v>
      </c>
      <c r="C19" s="88">
        <f>'Stats Global'!G20+'Stats Global'!H20</f>
        <v>0</v>
      </c>
      <c r="D19" s="88">
        <f>'Stats Global'!O20</f>
        <v>0</v>
      </c>
      <c r="E19" s="94"/>
      <c r="F19" s="94"/>
      <c r="J19" s="89"/>
      <c r="L19" s="90">
        <f>'Stats Global'!J20</f>
        <v>0</v>
      </c>
      <c r="M19" s="90">
        <f>'Stats Global'!G20</f>
        <v>0</v>
      </c>
      <c r="N19" s="91"/>
      <c r="O19" s="90">
        <f>'Stats Global'!M20</f>
        <v>0</v>
      </c>
      <c r="P19" s="90">
        <f>'Stats Global'!H20</f>
        <v>0</v>
      </c>
    </row>
    <row r="20" spans="1:23" ht="14.35" customHeight="1" x14ac:dyDescent="0.45">
      <c r="A20" s="80">
        <f>'Stats Global'!B21</f>
        <v>0</v>
      </c>
      <c r="B20" s="88">
        <f>'Stats Global'!F21</f>
        <v>0</v>
      </c>
      <c r="C20" s="88">
        <f>'Stats Global'!G21+'Stats Global'!H21</f>
        <v>0</v>
      </c>
      <c r="D20" s="88">
        <f>'Stats Global'!O21</f>
        <v>0</v>
      </c>
      <c r="E20" s="95"/>
      <c r="F20" s="95"/>
      <c r="J20" s="89"/>
      <c r="L20" s="90">
        <f>'Stats Global'!J21</f>
        <v>0</v>
      </c>
      <c r="M20" s="90">
        <f>'Stats Global'!G21</f>
        <v>0</v>
      </c>
      <c r="N20" s="91"/>
      <c r="O20" s="90">
        <f>'Stats Global'!M21</f>
        <v>0</v>
      </c>
      <c r="P20" s="90">
        <f>'Stats Global'!H21</f>
        <v>0</v>
      </c>
    </row>
    <row r="21" spans="1:23" ht="14.35" customHeight="1" x14ac:dyDescent="0.45">
      <c r="A21" s="80">
        <f>'Stats Global'!B22</f>
        <v>0</v>
      </c>
      <c r="B21" s="88">
        <f>'Stats Global'!F22</f>
        <v>0</v>
      </c>
      <c r="C21" s="88">
        <f>'Stats Global'!G22+'Stats Global'!H22</f>
        <v>0</v>
      </c>
      <c r="D21" s="88">
        <f>'Stats Global'!O22</f>
        <v>0</v>
      </c>
      <c r="E21" s="85"/>
      <c r="F21" s="85"/>
      <c r="J21" s="89"/>
      <c r="L21" s="90">
        <f>'Stats Global'!J22</f>
        <v>0</v>
      </c>
      <c r="M21" s="90">
        <f>'Stats Global'!G22</f>
        <v>0</v>
      </c>
      <c r="N21" s="91"/>
      <c r="O21" s="90">
        <f>'Stats Global'!M22</f>
        <v>0</v>
      </c>
      <c r="P21" s="90">
        <f>'Stats Global'!H22</f>
        <v>0</v>
      </c>
    </row>
    <row r="22" spans="1:23" ht="14.35" customHeight="1" x14ac:dyDescent="0.45">
      <c r="A22" s="80">
        <f>'Stats Global'!B23</f>
        <v>0</v>
      </c>
      <c r="B22" s="88">
        <f>'Stats Global'!F23</f>
        <v>0</v>
      </c>
      <c r="C22" s="88">
        <f>'Stats Global'!G23+'Stats Global'!H23</f>
        <v>0</v>
      </c>
      <c r="D22" s="88">
        <f>'Stats Global'!O23</f>
        <v>0</v>
      </c>
      <c r="E22" s="85"/>
      <c r="F22" s="85"/>
      <c r="H22" s="97"/>
      <c r="J22" s="89"/>
      <c r="L22" s="90">
        <f>'Stats Global'!J23</f>
        <v>0</v>
      </c>
      <c r="M22" s="90">
        <f>'Stats Global'!G23</f>
        <v>0</v>
      </c>
      <c r="N22" s="91"/>
      <c r="O22" s="90">
        <f>'Stats Global'!M23</f>
        <v>0</v>
      </c>
      <c r="P22" s="90">
        <f>'Stats Global'!H23</f>
        <v>0</v>
      </c>
    </row>
    <row r="23" spans="1:23" ht="14.35" customHeight="1" x14ac:dyDescent="0.45">
      <c r="A23" s="80">
        <f>'Stats Global'!B24</f>
        <v>0</v>
      </c>
      <c r="B23" s="88">
        <f>'Stats Global'!F24</f>
        <v>0</v>
      </c>
      <c r="C23" s="88">
        <f>'Stats Global'!G24+'Stats Global'!H24</f>
        <v>0</v>
      </c>
      <c r="D23" s="88">
        <f>'Stats Global'!O24</f>
        <v>0</v>
      </c>
      <c r="E23" s="96"/>
      <c r="F23" s="85"/>
      <c r="H23" s="97"/>
      <c r="J23" s="89"/>
      <c r="L23" s="90">
        <f>'Stats Global'!J24</f>
        <v>0</v>
      </c>
      <c r="M23" s="90">
        <f>'Stats Global'!G24</f>
        <v>0</v>
      </c>
      <c r="N23" s="91"/>
      <c r="O23" s="90">
        <f>'Stats Global'!M24</f>
        <v>0</v>
      </c>
      <c r="P23" s="90">
        <f>'Stats Global'!H24</f>
        <v>0</v>
      </c>
    </row>
    <row r="24" spans="1:23" ht="14.35" customHeight="1" x14ac:dyDescent="0.45">
      <c r="A24" s="80">
        <f>'Stats Global'!B25</f>
        <v>0</v>
      </c>
      <c r="B24" s="88">
        <f>'Stats Global'!F25</f>
        <v>0</v>
      </c>
      <c r="C24" s="88">
        <f>'Stats Global'!G25+'Stats Global'!H25</f>
        <v>0</v>
      </c>
      <c r="D24" s="88">
        <f>'Stats Global'!O25</f>
        <v>0</v>
      </c>
      <c r="E24" s="96"/>
      <c r="F24" s="85"/>
      <c r="H24" s="97"/>
      <c r="J24" s="89"/>
      <c r="L24" s="90">
        <f>'Stats Global'!J25</f>
        <v>0</v>
      </c>
      <c r="M24" s="90">
        <f>'Stats Global'!G25</f>
        <v>0</v>
      </c>
      <c r="N24" s="91"/>
      <c r="O24" s="90">
        <f>'Stats Global'!M25</f>
        <v>0</v>
      </c>
      <c r="P24" s="90">
        <f>'Stats Global'!H25</f>
        <v>0</v>
      </c>
    </row>
    <row r="25" spans="1:23" ht="14.35" customHeight="1" x14ac:dyDescent="0.45">
      <c r="A25" s="80">
        <f>'Stats Global'!B26</f>
        <v>0</v>
      </c>
      <c r="B25" s="88">
        <f>'Stats Global'!F26</f>
        <v>0</v>
      </c>
      <c r="C25" s="88">
        <f>'Stats Global'!G26+'Stats Global'!H26</f>
        <v>0</v>
      </c>
      <c r="D25" s="88">
        <f>'Stats Global'!O26</f>
        <v>0</v>
      </c>
      <c r="E25" s="96"/>
      <c r="F25" s="85"/>
      <c r="J25" s="89"/>
      <c r="L25" s="90">
        <f>'Stats Global'!J26</f>
        <v>0</v>
      </c>
      <c r="M25" s="90">
        <f>'Stats Global'!G26</f>
        <v>0</v>
      </c>
      <c r="N25" s="91"/>
      <c r="O25" s="90">
        <f>'Stats Global'!M26</f>
        <v>0</v>
      </c>
      <c r="P25" s="90">
        <f>'Stats Global'!H26</f>
        <v>0</v>
      </c>
    </row>
    <row r="26" spans="1:23" ht="14.35" customHeight="1" x14ac:dyDescent="0.45">
      <c r="A26" s="80">
        <f>'Stats Global'!B27</f>
        <v>0</v>
      </c>
      <c r="B26" s="88">
        <f>'Stats Global'!F27</f>
        <v>0</v>
      </c>
      <c r="C26" s="88">
        <f>'Stats Global'!G27+'Stats Global'!H27</f>
        <v>0</v>
      </c>
      <c r="D26" s="88">
        <f>'Stats Global'!O27</f>
        <v>0</v>
      </c>
      <c r="E26" s="85"/>
      <c r="F26" s="85"/>
      <c r="J26" s="89"/>
      <c r="L26" s="90">
        <f>'Stats Global'!J27</f>
        <v>0</v>
      </c>
      <c r="M26" s="90">
        <f>'Stats Global'!G27</f>
        <v>0</v>
      </c>
      <c r="N26" s="91"/>
      <c r="O26" s="90">
        <f>'Stats Global'!M27</f>
        <v>0</v>
      </c>
      <c r="P26" s="90">
        <f>'Stats Global'!H27</f>
        <v>0</v>
      </c>
    </row>
    <row r="27" spans="1:23" ht="14.35" customHeight="1" x14ac:dyDescent="0.45">
      <c r="A27" s="80">
        <f>'Stats Global'!B28</f>
        <v>0</v>
      </c>
      <c r="B27" s="88">
        <f>'Stats Global'!F28</f>
        <v>0</v>
      </c>
      <c r="C27" s="88">
        <f>'Stats Global'!G28+'Stats Global'!H28</f>
        <v>0</v>
      </c>
      <c r="D27" s="88">
        <f>'Stats Global'!O28</f>
        <v>0</v>
      </c>
      <c r="E27" s="85"/>
      <c r="F27" s="85"/>
      <c r="J27" s="89"/>
      <c r="L27" s="90">
        <f>'Stats Global'!J28</f>
        <v>0</v>
      </c>
      <c r="M27" s="90">
        <f>'Stats Global'!G28</f>
        <v>0</v>
      </c>
      <c r="N27" s="91"/>
      <c r="O27" s="90">
        <f>'Stats Global'!M28</f>
        <v>0</v>
      </c>
      <c r="P27" s="90">
        <f>'Stats Global'!H28</f>
        <v>0</v>
      </c>
    </row>
    <row r="28" spans="1:23" ht="14.35" customHeight="1" x14ac:dyDescent="0.45">
      <c r="A28" s="80">
        <f>'Stats Global'!B29</f>
        <v>0</v>
      </c>
      <c r="B28" s="88">
        <f>'Stats Global'!F29</f>
        <v>0</v>
      </c>
      <c r="C28" s="88">
        <f>'Stats Global'!G29+'Stats Global'!H29</f>
        <v>0</v>
      </c>
      <c r="D28" s="88">
        <f>'Stats Global'!O29</f>
        <v>0</v>
      </c>
      <c r="E28" s="85"/>
      <c r="F28" s="85"/>
      <c r="J28" s="89"/>
      <c r="L28" s="90">
        <f>'Stats Global'!J29</f>
        <v>0</v>
      </c>
      <c r="M28" s="90">
        <f>'Stats Global'!G29</f>
        <v>0</v>
      </c>
      <c r="N28" s="91"/>
      <c r="O28" s="90">
        <f>'Stats Global'!M29</f>
        <v>0</v>
      </c>
      <c r="P28" s="90">
        <f>'Stats Global'!H29</f>
        <v>0</v>
      </c>
    </row>
    <row r="29" spans="1:23" ht="14.35" customHeight="1" x14ac:dyDescent="0.45">
      <c r="A29" s="80">
        <f>'Stats Global'!B30</f>
        <v>0</v>
      </c>
      <c r="B29" s="88">
        <f>'Stats Global'!F30</f>
        <v>0</v>
      </c>
      <c r="C29" s="88">
        <f>'Stats Global'!G30+'Stats Global'!H30</f>
        <v>0</v>
      </c>
      <c r="D29" s="88">
        <f>'Stats Global'!O30</f>
        <v>0</v>
      </c>
      <c r="E29" s="85"/>
      <c r="F29" s="85"/>
      <c r="J29" s="89"/>
      <c r="L29" s="90">
        <f>'Stats Global'!J30</f>
        <v>0</v>
      </c>
      <c r="M29" s="90">
        <f>'Stats Global'!G30</f>
        <v>0</v>
      </c>
      <c r="N29" s="91"/>
      <c r="O29" s="90">
        <f>'Stats Global'!M30</f>
        <v>0</v>
      </c>
      <c r="P29" s="90">
        <f>'Stats Global'!H30</f>
        <v>0</v>
      </c>
    </row>
    <row r="30" spans="1:23" ht="14.35" customHeight="1" x14ac:dyDescent="0.45">
      <c r="A30" s="80">
        <f>'Stats Global'!B31</f>
        <v>0</v>
      </c>
      <c r="B30" s="88">
        <f>'Stats Global'!F31</f>
        <v>0</v>
      </c>
      <c r="C30" s="88">
        <f>'Stats Global'!G31+'Stats Global'!H31</f>
        <v>0</v>
      </c>
      <c r="D30" s="88">
        <f>'Stats Global'!O31</f>
        <v>0</v>
      </c>
      <c r="E30" s="85"/>
      <c r="F30" s="85"/>
      <c r="L30" s="90">
        <f>'Stats Global'!J31</f>
        <v>0</v>
      </c>
      <c r="M30" s="90">
        <f>'Stats Global'!G31</f>
        <v>0</v>
      </c>
      <c r="N30" s="91"/>
      <c r="O30" s="90">
        <f>'Stats Global'!M31</f>
        <v>0</v>
      </c>
      <c r="P30" s="90">
        <f>'Stats Global'!H31</f>
        <v>0</v>
      </c>
    </row>
    <row r="31" spans="1:23" ht="14.35" customHeight="1" x14ac:dyDescent="0.45">
      <c r="A31" s="80">
        <f>'Stats Global'!B32</f>
        <v>0</v>
      </c>
      <c r="B31" s="88">
        <f>'Stats Global'!F32</f>
        <v>0</v>
      </c>
      <c r="C31" s="88">
        <f>'Stats Global'!G32+'Stats Global'!H32</f>
        <v>0</v>
      </c>
      <c r="D31" s="88">
        <f>'Stats Global'!O32</f>
        <v>0</v>
      </c>
      <c r="E31" s="85"/>
      <c r="F31" s="85"/>
      <c r="L31" s="90">
        <f>'Stats Global'!J32</f>
        <v>0</v>
      </c>
      <c r="M31" s="90">
        <f>'Stats Global'!G32</f>
        <v>0</v>
      </c>
      <c r="N31" s="91"/>
      <c r="O31" s="90">
        <f>'Stats Global'!M32</f>
        <v>0</v>
      </c>
      <c r="P31" s="90">
        <f>'Stats Global'!H32</f>
        <v>0</v>
      </c>
    </row>
    <row r="32" spans="1:23" ht="14.35" customHeight="1" x14ac:dyDescent="0.45">
      <c r="A32" s="80">
        <f>'Stats Global'!B33</f>
        <v>0</v>
      </c>
      <c r="B32" s="88">
        <f>'Stats Global'!F33</f>
        <v>0</v>
      </c>
      <c r="C32" s="88">
        <f>'Stats Global'!G33+'Stats Global'!H33</f>
        <v>0</v>
      </c>
      <c r="D32" s="88">
        <f>'Stats Global'!O33</f>
        <v>0</v>
      </c>
      <c r="E32" s="85"/>
      <c r="F32" s="85"/>
      <c r="L32" s="90">
        <f>'Stats Global'!J33</f>
        <v>0</v>
      </c>
      <c r="M32" s="90">
        <f>'Stats Global'!G33</f>
        <v>0</v>
      </c>
      <c r="N32" s="91"/>
      <c r="O32" s="90">
        <f>'Stats Global'!M33</f>
        <v>0</v>
      </c>
      <c r="P32" s="90">
        <f>'Stats Global'!H33</f>
        <v>0</v>
      </c>
    </row>
    <row r="33" spans="1:16" ht="14.35" customHeight="1" x14ac:dyDescent="0.45">
      <c r="A33" s="80">
        <f>'Stats Global'!B34</f>
        <v>0</v>
      </c>
      <c r="B33" s="88">
        <f>'Stats Global'!F34</f>
        <v>0</v>
      </c>
      <c r="C33" s="88">
        <f>'Stats Global'!G34+'Stats Global'!H34</f>
        <v>0</v>
      </c>
      <c r="D33" s="88">
        <f>'Stats Global'!O34</f>
        <v>0</v>
      </c>
      <c r="E33" s="85"/>
      <c r="F33" s="85"/>
      <c r="L33" s="90">
        <f>'Stats Global'!J34</f>
        <v>0</v>
      </c>
      <c r="M33" s="90">
        <f>'Stats Global'!G34</f>
        <v>0</v>
      </c>
      <c r="N33" s="91"/>
      <c r="O33" s="90">
        <f>'Stats Global'!M34</f>
        <v>0</v>
      </c>
      <c r="P33" s="90">
        <f>'Stats Global'!H34</f>
        <v>0</v>
      </c>
    </row>
    <row r="34" spans="1:16" ht="14.25" customHeight="1" x14ac:dyDescent="0.45">
      <c r="A34" s="80">
        <f>'Stats Global'!B35</f>
        <v>0</v>
      </c>
      <c r="B34" s="88">
        <f>'Stats Global'!F35</f>
        <v>0</v>
      </c>
      <c r="C34" s="88">
        <f>'Stats Global'!G35+'Stats Global'!H35</f>
        <v>0</v>
      </c>
      <c r="D34" s="88">
        <f>'Stats Global'!O35</f>
        <v>0</v>
      </c>
      <c r="E34" s="85"/>
      <c r="F34" s="85"/>
      <c r="L34" s="90">
        <f>'Stats Global'!J35</f>
        <v>0</v>
      </c>
      <c r="M34" s="90">
        <f>'Stats Global'!G35</f>
        <v>0</v>
      </c>
      <c r="N34" s="91"/>
      <c r="O34" s="90">
        <f>'Stats Global'!M35</f>
        <v>0</v>
      </c>
      <c r="P34" s="90">
        <f>'Stats Global'!H35</f>
        <v>0</v>
      </c>
    </row>
    <row r="35" spans="1:16" ht="14.25" customHeight="1" x14ac:dyDescent="0.45">
      <c r="A35" s="80">
        <f>'Stats Global'!B36</f>
        <v>0</v>
      </c>
      <c r="B35" s="88">
        <f>'Stats Global'!F36</f>
        <v>0</v>
      </c>
      <c r="C35" s="88">
        <f>'Stats Global'!G36+'Stats Global'!H36</f>
        <v>0</v>
      </c>
      <c r="D35" s="88">
        <f>'Stats Global'!O36</f>
        <v>0</v>
      </c>
      <c r="E35" s="85"/>
      <c r="F35" s="85"/>
      <c r="L35" s="90">
        <f>'Stats Global'!J36</f>
        <v>0</v>
      </c>
      <c r="M35" s="90">
        <f>'Stats Global'!G36</f>
        <v>0</v>
      </c>
      <c r="N35" s="91"/>
      <c r="O35" s="90">
        <f>'Stats Global'!M36</f>
        <v>0</v>
      </c>
      <c r="P35" s="90">
        <f>'Stats Global'!H36</f>
        <v>0</v>
      </c>
    </row>
    <row r="36" spans="1:16" ht="14.25" customHeight="1" x14ac:dyDescent="0.45">
      <c r="A36" s="80">
        <f>'Stats Global'!B37</f>
        <v>0</v>
      </c>
      <c r="B36" s="88">
        <f>'Stats Global'!F37</f>
        <v>0</v>
      </c>
      <c r="C36" s="88">
        <f>'Stats Global'!G37+'Stats Global'!H37</f>
        <v>0</v>
      </c>
      <c r="D36" s="88">
        <f>'Stats Global'!O37</f>
        <v>0</v>
      </c>
      <c r="E36" s="85"/>
      <c r="F36" s="85"/>
      <c r="L36" s="90">
        <f>'Stats Global'!J37</f>
        <v>0</v>
      </c>
      <c r="M36" s="90">
        <f>'Stats Global'!G37</f>
        <v>0</v>
      </c>
      <c r="N36" s="91"/>
      <c r="O36" s="90">
        <f>'Stats Global'!M37</f>
        <v>0</v>
      </c>
      <c r="P36" s="90">
        <f>'Stats Global'!H37</f>
        <v>0</v>
      </c>
    </row>
    <row r="37" spans="1:16" ht="14.25" customHeight="1" x14ac:dyDescent="0.45">
      <c r="A37" s="80">
        <f>'Stats Global'!B38</f>
        <v>0</v>
      </c>
      <c r="B37" s="88">
        <f>'Stats Global'!F38</f>
        <v>0</v>
      </c>
      <c r="C37" s="88">
        <f>'Stats Global'!G38+'Stats Global'!H38</f>
        <v>0</v>
      </c>
      <c r="D37" s="88">
        <f>'Stats Global'!O38</f>
        <v>0</v>
      </c>
      <c r="E37" s="85"/>
      <c r="F37" s="85"/>
      <c r="L37" s="90">
        <f>'Stats Global'!J38</f>
        <v>0</v>
      </c>
      <c r="M37" s="90">
        <f>'Stats Global'!G38</f>
        <v>0</v>
      </c>
      <c r="N37" s="91"/>
      <c r="O37" s="90">
        <f>'Stats Global'!M38</f>
        <v>0</v>
      </c>
      <c r="P37" s="90">
        <f>'Stats Global'!H38</f>
        <v>0</v>
      </c>
    </row>
    <row r="38" spans="1:16" ht="14.25" customHeight="1" x14ac:dyDescent="0.45">
      <c r="A38" s="80">
        <f>'Stats Global'!B39</f>
        <v>0</v>
      </c>
      <c r="B38" s="88">
        <f>'Stats Global'!F39</f>
        <v>0</v>
      </c>
      <c r="C38" s="88">
        <f>'Stats Global'!G39+'Stats Global'!H39</f>
        <v>0</v>
      </c>
      <c r="D38" s="88">
        <f>'Stats Global'!O39</f>
        <v>0</v>
      </c>
      <c r="E38" s="85"/>
      <c r="F38" s="85"/>
      <c r="L38" s="90">
        <f>'Stats Global'!J39</f>
        <v>0</v>
      </c>
      <c r="M38" s="90">
        <f>'Stats Global'!G39</f>
        <v>0</v>
      </c>
      <c r="N38" s="91"/>
      <c r="O38" s="90">
        <f>'Stats Global'!M39</f>
        <v>0</v>
      </c>
      <c r="P38" s="90">
        <f>'Stats Global'!H39</f>
        <v>0</v>
      </c>
    </row>
    <row r="39" spans="1:16" ht="14.25" customHeight="1" x14ac:dyDescent="0.45">
      <c r="A39" s="80">
        <f>'Stats Global'!B40</f>
        <v>0</v>
      </c>
      <c r="B39" s="88">
        <f>'Stats Global'!F40</f>
        <v>0</v>
      </c>
      <c r="C39" s="88">
        <f>'Stats Global'!G40+'Stats Global'!H40</f>
        <v>0</v>
      </c>
      <c r="D39" s="88">
        <f>'Stats Global'!O40</f>
        <v>0</v>
      </c>
      <c r="E39" s="85"/>
      <c r="F39" s="85"/>
      <c r="L39" s="90">
        <f>'Stats Global'!J40</f>
        <v>0</v>
      </c>
      <c r="M39" s="90">
        <f>'Stats Global'!G40</f>
        <v>0</v>
      </c>
      <c r="N39" s="91"/>
      <c r="O39" s="90">
        <f>'Stats Global'!M40</f>
        <v>0</v>
      </c>
      <c r="P39" s="90">
        <f>'Stats Global'!H40</f>
        <v>0</v>
      </c>
    </row>
    <row r="40" spans="1:16" ht="14.25" customHeight="1" x14ac:dyDescent="0.45">
      <c r="A40" s="80">
        <f>'Stats Global'!B41</f>
        <v>0</v>
      </c>
      <c r="B40" s="88">
        <f>'Stats Global'!F41</f>
        <v>0</v>
      </c>
      <c r="C40" s="88">
        <f>'Stats Global'!G41+'Stats Global'!H41</f>
        <v>0</v>
      </c>
      <c r="D40" s="88">
        <f>'Stats Global'!O41</f>
        <v>0</v>
      </c>
      <c r="E40" s="85"/>
      <c r="F40" s="85"/>
      <c r="L40" s="90">
        <f>'Stats Global'!J41</f>
        <v>0</v>
      </c>
      <c r="M40" s="90">
        <f>'Stats Global'!G41</f>
        <v>0</v>
      </c>
      <c r="N40" s="91"/>
      <c r="O40" s="90">
        <f>'Stats Global'!M41</f>
        <v>0</v>
      </c>
      <c r="P40" s="90">
        <f>'Stats Global'!H41</f>
        <v>0</v>
      </c>
    </row>
    <row r="41" spans="1:16" ht="14.25" customHeight="1" x14ac:dyDescent="0.45">
      <c r="C41" s="132">
        <f>SUM(B7:B40)/SUM(B7:C40)</f>
        <v>0.72727272727272729</v>
      </c>
      <c r="J41" s="89"/>
      <c r="K41" s="86" t="s">
        <v>94</v>
      </c>
      <c r="L41" s="107">
        <f>SUM(L7:L40)</f>
        <v>5</v>
      </c>
      <c r="M41" s="107">
        <f>SUM(M7:M40)</f>
        <v>0</v>
      </c>
      <c r="N41" s="89"/>
      <c r="O41" s="107">
        <f>SUM(O7:O40)</f>
        <v>3</v>
      </c>
      <c r="P41" s="107">
        <f>SUM(P7:P40)</f>
        <v>3</v>
      </c>
    </row>
    <row r="42" spans="1:16" ht="14.25" customHeight="1" x14ac:dyDescent="0.45">
      <c r="L42" s="98">
        <f>L41/(M41+L41)</f>
        <v>1</v>
      </c>
      <c r="O42" s="98">
        <f>O41/(P41+O41)</f>
        <v>0.5</v>
      </c>
    </row>
    <row r="43" spans="1:16" ht="14.25" customHeight="1" x14ac:dyDescent="0.45">
      <c r="I43" s="99" t="str">
        <f>K43&amp;H3&amp;","&amp;I3&amp;"],"</f>
        <v>"PartA":[8,3],</v>
      </c>
      <c r="K43" s="81" t="s">
        <v>135</v>
      </c>
      <c r="M43" s="81" t="s">
        <v>139</v>
      </c>
      <c r="O43" s="100">
        <f>ROUND((SUM('Stats Global'!AA8,'Stats Global'!AA9,'Stats Global'!AA16,'Stats Global'!AA21,'Stats Global'!AA22))/'Stats Global'!AA6,1)</f>
        <v>9</v>
      </c>
    </row>
    <row r="44" spans="1:16" ht="14.25" customHeight="1" x14ac:dyDescent="0.45">
      <c r="I44" s="81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"PartB":[5,"Angus Walker",3,"Angus Walker",1,"Christopher Tomkinson",1,"Angus Walker"],</v>
      </c>
      <c r="K44" s="81" t="s">
        <v>136</v>
      </c>
      <c r="M44" s="101">
        <f>MAX(Table1114[Points])</f>
        <v>5</v>
      </c>
      <c r="N44" s="81" t="str">
        <f>IF(M44&lt;&gt;0,IF(M44=S4,R4,IF(M44=S5,R5,IF(S6=M44,R6,IF(S7=M44,R7,R8)))),"N/A")</f>
        <v>Angus Walker</v>
      </c>
      <c r="O44" s="100">
        <f>ROUND(SUM('Stats Global'!AC8,'Stats Global'!AC9,'Stats Global'!AC16,'Stats Global'!AC21,'Stats Global'!AC22)/'Stats Global'!AA6,1)</f>
        <v>6</v>
      </c>
    </row>
    <row r="45" spans="1:16" ht="14.25" customHeight="1" x14ac:dyDescent="0.45">
      <c r="I45" s="81" t="str">
        <f>K45&amp;O43&amp;","&amp;O44&amp;","&amp;O45&amp;","&amp;O46&amp;","&amp;O47&amp;","&amp;O48&amp;"],"</f>
        <v>"PartC":[9,6,1,1,8,3],</v>
      </c>
      <c r="K45" s="81" t="s">
        <v>137</v>
      </c>
      <c r="M45" s="101">
        <f>MAX(Table1114[Finishes])</f>
        <v>3</v>
      </c>
      <c r="N45" s="108" t="str">
        <f>IF(M45&lt;&gt;0,IF(M45=U4,R4,IF(M45=U5,R5,IF(U6=M45,R6,IF(U7=M45,R7,R8)))),"N/A")</f>
        <v>Angus Walker</v>
      </c>
      <c r="O45" s="100">
        <f>ROUND(SUM('Stats Global'!AE8,'Stats Global'!AE9,'Stats Global'!AE16,'Stats Global'!AE21,'Stats Global'!AE22)/'Stats Global'!AA6,1)</f>
        <v>1</v>
      </c>
    </row>
    <row r="46" spans="1:16" ht="14.25" customHeight="1" x14ac:dyDescent="0.45">
      <c r="I46" s="81" t="str">
        <f>K46&amp;L41&amp;","&amp;M41&amp;","&amp;ROUND(L42*100,1)&amp;","&amp;O41&amp;","&amp;P41&amp;","&amp;ROUND(O42*100,1)&amp;"],"</f>
        <v>"PartD":[5,0,100,3,3,50],</v>
      </c>
      <c r="K46" s="81" t="s">
        <v>138</v>
      </c>
      <c r="M46" s="101">
        <f>MAX(Table1114[Midranges])</f>
        <v>1</v>
      </c>
      <c r="N46" s="108" t="str">
        <f>IF(M46&lt;&gt;0,IF(M46=W4,R4,IF(M46=W5,R5,IF(W6=M46,R6,IF(W7=M46,R7,R8)))),"N/A")</f>
        <v>Christopher Tomkinson</v>
      </c>
      <c r="O46" s="100">
        <f>ROUND(SUM('Stats Global'!AG8,'Stats Global'!AG9,'Stats Global'!AG16,'Stats Global'!AG21,'Stats Global'!AG22)/'Stats Global'!AA6,1)</f>
        <v>1</v>
      </c>
    </row>
    <row r="47" spans="1:16" ht="14.25" customHeight="1" x14ac:dyDescent="0.45">
      <c r="M47" s="101">
        <f>MAX(Table1114[Threes])</f>
        <v>1</v>
      </c>
      <c r="N47" s="81" t="str">
        <f>IF(M47&lt;&gt;0,IF(M47=Y4,R4,IF(M47=Y5,R5,IF(Y6=M47,R6,IF(Y7=M47,R7,R8)))),"N/A")</f>
        <v>Angus Walker</v>
      </c>
      <c r="O47" s="81">
        <f>ROUND(H3/'Stats Global'!AA6,1)</f>
        <v>8</v>
      </c>
    </row>
    <row r="48" spans="1:16" ht="14.25" customHeight="1" x14ac:dyDescent="0.45">
      <c r="O48" s="81">
        <f>ROUND(I3/'Stats Global'!AA6,1)</f>
        <v>3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E8" sqref="E8"/>
    </sheetView>
  </sheetViews>
  <sheetFormatPr defaultColWidth="14.3984375" defaultRowHeight="15" customHeight="1" x14ac:dyDescent="0.45"/>
  <cols>
    <col min="1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95</v>
      </c>
      <c r="J2" s="58"/>
      <c r="L2" s="86" t="s">
        <v>87</v>
      </c>
      <c r="N2" s="58"/>
      <c r="O2" s="108" t="s">
        <v>193</v>
      </c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58" t="s">
        <v>92</v>
      </c>
      <c r="L3" s="86" t="s">
        <v>88</v>
      </c>
      <c r="M3" s="86" t="s">
        <v>89</v>
      </c>
      <c r="N3" s="83"/>
      <c r="O3" s="109" t="s">
        <v>4</v>
      </c>
      <c r="P3" s="110" t="s">
        <v>0</v>
      </c>
      <c r="Q3" s="110" t="s">
        <v>85</v>
      </c>
      <c r="R3" s="111" t="s">
        <v>1</v>
      </c>
      <c r="S3" s="112" t="s">
        <v>80</v>
      </c>
      <c r="T3" s="112" t="s">
        <v>2</v>
      </c>
      <c r="U3" s="112" t="s">
        <v>117</v>
      </c>
      <c r="V3" s="111" t="s">
        <v>3</v>
      </c>
      <c r="W3" s="112" t="s">
        <v>118</v>
      </c>
      <c r="X3" s="112" t="s">
        <v>120</v>
      </c>
    </row>
    <row r="4" spans="1:24" ht="14.25" customHeight="1" x14ac:dyDescent="0.45">
      <c r="A4" s="135" t="str">
        <f>'Stats Global'!B5</f>
        <v>11-July</v>
      </c>
      <c r="B4" s="136">
        <f>'Stats Global'!I5</f>
        <v>0</v>
      </c>
      <c r="C4" s="136">
        <f>'Stats Global'!J5+'Stats Global'!K5</f>
        <v>8</v>
      </c>
      <c r="D4" s="136">
        <f>'Stats Global'!P5</f>
        <v>1</v>
      </c>
      <c r="E4" s="137" t="s">
        <v>208</v>
      </c>
      <c r="F4" s="137" t="s">
        <v>208</v>
      </c>
      <c r="H4" s="86">
        <f>SUM(B7:B40)</f>
        <v>2</v>
      </c>
      <c r="I4" s="86">
        <f>SUM(C7:C40)</f>
        <v>5</v>
      </c>
      <c r="J4" s="83">
        <f>SUM(D7:D40)</f>
        <v>1</v>
      </c>
      <c r="L4" s="138">
        <f>'Stats Global'!N5</f>
        <v>0</v>
      </c>
      <c r="M4" s="138">
        <f>'Stats Global'!K5</f>
        <v>6</v>
      </c>
      <c r="N4" s="91"/>
      <c r="O4" s="89" t="s">
        <v>35</v>
      </c>
      <c r="P4" s="103">
        <f>'Stats Global'!AA11</f>
        <v>0</v>
      </c>
      <c r="Q4" s="103">
        <f>'Stats Global'!AB11</f>
        <v>0</v>
      </c>
      <c r="R4" s="103">
        <f>'Stats Global'!AC11</f>
        <v>0</v>
      </c>
      <c r="S4" s="103">
        <f>'Stats Global'!AD11</f>
        <v>0</v>
      </c>
      <c r="T4" s="103">
        <f>'Stats Global'!AE11</f>
        <v>0</v>
      </c>
      <c r="U4" s="103">
        <f>'Stats Global'!AF11</f>
        <v>0</v>
      </c>
      <c r="V4" s="103">
        <f>'Stats Global'!AG11</f>
        <v>0</v>
      </c>
      <c r="W4" s="103">
        <f>'Stats Global'!AH11</f>
        <v>0</v>
      </c>
      <c r="X4" s="103">
        <f>'Stats Global'!AJ11</f>
        <v>1</v>
      </c>
    </row>
    <row r="5" spans="1:24" ht="14.25" customHeight="1" x14ac:dyDescent="0.45">
      <c r="A5" s="135" t="str">
        <f>'Stats Global'!B6</f>
        <v>12-July</v>
      </c>
      <c r="B5" s="136">
        <f>'Stats Global'!I6</f>
        <v>2</v>
      </c>
      <c r="C5" s="136">
        <f>'Stats Global'!J6+'Stats Global'!K6</f>
        <v>12</v>
      </c>
      <c r="D5" s="136">
        <f>'Stats Global'!P6</f>
        <v>1</v>
      </c>
      <c r="E5" s="137" t="s">
        <v>42</v>
      </c>
      <c r="F5" s="137" t="s">
        <v>52</v>
      </c>
      <c r="J5" s="89"/>
      <c r="L5" s="138">
        <f>'Stats Global'!N6</f>
        <v>1</v>
      </c>
      <c r="M5" s="138">
        <f>'Stats Global'!K6</f>
        <v>8</v>
      </c>
      <c r="N5" s="91"/>
      <c r="O5" s="89" t="s">
        <v>37</v>
      </c>
      <c r="P5" s="103">
        <f>'Stats Global'!AA12</f>
        <v>0</v>
      </c>
      <c r="Q5" s="103">
        <f>'Stats Global'!AB12</f>
        <v>0</v>
      </c>
      <c r="R5" s="103">
        <f>'Stats Global'!AC12</f>
        <v>0</v>
      </c>
      <c r="S5" s="103">
        <f>'Stats Global'!AD12</f>
        <v>0</v>
      </c>
      <c r="T5" s="103">
        <f>'Stats Global'!AE12</f>
        <v>0</v>
      </c>
      <c r="U5" s="103">
        <f>'Stats Global'!AF12</f>
        <v>0</v>
      </c>
      <c r="V5" s="103">
        <f>'Stats Global'!AG12</f>
        <v>0</v>
      </c>
      <c r="W5" s="103">
        <f>'Stats Global'!AH12</f>
        <v>0</v>
      </c>
      <c r="X5" s="103">
        <f>'Stats Global'!AJ12</f>
        <v>0</v>
      </c>
    </row>
    <row r="6" spans="1:24" ht="14.25" customHeight="1" x14ac:dyDescent="0.45">
      <c r="A6" s="135" t="str">
        <f>'Stats Global'!B7</f>
        <v>13-July</v>
      </c>
      <c r="B6" s="136">
        <f>'Stats Global'!I7</f>
        <v>4</v>
      </c>
      <c r="C6" s="136">
        <f>'Stats Global'!J7+'Stats Global'!K7</f>
        <v>5</v>
      </c>
      <c r="D6" s="136">
        <f>'Stats Global'!P7</f>
        <v>2</v>
      </c>
      <c r="E6" s="137" t="s">
        <v>215</v>
      </c>
      <c r="F6" s="137" t="s">
        <v>216</v>
      </c>
      <c r="I6" s="86"/>
      <c r="J6" s="89"/>
      <c r="L6" s="138">
        <f>'Stats Global'!N7</f>
        <v>2</v>
      </c>
      <c r="M6" s="138">
        <f>'Stats Global'!K7</f>
        <v>1</v>
      </c>
      <c r="N6" s="91"/>
      <c r="O6" s="89" t="s">
        <v>42</v>
      </c>
      <c r="P6" s="103">
        <f>'Stats Global'!AA13</f>
        <v>0</v>
      </c>
      <c r="Q6" s="103">
        <f>'Stats Global'!AB13</f>
        <v>0</v>
      </c>
      <c r="R6" s="103">
        <f>'Stats Global'!AC13</f>
        <v>0</v>
      </c>
      <c r="S6" s="103">
        <f>'Stats Global'!AD13</f>
        <v>0</v>
      </c>
      <c r="T6" s="103">
        <f>'Stats Global'!AE13</f>
        <v>0</v>
      </c>
      <c r="U6" s="103">
        <f>'Stats Global'!AF13</f>
        <v>0</v>
      </c>
      <c r="V6" s="103">
        <f>'Stats Global'!AG13</f>
        <v>0</v>
      </c>
      <c r="W6" s="103">
        <f>'Stats Global'!AH13</f>
        <v>0</v>
      </c>
      <c r="X6" s="103">
        <f>'Stats Global'!AJ13</f>
        <v>1</v>
      </c>
    </row>
    <row r="7" spans="1:24" ht="14.25" customHeight="1" x14ac:dyDescent="0.45">
      <c r="A7" s="80" t="str">
        <f>'Stats Global'!B8</f>
        <v>17-July</v>
      </c>
      <c r="B7" s="88">
        <f>'Stats Global'!I8</f>
        <v>2</v>
      </c>
      <c r="C7" s="88">
        <f>'Stats Global'!J8+'Stats Global'!K8</f>
        <v>5</v>
      </c>
      <c r="D7" s="88">
        <f>'Stats Global'!P8</f>
        <v>1</v>
      </c>
      <c r="E7" s="85" t="s">
        <v>208</v>
      </c>
      <c r="F7" s="85" t="s">
        <v>52</v>
      </c>
      <c r="I7" s="86"/>
      <c r="J7" s="89"/>
      <c r="L7" s="90">
        <f>'Stats Global'!N8</f>
        <v>2</v>
      </c>
      <c r="M7" s="90">
        <f>'Stats Global'!K8</f>
        <v>0</v>
      </c>
      <c r="N7" s="91"/>
      <c r="O7" s="89" t="s">
        <v>52</v>
      </c>
      <c r="P7" s="103">
        <f>'Stats Global'!AA18</f>
        <v>2</v>
      </c>
      <c r="Q7" s="103">
        <f>'Stats Global'!AB18</f>
        <v>2</v>
      </c>
      <c r="R7" s="103">
        <f>'Stats Global'!AC18</f>
        <v>0</v>
      </c>
      <c r="S7" s="103">
        <f>'Stats Global'!AD18</f>
        <v>0</v>
      </c>
      <c r="T7" s="103">
        <f>'Stats Global'!AE18</f>
        <v>2</v>
      </c>
      <c r="U7" s="103">
        <f>'Stats Global'!AF18</f>
        <v>2</v>
      </c>
      <c r="V7" s="103">
        <f>'Stats Global'!AG18</f>
        <v>0</v>
      </c>
      <c r="W7" s="103">
        <f>'Stats Global'!AH18</f>
        <v>0</v>
      </c>
      <c r="X7" s="103">
        <f>'Stats Global'!AJ18</f>
        <v>0</v>
      </c>
    </row>
    <row r="8" spans="1:24" ht="14.25" customHeight="1" x14ac:dyDescent="0.45">
      <c r="A8" s="80">
        <f>'Stats Global'!B9</f>
        <v>0</v>
      </c>
      <c r="B8" s="88">
        <f>'Stats Global'!I9</f>
        <v>0</v>
      </c>
      <c r="C8" s="88">
        <f>'Stats Global'!J9+'Stats Global'!K9</f>
        <v>0</v>
      </c>
      <c r="D8" s="88">
        <f>'Stats Global'!P9</f>
        <v>0</v>
      </c>
      <c r="E8" s="85"/>
      <c r="F8" s="85"/>
      <c r="I8" s="86"/>
      <c r="J8" s="89"/>
      <c r="L8" s="90">
        <f>'Stats Global'!N9</f>
        <v>0</v>
      </c>
      <c r="M8" s="90">
        <f>'Stats Global'!K9</f>
        <v>0</v>
      </c>
      <c r="N8" s="91"/>
      <c r="O8" s="89" t="s">
        <v>203</v>
      </c>
      <c r="P8" s="103">
        <f>'Stats Global'!AA23</f>
        <v>0</v>
      </c>
      <c r="Q8" s="103">
        <f>'Stats Global'!AB23</f>
        <v>0</v>
      </c>
      <c r="R8" s="103">
        <f>'Stats Global'!AC23</f>
        <v>0</v>
      </c>
      <c r="S8" s="103">
        <f>'Stats Global'!AD23</f>
        <v>0</v>
      </c>
      <c r="T8" s="103">
        <f>'Stats Global'!AE23</f>
        <v>0</v>
      </c>
      <c r="U8" s="103">
        <f>'Stats Global'!AF23</f>
        <v>0</v>
      </c>
      <c r="V8" s="103">
        <f>'Stats Global'!AG23</f>
        <v>0</v>
      </c>
      <c r="W8" s="103">
        <f>'Stats Global'!AH23</f>
        <v>0</v>
      </c>
      <c r="X8" s="103">
        <f>'Stats Global'!AJ23</f>
        <v>0</v>
      </c>
    </row>
    <row r="9" spans="1:24" ht="14.25" customHeight="1" x14ac:dyDescent="0.45">
      <c r="A9" s="80">
        <f>'Stats Global'!B10</f>
        <v>0</v>
      </c>
      <c r="B9" s="88">
        <f>'Stats Global'!I10</f>
        <v>0</v>
      </c>
      <c r="C9" s="88">
        <f>'Stats Global'!J10+'Stats Global'!K10</f>
        <v>0</v>
      </c>
      <c r="D9" s="88">
        <f>'Stats Global'!P10</f>
        <v>0</v>
      </c>
      <c r="E9" s="85"/>
      <c r="F9" s="85"/>
      <c r="I9" s="86"/>
      <c r="J9" s="89"/>
      <c r="L9" s="90">
        <f>'Stats Global'!N10</f>
        <v>0</v>
      </c>
      <c r="M9" s="90">
        <f>'Stats Global'!K10</f>
        <v>0</v>
      </c>
      <c r="N9" s="91"/>
      <c r="O9" s="89" t="s">
        <v>44</v>
      </c>
      <c r="P9" s="127">
        <f>'Stats Global'!AA15</f>
        <v>0</v>
      </c>
      <c r="Q9" s="127">
        <f>'Stats Global'!AB15</f>
        <v>0</v>
      </c>
      <c r="R9" s="127">
        <f>'Stats Global'!AC15</f>
        <v>0</v>
      </c>
      <c r="S9" s="127">
        <f>'Stats Global'!AD15</f>
        <v>0</v>
      </c>
      <c r="T9" s="127">
        <f>'Stats Global'!AE15</f>
        <v>0</v>
      </c>
      <c r="U9" s="127">
        <f>'Stats Global'!AF15</f>
        <v>0</v>
      </c>
      <c r="V9" s="127">
        <f>'Stats Global'!AG15</f>
        <v>0</v>
      </c>
      <c r="W9" s="127">
        <f>'Stats Global'!AH15</f>
        <v>0</v>
      </c>
      <c r="X9" s="127">
        <f>'Stats Global'!AJ15</f>
        <v>1</v>
      </c>
    </row>
    <row r="10" spans="1:24" ht="14.25" customHeight="1" x14ac:dyDescent="0.45">
      <c r="A10" s="80">
        <f>'Stats Global'!B11</f>
        <v>0</v>
      </c>
      <c r="B10" s="88">
        <f>'Stats Global'!I11</f>
        <v>0</v>
      </c>
      <c r="C10" s="88">
        <f>'Stats Global'!J11+'Stats Global'!K11</f>
        <v>0</v>
      </c>
      <c r="D10" s="88">
        <f>'Stats Global'!P11</f>
        <v>0</v>
      </c>
      <c r="E10" s="85"/>
      <c r="F10" s="85"/>
      <c r="I10" s="86"/>
      <c r="J10" s="89"/>
      <c r="L10" s="90">
        <f>'Stats Global'!N11</f>
        <v>0</v>
      </c>
      <c r="M10" s="90">
        <f>'Stats Global'!K11</f>
        <v>0</v>
      </c>
      <c r="N10" s="91"/>
      <c r="O10" s="89" t="s">
        <v>201</v>
      </c>
      <c r="P10" s="127">
        <f>'Stats Global'!AA19</f>
        <v>0</v>
      </c>
      <c r="Q10" s="127">
        <f>'Stats Global'!AB19</f>
        <v>0</v>
      </c>
      <c r="R10" s="127">
        <f>'Stats Global'!AC19</f>
        <v>0</v>
      </c>
      <c r="S10" s="127">
        <f>'Stats Global'!AD19</f>
        <v>0</v>
      </c>
      <c r="T10" s="127">
        <f>'Stats Global'!AE19</f>
        <v>0</v>
      </c>
      <c r="U10" s="127">
        <f>'Stats Global'!AF19</f>
        <v>0</v>
      </c>
      <c r="V10" s="127">
        <f>'Stats Global'!AG19</f>
        <v>0</v>
      </c>
      <c r="W10" s="127">
        <f>'Stats Global'!AH19</f>
        <v>0</v>
      </c>
      <c r="X10" s="127">
        <f>'Stats Global'!AJ19</f>
        <v>0</v>
      </c>
    </row>
    <row r="11" spans="1:24" ht="14.25" customHeight="1" x14ac:dyDescent="0.45">
      <c r="A11" s="80">
        <f>'Stats Global'!B12</f>
        <v>0</v>
      </c>
      <c r="B11" s="88">
        <f>'Stats Global'!I12</f>
        <v>0</v>
      </c>
      <c r="C11" s="88">
        <f>'Stats Global'!J12+'Stats Global'!K12</f>
        <v>0</v>
      </c>
      <c r="D11" s="88">
        <f>'Stats Global'!P12</f>
        <v>0</v>
      </c>
      <c r="E11" s="85"/>
      <c r="F11" s="85"/>
      <c r="I11" s="86"/>
      <c r="J11" s="89"/>
      <c r="L11" s="90">
        <f>'Stats Global'!N12</f>
        <v>0</v>
      </c>
      <c r="M11" s="90">
        <f>'Stats Global'!K12</f>
        <v>0</v>
      </c>
      <c r="N11" s="91"/>
      <c r="O11" s="89"/>
      <c r="P11" s="58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Global'!I13</f>
        <v>0</v>
      </c>
      <c r="C12" s="88">
        <f>'Stats Global'!J13+'Stats Global'!K13</f>
        <v>0</v>
      </c>
      <c r="D12" s="88">
        <f>'Stats Global'!P13</f>
        <v>0</v>
      </c>
      <c r="E12" s="85"/>
      <c r="F12" s="85"/>
      <c r="I12" s="86"/>
      <c r="J12" s="89"/>
      <c r="L12" s="90">
        <f>'Stats Global'!N13</f>
        <v>0</v>
      </c>
      <c r="M12" s="90">
        <f>'Stats Global'!K13</f>
        <v>0</v>
      </c>
      <c r="N12" s="91"/>
      <c r="O12" s="89"/>
      <c r="P12" s="58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Global'!I14</f>
        <v>0</v>
      </c>
      <c r="C13" s="88">
        <f>'Stats Global'!J14+'Stats Global'!K14</f>
        <v>0</v>
      </c>
      <c r="D13" s="88">
        <f>'Stats Global'!P14</f>
        <v>0</v>
      </c>
      <c r="E13" s="85"/>
      <c r="F13" s="85"/>
      <c r="I13" s="86"/>
      <c r="J13" s="89"/>
      <c r="L13" s="90">
        <f>'Stats Global'!N14</f>
        <v>0</v>
      </c>
      <c r="M13" s="90">
        <f>'Stats Global'!K14</f>
        <v>0</v>
      </c>
      <c r="N13" s="91"/>
      <c r="O13" s="89"/>
      <c r="P13" s="58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Global'!I15</f>
        <v>0</v>
      </c>
      <c r="C14" s="88">
        <f>'Stats Global'!J15+'Stats Global'!K15</f>
        <v>0</v>
      </c>
      <c r="D14" s="88">
        <f>'Stats Global'!P15</f>
        <v>0</v>
      </c>
      <c r="E14" s="85"/>
      <c r="F14" s="85"/>
      <c r="J14" s="89"/>
      <c r="L14" s="90">
        <f>'Stats Global'!N15</f>
        <v>0</v>
      </c>
      <c r="M14" s="90">
        <f>'Stats Global'!K15</f>
        <v>0</v>
      </c>
      <c r="N14" s="91"/>
      <c r="O14" s="89"/>
      <c r="P14" s="58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Global'!I16</f>
        <v>0</v>
      </c>
      <c r="C15" s="88">
        <f>'Stats Global'!J16+'Stats Global'!K16</f>
        <v>0</v>
      </c>
      <c r="D15" s="88">
        <f>'Stats Global'!P16</f>
        <v>0</v>
      </c>
      <c r="E15" s="85"/>
      <c r="F15" s="85"/>
      <c r="J15" s="89"/>
      <c r="L15" s="90">
        <f>'Stats Global'!N16</f>
        <v>0</v>
      </c>
      <c r="M15" s="90">
        <f>'Stats Global'!K16</f>
        <v>0</v>
      </c>
      <c r="N15" s="91"/>
      <c r="O15" s="89"/>
      <c r="P15" s="58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Global'!I17</f>
        <v>0</v>
      </c>
      <c r="C16" s="88">
        <f>'Stats Global'!J17+'Stats Global'!K17</f>
        <v>0</v>
      </c>
      <c r="D16" s="88">
        <f>'Stats Global'!P17</f>
        <v>0</v>
      </c>
      <c r="E16" s="85"/>
      <c r="F16" s="85"/>
      <c r="J16" s="89"/>
      <c r="L16" s="90">
        <f>'Stats Global'!N17</f>
        <v>0</v>
      </c>
      <c r="M16" s="90">
        <f>'Stats Global'!K17</f>
        <v>0</v>
      </c>
      <c r="N16" s="91"/>
      <c r="O16" s="89"/>
      <c r="P16" s="58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Global'!I18</f>
        <v>0</v>
      </c>
      <c r="C17" s="88">
        <f>'Stats Global'!J18+'Stats Global'!K18</f>
        <v>0</v>
      </c>
      <c r="D17" s="88">
        <f>'Stats Global'!P18</f>
        <v>0</v>
      </c>
      <c r="E17" s="92"/>
      <c r="F17" s="92"/>
      <c r="J17" s="89"/>
      <c r="L17" s="90">
        <f>'Stats Global'!N18</f>
        <v>0</v>
      </c>
      <c r="M17" s="90">
        <f>'Stats Global'!K18</f>
        <v>0</v>
      </c>
      <c r="N17" s="89"/>
      <c r="O17" s="89"/>
      <c r="P17" s="58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Global'!I19</f>
        <v>0</v>
      </c>
      <c r="C18" s="88">
        <f>'Stats Global'!J19+'Stats Global'!K19</f>
        <v>0</v>
      </c>
      <c r="D18" s="88">
        <f>'Stats Global'!P19</f>
        <v>0</v>
      </c>
      <c r="E18" s="93"/>
      <c r="F18" s="93"/>
      <c r="J18" s="89"/>
      <c r="L18" s="90">
        <f>'Stats Global'!N19</f>
        <v>0</v>
      </c>
      <c r="M18" s="90">
        <f>'Stats Global'!K19</f>
        <v>0</v>
      </c>
      <c r="N18" s="89"/>
      <c r="O18" s="89"/>
      <c r="P18" s="58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Global'!I20</f>
        <v>0</v>
      </c>
      <c r="C19" s="88">
        <f>'Stats Global'!J20+'Stats Global'!K20</f>
        <v>0</v>
      </c>
      <c r="D19" s="88">
        <f>'Stats Global'!P20</f>
        <v>0</v>
      </c>
      <c r="E19" s="94"/>
      <c r="F19" s="94"/>
      <c r="J19" s="89"/>
      <c r="L19" s="90">
        <f>'Stats Global'!N20</f>
        <v>0</v>
      </c>
      <c r="M19" s="90">
        <f>'Stats Global'!K20</f>
        <v>0</v>
      </c>
      <c r="N19" s="89"/>
      <c r="O19" s="89"/>
      <c r="P19" s="58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Global'!I21</f>
        <v>0</v>
      </c>
      <c r="C20" s="88">
        <f>'Stats Global'!J21+'Stats Global'!K21</f>
        <v>0</v>
      </c>
      <c r="D20" s="88">
        <f>'Stats Global'!P21</f>
        <v>0</v>
      </c>
      <c r="E20" s="95"/>
      <c r="F20" s="95"/>
      <c r="J20" s="89"/>
      <c r="L20" s="90">
        <f>'Stats Global'!N21</f>
        <v>0</v>
      </c>
      <c r="M20" s="90">
        <f>'Stats Global'!K21</f>
        <v>0</v>
      </c>
      <c r="N20" s="89"/>
      <c r="O20" s="89"/>
      <c r="P20" s="58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Global'!I22</f>
        <v>0</v>
      </c>
      <c r="C21" s="88">
        <f>'Stats Global'!J22+'Stats Global'!K22</f>
        <v>0</v>
      </c>
      <c r="D21" s="88">
        <f>'Stats Global'!P22</f>
        <v>0</v>
      </c>
      <c r="E21" s="85"/>
      <c r="F21" s="85"/>
      <c r="J21" s="89"/>
      <c r="L21" s="90">
        <f>'Stats Global'!N22</f>
        <v>0</v>
      </c>
      <c r="M21" s="90">
        <f>'Stats Global'!K22</f>
        <v>0</v>
      </c>
      <c r="N21" s="89"/>
      <c r="O21" s="89"/>
      <c r="P21" s="58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Global'!I23</f>
        <v>0</v>
      </c>
      <c r="C22" s="88">
        <f>'Stats Global'!J23+'Stats Global'!K23</f>
        <v>0</v>
      </c>
      <c r="D22" s="88">
        <f>'Stats Global'!P23</f>
        <v>0</v>
      </c>
      <c r="E22" s="85"/>
      <c r="F22" s="85"/>
      <c r="J22" s="89"/>
      <c r="L22" s="90">
        <f>'Stats Global'!N23</f>
        <v>0</v>
      </c>
      <c r="M22" s="90">
        <f>'Stats Global'!K23</f>
        <v>0</v>
      </c>
      <c r="N22" s="89"/>
      <c r="O22" s="89"/>
      <c r="P22" s="58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Global'!I24</f>
        <v>0</v>
      </c>
      <c r="C23" s="88">
        <f>'Stats Global'!J24+'Stats Global'!K24</f>
        <v>0</v>
      </c>
      <c r="D23" s="88">
        <f>'Stats Global'!P24</f>
        <v>0</v>
      </c>
      <c r="E23" s="96"/>
      <c r="F23" s="85"/>
      <c r="H23" s="97"/>
      <c r="J23" s="89"/>
      <c r="L23" s="90">
        <f>'Stats Global'!N24</f>
        <v>0</v>
      </c>
      <c r="M23" s="90">
        <f>'Stats Global'!K24</f>
        <v>0</v>
      </c>
      <c r="N23" s="89"/>
      <c r="O23" s="89"/>
      <c r="P23" s="58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Global'!I25</f>
        <v>0</v>
      </c>
      <c r="C24" s="88">
        <f>'Stats Global'!J25+'Stats Global'!K25</f>
        <v>0</v>
      </c>
      <c r="D24" s="88">
        <f>'Stats Global'!P25</f>
        <v>0</v>
      </c>
      <c r="E24" s="96"/>
      <c r="F24" s="85"/>
      <c r="H24" s="97"/>
      <c r="J24" s="89"/>
      <c r="L24" s="90">
        <f>'Stats Global'!N25</f>
        <v>0</v>
      </c>
      <c r="M24" s="90">
        <f>'Stats Global'!K25</f>
        <v>0</v>
      </c>
      <c r="N24" s="89"/>
      <c r="O24" s="89"/>
      <c r="P24" s="58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Global'!I26</f>
        <v>0</v>
      </c>
      <c r="C25" s="88">
        <f>'Stats Global'!J26+'Stats Global'!K26</f>
        <v>0</v>
      </c>
      <c r="D25" s="88">
        <f>'Stats Global'!P26</f>
        <v>0</v>
      </c>
      <c r="E25" s="96"/>
      <c r="F25" s="85"/>
      <c r="H25" s="97"/>
      <c r="J25" s="89"/>
      <c r="L25" s="90">
        <f>'Stats Global'!N26</f>
        <v>0</v>
      </c>
      <c r="M25" s="90">
        <f>'Stats Global'!K26</f>
        <v>0</v>
      </c>
      <c r="N25" s="89"/>
      <c r="O25" s="89"/>
      <c r="P25" s="58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Global'!I27</f>
        <v>0</v>
      </c>
      <c r="C26" s="88">
        <f>'Stats Global'!J27+'Stats Global'!K27</f>
        <v>0</v>
      </c>
      <c r="D26" s="88">
        <f>'Stats Global'!P27</f>
        <v>0</v>
      </c>
      <c r="E26" s="85"/>
      <c r="F26" s="85"/>
      <c r="J26" s="89"/>
      <c r="L26" s="90">
        <f>'Stats Global'!N27</f>
        <v>0</v>
      </c>
      <c r="M26" s="90">
        <f>'Stats Global'!K27</f>
        <v>0</v>
      </c>
      <c r="N26" s="89"/>
      <c r="O26" s="89"/>
      <c r="P26" s="58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Global'!I28</f>
        <v>0</v>
      </c>
      <c r="C27" s="88">
        <f>'Stats Global'!J28+'Stats Global'!K28</f>
        <v>0</v>
      </c>
      <c r="D27" s="88">
        <f>'Stats Global'!P28</f>
        <v>0</v>
      </c>
      <c r="E27" s="85"/>
      <c r="F27" s="85"/>
      <c r="J27" s="89"/>
      <c r="L27" s="90">
        <f>'Stats Global'!N28</f>
        <v>0</v>
      </c>
      <c r="M27" s="90">
        <f>'Stats Global'!K28</f>
        <v>0</v>
      </c>
      <c r="N27" s="89"/>
      <c r="O27" s="89"/>
      <c r="P27" s="58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Global'!I29</f>
        <v>0</v>
      </c>
      <c r="C28" s="88">
        <f>'Stats Global'!J29+'Stats Global'!K29</f>
        <v>0</v>
      </c>
      <c r="D28" s="88">
        <f>'Stats Global'!P29</f>
        <v>0</v>
      </c>
      <c r="E28" s="85"/>
      <c r="F28" s="85"/>
      <c r="J28" s="89"/>
      <c r="L28" s="90">
        <f>'Stats Global'!N29</f>
        <v>0</v>
      </c>
      <c r="M28" s="90">
        <f>'Stats Global'!K29</f>
        <v>0</v>
      </c>
      <c r="N28" s="89"/>
      <c r="O28" s="89"/>
      <c r="P28" s="58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Global'!I30</f>
        <v>0</v>
      </c>
      <c r="C29" s="88">
        <f>'Stats Global'!J30+'Stats Global'!K30</f>
        <v>0</v>
      </c>
      <c r="D29" s="88">
        <f>'Stats Global'!P30</f>
        <v>0</v>
      </c>
      <c r="E29" s="85"/>
      <c r="F29" s="85"/>
      <c r="J29" s="89"/>
      <c r="L29" s="90">
        <f>'Stats Global'!N30</f>
        <v>0</v>
      </c>
      <c r="M29" s="90">
        <f>'Stats Global'!K30</f>
        <v>0</v>
      </c>
      <c r="N29" s="89"/>
      <c r="O29" s="89"/>
      <c r="P29" s="58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Global'!I31</f>
        <v>0</v>
      </c>
      <c r="C30" s="88">
        <f>'Stats Global'!J31+'Stats Global'!K31</f>
        <v>0</v>
      </c>
      <c r="D30" s="88">
        <f>'Stats Global'!P31</f>
        <v>0</v>
      </c>
      <c r="E30" s="85"/>
      <c r="F30" s="85"/>
      <c r="L30" s="90">
        <f>'Stats Global'!N31</f>
        <v>0</v>
      </c>
      <c r="M30" s="90">
        <f>'Stats Global'!K31</f>
        <v>0</v>
      </c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Global'!I32</f>
        <v>0</v>
      </c>
      <c r="C31" s="88">
        <f>'Stats Global'!J32+'Stats Global'!K32</f>
        <v>0</v>
      </c>
      <c r="D31" s="88">
        <f>'Stats Global'!P32</f>
        <v>0</v>
      </c>
      <c r="E31" s="85"/>
      <c r="F31" s="85"/>
      <c r="L31" s="90">
        <f>'Stats Global'!N32</f>
        <v>0</v>
      </c>
      <c r="M31" s="90">
        <f>'Stats Global'!K32</f>
        <v>0</v>
      </c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Global'!I33</f>
        <v>0</v>
      </c>
      <c r="C32" s="88">
        <f>'Stats Global'!J33+'Stats Global'!K33</f>
        <v>0</v>
      </c>
      <c r="D32" s="88">
        <f>'Stats Global'!P33</f>
        <v>0</v>
      </c>
      <c r="E32" s="85"/>
      <c r="F32" s="85"/>
      <c r="L32" s="90">
        <f>'Stats Global'!N33</f>
        <v>0</v>
      </c>
      <c r="M32" s="90">
        <f>'Stats Global'!K33</f>
        <v>0</v>
      </c>
      <c r="W32" s="58"/>
      <c r="X32" s="58"/>
    </row>
    <row r="33" spans="1:16" ht="14.25" customHeight="1" x14ac:dyDescent="0.45">
      <c r="A33" s="80">
        <f>'Stats Global'!B34</f>
        <v>0</v>
      </c>
      <c r="B33" s="88">
        <f>'Stats Global'!I34</f>
        <v>0</v>
      </c>
      <c r="C33" s="88">
        <f>'Stats Global'!J34+'Stats Global'!K34</f>
        <v>0</v>
      </c>
      <c r="D33" s="88">
        <f>'Stats Global'!P34</f>
        <v>0</v>
      </c>
      <c r="E33" s="85"/>
      <c r="F33" s="85"/>
      <c r="L33" s="90">
        <f>'Stats Global'!N34</f>
        <v>0</v>
      </c>
      <c r="M33" s="90">
        <f>'Stats Global'!K34</f>
        <v>0</v>
      </c>
    </row>
    <row r="34" spans="1:16" ht="14.25" customHeight="1" x14ac:dyDescent="0.45">
      <c r="A34" s="80">
        <f>'Stats Global'!B35</f>
        <v>0</v>
      </c>
      <c r="B34" s="88">
        <f>'Stats Global'!I35</f>
        <v>0</v>
      </c>
      <c r="C34" s="88">
        <f>'Stats Global'!J35+'Stats Global'!K35</f>
        <v>0</v>
      </c>
      <c r="D34" s="88">
        <f>'Stats Global'!P35</f>
        <v>0</v>
      </c>
      <c r="E34" s="85"/>
      <c r="F34" s="85"/>
      <c r="L34" s="90">
        <f>'Stats Global'!N35</f>
        <v>0</v>
      </c>
      <c r="M34" s="90">
        <f>'Stats Global'!K35</f>
        <v>0</v>
      </c>
    </row>
    <row r="35" spans="1:16" ht="14.25" customHeight="1" x14ac:dyDescent="0.45">
      <c r="A35" s="80">
        <f>'Stats Global'!B36</f>
        <v>0</v>
      </c>
      <c r="B35" s="88">
        <f>'Stats Global'!I36</f>
        <v>0</v>
      </c>
      <c r="C35" s="88">
        <f>'Stats Global'!J36+'Stats Global'!K36</f>
        <v>0</v>
      </c>
      <c r="D35" s="88">
        <f>'Stats Global'!P36</f>
        <v>0</v>
      </c>
      <c r="E35" s="85"/>
      <c r="F35" s="85"/>
      <c r="L35" s="90">
        <f>'Stats Global'!N36</f>
        <v>0</v>
      </c>
      <c r="M35" s="90">
        <f>'Stats Global'!K36</f>
        <v>0</v>
      </c>
    </row>
    <row r="36" spans="1:16" ht="14.25" customHeight="1" x14ac:dyDescent="0.45">
      <c r="A36" s="80">
        <f>'Stats Global'!B37</f>
        <v>0</v>
      </c>
      <c r="B36" s="88">
        <f>'Stats Global'!I37</f>
        <v>0</v>
      </c>
      <c r="C36" s="88">
        <f>'Stats Global'!J37+'Stats Global'!K37</f>
        <v>0</v>
      </c>
      <c r="D36" s="88">
        <f>'Stats Global'!P37</f>
        <v>0</v>
      </c>
      <c r="E36" s="85"/>
      <c r="F36" s="85"/>
      <c r="L36" s="90">
        <f>'Stats Global'!N37</f>
        <v>0</v>
      </c>
      <c r="M36" s="90">
        <f>'Stats Global'!K37</f>
        <v>0</v>
      </c>
    </row>
    <row r="37" spans="1:16" ht="14.25" customHeight="1" x14ac:dyDescent="0.45">
      <c r="A37" s="80">
        <f>'Stats Global'!B38</f>
        <v>0</v>
      </c>
      <c r="B37" s="88">
        <f>'Stats Global'!I38</f>
        <v>0</v>
      </c>
      <c r="C37" s="88">
        <f>'Stats Global'!J38+'Stats Global'!K38</f>
        <v>0</v>
      </c>
      <c r="D37" s="88">
        <f>'Stats Global'!P38</f>
        <v>0</v>
      </c>
      <c r="E37" s="85"/>
      <c r="F37" s="85"/>
      <c r="L37" s="90">
        <f>'Stats Global'!N38</f>
        <v>0</v>
      </c>
      <c r="M37" s="90">
        <f>'Stats Global'!K38</f>
        <v>0</v>
      </c>
    </row>
    <row r="38" spans="1:16" ht="14.25" customHeight="1" x14ac:dyDescent="0.45">
      <c r="A38" s="80">
        <f>'Stats Global'!B39</f>
        <v>0</v>
      </c>
      <c r="B38" s="88">
        <f>'Stats Global'!I39</f>
        <v>0</v>
      </c>
      <c r="C38" s="88">
        <f>'Stats Global'!J39+'Stats Global'!K39</f>
        <v>0</v>
      </c>
      <c r="D38" s="88">
        <f>'Stats Global'!P39</f>
        <v>0</v>
      </c>
      <c r="E38" s="85"/>
      <c r="F38" s="85"/>
      <c r="L38" s="90">
        <f>'Stats Global'!N39</f>
        <v>0</v>
      </c>
      <c r="M38" s="90">
        <f>'Stats Global'!K39</f>
        <v>0</v>
      </c>
    </row>
    <row r="39" spans="1:16" ht="14.25" customHeight="1" x14ac:dyDescent="0.45">
      <c r="A39" s="80">
        <f>'Stats Global'!B40</f>
        <v>0</v>
      </c>
      <c r="B39" s="88">
        <f>'Stats Global'!I40</f>
        <v>0</v>
      </c>
      <c r="C39" s="88">
        <f>'Stats Global'!J40+'Stats Global'!K40</f>
        <v>0</v>
      </c>
      <c r="D39" s="88">
        <f>'Stats Global'!P40</f>
        <v>0</v>
      </c>
      <c r="E39" s="85"/>
      <c r="F39" s="85"/>
      <c r="L39" s="90">
        <f>'Stats Global'!N40</f>
        <v>0</v>
      </c>
      <c r="M39" s="90">
        <f>'Stats Global'!K40</f>
        <v>0</v>
      </c>
    </row>
    <row r="40" spans="1:16" ht="14.25" customHeight="1" x14ac:dyDescent="0.45">
      <c r="A40" s="80">
        <f>'Stats Global'!B41</f>
        <v>0</v>
      </c>
      <c r="B40" s="88">
        <f>'Stats Global'!I41</f>
        <v>0</v>
      </c>
      <c r="C40" s="88">
        <f>'Stats Global'!J41+'Stats Global'!K41</f>
        <v>0</v>
      </c>
      <c r="D40" s="88">
        <f>'Stats Global'!P41</f>
        <v>0</v>
      </c>
      <c r="E40" s="85"/>
      <c r="F40" s="85"/>
      <c r="L40" s="90">
        <f>'Stats Global'!N41</f>
        <v>0</v>
      </c>
      <c r="M40" s="90">
        <f>'Stats Global'!K41</f>
        <v>0</v>
      </c>
    </row>
    <row r="41" spans="1:16" ht="14.25" customHeight="1" x14ac:dyDescent="0.45">
      <c r="C41" s="132">
        <f>SUM(B7:B40)/SUM(B7:C40)</f>
        <v>0.2857142857142857</v>
      </c>
      <c r="J41" s="89"/>
      <c r="K41" s="81" t="s">
        <v>94</v>
      </c>
      <c r="L41" s="107">
        <f>SUM(L7:L40)</f>
        <v>2</v>
      </c>
      <c r="M41" s="107">
        <f>SUM(M7:M40)</f>
        <v>0</v>
      </c>
      <c r="N41" s="89"/>
      <c r="O41" s="89"/>
      <c r="P41" s="58"/>
    </row>
    <row r="42" spans="1:16" ht="14.25" customHeight="1" x14ac:dyDescent="0.45">
      <c r="L42" s="98">
        <f>L41/(M41+L41)</f>
        <v>1</v>
      </c>
      <c r="P42" s="58"/>
    </row>
    <row r="43" spans="1:16" ht="14.25" customHeight="1" x14ac:dyDescent="0.45">
      <c r="J43" s="99" t="str">
        <f>L43&amp;H4&amp;","&amp;I4&amp;"],"</f>
        <v>"PartA":[2,5],</v>
      </c>
      <c r="K43" s="86"/>
      <c r="L43" s="81" t="s">
        <v>135</v>
      </c>
      <c r="N43" s="81" t="s">
        <v>139</v>
      </c>
      <c r="P43" s="100">
        <f>ROUND(SUM('Stats Global'!AA11,'Stats Global'!AA12,'Stats Global'!AA13,'Stats Global'!AA15,'Stats Global'!AA19,'Stats Global'!AA18,'Stats Global'!AA23)/'Stats Global'!AA6,1)</f>
        <v>2</v>
      </c>
    </row>
    <row r="44" spans="1:16" ht="14.25" customHeight="1" x14ac:dyDescent="0.45">
      <c r="J44" s="81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"PartB":[2,"Ryan Pattemore",0,"N/A",2,"Ryan Pattemore",0,"N/A"],</v>
      </c>
      <c r="L44" s="81" t="s">
        <v>136</v>
      </c>
      <c r="N44" s="101">
        <f>MAX(Table1113[Points])</f>
        <v>2</v>
      </c>
      <c r="O44" s="81" t="str">
        <f>IF(N44&lt;&gt;0,IF(N44=P4,O4,IF(N44=P5,O5,IF(P6=N44,O6,IF(P7=N44,O7,IF(P8=N44,O8,IF(P9=N44,O9,O10)))))),"N/A")</f>
        <v>Ryan Pattemore</v>
      </c>
      <c r="P44" s="100">
        <f>ROUND(SUM('Stats Global'!AC11,'Stats Global'!AC12,'Stats Global'!AC13,'Stats Global'!AC15,'Stats Global'!AC19,'Stats Global'!AC18,'Stats Global'!AC23)/'Stats Global'!AA6,1)</f>
        <v>0</v>
      </c>
    </row>
    <row r="45" spans="1:16" ht="14.25" customHeight="1" x14ac:dyDescent="0.45">
      <c r="J45" s="81" t="str">
        <f>L45&amp;P43&amp;","&amp;P44&amp;","&amp;P45&amp;","&amp;P46&amp;","&amp;P47&amp;","&amp;P48&amp;"],"</f>
        <v>"PartC":[2,0,2,0,2,5],</v>
      </c>
      <c r="L45" s="81" t="s">
        <v>137</v>
      </c>
      <c r="N45" s="101">
        <f>MAX(Table1113[Finishes])</f>
        <v>0</v>
      </c>
      <c r="O45" s="81" t="str">
        <f>IF(N45&lt;&gt;0,IF(N45=R4,O4,IF(N45=R5,O5,IF(R6=N45,O6,IF(R7=N45,O7,IF(R8=N45,O8,IF(R9=N45,O9,O10)))))),"N/A")</f>
        <v>N/A</v>
      </c>
      <c r="P45" s="100">
        <f>ROUND(SUM('Stats Global'!AE11,'Stats Global'!AE12,'Stats Global'!AE13,'Stats Global'!AE15,'Stats Global'!AE19,'Stats Global'!AE18,'Stats Global'!AE23)/'Stats Global'!AA6,1)</f>
        <v>2</v>
      </c>
    </row>
    <row r="46" spans="1:16" ht="14.25" customHeight="1" x14ac:dyDescent="0.45">
      <c r="J46" s="81" t="str">
        <f>L46&amp;'Statistics LG'!M41&amp;","&amp;'Statistics LG'!L41&amp;","&amp;ROUND((1-'Statistics LG'!L42)*100,1)&amp;","&amp;L41&amp;","&amp;M41&amp;","&amp;ROUND(L42*100,1)&amp;"],"</f>
        <v>"PartD":[0,5,0,2,0,100],</v>
      </c>
      <c r="L46" s="81" t="s">
        <v>138</v>
      </c>
      <c r="N46" s="101">
        <f>MAX(Table1113[Midranges])</f>
        <v>2</v>
      </c>
      <c r="O46" s="81" t="str">
        <f>IF(N46&lt;&gt;0,IF(N46=T4,O4,IF(N46=T5,O5,IF(T6=N46,O6,IF(T7=N46,O7,IF(T8=N46,O8,IF(T9=N46,O9,O10)))))),"N/A")</f>
        <v>Ryan Pattemore</v>
      </c>
      <c r="P46" s="100">
        <f>ROUND(SUM('Stats Global'!AG11,'Stats Global'!AG12,'Stats Global'!AG13,'Stats Global'!AG15,'Stats Global'!AG19,'Stats Global'!AG18,'Stats Global'!AG23)/'Stats Global'!AA6,1)</f>
        <v>0</v>
      </c>
    </row>
    <row r="47" spans="1:16" ht="14.25" customHeight="1" x14ac:dyDescent="0.45">
      <c r="N47" s="101">
        <f>MAX(Table1113[Threes])</f>
        <v>0</v>
      </c>
      <c r="O47" s="108" t="str">
        <f>IF(N47&lt;&gt;0,IF(N47=V4,O4,IF(N47=V5,O5,IF(V6=N47,O6,IF(V7=N47,O7,IF(V8=N47,O8,IF(V9=N47,O9,O10)))))),"N/A")</f>
        <v>N/A</v>
      </c>
      <c r="P47" s="81">
        <f>ROUND(H4/'Stats Global'!AA6,1)</f>
        <v>2</v>
      </c>
    </row>
    <row r="48" spans="1:16" ht="14.25" customHeight="1" x14ac:dyDescent="0.45">
      <c r="P48" s="81">
        <f>ROUND(I4/'Stats Global'!AA6,1)</f>
        <v>5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F8" sqref="F8"/>
    </sheetView>
  </sheetViews>
  <sheetFormatPr defaultColWidth="14.3984375" defaultRowHeight="15" customHeight="1" x14ac:dyDescent="0.45"/>
  <cols>
    <col min="1" max="11" width="8.73046875" style="81" customWidth="1"/>
    <col min="12" max="20" width="10" style="81" customWidth="1"/>
    <col min="21" max="22" width="11.06640625" style="81" customWidth="1"/>
    <col min="23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96</v>
      </c>
      <c r="K2" s="58"/>
      <c r="L2" s="58"/>
      <c r="M2" s="83"/>
      <c r="N2" s="58"/>
      <c r="O2" s="58"/>
      <c r="Q2" s="83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86" t="s">
        <v>92</v>
      </c>
      <c r="K3" s="83"/>
      <c r="L3" s="108" t="s">
        <v>193</v>
      </c>
      <c r="U3" s="58"/>
      <c r="V3" s="83"/>
      <c r="W3" s="83"/>
      <c r="X3" s="83"/>
    </row>
    <row r="4" spans="1:24" ht="14.25" customHeight="1" x14ac:dyDescent="0.45">
      <c r="A4" s="135" t="str">
        <f>'Stats Global'!B5</f>
        <v>11-July</v>
      </c>
      <c r="B4" s="136">
        <f>'Stats Global'!L5</f>
        <v>12</v>
      </c>
      <c r="C4" s="136">
        <f>'Stats Global'!M5+'Stats Global'!N5</f>
        <v>3</v>
      </c>
      <c r="D4" s="136">
        <f>'Stats Global'!Q5</f>
        <v>3</v>
      </c>
      <c r="E4" s="137" t="s">
        <v>30</v>
      </c>
      <c r="F4" s="137" t="s">
        <v>50</v>
      </c>
      <c r="H4" s="86">
        <f>SUM(B7:B40)</f>
        <v>3</v>
      </c>
      <c r="I4" s="86">
        <f>SUM(C7:C40)</f>
        <v>5</v>
      </c>
      <c r="J4" s="83">
        <f>SUM(D7:D40)</f>
        <v>2</v>
      </c>
      <c r="K4" s="89"/>
      <c r="L4" s="109" t="s">
        <v>4</v>
      </c>
      <c r="M4" s="110" t="s">
        <v>0</v>
      </c>
      <c r="N4" s="110" t="s">
        <v>85</v>
      </c>
      <c r="O4" s="111" t="s">
        <v>1</v>
      </c>
      <c r="P4" s="112" t="s">
        <v>80</v>
      </c>
      <c r="Q4" s="112" t="s">
        <v>2</v>
      </c>
      <c r="R4" s="112" t="s">
        <v>117</v>
      </c>
      <c r="S4" s="111" t="s">
        <v>3</v>
      </c>
      <c r="T4" s="112" t="s">
        <v>118</v>
      </c>
      <c r="U4" s="112" t="s">
        <v>120</v>
      </c>
      <c r="V4" s="89"/>
      <c r="W4" s="89"/>
      <c r="X4" s="89"/>
    </row>
    <row r="5" spans="1:24" ht="14.25" customHeight="1" x14ac:dyDescent="0.45">
      <c r="A5" s="135" t="str">
        <f>'Stats Global'!B6</f>
        <v>12-July</v>
      </c>
      <c r="B5" s="136">
        <f>'Stats Global'!L6</f>
        <v>15</v>
      </c>
      <c r="C5" s="136">
        <f>'Stats Global'!M6+'Stats Global'!N6</f>
        <v>6</v>
      </c>
      <c r="D5" s="136">
        <f>'Stats Global'!Q6</f>
        <v>3</v>
      </c>
      <c r="E5" s="137" t="s">
        <v>30</v>
      </c>
      <c r="F5" s="137" t="s">
        <v>50</v>
      </c>
      <c r="K5" s="89"/>
      <c r="L5" s="89" t="s">
        <v>50</v>
      </c>
      <c r="M5" s="103">
        <f>'Stats Global'!AA17</f>
        <v>3</v>
      </c>
      <c r="N5" s="103">
        <f>'Stats Global'!AB17</f>
        <v>3</v>
      </c>
      <c r="O5" s="103">
        <f>'Stats Global'!AC17</f>
        <v>0</v>
      </c>
      <c r="P5" s="103">
        <f>'Stats Global'!AD17</f>
        <v>0</v>
      </c>
      <c r="Q5" s="103">
        <f>'Stats Global'!AE17</f>
        <v>1</v>
      </c>
      <c r="R5" s="103">
        <f>'Stats Global'!AF17</f>
        <v>1</v>
      </c>
      <c r="S5" s="103">
        <f>'Stats Global'!AG17</f>
        <v>1</v>
      </c>
      <c r="T5" s="103">
        <f>'Stats Global'!AH17</f>
        <v>1</v>
      </c>
      <c r="U5" s="103">
        <f>'Stats Global'!AJ17</f>
        <v>0</v>
      </c>
      <c r="V5" s="89"/>
      <c r="W5" s="89"/>
      <c r="X5" s="89"/>
    </row>
    <row r="6" spans="1:24" ht="14.25" customHeight="1" x14ac:dyDescent="0.45">
      <c r="A6" s="135" t="str">
        <f>'Stats Global'!B7</f>
        <v>13-July</v>
      </c>
      <c r="B6" s="136">
        <f>'Stats Global'!L7</f>
        <v>1</v>
      </c>
      <c r="C6" s="136">
        <f>'Stats Global'!M7+'Stats Global'!N7</f>
        <v>6</v>
      </c>
      <c r="D6" s="136">
        <f>'Stats Global'!Q7</f>
        <v>1</v>
      </c>
      <c r="E6" s="137" t="s">
        <v>208</v>
      </c>
      <c r="F6" s="137" t="s">
        <v>55</v>
      </c>
      <c r="H6" s="86"/>
      <c r="I6" s="102"/>
      <c r="K6" s="89"/>
      <c r="L6" s="89" t="s">
        <v>30</v>
      </c>
      <c r="M6" s="103">
        <f>'Stats Global'!AA10</f>
        <v>0</v>
      </c>
      <c r="N6" s="103">
        <f>'Stats Global'!AB10</f>
        <v>0</v>
      </c>
      <c r="O6" s="103">
        <f>'Stats Global'!AC10</f>
        <v>0</v>
      </c>
      <c r="P6" s="103">
        <f>'Stats Global'!AD10</f>
        <v>0</v>
      </c>
      <c r="Q6" s="103">
        <f>'Stats Global'!AE10</f>
        <v>0</v>
      </c>
      <c r="R6" s="103">
        <f>'Stats Global'!AF10</f>
        <v>0</v>
      </c>
      <c r="S6" s="103">
        <f>'Stats Global'!AG10</f>
        <v>0</v>
      </c>
      <c r="T6" s="103">
        <f>'Stats Global'!AH10</f>
        <v>0</v>
      </c>
      <c r="U6" s="103">
        <f>'Stats Global'!AJ10</f>
        <v>1</v>
      </c>
      <c r="V6" s="89"/>
      <c r="W6" s="89"/>
      <c r="X6" s="89"/>
    </row>
    <row r="7" spans="1:24" ht="14.25" customHeight="1" x14ac:dyDescent="0.45">
      <c r="A7" s="80" t="str">
        <f>'Stats Global'!B8</f>
        <v>17-July</v>
      </c>
      <c r="B7" s="88">
        <f>'Stats Global'!L8</f>
        <v>3</v>
      </c>
      <c r="C7" s="88">
        <f>'Stats Global'!M8+'Stats Global'!N8</f>
        <v>5</v>
      </c>
      <c r="D7" s="88">
        <f>'Stats Global'!Q8</f>
        <v>2</v>
      </c>
      <c r="E7" s="85" t="s">
        <v>50</v>
      </c>
      <c r="F7" s="85" t="s">
        <v>208</v>
      </c>
      <c r="H7" s="86"/>
      <c r="I7" s="102"/>
      <c r="K7" s="89"/>
      <c r="L7" s="89" t="s">
        <v>55</v>
      </c>
      <c r="M7" s="103">
        <f>'Stats Global'!AA20</f>
        <v>1</v>
      </c>
      <c r="N7" s="103">
        <f>'Stats Global'!AB20</f>
        <v>1</v>
      </c>
      <c r="O7" s="103">
        <f>'Stats Global'!AC20</f>
        <v>1</v>
      </c>
      <c r="P7" s="103">
        <f>'Stats Global'!AD20</f>
        <v>1</v>
      </c>
      <c r="Q7" s="103">
        <f>'Stats Global'!AE20</f>
        <v>0</v>
      </c>
      <c r="R7" s="103">
        <f>'Stats Global'!AF20</f>
        <v>0</v>
      </c>
      <c r="S7" s="103">
        <f>'Stats Global'!AG20</f>
        <v>0</v>
      </c>
      <c r="T7" s="103">
        <f>'Stats Global'!AH20</f>
        <v>0</v>
      </c>
      <c r="U7" s="103">
        <f>'Stats Global'!AJ20</f>
        <v>0</v>
      </c>
      <c r="V7" s="89"/>
      <c r="W7" s="89"/>
      <c r="X7" s="89"/>
    </row>
    <row r="8" spans="1:24" ht="14.25" customHeight="1" x14ac:dyDescent="0.45">
      <c r="A8" s="80">
        <f>'Stats Global'!B9</f>
        <v>0</v>
      </c>
      <c r="B8" s="88">
        <f>'Stats Global'!L9</f>
        <v>0</v>
      </c>
      <c r="C8" s="88">
        <f>'Stats Global'!M9+'Stats Global'!N9</f>
        <v>0</v>
      </c>
      <c r="D8" s="88">
        <f>'Stats Global'!Q9</f>
        <v>0</v>
      </c>
      <c r="E8" s="85"/>
      <c r="F8" s="85"/>
      <c r="H8" s="86"/>
      <c r="I8" s="102"/>
      <c r="K8" s="89"/>
      <c r="L8" s="89" t="s">
        <v>115</v>
      </c>
      <c r="M8" s="103">
        <f>'Stats Global'!AA14</f>
        <v>0</v>
      </c>
      <c r="N8" s="103">
        <f>'Stats Global'!AB14</f>
        <v>0</v>
      </c>
      <c r="O8" s="103">
        <f>'Stats Global'!AC14</f>
        <v>0</v>
      </c>
      <c r="P8" s="103">
        <f>'Stats Global'!AD14</f>
        <v>0</v>
      </c>
      <c r="Q8" s="103">
        <f>'Stats Global'!AE14</f>
        <v>0</v>
      </c>
      <c r="R8" s="103">
        <f>'Stats Global'!AF14</f>
        <v>0</v>
      </c>
      <c r="S8" s="103">
        <f>'Stats Global'!AG14</f>
        <v>0</v>
      </c>
      <c r="T8" s="103">
        <f>'Stats Global'!AH14</f>
        <v>0</v>
      </c>
      <c r="U8" s="103">
        <f>'Stats Global'!AJ14</f>
        <v>0</v>
      </c>
      <c r="V8" s="89"/>
      <c r="W8" s="89"/>
      <c r="X8" s="89"/>
    </row>
    <row r="9" spans="1:24" ht="14.25" customHeight="1" x14ac:dyDescent="0.45">
      <c r="A9" s="80">
        <f>'Stats Global'!B10</f>
        <v>0</v>
      </c>
      <c r="B9" s="88">
        <f>'Stats Global'!L10</f>
        <v>0</v>
      </c>
      <c r="C9" s="88">
        <f>'Stats Global'!M10+'Stats Global'!N10</f>
        <v>0</v>
      </c>
      <c r="D9" s="88">
        <f>'Stats Global'!Q10</f>
        <v>0</v>
      </c>
      <c r="E9" s="85"/>
      <c r="F9" s="85"/>
      <c r="H9" s="86"/>
      <c r="I9" s="102"/>
      <c r="K9" s="89"/>
      <c r="L9" s="89" t="s">
        <v>67</v>
      </c>
      <c r="M9" s="103">
        <f>'Stats Global'!AA24</f>
        <v>0</v>
      </c>
      <c r="N9" s="103">
        <f>'Stats Global'!AB24</f>
        <v>0</v>
      </c>
      <c r="O9" s="103">
        <f>'Stats Global'!AC24</f>
        <v>0</v>
      </c>
      <c r="P9" s="103">
        <f>'Stats Global'!AD24</f>
        <v>0</v>
      </c>
      <c r="Q9" s="103">
        <f>'Stats Global'!AE24</f>
        <v>0</v>
      </c>
      <c r="R9" s="103">
        <f>'Stats Global'!AF24</f>
        <v>0</v>
      </c>
      <c r="S9" s="103">
        <f>'Stats Global'!AG24</f>
        <v>0</v>
      </c>
      <c r="T9" s="103">
        <f>'Stats Global'!AH24</f>
        <v>0</v>
      </c>
      <c r="U9" s="103">
        <f>'Stats Global'!AJ24</f>
        <v>1</v>
      </c>
      <c r="V9" s="89"/>
      <c r="W9" s="89"/>
      <c r="X9" s="89"/>
    </row>
    <row r="10" spans="1:24" ht="14.25" customHeight="1" x14ac:dyDescent="0.45">
      <c r="A10" s="80">
        <f>'Stats Global'!B11</f>
        <v>0</v>
      </c>
      <c r="B10" s="88">
        <f>'Stats Global'!L11</f>
        <v>0</v>
      </c>
      <c r="C10" s="88">
        <f>'Stats Global'!M11+'Stats Global'!N11</f>
        <v>0</v>
      </c>
      <c r="D10" s="88">
        <f>'Stats Global'!Q11</f>
        <v>0</v>
      </c>
      <c r="E10" s="85"/>
      <c r="F10" s="85"/>
      <c r="H10" s="86"/>
      <c r="I10" s="102"/>
      <c r="K10" s="58"/>
      <c r="V10" s="89"/>
      <c r="W10" s="89"/>
      <c r="X10" s="89"/>
    </row>
    <row r="11" spans="1:24" ht="14.25" customHeight="1" x14ac:dyDescent="0.45">
      <c r="A11" s="80">
        <f>'Stats Global'!B12</f>
        <v>0</v>
      </c>
      <c r="B11" s="88">
        <f>'Stats Global'!L12</f>
        <v>0</v>
      </c>
      <c r="C11" s="88">
        <f>'Stats Global'!M12+'Stats Global'!N12</f>
        <v>0</v>
      </c>
      <c r="D11" s="88">
        <f>'Stats Global'!Q12</f>
        <v>0</v>
      </c>
      <c r="E11" s="85"/>
      <c r="F11" s="85"/>
      <c r="H11" s="86"/>
      <c r="I11" s="102"/>
      <c r="K11" s="89"/>
      <c r="L11" s="89"/>
      <c r="M11" s="89"/>
      <c r="N11" s="89"/>
      <c r="O11" s="89"/>
      <c r="Q11" s="89"/>
      <c r="R11" s="89"/>
      <c r="S11" s="89"/>
      <c r="T11" s="89"/>
      <c r="U11" s="58"/>
      <c r="V11" s="89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Global'!L13</f>
        <v>0</v>
      </c>
      <c r="C12" s="88">
        <f>'Stats Global'!M13+'Stats Global'!N13</f>
        <v>0</v>
      </c>
      <c r="D12" s="88">
        <f>'Stats Global'!Q13</f>
        <v>0</v>
      </c>
      <c r="E12" s="85"/>
      <c r="F12" s="85"/>
      <c r="H12" s="86"/>
      <c r="I12" s="102"/>
      <c r="K12" s="89"/>
      <c r="L12" s="89"/>
      <c r="M12" s="89"/>
      <c r="N12" s="89"/>
      <c r="O12" s="89"/>
      <c r="Q12" s="89"/>
      <c r="R12" s="89"/>
      <c r="S12" s="89"/>
      <c r="T12" s="89"/>
      <c r="U12" s="58"/>
      <c r="V12" s="89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Global'!L14</f>
        <v>0</v>
      </c>
      <c r="C13" s="88">
        <f>'Stats Global'!M14+'Stats Global'!N14</f>
        <v>0</v>
      </c>
      <c r="D13" s="88">
        <f>'Stats Global'!Q14</f>
        <v>0</v>
      </c>
      <c r="E13" s="85"/>
      <c r="F13" s="85"/>
      <c r="H13" s="86"/>
      <c r="I13" s="102"/>
      <c r="K13" s="89"/>
      <c r="L13" s="89"/>
      <c r="M13" s="89"/>
      <c r="N13" s="89"/>
      <c r="O13" s="89"/>
      <c r="Q13" s="89"/>
      <c r="R13" s="89"/>
      <c r="S13" s="89"/>
      <c r="T13" s="89"/>
      <c r="U13" s="58"/>
      <c r="V13" s="89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Global'!L15</f>
        <v>0</v>
      </c>
      <c r="C14" s="88">
        <f>'Stats Global'!M15+'Stats Global'!N15</f>
        <v>0</v>
      </c>
      <c r="D14" s="88">
        <f>'Stats Global'!Q15</f>
        <v>0</v>
      </c>
      <c r="E14" s="85"/>
      <c r="F14" s="85"/>
      <c r="K14" s="89"/>
      <c r="L14" s="89"/>
      <c r="M14" s="89"/>
      <c r="N14" s="89"/>
      <c r="O14" s="89"/>
      <c r="Q14" s="89"/>
      <c r="R14" s="89"/>
      <c r="S14" s="89"/>
      <c r="T14" s="89"/>
      <c r="U14" s="58"/>
      <c r="V14" s="89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Global'!L16</f>
        <v>0</v>
      </c>
      <c r="C15" s="88">
        <f>'Stats Global'!M16+'Stats Global'!N16</f>
        <v>0</v>
      </c>
      <c r="D15" s="88">
        <f>'Stats Global'!Q16</f>
        <v>0</v>
      </c>
      <c r="E15" s="85"/>
      <c r="F15" s="85"/>
      <c r="K15" s="89"/>
      <c r="L15" s="89"/>
      <c r="M15" s="89"/>
      <c r="N15" s="89"/>
      <c r="O15" s="89"/>
      <c r="Q15" s="89"/>
      <c r="R15" s="89"/>
      <c r="S15" s="89"/>
      <c r="T15" s="89"/>
      <c r="U15" s="58"/>
      <c r="V15" s="89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Global'!L17</f>
        <v>0</v>
      </c>
      <c r="C16" s="88">
        <f>'Stats Global'!M17+'Stats Global'!N17</f>
        <v>0</v>
      </c>
      <c r="D16" s="88">
        <f>'Stats Global'!Q17</f>
        <v>0</v>
      </c>
      <c r="E16" s="85"/>
      <c r="F16" s="85"/>
      <c r="K16" s="89"/>
      <c r="L16" s="89"/>
      <c r="M16" s="89"/>
      <c r="N16" s="89"/>
      <c r="O16" s="89"/>
      <c r="Q16" s="89"/>
      <c r="R16" s="89"/>
      <c r="S16" s="89"/>
      <c r="T16" s="89"/>
      <c r="U16" s="58"/>
      <c r="V16" s="89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Global'!L18</f>
        <v>0</v>
      </c>
      <c r="C17" s="88">
        <f>'Stats Global'!M18+'Stats Global'!N18</f>
        <v>0</v>
      </c>
      <c r="D17" s="88">
        <f>'Stats Global'!Q18</f>
        <v>0</v>
      </c>
      <c r="E17" s="92"/>
      <c r="F17" s="92"/>
      <c r="K17" s="89"/>
      <c r="L17" s="89"/>
      <c r="M17" s="89"/>
      <c r="N17" s="89"/>
      <c r="O17" s="89"/>
      <c r="Q17" s="89"/>
      <c r="R17" s="89"/>
      <c r="S17" s="89"/>
      <c r="T17" s="89"/>
      <c r="U17" s="58"/>
      <c r="V17" s="89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Global'!L19</f>
        <v>0</v>
      </c>
      <c r="C18" s="88">
        <f>'Stats Global'!M19+'Stats Global'!N19</f>
        <v>0</v>
      </c>
      <c r="D18" s="88">
        <f>'Stats Global'!Q19</f>
        <v>0</v>
      </c>
      <c r="E18" s="93"/>
      <c r="F18" s="93"/>
      <c r="K18" s="89"/>
      <c r="L18" s="89"/>
      <c r="M18" s="89"/>
      <c r="N18" s="89"/>
      <c r="O18" s="89"/>
      <c r="Q18" s="89"/>
      <c r="R18" s="89"/>
      <c r="S18" s="89"/>
      <c r="T18" s="89"/>
      <c r="U18" s="58"/>
      <c r="V18" s="89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Global'!L20</f>
        <v>0</v>
      </c>
      <c r="C19" s="88">
        <f>'Stats Global'!M20+'Stats Global'!N20</f>
        <v>0</v>
      </c>
      <c r="D19" s="88">
        <f>'Stats Global'!Q20</f>
        <v>0</v>
      </c>
      <c r="E19" s="94"/>
      <c r="F19" s="94"/>
      <c r="K19" s="89"/>
      <c r="L19" s="89"/>
      <c r="M19" s="89"/>
      <c r="N19" s="89"/>
      <c r="O19" s="89"/>
      <c r="Q19" s="89"/>
      <c r="R19" s="89"/>
      <c r="S19" s="89"/>
      <c r="T19" s="89"/>
      <c r="U19" s="58"/>
      <c r="V19" s="89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Global'!L21</f>
        <v>0</v>
      </c>
      <c r="C20" s="88">
        <f>'Stats Global'!M21+'Stats Global'!N21</f>
        <v>0</v>
      </c>
      <c r="D20" s="88">
        <f>'Stats Global'!Q21</f>
        <v>0</v>
      </c>
      <c r="E20" s="95"/>
      <c r="F20" s="95"/>
      <c r="K20" s="89"/>
      <c r="L20" s="89"/>
      <c r="M20" s="89"/>
      <c r="N20" s="89"/>
      <c r="O20" s="89"/>
      <c r="Q20" s="89"/>
      <c r="R20" s="89"/>
      <c r="S20" s="89"/>
      <c r="T20" s="89"/>
      <c r="U20" s="58"/>
      <c r="V20" s="89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Global'!L22</f>
        <v>0</v>
      </c>
      <c r="C21" s="88">
        <f>'Stats Global'!M22+'Stats Global'!N22</f>
        <v>0</v>
      </c>
      <c r="D21" s="88">
        <f>'Stats Global'!Q22</f>
        <v>0</v>
      </c>
      <c r="E21" s="85"/>
      <c r="F21" s="85"/>
      <c r="K21" s="89"/>
      <c r="L21" s="89"/>
      <c r="M21" s="89"/>
      <c r="N21" s="89"/>
      <c r="O21" s="89"/>
      <c r="Q21" s="89"/>
      <c r="R21" s="89"/>
      <c r="S21" s="89"/>
      <c r="T21" s="89"/>
      <c r="U21" s="58"/>
      <c r="V21" s="89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Global'!L23</f>
        <v>0</v>
      </c>
      <c r="C22" s="88">
        <f>'Stats Global'!M23+'Stats Global'!N23</f>
        <v>0</v>
      </c>
      <c r="D22" s="88">
        <f>'Stats Global'!Q23</f>
        <v>0</v>
      </c>
      <c r="E22" s="85"/>
      <c r="F22" s="85"/>
      <c r="K22" s="89"/>
      <c r="L22" s="89"/>
      <c r="M22" s="89"/>
      <c r="N22" s="89"/>
      <c r="O22" s="89"/>
      <c r="Q22" s="89"/>
      <c r="R22" s="89"/>
      <c r="S22" s="89"/>
      <c r="T22" s="89"/>
      <c r="U22" s="58"/>
      <c r="V22" s="89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Global'!L24</f>
        <v>0</v>
      </c>
      <c r="C23" s="88">
        <f>'Stats Global'!M24+'Stats Global'!N24</f>
        <v>0</v>
      </c>
      <c r="D23" s="88">
        <f>'Stats Global'!Q24</f>
        <v>0</v>
      </c>
      <c r="E23" s="96"/>
      <c r="F23" s="85"/>
      <c r="G23" s="97"/>
      <c r="K23" s="89"/>
      <c r="L23" s="89"/>
      <c r="M23" s="89"/>
      <c r="N23" s="89"/>
      <c r="O23" s="89"/>
      <c r="Q23" s="89"/>
      <c r="R23" s="89"/>
      <c r="S23" s="89"/>
      <c r="T23" s="89"/>
      <c r="U23" s="58"/>
      <c r="V23" s="89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Global'!L25</f>
        <v>0</v>
      </c>
      <c r="C24" s="88">
        <f>'Stats Global'!M25+'Stats Global'!N25</f>
        <v>0</v>
      </c>
      <c r="D24" s="88">
        <f>'Stats Global'!Q25</f>
        <v>0</v>
      </c>
      <c r="E24" s="96"/>
      <c r="F24" s="85"/>
      <c r="G24" s="97"/>
      <c r="K24" s="89"/>
      <c r="L24" s="89"/>
      <c r="M24" s="89"/>
      <c r="N24" s="89"/>
      <c r="O24" s="89"/>
      <c r="Q24" s="89"/>
      <c r="R24" s="89"/>
      <c r="S24" s="89"/>
      <c r="T24" s="89"/>
      <c r="U24" s="58"/>
      <c r="V24" s="89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Global'!L26</f>
        <v>0</v>
      </c>
      <c r="C25" s="88">
        <f>'Stats Global'!M26+'Stats Global'!N26</f>
        <v>0</v>
      </c>
      <c r="D25" s="88">
        <f>'Stats Global'!Q26</f>
        <v>0</v>
      </c>
      <c r="E25" s="96"/>
      <c r="F25" s="85"/>
      <c r="G25" s="97"/>
      <c r="K25" s="89"/>
      <c r="L25" s="89"/>
      <c r="M25" s="89"/>
      <c r="N25" s="89"/>
      <c r="O25" s="89"/>
      <c r="Q25" s="89"/>
      <c r="R25" s="89"/>
      <c r="S25" s="89"/>
      <c r="T25" s="89"/>
      <c r="U25" s="58"/>
      <c r="V25" s="89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Global'!L27</f>
        <v>0</v>
      </c>
      <c r="C26" s="88">
        <f>'Stats Global'!M27+'Stats Global'!N27</f>
        <v>0</v>
      </c>
      <c r="D26" s="88">
        <f>'Stats Global'!Q27</f>
        <v>0</v>
      </c>
      <c r="E26" s="85"/>
      <c r="F26" s="85"/>
      <c r="K26" s="89"/>
      <c r="L26" s="89"/>
      <c r="M26" s="89"/>
      <c r="N26" s="89"/>
      <c r="O26" s="89"/>
      <c r="Q26" s="89"/>
      <c r="R26" s="89"/>
      <c r="S26" s="89"/>
      <c r="T26" s="89"/>
      <c r="U26" s="58"/>
      <c r="V26" s="89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Global'!L28</f>
        <v>0</v>
      </c>
      <c r="C27" s="88">
        <f>'Stats Global'!M28+'Stats Global'!N28</f>
        <v>0</v>
      </c>
      <c r="D27" s="88">
        <f>'Stats Global'!Q28</f>
        <v>0</v>
      </c>
      <c r="E27" s="85"/>
      <c r="F27" s="85"/>
      <c r="K27" s="89"/>
      <c r="L27" s="89"/>
      <c r="M27" s="89"/>
      <c r="N27" s="89"/>
      <c r="O27" s="89"/>
      <c r="Q27" s="89"/>
      <c r="R27" s="89"/>
      <c r="S27" s="89"/>
      <c r="T27" s="89"/>
      <c r="U27" s="58"/>
      <c r="V27" s="89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Global'!L29</f>
        <v>0</v>
      </c>
      <c r="C28" s="88">
        <f>'Stats Global'!M29+'Stats Global'!N29</f>
        <v>0</v>
      </c>
      <c r="D28" s="88">
        <f>'Stats Global'!Q29</f>
        <v>0</v>
      </c>
      <c r="E28" s="85"/>
      <c r="F28" s="85"/>
      <c r="K28" s="89"/>
      <c r="L28" s="89"/>
      <c r="M28" s="89"/>
      <c r="N28" s="89"/>
      <c r="O28" s="89"/>
      <c r="Q28" s="89"/>
      <c r="R28" s="89"/>
      <c r="S28" s="89"/>
      <c r="T28" s="89"/>
      <c r="U28" s="58"/>
      <c r="V28" s="89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Global'!L30</f>
        <v>0</v>
      </c>
      <c r="C29" s="88">
        <f>'Stats Global'!M30+'Stats Global'!N30</f>
        <v>0</v>
      </c>
      <c r="D29" s="88">
        <f>'Stats Global'!Q30</f>
        <v>0</v>
      </c>
      <c r="E29" s="85"/>
      <c r="F29" s="85"/>
      <c r="K29" s="89"/>
      <c r="L29" s="89"/>
      <c r="M29" s="89"/>
      <c r="N29" s="89"/>
      <c r="O29" s="89"/>
      <c r="Q29" s="89"/>
      <c r="R29" s="89"/>
      <c r="S29" s="89"/>
      <c r="T29" s="89"/>
      <c r="U29" s="58"/>
      <c r="V29" s="103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Global'!L31</f>
        <v>0</v>
      </c>
      <c r="C30" s="88">
        <f>'Stats Global'!M31+'Stats Global'!N31</f>
        <v>0</v>
      </c>
      <c r="D30" s="88">
        <f>'Stats Global'!Q31</f>
        <v>0</v>
      </c>
      <c r="E30" s="85"/>
      <c r="F30" s="85"/>
      <c r="K30" s="89"/>
      <c r="L30" s="89"/>
      <c r="M30" s="89"/>
      <c r="N30" s="89"/>
      <c r="O30" s="89"/>
      <c r="P30" s="86"/>
      <c r="Q30" s="89"/>
      <c r="R30" s="89"/>
      <c r="S30" s="89"/>
      <c r="T30" s="89"/>
      <c r="U30" s="58"/>
      <c r="V30" s="89"/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Global'!L32</f>
        <v>0</v>
      </c>
      <c r="C31" s="88">
        <f>'Stats Global'!M32+'Stats Global'!N32</f>
        <v>0</v>
      </c>
      <c r="D31" s="88">
        <f>'Stats Global'!Q32</f>
        <v>0</v>
      </c>
      <c r="E31" s="85"/>
      <c r="F31" s="85"/>
      <c r="J31" s="86"/>
      <c r="Q31" s="98"/>
      <c r="U31" s="58"/>
      <c r="V31" s="58"/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Global'!L33</f>
        <v>0</v>
      </c>
      <c r="C32" s="88">
        <f>'Stats Global'!M33+'Stats Global'!N33</f>
        <v>0</v>
      </c>
      <c r="D32" s="88">
        <f>'Stats Global'!Q33</f>
        <v>0</v>
      </c>
      <c r="E32" s="85"/>
      <c r="F32" s="85"/>
      <c r="J32" s="86"/>
      <c r="K32" s="99" t="str">
        <f>M32&amp;H4&amp;","&amp;I4&amp;"],"</f>
        <v>"PartA":[3,5],</v>
      </c>
      <c r="L32" s="86"/>
      <c r="M32" s="81" t="s">
        <v>135</v>
      </c>
      <c r="O32" s="81" t="s">
        <v>139</v>
      </c>
      <c r="Q32" s="100">
        <f>ROUND(SUM('Stats Global'!AA10,'Stats Global'!AA14,'Stats Global'!AA17,'Stats Global'!AA20,'Stats Global'!AA24)/'Stats Global'!AA6,1)</f>
        <v>4</v>
      </c>
    </row>
    <row r="33" spans="1:17" ht="14.25" customHeight="1" x14ac:dyDescent="0.45">
      <c r="A33" s="80">
        <f>'Stats Global'!B34</f>
        <v>0</v>
      </c>
      <c r="B33" s="88">
        <f>'Stats Global'!L34</f>
        <v>0</v>
      </c>
      <c r="C33" s="88">
        <f>'Stats Global'!M34+'Stats Global'!N34</f>
        <v>0</v>
      </c>
      <c r="D33" s="88">
        <f>'Stats Global'!Q34</f>
        <v>0</v>
      </c>
      <c r="E33" s="85"/>
      <c r="F33" s="85"/>
      <c r="K33" s="81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"PartB":[3,"Samuel McConaghy",1,"Nicholas Szogi",1,"Samuel McConaghy",1,"Samuel McConaghy"],</v>
      </c>
      <c r="M33" s="81" t="s">
        <v>136</v>
      </c>
      <c r="O33" s="101">
        <f>MAX(Table11[Points])</f>
        <v>3</v>
      </c>
      <c r="P33" s="81" t="str">
        <f>IF(O33&lt;&gt;0,IF(O33=M5,L5,IF(O33=M6,L6,IF(M7=O33,L7,IF(M8=O33,L8,L9)))),"N/A")</f>
        <v>Samuel McConaghy</v>
      </c>
      <c r="Q33" s="100">
        <f>ROUND(SUM('Stats Global'!AC10,'Stats Global'!AC14,'Stats Global'!AC17,'Stats Global'!AC20,'Stats Global'!AC24)/'Stats Global'!AA6,1)</f>
        <v>1</v>
      </c>
    </row>
    <row r="34" spans="1:17" ht="14.25" customHeight="1" x14ac:dyDescent="0.45">
      <c r="A34" s="80">
        <f>'Stats Global'!B35</f>
        <v>0</v>
      </c>
      <c r="B34" s="88">
        <f>'Stats Global'!L35</f>
        <v>0</v>
      </c>
      <c r="C34" s="88">
        <f>'Stats Global'!M35+'Stats Global'!N35</f>
        <v>0</v>
      </c>
      <c r="D34" s="88">
        <f>'Stats Global'!Q35</f>
        <v>0</v>
      </c>
      <c r="E34" s="85"/>
      <c r="F34" s="85"/>
      <c r="K34" s="81" t="str">
        <f>M34&amp;Q32&amp;","&amp;Q33&amp;","&amp;Q34&amp;","&amp;Q35&amp;","&amp;Q36&amp;","&amp;Q37&amp;"],"</f>
        <v>"PartC":[4,1,1,1,3,5],</v>
      </c>
      <c r="M34" s="81" t="s">
        <v>137</v>
      </c>
      <c r="O34" s="101">
        <f>MAX(Table11[Finishes])</f>
        <v>1</v>
      </c>
      <c r="P34" s="81" t="str">
        <f>IF(O34&lt;&gt;0,IF(O34=O5,L5,IF(O34=O6,L6,IF(O7=O34,L7,IF(O8=O34,L8,L9)))),"N/A")</f>
        <v>Nicholas Szogi</v>
      </c>
      <c r="Q34" s="100">
        <f>ROUND(SUM('Stats Global'!AE10,'Stats Global'!AE14,'Stats Global'!AE17,'Stats Global'!AE20,'Stats Global'!AE24)/'Stats Global'!AA6,1)</f>
        <v>1</v>
      </c>
    </row>
    <row r="35" spans="1:17" ht="14.25" customHeight="1" x14ac:dyDescent="0.45">
      <c r="A35" s="80">
        <f>'Stats Global'!B36</f>
        <v>0</v>
      </c>
      <c r="B35" s="88">
        <f>'Stats Global'!L36</f>
        <v>0</v>
      </c>
      <c r="C35" s="88">
        <f>'Stats Global'!M36+'Stats Global'!N36</f>
        <v>0</v>
      </c>
      <c r="D35" s="88">
        <f>'Stats Global'!Q36</f>
        <v>0</v>
      </c>
      <c r="E35" s="85"/>
      <c r="F35" s="85"/>
      <c r="K35" s="81" t="str">
        <f>M35&amp;'Statistics LG'!P41&amp;","&amp;'Statistics LG'!O41&amp;","&amp;ROUND((1-'Statistics LG'!O42)*100,1)&amp;","&amp;'Statistics WW'!M41&amp;","&amp;'Statistics WW'!L41&amp;","&amp;ROUND((1-'Statistics WW'!L42)*100,1)&amp;"],"</f>
        <v>"PartD":[3,3,50,0,2,0],</v>
      </c>
      <c r="M35" s="81" t="s">
        <v>138</v>
      </c>
      <c r="O35" s="101">
        <f>MAX(Table11[Midranges])</f>
        <v>1</v>
      </c>
      <c r="P35" s="81" t="str">
        <f>IF(O35&lt;&gt;0,IF(O35=Q5,L5,IF(O35=Q6,L6,IF(Q7=O35,L7,IF(Q8=O35,L8,L9)))),"N/A")</f>
        <v>Samuel McConaghy</v>
      </c>
      <c r="Q35" s="100">
        <f>ROUND(SUM('Stats Global'!AG10,'Stats Global'!AG14,'Stats Global'!AG17,'Stats Global'!AG20,'Stats Global'!AG24)/'Stats Global'!AA6,1)</f>
        <v>1</v>
      </c>
    </row>
    <row r="36" spans="1:17" ht="14.25" customHeight="1" x14ac:dyDescent="0.45">
      <c r="A36" s="80">
        <f>'Stats Global'!B37</f>
        <v>0</v>
      </c>
      <c r="B36" s="88">
        <f>'Stats Global'!L37</f>
        <v>0</v>
      </c>
      <c r="C36" s="88">
        <f>'Stats Global'!M37+'Stats Global'!N37</f>
        <v>0</v>
      </c>
      <c r="D36" s="88">
        <f>'Stats Global'!Q37</f>
        <v>0</v>
      </c>
      <c r="E36" s="85"/>
      <c r="F36" s="85"/>
      <c r="O36" s="101">
        <f>MAX(Table11[Threes])</f>
        <v>1</v>
      </c>
      <c r="P36" s="81" t="str">
        <f>IF(O36&lt;&gt;0,IF(O36=S5,L5,IF(O36=S6,L6,IF(S7=O36,L7,IF(S8=O36,L8,L9)))),"N/A")</f>
        <v>Samuel McConaghy</v>
      </c>
      <c r="Q36" s="81">
        <f>ROUND(H4/'Stats Global'!AA6,1)</f>
        <v>3</v>
      </c>
    </row>
    <row r="37" spans="1:17" ht="14.25" customHeight="1" x14ac:dyDescent="0.45">
      <c r="A37" s="80">
        <f>'Stats Global'!B38</f>
        <v>0</v>
      </c>
      <c r="B37" s="88">
        <f>'Stats Global'!L38</f>
        <v>0</v>
      </c>
      <c r="C37" s="88">
        <f>'Stats Global'!M38+'Stats Global'!N38</f>
        <v>0</v>
      </c>
      <c r="D37" s="88">
        <f>'Stats Global'!Q38</f>
        <v>0</v>
      </c>
      <c r="E37" s="85"/>
      <c r="F37" s="85"/>
      <c r="Q37" s="81">
        <f>ROUND(I4/'Stats Global'!AA6,1)</f>
        <v>5</v>
      </c>
    </row>
    <row r="38" spans="1:17" ht="14.25" customHeight="1" x14ac:dyDescent="0.45">
      <c r="A38" s="80">
        <f>'Stats Global'!B39</f>
        <v>0</v>
      </c>
      <c r="B38" s="88">
        <f>'Stats Global'!L39</f>
        <v>0</v>
      </c>
      <c r="C38" s="88">
        <f>'Stats Global'!M39+'Stats Global'!N39</f>
        <v>0</v>
      </c>
      <c r="D38" s="88">
        <f>'Stats Global'!Q39</f>
        <v>0</v>
      </c>
      <c r="E38" s="85"/>
      <c r="F38" s="85"/>
    </row>
    <row r="39" spans="1:17" ht="14.25" customHeight="1" x14ac:dyDescent="0.45">
      <c r="A39" s="80">
        <f>'Stats Global'!B40</f>
        <v>0</v>
      </c>
      <c r="B39" s="88">
        <f>'Stats Global'!L40</f>
        <v>0</v>
      </c>
      <c r="C39" s="88">
        <f>'Stats Global'!M40+'Stats Global'!N40</f>
        <v>0</v>
      </c>
      <c r="D39" s="88">
        <f>'Stats Global'!Q40</f>
        <v>0</v>
      </c>
      <c r="E39" s="85"/>
      <c r="F39" s="85"/>
    </row>
    <row r="40" spans="1:17" ht="14.25" customHeight="1" x14ac:dyDescent="0.45">
      <c r="A40" s="80">
        <f>'Stats Global'!B41</f>
        <v>0</v>
      </c>
      <c r="B40" s="88">
        <f>'Stats Global'!L41</f>
        <v>0</v>
      </c>
      <c r="C40" s="88">
        <f>'Stats Global'!M41+'Stats Global'!N41</f>
        <v>0</v>
      </c>
      <c r="D40" s="88">
        <f>'Stats Global'!Q41</f>
        <v>0</v>
      </c>
      <c r="E40" s="85"/>
      <c r="F40" s="85"/>
    </row>
    <row r="41" spans="1:17" ht="14.25" customHeight="1" x14ac:dyDescent="0.45">
      <c r="C41" s="132">
        <f>SUM(B7:B40)/SUM(B7:C40)</f>
        <v>0.375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T28" sqref="T2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8" si="5">IF(AND(C4="Loose Gooses",D4="Wet Willies"),"LG/WW", IF(AND(C4="Loose Gooses",D4="5 Musketeers"),"LG/5M", ""))</f>
        <v/>
      </c>
      <c r="Y4" s="54" t="str">
        <f t="shared" ref="Y4:Y18" si="6">IF(AND(C4="Wet Willies",D4="Loose Gooses"),"WW/LG", IF(AND(C4="Wet Willies",D4="5 Musketeers"),"WW/5M", ""))</f>
        <v/>
      </c>
      <c r="Z4" s="54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ref="X19:X39" si="8">IF(AND(C19="Loose Gooses",D19="Wet Willies"),"LG/WW", IF(AND(C19="Loose Gooses",D19="5 Musketeers"),"LG/5M", ""))</f>
        <v/>
      </c>
      <c r="Y19" s="54" t="str">
        <f t="shared" ref="Y19:Y39" si="9">IF(AND(C19="Wet Willies",D19="Loose Gooses"),"WW/LG", IF(AND(C19="Wet Willies",D19="5 Musketeers"),"WW/5M", ""))</f>
        <v/>
      </c>
      <c r="Z19" s="54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0,</v>
      </c>
      <c r="S25" s="17" t="str">
        <f t="shared" si="12"/>
        <v>0,</v>
      </c>
      <c r="T25" s="17" t="str">
        <f t="shared" si="12"/>
        <v>0,</v>
      </c>
      <c r="U25" s="17" t="str">
        <f t="shared" si="12"/>
        <v>0,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0,</v>
      </c>
      <c r="S26" s="17" t="str">
        <f t="shared" si="12"/>
        <v>0,</v>
      </c>
      <c r="T26" s="17" t="str">
        <f t="shared" si="12"/>
        <v>0,</v>
      </c>
      <c r="U26" s="17" t="str">
        <f t="shared" si="12"/>
        <v>0,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0,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0,</v>
      </c>
      <c r="S36" s="17" t="str">
        <f t="shared" si="12"/>
        <v>0,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2" t="s">
        <v>119</v>
      </c>
      <c r="U41" s="142"/>
      <c r="V41" s="142"/>
    </row>
    <row r="42" spans="2:26" ht="14.25" customHeight="1" x14ac:dyDescent="0.9">
      <c r="R42" s="104"/>
      <c r="S42" s="104"/>
      <c r="T42" s="142"/>
      <c r="U42" s="142"/>
      <c r="V42" s="142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9" t="str">
        <f>C2</f>
        <v>12-July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zoomScale="79" workbookViewId="0">
      <selection activeCell="C3" sqref="C3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0,</v>
      </c>
      <c r="S25" s="17" t="str">
        <f t="shared" si="9"/>
        <v>0,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0,</v>
      </c>
      <c r="S30" s="17" t="str">
        <f t="shared" si="9"/>
        <v>0,</v>
      </c>
      <c r="T30" s="17" t="str">
        <f t="shared" si="9"/>
        <v>0,</v>
      </c>
      <c r="U30" s="17" t="str">
        <f t="shared" si="9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0,</v>
      </c>
      <c r="S31" s="17" t="str">
        <f t="shared" si="9"/>
        <v>0,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0,</v>
      </c>
      <c r="S32" s="17" t="str">
        <f t="shared" si="9"/>
        <v>0,</v>
      </c>
      <c r="T32" s="17" t="str">
        <f t="shared" si="9"/>
        <v>0,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0,</v>
      </c>
      <c r="S36" s="17" t="str">
        <f t="shared" si="9"/>
        <v>0,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0,</v>
      </c>
      <c r="S37" s="17" t="str">
        <f t="shared" si="9"/>
        <v>0,</v>
      </c>
      <c r="T37" s="17" t="str">
        <f t="shared" si="9"/>
        <v>0,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2" t="s">
        <v>119</v>
      </c>
      <c r="U41" s="142"/>
      <c r="V41" s="142"/>
    </row>
    <row r="42" spans="2:26" ht="14.25" customHeight="1" x14ac:dyDescent="0.9">
      <c r="R42" s="104"/>
      <c r="S42" s="104"/>
      <c r="T42" s="142"/>
      <c r="U42" s="142"/>
      <c r="V42" s="142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"Date":["18-July"],</v>
      </c>
    </row>
    <row r="45" spans="2:26" ht="14.25" customHeight="1" x14ac:dyDescent="0.45">
      <c r="B45" s="79" t="str">
        <f>C2</f>
        <v>18-July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zoomScale="90" zoomScaleNormal="90" workbookViewId="0">
      <selection activeCell="D5" sqref="D5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X2" s="143" t="s">
        <v>219</v>
      </c>
      <c r="Y2" s="143"/>
      <c r="Z2" s="143"/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3</v>
      </c>
      <c r="N3" s="11">
        <f>L3/(L3+M3)</f>
        <v>0.72727272727272729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61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3</v>
      </c>
      <c r="M4" s="12">
        <f>COUNTIF(D3:D40, "5 Musketeers")</f>
        <v>5</v>
      </c>
      <c r="N4" s="11">
        <f t="shared" ref="N4:N5" si="4">L4/(L4+M4)</f>
        <v>0.375</v>
      </c>
      <c r="O4" s="12">
        <f>IF(AND(N4&gt;N3, N4&gt;N5), 3, IF(OR(N4&gt;N3, N4&gt;N5), 2, 1))</f>
        <v>2</v>
      </c>
      <c r="Q4" s="2" t="s">
        <v>28</v>
      </c>
      <c r="R4" s="9">
        <f t="shared" si="0"/>
        <v>2</v>
      </c>
      <c r="S4" s="10">
        <f t="shared" si="1"/>
        <v>2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LG/5M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5</v>
      </c>
      <c r="N5" s="11">
        <f t="shared" si="4"/>
        <v>0.2857142857142857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50</v>
      </c>
      <c r="F6" s="26" t="s">
        <v>99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31</v>
      </c>
      <c r="D7" s="26" t="s">
        <v>26</v>
      </c>
      <c r="E7" s="26" t="s">
        <v>52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>WW/5M</v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58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1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47</v>
      </c>
      <c r="E9" s="26" t="s">
        <v>55</v>
      </c>
      <c r="F9" s="26" t="s">
        <v>205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5M/LG</v>
      </c>
    </row>
    <row r="10" spans="2:31" ht="14.25" customHeight="1" x14ac:dyDescent="0.45">
      <c r="B10" s="26">
        <v>7</v>
      </c>
      <c r="C10" s="26" t="s">
        <v>31</v>
      </c>
      <c r="D10" s="26" t="s">
        <v>26</v>
      </c>
      <c r="E10" s="26" t="s">
        <v>52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>WW/5M</v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61</v>
      </c>
      <c r="F12" s="26" t="s">
        <v>206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3</v>
      </c>
      <c r="S12" s="10">
        <f t="shared" si="1"/>
        <v>0</v>
      </c>
      <c r="T12" s="10">
        <f t="shared" si="2"/>
        <v>1</v>
      </c>
      <c r="U12" s="10">
        <f t="shared" si="3"/>
        <v>1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46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2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28</v>
      </c>
      <c r="F14" s="26" t="s">
        <v>205</v>
      </c>
      <c r="G14" s="26">
        <v>4</v>
      </c>
      <c r="H14" s="26">
        <v>3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61</v>
      </c>
      <c r="F15" s="26" t="s">
        <v>205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26</v>
      </c>
      <c r="D16" s="26" t="s">
        <v>47</v>
      </c>
      <c r="E16" s="26" t="s">
        <v>50</v>
      </c>
      <c r="F16" s="26" t="s">
        <v>206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5M/LG</v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5</v>
      </c>
      <c r="S17" s="10">
        <f t="shared" si="1"/>
        <v>3</v>
      </c>
      <c r="T17" s="10">
        <f t="shared" si="2"/>
        <v>0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2,</v>
      </c>
      <c r="S24" s="17" t="str">
        <f t="shared" si="9"/>
        <v>2,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"Did not Play",</v>
      </c>
      <c r="S28" s="17" t="str">
        <f t="shared" si="9"/>
        <v>"Did not Play",</v>
      </c>
      <c r="T28" s="17" t="str">
        <f t="shared" si="9"/>
        <v>"Did not Play",</v>
      </c>
      <c r="U28" s="17" t="str">
        <f t="shared" si="9"/>
        <v>"Did not Play",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3,</v>
      </c>
      <c r="S32" s="17" t="str">
        <f t="shared" si="9"/>
        <v>0,</v>
      </c>
      <c r="T32" s="17" t="str">
        <f t="shared" si="9"/>
        <v>1,</v>
      </c>
      <c r="U32" s="17" t="str">
        <f t="shared" si="9"/>
        <v>1,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2,</v>
      </c>
      <c r="S33" s="17" t="str">
        <f t="shared" si="9"/>
        <v>0,</v>
      </c>
      <c r="T33" s="17" t="str">
        <f t="shared" si="9"/>
        <v>2,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B35" s="26"/>
      <c r="C35" s="26"/>
      <c r="D35" s="26"/>
      <c r="E35" s="26"/>
      <c r="F35" s="26"/>
      <c r="G35" s="26"/>
      <c r="H35" s="26"/>
      <c r="I35" s="26"/>
      <c r="R35" s="17" t="str">
        <f t="shared" si="9"/>
        <v>1,</v>
      </c>
      <c r="S35" s="17" t="str">
        <f t="shared" si="9"/>
        <v>1,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B36" s="26"/>
      <c r="C36" s="26"/>
      <c r="D36" s="26"/>
      <c r="E36" s="26"/>
      <c r="F36" s="26"/>
      <c r="G36" s="26"/>
      <c r="H36" s="26"/>
      <c r="I36" s="26"/>
      <c r="R36" s="17" t="str">
        <f t="shared" si="9"/>
        <v>1,</v>
      </c>
      <c r="S36" s="17" t="str">
        <f t="shared" si="9"/>
        <v>0,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B37" s="26"/>
      <c r="C37" s="26"/>
      <c r="D37" s="26"/>
      <c r="E37" s="26"/>
      <c r="F37" s="26"/>
      <c r="G37" s="26"/>
      <c r="H37" s="26"/>
      <c r="I37" s="26"/>
      <c r="R37" s="17" t="str">
        <f t="shared" si="9"/>
        <v>5,</v>
      </c>
      <c r="S37" s="17" t="str">
        <f t="shared" si="9"/>
        <v>3,</v>
      </c>
      <c r="T37" s="17" t="str">
        <f t="shared" si="9"/>
        <v>0,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B38" s="26"/>
      <c r="C38" s="26"/>
      <c r="D38" s="26"/>
      <c r="E38" s="26"/>
      <c r="F38" s="26"/>
      <c r="G38" s="26"/>
      <c r="H38" s="26"/>
      <c r="I38" s="26"/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B39" s="26"/>
      <c r="C39" s="26"/>
      <c r="D39" s="26"/>
      <c r="E39" s="26"/>
      <c r="F39" s="26"/>
      <c r="G39" s="26"/>
      <c r="H39" s="26"/>
      <c r="I39" s="26"/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26"/>
      <c r="C40" s="26"/>
      <c r="D40" s="26"/>
      <c r="E40" s="26"/>
      <c r="F40" s="26"/>
      <c r="G40" s="26"/>
      <c r="H40" s="26"/>
      <c r="I40" s="26"/>
      <c r="S40" s="9"/>
      <c r="T40" s="9"/>
      <c r="U40" s="9"/>
    </row>
    <row r="41" spans="2:26" ht="14.25" customHeight="1" x14ac:dyDescent="0.9">
      <c r="B41" s="26"/>
      <c r="C41" s="26"/>
      <c r="D41" s="26"/>
      <c r="E41" s="26"/>
      <c r="F41" s="26"/>
      <c r="G41" s="26"/>
      <c r="H41" s="26"/>
      <c r="I41" s="26"/>
      <c r="R41" s="104"/>
      <c r="S41" s="104"/>
      <c r="T41" s="142" t="s">
        <v>119</v>
      </c>
      <c r="U41" s="142"/>
      <c r="V41" s="142"/>
    </row>
    <row r="42" spans="2:26" ht="14.25" customHeight="1" x14ac:dyDescent="0.9">
      <c r="B42" s="26"/>
      <c r="C42" s="26"/>
      <c r="D42" s="26"/>
      <c r="E42" s="26"/>
      <c r="F42" s="26"/>
      <c r="G42" s="26"/>
      <c r="H42" s="26"/>
      <c r="I42" s="26"/>
      <c r="R42" s="104"/>
      <c r="S42" s="104"/>
      <c r="T42" s="142"/>
      <c r="U42" s="142"/>
      <c r="V42" s="142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9" t="str">
        <f>C2</f>
        <v>17-July</v>
      </c>
      <c r="C45" s="17">
        <f>MAX(L3:L5)</f>
        <v>8</v>
      </c>
      <c r="D45" s="17">
        <f>COUNT(B4:B42)-C45-E45</f>
        <v>3</v>
      </c>
      <c r="E45" s="17">
        <f>MIN(L3:L5)</f>
        <v>2</v>
      </c>
      <c r="F45" s="17">
        <f>L3</f>
        <v>8</v>
      </c>
      <c r="G45" s="17">
        <f>COUNTIF(Y4:Y39, "WW/LG")</f>
        <v>0</v>
      </c>
      <c r="H45" s="17">
        <f>COUNTIF(Z4:Z39, "5M/LG")</f>
        <v>3</v>
      </c>
      <c r="I45" s="17">
        <f>L5</f>
        <v>2</v>
      </c>
      <c r="J45" s="17">
        <f>COUNTIF(X4:X39, "LG/WW")</f>
        <v>5</v>
      </c>
      <c r="K45" s="17">
        <f>COUNTIF(Z4:Z39, "5M/WW")</f>
        <v>0</v>
      </c>
      <c r="L45" s="17">
        <f>L4</f>
        <v>3</v>
      </c>
      <c r="M45" s="17">
        <f>COUNTIF(X4:X39, "LG/5M")</f>
        <v>3</v>
      </c>
      <c r="N45" s="17">
        <f>COUNTIF(Y4:Y39, "WW/5M")</f>
        <v>2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2</v>
      </c>
      <c r="N3" s="11">
        <f>L3/(L3+M3)</f>
        <v>0.8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1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26</v>
      </c>
      <c r="E4" s="26" t="s">
        <v>37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6" si="5">IF(AND(C4="Loose Gooses",D4="Wet Willies"),"LG/WW", IF(AND(C4="Loose Gooses",D4="5 Musketeers"),"LG/5M", ""))</f>
        <v/>
      </c>
      <c r="Y4" s="54" t="str">
        <f t="shared" ref="Y4:Y16" si="6">IF(AND(C4="Wet Willies",D4="Loose Gooses"),"WW/LG", IF(AND(C4="Wet Willies",D4="5 Musketeers"),"WW/5M", ""))</f>
        <v>WW/5M</v>
      </c>
      <c r="Z4" s="54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47</v>
      </c>
      <c r="E5" s="26" t="s">
        <v>44</v>
      </c>
      <c r="F5" s="26" t="s">
        <v>206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4</v>
      </c>
      <c r="M5" s="12">
        <f>COUNTIF(D3:D40, "Wet Willies")</f>
        <v>5</v>
      </c>
      <c r="N5" s="11">
        <f t="shared" si="4"/>
        <v>0.44444444444444442</v>
      </c>
      <c r="O5" s="12">
        <f>IF(AND(N5&gt;N4, N5&gt;N3), 3, IF(OR(N5&gt;N4, N5&gt;N3), 2, 1))</f>
        <v>2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WW/LG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31</v>
      </c>
      <c r="D6" s="26" t="s">
        <v>26</v>
      </c>
      <c r="E6" s="26" t="s">
        <v>201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>WW/5M</v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31</v>
      </c>
      <c r="E7" s="26" t="s">
        <v>46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3</v>
      </c>
      <c r="S7" s="10">
        <f t="shared" si="1"/>
        <v>0</v>
      </c>
      <c r="T7" s="10">
        <f t="shared" si="2"/>
        <v>1</v>
      </c>
      <c r="U7" s="10">
        <f t="shared" si="3"/>
        <v>1</v>
      </c>
      <c r="V7" s="27" t="b">
        <v>0</v>
      </c>
      <c r="X7" s="54" t="str">
        <f t="shared" si="5"/>
        <v>LG/WW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26</v>
      </c>
      <c r="E8" s="26" t="s">
        <v>61</v>
      </c>
      <c r="F8" s="26" t="s">
        <v>206</v>
      </c>
      <c r="G8" s="26">
        <v>2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LG/5M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31</v>
      </c>
      <c r="D9" s="26" t="s">
        <v>47</v>
      </c>
      <c r="E9" s="26" t="s">
        <v>37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>WW/LG</v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55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2</v>
      </c>
      <c r="S11" s="10">
        <f t="shared" si="1"/>
        <v>0</v>
      </c>
      <c r="T11" s="10">
        <f t="shared" si="2"/>
        <v>2</v>
      </c>
      <c r="U11" s="10">
        <f t="shared" si="3"/>
        <v>0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61</v>
      </c>
      <c r="F12" s="26" t="s">
        <v>205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61</v>
      </c>
      <c r="F13" s="26" t="s">
        <v>99</v>
      </c>
      <c r="G13" s="26">
        <v>3</v>
      </c>
      <c r="H13" s="26">
        <v>2</v>
      </c>
      <c r="I13" s="26">
        <v>3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205</v>
      </c>
      <c r="G14" s="26">
        <v>4</v>
      </c>
      <c r="H14" s="26">
        <v>3</v>
      </c>
      <c r="I14" s="26">
        <v>4</v>
      </c>
      <c r="Q14" s="2" t="s">
        <v>201</v>
      </c>
      <c r="R14" s="9">
        <f t="shared" si="0"/>
        <v>1</v>
      </c>
      <c r="S14" s="10">
        <f t="shared" si="1"/>
        <v>1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46</v>
      </c>
      <c r="F15" s="26" t="s">
        <v>99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58</v>
      </c>
      <c r="F16" s="26" t="s">
        <v>205</v>
      </c>
      <c r="G16" s="26">
        <v>6</v>
      </c>
      <c r="H16" s="26">
        <v>4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ref="X17:X39" si="8">IF(AND(C17="Loose Gooses",D17="Wet Willies"),"LG/WW", IF(AND(C17="Loose Gooses",D17="5 Musketeers"),"LG/5M", ""))</f>
        <v/>
      </c>
      <c r="Y17" s="54" t="str">
        <f t="shared" ref="Y17:Y39" si="9">IF(AND(C17="Wet Willies",D17="Loose Gooses"),"WW/LG", IF(AND(C17="Wet Willies",D17="5 Musketeers"),"WW/5M", ""))</f>
        <v/>
      </c>
      <c r="Z17" s="54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8"/>
        <v/>
      </c>
      <c r="Y18" s="54" t="str">
        <f t="shared" si="9"/>
        <v/>
      </c>
      <c r="Z18" s="54" t="str">
        <f t="shared" si="10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8"/>
        <v/>
      </c>
      <c r="Y19" s="54" t="str">
        <f t="shared" si="9"/>
        <v/>
      </c>
      <c r="Z19" s="54" t="str">
        <f t="shared" si="10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"Did not Play",</v>
      </c>
      <c r="S23" s="17" t="str">
        <f t="shared" ref="S23:U23" si="11">IF($V3, CHAR(34)&amp;"Did not Play"&amp;CHAR(34), S3)&amp;","</f>
        <v>"Did not Play",</v>
      </c>
      <c r="T23" s="17" t="str">
        <f t="shared" si="11"/>
        <v>"Did not Play",</v>
      </c>
      <c r="U23" s="17" t="str">
        <f t="shared" si="11"/>
        <v>"Did not Play",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"Did not Play",</v>
      </c>
      <c r="S25" s="17" t="str">
        <f t="shared" si="12"/>
        <v>"Did not Play",</v>
      </c>
      <c r="T25" s="17" t="str">
        <f t="shared" si="12"/>
        <v>"Did not Play",</v>
      </c>
      <c r="U25" s="17" t="str">
        <f t="shared" si="12"/>
        <v>"Did not Play",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3,</v>
      </c>
      <c r="S27" s="17" t="str">
        <f t="shared" si="12"/>
        <v>0,</v>
      </c>
      <c r="T27" s="17" t="str">
        <f t="shared" si="12"/>
        <v>1,</v>
      </c>
      <c r="U27" s="17" t="str">
        <f t="shared" si="12"/>
        <v>1,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2,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1,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2,</v>
      </c>
      <c r="S31" s="17" t="str">
        <f t="shared" si="12"/>
        <v>0,</v>
      </c>
      <c r="T31" s="17" t="str">
        <f t="shared" si="12"/>
        <v>2,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1,</v>
      </c>
      <c r="S34" s="17" t="str">
        <f t="shared" si="12"/>
        <v>1,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1,</v>
      </c>
      <c r="S35" s="17" t="str">
        <f t="shared" si="12"/>
        <v>1,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1,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2" t="s">
        <v>119</v>
      </c>
      <c r="U41" s="142"/>
      <c r="V41" s="142"/>
    </row>
    <row r="42" spans="2:26" ht="14.25" customHeight="1" x14ac:dyDescent="0.9">
      <c r="R42" s="104"/>
      <c r="S42" s="104"/>
      <c r="T42" s="142"/>
      <c r="U42" s="142"/>
      <c r="V42" s="142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9" t="str">
        <f>C2</f>
        <v>13-July</v>
      </c>
      <c r="C45" s="17">
        <f>MAX(L3:L5)</f>
        <v>8</v>
      </c>
      <c r="D45" s="17">
        <f>COUNT(B4:B42)-C45-E45</f>
        <v>4</v>
      </c>
      <c r="E45" s="17">
        <f>MIN(L3:L5)</f>
        <v>1</v>
      </c>
      <c r="F45" s="17">
        <f>L3</f>
        <v>8</v>
      </c>
      <c r="G45" s="17">
        <f>COUNTIF(Y4:Y39, "WW/LG")</f>
        <v>2</v>
      </c>
      <c r="H45" s="17">
        <f>COUNTIF(Z4:Z39, "5M/LG")</f>
        <v>0</v>
      </c>
      <c r="I45" s="17">
        <f>L5</f>
        <v>4</v>
      </c>
      <c r="J45" s="17">
        <f>COUNTIF(X4:X39, "LG/WW")</f>
        <v>4</v>
      </c>
      <c r="K45" s="17">
        <f>COUNTIF(Z4:Z39, "5M/WW")</f>
        <v>1</v>
      </c>
      <c r="L45" s="17">
        <f>L4</f>
        <v>1</v>
      </c>
      <c r="M45" s="17">
        <f>COUNTIF(X4:X39, "LG/5M")</f>
        <v>4</v>
      </c>
      <c r="N45" s="17">
        <f>COUNTIF(Y4:Y39, "WW/5M")</f>
        <v>2</v>
      </c>
      <c r="O45" s="17">
        <f>O3</f>
        <v>3</v>
      </c>
      <c r="P45" s="17">
        <f>O5</f>
        <v>2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SfW</vt:lpstr>
      <vt:lpstr>Stats Global</vt:lpstr>
      <vt:lpstr>Statistics LG</vt:lpstr>
      <vt:lpstr>Statistics WW</vt:lpstr>
      <vt:lpstr>Statistics 5M</vt:lpstr>
      <vt:lpstr>Template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2023-07-17T04:43:40Z</dcterms:modified>
</cp:coreProperties>
</file>