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5859E289-95FA-42E3-ACFC-B94A00B66B50}" xr6:coauthVersionLast="47" xr6:coauthVersionMax="47" xr10:uidLastSave="{00000000-0000-0000-0000-000000000000}"/>
  <bookViews>
    <workbookView xWindow="-98" yWindow="-98" windowWidth="22695" windowHeight="14595" activeTab="6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108" sheetId="19" r:id="rId7"/>
    <sheet name="3107" sheetId="18" r:id="rId8"/>
    <sheet name="2707" sheetId="17" r:id="rId9"/>
    <sheet name="2607" sheetId="16" r:id="rId10"/>
    <sheet name="2407" sheetId="15" r:id="rId11"/>
    <sheet name="2007" sheetId="14" r:id="rId12"/>
    <sheet name="1907" sheetId="13" r:id="rId13"/>
    <sheet name="1807" sheetId="12" r:id="rId14"/>
    <sheet name="1707" sheetId="11" r:id="rId15"/>
    <sheet name="Preseason 3" sheetId="10" r:id="rId16"/>
    <sheet name="Preseason 2" sheetId="9" r:id="rId17"/>
    <sheet name="Preseason 1" sheetId="8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9" i="3" l="1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L50" i="3"/>
  <c r="AM50" i="3"/>
  <c r="AN50" i="3"/>
  <c r="AO50" i="3"/>
  <c r="AL51" i="3"/>
  <c r="AM51" i="3"/>
  <c r="AN51" i="3"/>
  <c r="AO51" i="3"/>
  <c r="AL52" i="3"/>
  <c r="AM52" i="3"/>
  <c r="AN52" i="3"/>
  <c r="AO52" i="3"/>
  <c r="AL53" i="3"/>
  <c r="AM53" i="3"/>
  <c r="AN53" i="3"/>
  <c r="AO53" i="3"/>
  <c r="AL54" i="3"/>
  <c r="AM54" i="3"/>
  <c r="AN54" i="3"/>
  <c r="AO54" i="3"/>
  <c r="AL55" i="3"/>
  <c r="AM55" i="3"/>
  <c r="AN55" i="3"/>
  <c r="AO55" i="3"/>
  <c r="AL56" i="3"/>
  <c r="AM56" i="3"/>
  <c r="AN56" i="3"/>
  <c r="AO56" i="3"/>
  <c r="AL57" i="3"/>
  <c r="AM57" i="3"/>
  <c r="AN57" i="3"/>
  <c r="AO57" i="3"/>
  <c r="AL58" i="3"/>
  <c r="AM58" i="3"/>
  <c r="AN58" i="3"/>
  <c r="AO58" i="3"/>
  <c r="AL59" i="3"/>
  <c r="AM59" i="3"/>
  <c r="AN59" i="3"/>
  <c r="AO59" i="3"/>
  <c r="AL60" i="3"/>
  <c r="AM60" i="3"/>
  <c r="AN60" i="3"/>
  <c r="AO60" i="3"/>
  <c r="AL61" i="3"/>
  <c r="AM61" i="3"/>
  <c r="AN61" i="3"/>
  <c r="AO61" i="3"/>
  <c r="AL62" i="3"/>
  <c r="AM62" i="3"/>
  <c r="AN62" i="3"/>
  <c r="AO62" i="3"/>
  <c r="AL63" i="3"/>
  <c r="AM63" i="3"/>
  <c r="AN63" i="3"/>
  <c r="AO63" i="3"/>
  <c r="AL64" i="3"/>
  <c r="AM64" i="3"/>
  <c r="AN64" i="3"/>
  <c r="AO64" i="3"/>
  <c r="AL65" i="3"/>
  <c r="AM65" i="3"/>
  <c r="AN65" i="3"/>
  <c r="AO65" i="3"/>
  <c r="AM49" i="3"/>
  <c r="AN49" i="3"/>
  <c r="AO49" i="3"/>
  <c r="AL49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B16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R17" i="19"/>
  <c r="R37" i="19" s="1"/>
  <c r="Z16" i="19"/>
  <c r="Y16" i="19"/>
  <c r="X16" i="19"/>
  <c r="U16" i="19"/>
  <c r="U36" i="19" s="1"/>
  <c r="T16" i="19"/>
  <c r="T36" i="19" s="1"/>
  <c r="S16" i="19"/>
  <c r="S36" i="19" s="1"/>
  <c r="R16" i="19"/>
  <c r="R36" i="19" s="1"/>
  <c r="Z15" i="19"/>
  <c r="Y15" i="19"/>
  <c r="X15" i="19"/>
  <c r="U15" i="19"/>
  <c r="U35" i="19" s="1"/>
  <c r="T15" i="19"/>
  <c r="T35" i="19" s="1"/>
  <c r="S15" i="19"/>
  <c r="S35" i="19" s="1"/>
  <c r="R15" i="19"/>
  <c r="R35" i="19" s="1"/>
  <c r="Z14" i="19"/>
  <c r="Y14" i="19"/>
  <c r="X14" i="19"/>
  <c r="U14" i="19"/>
  <c r="U34" i="19" s="1"/>
  <c r="T14" i="19"/>
  <c r="T34" i="19" s="1"/>
  <c r="S14" i="19"/>
  <c r="S34" i="19" s="1"/>
  <c r="R14" i="19"/>
  <c r="R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R9" i="19"/>
  <c r="R29" i="19" s="1"/>
  <c r="Z8" i="19"/>
  <c r="Y8" i="19"/>
  <c r="X8" i="19"/>
  <c r="U8" i="19"/>
  <c r="U28" i="19" s="1"/>
  <c r="T8" i="19"/>
  <c r="T28" i="19" s="1"/>
  <c r="S8" i="19"/>
  <c r="S28" i="19" s="1"/>
  <c r="R8" i="19"/>
  <c r="R28" i="19" s="1"/>
  <c r="Z7" i="19"/>
  <c r="Y7" i="19"/>
  <c r="X7" i="19"/>
  <c r="U7" i="19"/>
  <c r="U27" i="19" s="1"/>
  <c r="T7" i="19"/>
  <c r="T27" i="19" s="1"/>
  <c r="S7" i="19"/>
  <c r="S27" i="19" s="1"/>
  <c r="R7" i="19"/>
  <c r="R27" i="19" s="1"/>
  <c r="Z6" i="19"/>
  <c r="Y6" i="19"/>
  <c r="X6" i="19"/>
  <c r="U6" i="19"/>
  <c r="U26" i="19" s="1"/>
  <c r="T6" i="19"/>
  <c r="T26" i="19" s="1"/>
  <c r="S6" i="19"/>
  <c r="S26" i="19" s="1"/>
  <c r="R6" i="19"/>
  <c r="R26" i="19" s="1"/>
  <c r="Z5" i="19"/>
  <c r="Y5" i="19"/>
  <c r="X5" i="19"/>
  <c r="U5" i="19"/>
  <c r="U25" i="19" s="1"/>
  <c r="T5" i="19"/>
  <c r="T25" i="19" s="1"/>
  <c r="S5" i="19"/>
  <c r="S25" i="19" s="1"/>
  <c r="N5" i="19"/>
  <c r="M5" i="19"/>
  <c r="L5" i="19"/>
  <c r="I45" i="19" s="1"/>
  <c r="Z4" i="19"/>
  <c r="K45" i="19" s="1"/>
  <c r="Y4" i="19"/>
  <c r="G45" i="19" s="1"/>
  <c r="X4" i="19"/>
  <c r="M45" i="19" s="1"/>
  <c r="U4" i="19"/>
  <c r="U24" i="19" s="1"/>
  <c r="T4" i="19"/>
  <c r="T24" i="19" s="1"/>
  <c r="S4" i="19"/>
  <c r="S24" i="19" s="1"/>
  <c r="R4" i="19"/>
  <c r="R24" i="19" s="1"/>
  <c r="M4" i="19"/>
  <c r="L4" i="19"/>
  <c r="L45" i="19" s="1"/>
  <c r="U3" i="19"/>
  <c r="U23" i="19" s="1"/>
  <c r="T3" i="19"/>
  <c r="T23" i="19" s="1"/>
  <c r="S3" i="19"/>
  <c r="S23" i="19" s="1"/>
  <c r="R3" i="19"/>
  <c r="R23" i="19" s="1"/>
  <c r="M3" i="19"/>
  <c r="L3" i="19"/>
  <c r="E45" i="19" s="1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W5" i="3"/>
  <c r="AX5" i="3"/>
  <c r="AV5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T46" i="19" l="1"/>
  <c r="T47" i="19"/>
  <c r="T48" i="19"/>
  <c r="U30" i="19"/>
  <c r="U38" i="19"/>
  <c r="F45" i="19"/>
  <c r="N45" i="19"/>
  <c r="R5" i="19"/>
  <c r="R25" i="19" s="1"/>
  <c r="T45" i="19" s="1"/>
  <c r="R13" i="19"/>
  <c r="R33" i="19" s="1"/>
  <c r="H45" i="19"/>
  <c r="R12" i="19"/>
  <c r="R32" i="19" s="1"/>
  <c r="R11" i="19"/>
  <c r="R31" i="19" s="1"/>
  <c r="R19" i="19"/>
  <c r="R39" i="19" s="1"/>
  <c r="J45" i="19"/>
  <c r="N3" i="19"/>
  <c r="N4" i="19"/>
  <c r="O4" i="19" s="1"/>
  <c r="Q45" i="19" s="1"/>
  <c r="C45" i="19"/>
  <c r="D45" i="19" s="1"/>
  <c r="R10" i="18"/>
  <c r="R30" i="18" s="1"/>
  <c r="R17" i="18"/>
  <c r="R37" i="18" s="1"/>
  <c r="R8" i="18"/>
  <c r="R28" i="18" s="1"/>
  <c r="R6" i="18"/>
  <c r="R26" i="18" s="1"/>
  <c r="G45" i="18"/>
  <c r="G15" i="3" s="1"/>
  <c r="AV3" i="3"/>
  <c r="AY8" i="3" s="1"/>
  <c r="AS64" i="3"/>
  <c r="AS62" i="3"/>
  <c r="AS56" i="3"/>
  <c r="AS54" i="3"/>
  <c r="AS52" i="3"/>
  <c r="AS50" i="3"/>
  <c r="T47" i="18"/>
  <c r="M45" i="18"/>
  <c r="M15" i="3" s="1"/>
  <c r="R9" i="18"/>
  <c r="R14" i="18"/>
  <c r="AR64" i="3"/>
  <c r="AR62" i="3"/>
  <c r="AR58" i="3"/>
  <c r="AR56" i="3"/>
  <c r="AR50" i="3"/>
  <c r="AR49" i="3"/>
  <c r="AQ64" i="3"/>
  <c r="AQ62" i="3"/>
  <c r="AQ60" i="3"/>
  <c r="AQ58" i="3"/>
  <c r="AQ54" i="3"/>
  <c r="AQ52" i="3"/>
  <c r="AQ50" i="3"/>
  <c r="K45" i="18"/>
  <c r="K15" i="3" s="1"/>
  <c r="R7" i="18"/>
  <c r="AP56" i="3"/>
  <c r="AS65" i="3"/>
  <c r="AS63" i="3"/>
  <c r="AS61" i="3"/>
  <c r="AS59" i="3"/>
  <c r="AS57" i="3"/>
  <c r="AS55" i="3"/>
  <c r="AS53" i="3"/>
  <c r="AR65" i="3"/>
  <c r="AR63" i="3"/>
  <c r="AR61" i="3"/>
  <c r="AR59" i="3"/>
  <c r="AR57" i="3"/>
  <c r="AR55" i="3"/>
  <c r="AR53" i="3"/>
  <c r="AR51" i="3"/>
  <c r="E45" i="18"/>
  <c r="E15" i="3" s="1"/>
  <c r="R4" i="18"/>
  <c r="AQ65" i="3"/>
  <c r="AQ61" i="3"/>
  <c r="AQ59" i="3"/>
  <c r="AQ57" i="3"/>
  <c r="AQ53" i="3"/>
  <c r="AQ51" i="3"/>
  <c r="R18" i="18"/>
  <c r="R3" i="18"/>
  <c r="R16" i="18"/>
  <c r="AP63" i="3"/>
  <c r="AP61" i="3"/>
  <c r="AS51" i="3"/>
  <c r="AQ63" i="3"/>
  <c r="AJ9" i="3"/>
  <c r="AP9" i="3" s="1"/>
  <c r="AS49" i="3"/>
  <c r="AQ49" i="3"/>
  <c r="AJ8" i="3"/>
  <c r="AY5" i="3" s="1"/>
  <c r="AQ55" i="3"/>
  <c r="AR54" i="3"/>
  <c r="AS58" i="3"/>
  <c r="AR60" i="3"/>
  <c r="AR52" i="3"/>
  <c r="AS60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BA21" i="3"/>
  <c r="AZ11" i="3"/>
  <c r="BA5" i="3"/>
  <c r="AZ21" i="3"/>
  <c r="BA10" i="3"/>
  <c r="AZ5" i="3"/>
  <c r="BA14" i="3"/>
  <c r="AY9" i="3"/>
  <c r="AZ19" i="3"/>
  <c r="BA13" i="3"/>
  <c r="BA8" i="3"/>
  <c r="AY18" i="3"/>
  <c r="AY7" i="3"/>
  <c r="BA16" i="3"/>
  <c r="AY13" i="3"/>
  <c r="BA15" i="3"/>
  <c r="AY11" i="3"/>
  <c r="BA20" i="3"/>
  <c r="AZ15" i="3"/>
  <c r="BA9" i="3"/>
  <c r="AY21" i="3"/>
  <c r="AY10" i="3"/>
  <c r="BA19" i="3"/>
  <c r="AZ9" i="3"/>
  <c r="AY19" i="3"/>
  <c r="BA18" i="3"/>
  <c r="AZ13" i="3"/>
  <c r="BA7" i="3"/>
  <c r="AY17" i="3"/>
  <c r="AY6" i="3"/>
  <c r="BA17" i="3"/>
  <c r="BA12" i="3"/>
  <c r="AZ7" i="3"/>
  <c r="AY15" i="3"/>
  <c r="AZ17" i="3"/>
  <c r="BA11" i="3"/>
  <c r="BA6" i="3"/>
  <c r="AY14" i="3"/>
  <c r="G45" i="17"/>
  <c r="G14" i="3" s="1"/>
  <c r="AD49" i="3"/>
  <c r="AC64" i="3"/>
  <c r="AC62" i="3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B50" i="3"/>
  <c r="AB49" i="3"/>
  <c r="AA62" i="3"/>
  <c r="AE62" i="3" s="1"/>
  <c r="AA54" i="3"/>
  <c r="AA50" i="3"/>
  <c r="AD65" i="3"/>
  <c r="AD63" i="3"/>
  <c r="AD61" i="3"/>
  <c r="AD59" i="3"/>
  <c r="AD57" i="3"/>
  <c r="AD55" i="3"/>
  <c r="AH55" i="3" s="1"/>
  <c r="AD53" i="3"/>
  <c r="AH53" i="3" s="1"/>
  <c r="AD51" i="3"/>
  <c r="AH51" i="3" s="1"/>
  <c r="N5" i="17"/>
  <c r="R10" i="17"/>
  <c r="R15" i="17"/>
  <c r="AC65" i="3"/>
  <c r="AC63" i="3"/>
  <c r="AC61" i="3"/>
  <c r="AG61" i="3" s="1"/>
  <c r="AC59" i="3"/>
  <c r="AG59" i="3" s="1"/>
  <c r="AC57" i="3"/>
  <c r="AG57" i="3" s="1"/>
  <c r="AC55" i="3"/>
  <c r="AC53" i="3"/>
  <c r="AC51" i="3"/>
  <c r="E45" i="17"/>
  <c r="E14" i="3" s="1"/>
  <c r="C45" i="17"/>
  <c r="C14" i="3" s="1"/>
  <c r="AB65" i="3"/>
  <c r="AF65" i="3" s="1"/>
  <c r="AB63" i="3"/>
  <c r="AB61" i="3"/>
  <c r="AF61" i="3" s="1"/>
  <c r="AB59" i="3"/>
  <c r="AB57" i="3"/>
  <c r="AB55" i="3"/>
  <c r="AB53" i="3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D58" i="3"/>
  <c r="AD56" i="3"/>
  <c r="AD54" i="3"/>
  <c r="AD52" i="3"/>
  <c r="AH52" i="3" s="1"/>
  <c r="AD50" i="3"/>
  <c r="AZ20" i="3"/>
  <c r="AZ16" i="3"/>
  <c r="AZ12" i="3"/>
  <c r="AZ8" i="3"/>
  <c r="AY20" i="3"/>
  <c r="AY12" i="3"/>
  <c r="AZ18" i="3"/>
  <c r="AZ14" i="3"/>
  <c r="AZ10" i="3"/>
  <c r="AZ6" i="3"/>
  <c r="AY16" i="3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AF53" i="3"/>
  <c r="R10" i="16"/>
  <c r="T28" i="16"/>
  <c r="AH49" i="3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5" i="3"/>
  <c r="AF51" i="3"/>
  <c r="M45" i="15"/>
  <c r="M12" i="3" s="1"/>
  <c r="AH60" i="3"/>
  <c r="AH58" i="3"/>
  <c r="AH56" i="3"/>
  <c r="AH54" i="3"/>
  <c r="AH50" i="3"/>
  <c r="T47" i="15"/>
  <c r="G45" i="15"/>
  <c r="G12" i="3" s="1"/>
  <c r="R8" i="15"/>
  <c r="AG64" i="3"/>
  <c r="AG62" i="3"/>
  <c r="AG60" i="3"/>
  <c r="AG52" i="3"/>
  <c r="AG50" i="3"/>
  <c r="AF64" i="3"/>
  <c r="AF62" i="3"/>
  <c r="AF54" i="3"/>
  <c r="AF52" i="3"/>
  <c r="AF57" i="3"/>
  <c r="N4" i="15"/>
  <c r="R6" i="15"/>
  <c r="AF49" i="3"/>
  <c r="R18" i="15"/>
  <c r="AH65" i="3"/>
  <c r="AH61" i="3"/>
  <c r="AH57" i="3"/>
  <c r="K45" i="15"/>
  <c r="K12" i="3" s="1"/>
  <c r="N3" i="15"/>
  <c r="R4" i="15"/>
  <c r="R3" i="15"/>
  <c r="AG65" i="3"/>
  <c r="AG63" i="3"/>
  <c r="AG53" i="3"/>
  <c r="AG51" i="3"/>
  <c r="AH63" i="3"/>
  <c r="AF59" i="3"/>
  <c r="AF63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O5" i="19" l="1"/>
  <c r="P45" i="19" s="1"/>
  <c r="O3" i="19"/>
  <c r="O45" i="19" s="1"/>
  <c r="AP54" i="3"/>
  <c r="AP52" i="3"/>
  <c r="D45" i="18"/>
  <c r="D15" i="3" s="1"/>
  <c r="C15" i="3"/>
  <c r="R33" i="18"/>
  <c r="AP59" i="3"/>
  <c r="R34" i="18"/>
  <c r="AP60" i="3"/>
  <c r="O4" i="18"/>
  <c r="Q45" i="18" s="1"/>
  <c r="Q15" i="3" s="1"/>
  <c r="R25" i="18"/>
  <c r="AP51" i="3"/>
  <c r="R29" i="18"/>
  <c r="AP55" i="3"/>
  <c r="R32" i="18"/>
  <c r="AP58" i="3"/>
  <c r="R36" i="18"/>
  <c r="AP62" i="3"/>
  <c r="R23" i="18"/>
  <c r="AP49" i="3"/>
  <c r="R31" i="18"/>
  <c r="AP57" i="3"/>
  <c r="R24" i="18"/>
  <c r="AP50" i="3"/>
  <c r="R39" i="18"/>
  <c r="AP65" i="3"/>
  <c r="R38" i="18"/>
  <c r="AP64" i="3"/>
  <c r="R27" i="18"/>
  <c r="AP53" i="3"/>
  <c r="O3" i="18"/>
  <c r="O45" i="18" s="1"/>
  <c r="O15" i="3" s="1"/>
  <c r="O5" i="18"/>
  <c r="P45" i="18" s="1"/>
  <c r="P15" i="3" s="1"/>
  <c r="AA53" i="3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AE61" i="3"/>
  <c r="R34" i="16"/>
  <c r="R33" i="16"/>
  <c r="R30" i="16"/>
  <c r="AE56" i="3"/>
  <c r="R39" i="16"/>
  <c r="R27" i="16"/>
  <c r="AE53" i="3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8" l="1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P8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AS10" i="3" l="1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S6" i="5" s="1"/>
  <c r="AF20" i="3"/>
  <c r="U6" i="5" s="1"/>
  <c r="O35" i="6"/>
  <c r="P35" i="6" s="1"/>
  <c r="AB20" i="3"/>
  <c r="Q6" i="5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I18" i="2"/>
  <c r="O45" i="4"/>
  <c r="K15" i="2"/>
  <c r="K19" i="2"/>
  <c r="K18" i="2"/>
  <c r="K17" i="2"/>
  <c r="E16" i="2"/>
  <c r="G19" i="2"/>
  <c r="O46" i="4"/>
  <c r="D14" i="2" l="1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N7" i="6" s="1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<sst xmlns="http://schemas.openxmlformats.org/spreadsheetml/2006/main" count="2273" uniqueCount="261">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</sst>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0" fillId="0" borderId="1"/>
    <xf numFmtId="9" fontId="21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21" fillId="0" borderId="0" xfId="0" applyFont="1"/>
    <xf numFmtId="0" fontId="21" fillId="0" borderId="0" xfId="0" applyFont="1" applyAlignment="1"/>
    <xf numFmtId="0" fontId="23" fillId="0" borderId="0" xfId="0" applyFont="1"/>
    <xf numFmtId="0" fontId="22" fillId="0" borderId="1" xfId="0" applyFont="1" applyBorder="1"/>
    <xf numFmtId="2" fontId="22" fillId="0" borderId="0" xfId="0" applyNumberFormat="1" applyFont="1"/>
    <xf numFmtId="164" fontId="24" fillId="0" borderId="0" xfId="0" applyNumberFormat="1" applyFont="1"/>
    <xf numFmtId="0" fontId="23" fillId="0" borderId="0" xfId="0" applyFont="1" applyAlignment="1"/>
    <xf numFmtId="2" fontId="21" fillId="0" borderId="0" xfId="0" applyNumberFormat="1" applyFont="1"/>
    <xf numFmtId="1" fontId="21" fillId="0" borderId="0" xfId="0" applyNumberFormat="1" applyFont="1"/>
    <xf numFmtId="1" fontId="22" fillId="0" borderId="0" xfId="0" applyNumberFormat="1" applyFont="1"/>
    <xf numFmtId="10" fontId="22" fillId="0" borderId="0" xfId="0" applyNumberFormat="1" applyFont="1"/>
    <xf numFmtId="0" fontId="21" fillId="0" borderId="0" xfId="0" applyFont="1"/>
    <xf numFmtId="16" fontId="21" fillId="0" borderId="0" xfId="0" applyNumberFormat="1" applyFont="1" applyAlignment="1"/>
    <xf numFmtId="0" fontId="26" fillId="0" borderId="0" xfId="0" applyFont="1" applyAlignment="1"/>
    <xf numFmtId="0" fontId="28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6" fillId="0" borderId="3" xfId="0" applyFont="1" applyFill="1" applyBorder="1"/>
    <xf numFmtId="0" fontId="26" fillId="0" borderId="4" xfId="0" applyFont="1" applyFill="1" applyBorder="1"/>
    <xf numFmtId="0" fontId="26" fillId="0" borderId="4" xfId="0" applyFont="1" applyFill="1" applyBorder="1" applyAlignment="1"/>
    <xf numFmtId="0" fontId="27" fillId="0" borderId="4" xfId="0" applyFont="1" applyFill="1" applyBorder="1" applyAlignment="1"/>
    <xf numFmtId="0" fontId="23" fillId="0" borderId="5" xfId="0" applyFont="1" applyFill="1" applyBorder="1"/>
    <xf numFmtId="0" fontId="0" fillId="0" borderId="0" xfId="0"/>
    <xf numFmtId="0" fontId="32" fillId="0" borderId="0" xfId="0" applyFont="1"/>
    <xf numFmtId="9" fontId="0" fillId="0" borderId="0" xfId="2" applyFont="1" applyAlignment="1"/>
    <xf numFmtId="0" fontId="26" fillId="0" borderId="0" xfId="0" applyFont="1" applyFill="1"/>
    <xf numFmtId="0" fontId="26" fillId="0" borderId="0" xfId="0" applyFont="1" applyFill="1" applyAlignment="1"/>
    <xf numFmtId="0" fontId="27" fillId="0" borderId="0" xfId="0" applyFont="1" applyFill="1" applyAlignment="1"/>
    <xf numFmtId="1" fontId="0" fillId="0" borderId="0" xfId="0" quotePrefix="1" applyNumberFormat="1" applyFont="1" applyFill="1" applyAlignment="1"/>
    <xf numFmtId="2" fontId="22" fillId="0" borderId="0" xfId="0" applyNumberFormat="1" applyFont="1" applyFill="1"/>
    <xf numFmtId="1" fontId="21" fillId="0" borderId="0" xfId="0" applyNumberFormat="1" applyFont="1" applyFill="1" applyAlignment="1"/>
    <xf numFmtId="0" fontId="21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7" fillId="0" borderId="5" xfId="0" applyFont="1" applyFill="1" applyBorder="1" applyAlignment="1"/>
    <xf numFmtId="9" fontId="0" fillId="0" borderId="0" xfId="0" applyNumberFormat="1" applyFont="1" applyAlignment="1"/>
    <xf numFmtId="0" fontId="22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6" fillId="0" borderId="0" xfId="0" applyFont="1" applyAlignment="1">
      <alignment horizontal="center"/>
    </xf>
    <xf numFmtId="0" fontId="20" fillId="0" borderId="0" xfId="0" applyFont="1" applyAlignment="1"/>
    <xf numFmtId="165" fontId="32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8" fillId="0" borderId="0" xfId="0" applyFont="1" applyAlignment="1"/>
    <xf numFmtId="16" fontId="19" fillId="0" borderId="0" xfId="0" applyNumberFormat="1" applyFont="1" applyAlignment="1"/>
    <xf numFmtId="0" fontId="21" fillId="0" borderId="0" xfId="0" applyFont="1" applyFill="1" applyAlignment="1"/>
    <xf numFmtId="0" fontId="30" fillId="0" borderId="1" xfId="1" applyNumberFormat="1"/>
    <xf numFmtId="0" fontId="31" fillId="0" borderId="1" xfId="0" applyFont="1" applyBorder="1" applyAlignment="1">
      <alignment horizontal="center"/>
    </xf>
    <xf numFmtId="49" fontId="22" fillId="0" borderId="0" xfId="0" applyNumberFormat="1" applyFont="1"/>
    <xf numFmtId="0" fontId="23" fillId="3" borderId="0" xfId="0" applyFont="1" applyFill="1"/>
    <xf numFmtId="0" fontId="21" fillId="3" borderId="0" xfId="0" applyFont="1" applyFill="1"/>
    <xf numFmtId="0" fontId="26" fillId="0" borderId="0" xfId="0" applyNumberFormat="1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3" fillId="0" borderId="1" xfId="0" applyFont="1" applyFill="1" applyBorder="1"/>
    <xf numFmtId="9" fontId="0" fillId="0" borderId="1" xfId="2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1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2" fillId="0" borderId="2" xfId="0" applyNumberFormat="1" applyFont="1" applyFill="1" applyBorder="1"/>
    <xf numFmtId="1" fontId="21" fillId="0" borderId="2" xfId="0" applyNumberFormat="1" applyFont="1" applyFill="1" applyBorder="1" applyAlignment="1"/>
    <xf numFmtId="0" fontId="21" fillId="0" borderId="2" xfId="0" applyFont="1" applyFill="1" applyBorder="1"/>
    <xf numFmtId="1" fontId="22" fillId="0" borderId="6" xfId="0" applyNumberFormat="1" applyFont="1" applyFill="1" applyBorder="1"/>
    <xf numFmtId="0" fontId="12" fillId="0" borderId="0" xfId="0" applyFont="1" applyAlignment="1"/>
    <xf numFmtId="0" fontId="23" fillId="0" borderId="0" xfId="0" applyFont="1" applyFill="1"/>
    <xf numFmtId="0" fontId="22" fillId="0" borderId="0" xfId="0" applyFont="1" applyFill="1" applyAlignment="1">
      <alignment horizontal="center"/>
    </xf>
    <xf numFmtId="0" fontId="12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2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2" fillId="3" borderId="0" xfId="0" applyFont="1" applyFill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9" fontId="22" fillId="0" borderId="1" xfId="2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25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9" fontId="22" fillId="0" borderId="0" xfId="0" applyNumberFormat="1" applyFont="1" applyAlignment="1">
      <alignment vertical="center"/>
    </xf>
    <xf numFmtId="0" fontId="21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1" fontId="22" fillId="0" borderId="1" xfId="0" applyNumberFormat="1" applyFont="1" applyFill="1" applyBorder="1" applyAlignment="1">
      <alignment vertical="center"/>
    </xf>
    <xf numFmtId="0" fontId="31" fillId="0" borderId="1" xfId="0" applyFont="1" applyBorder="1" applyAlignment="1"/>
    <xf numFmtId="0" fontId="11" fillId="0" borderId="0" xfId="0" applyFont="1" applyAlignment="1"/>
    <xf numFmtId="0" fontId="11" fillId="0" borderId="0" xfId="0" applyFont="1"/>
    <xf numFmtId="0" fontId="22" fillId="4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Fill="1" applyBorder="1"/>
    <xf numFmtId="0" fontId="34" fillId="0" borderId="1" xfId="0" applyFont="1" applyFill="1" applyBorder="1" applyAlignment="1"/>
    <xf numFmtId="0" fontId="35" fillId="0" borderId="1" xfId="0" applyFont="1" applyFill="1" applyBorder="1" applyAlignment="1"/>
    <xf numFmtId="0" fontId="32" fillId="0" borderId="1" xfId="0" applyFont="1" applyFill="1" applyBorder="1" applyAlignment="1">
      <alignment vertical="center"/>
    </xf>
    <xf numFmtId="0" fontId="26" fillId="3" borderId="2" xfId="0" applyFont="1" applyFill="1" applyBorder="1" applyAlignment="1"/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2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2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0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8" fillId="0" borderId="0" xfId="0" applyNumberFormat="1" applyFont="1"/>
    <xf numFmtId="16" fontId="22" fillId="5" borderId="0" xfId="0" applyNumberFormat="1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2" fillId="6" borderId="1" xfId="0" applyFont="1" applyFill="1" applyBorder="1" applyAlignment="1">
      <alignment vertical="center"/>
    </xf>
    <xf numFmtId="1" fontId="21" fillId="0" borderId="0" xfId="0" applyNumberFormat="1" applyFont="1" applyFill="1"/>
    <xf numFmtId="0" fontId="0" fillId="0" borderId="1" xfId="2" applyNumberFormat="1" applyFont="1" applyFill="1" applyBorder="1" applyAlignment="1"/>
    <xf numFmtId="10" fontId="26" fillId="0" borderId="1" xfId="2" applyNumberFormat="1" applyFont="1" applyFill="1" applyBorder="1" applyAlignment="1"/>
    <xf numFmtId="0" fontId="7" fillId="0" borderId="0" xfId="0" applyFont="1" applyAlignment="1"/>
    <xf numFmtId="0" fontId="6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1" fillId="3" borderId="2" xfId="0" applyNumberFormat="1" applyFont="1" applyFill="1" applyBorder="1" applyAlignment="1"/>
    <xf numFmtId="0" fontId="22" fillId="3" borderId="2" xfId="0" applyNumberFormat="1" applyFont="1" applyFill="1" applyBorder="1"/>
    <xf numFmtId="1" fontId="17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5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4" fillId="0" borderId="0" xfId="0" applyFont="1" applyAlignment="1"/>
    <xf numFmtId="0" fontId="4" fillId="0" borderId="0" xfId="0" applyFont="1"/>
    <xf numFmtId="0" fontId="22" fillId="0" borderId="0" xfId="0" applyFont="1" applyFill="1" applyAlignment="1">
      <alignment vertical="center"/>
    </xf>
    <xf numFmtId="0" fontId="3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0.67567567567567566</c:v>
                </c:pt>
                <c:pt idx="1">
                  <c:v>0.1891891891891892</c:v>
                </c:pt>
                <c:pt idx="2">
                  <c:v>0.13513513513513514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U4:BA21" totalsRowShown="0" headerRowDxfId="43">
  <autoFilter ref="AU4:BA21" xr:uid="{96B06DCA-2A57-491D-9968-278FF3FBD78A}"/>
  <tableColumns count="7">
    <tableColumn id="1" xr3:uid="{FE52DA28-AC9B-4385-A502-8DDB5D1FBA9E}" name="Name" dataDxfId="42"/>
    <tableColumn id="2" xr3:uid="{D93DA907-1A5C-4FC6-A721-6072347E34BF}" name="Total R" dataDxfId="41">
      <calculatedColumnFormula>'1707'!AC4+'1807'!AC4+'2407'!AC4+'2607'!AC4</calculatedColumnFormula>
    </tableColumn>
    <tableColumn id="3" xr3:uid="{EBD2E9CC-2367-4D50-957C-38F9CE276205}" name="Total A" dataDxfId="40">
      <calculatedColumnFormula>'1707'!AD4+'1807'!AD4+'2407'!AD4+'2607'!AD4</calculatedColumnFormula>
    </tableColumn>
    <tableColumn id="4" xr3:uid="{7DF9F4A1-F7D8-44DD-8445-ABFA3454613B}" name="Total S" dataDxfId="39">
      <calculatedColumnFormula>'1707'!AE4+'1807'!AE4+'2407'!AE4+'2607'!AE4</calculatedColumnFormula>
    </tableColumn>
    <tableColumn id="5" xr3:uid="{1AAD62E4-FA3F-4F41-8BD0-85F54409C489}" name="Avg R" dataDxfId="38">
      <calculatedColumnFormula>Table4[[#This Row],[Total R]]/$AV$3</calculatedColumnFormula>
    </tableColumn>
    <tableColumn id="6" xr3:uid="{A7FAC3B0-7CC3-42D1-9DC4-0DB3E64C9F6B}" name="Avg A">
      <calculatedColumnFormula>Table4[[#This Row],[Total A]]/$AV$3</calculatedColumnFormula>
    </tableColumn>
    <tableColumn id="7" xr3:uid="{ED9BE042-B573-4A87-A75D-9820182698C9}" name="Avg S">
      <calculatedColumnFormula>Table4[[#This Row],[Total S]]/$AV$3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7" dataDxfId="36">
  <autoFilter ref="R3:AA8" xr:uid="{744FF78C-74B5-4798-AD3D-741E3ACB43CF}"/>
  <tableColumns count="10">
    <tableColumn id="1" xr3:uid="{B3B5C08C-655A-460A-A171-B3B0C826FF04}" name="Name" dataDxfId="35"/>
    <tableColumn id="2" xr3:uid="{427944B0-44CA-4325-A406-29F83026BA5E}" name="Points" dataDxfId="34">
      <calculatedColumnFormula>'Stats Global'!AA22</calculatedColumnFormula>
    </tableColumn>
    <tableColumn id="3" xr3:uid="{5E06D173-4DBE-4045-9072-0A0A77D19C84}" name="Average" dataDxfId="33"/>
    <tableColumn id="4" xr3:uid="{E74131A4-1DCA-4A89-8989-A4CF80175582}" name="Finishes" dataDxfId="32"/>
    <tableColumn id="5" xr3:uid="{FC3336D4-2CB5-4673-A345-7C9CCED7ADEE}" name="Averages" dataDxfId="31"/>
    <tableColumn id="6" xr3:uid="{BD6313A7-5D92-4B66-9B85-7ABC12DE9691}" name="Midranges" dataDxfId="30"/>
    <tableColumn id="7" xr3:uid="{6D0293BC-7E06-45CE-9D4B-FE4769DF9D9F}" name="Averages2" dataDxfId="29"/>
    <tableColumn id="8" xr3:uid="{89C1C64B-DD66-482C-BCDE-8B912D2676EF}" name="Threes" dataDxfId="28"/>
    <tableColumn id="9" xr3:uid="{7748B87C-1833-4BD6-9162-76373407E655}" name="Averages3" dataDxfId="27"/>
    <tableColumn id="10" xr3:uid="{D870E191-A52F-442E-AA52-A42CFAD05573}" name="Missed Games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5" dataDxfId="24">
  <autoFilter ref="O3:X10" xr:uid="{54759C84-3153-4DC9-9240-E2749AA0D92B}"/>
  <tableColumns count="10">
    <tableColumn id="1" xr3:uid="{7790729E-C8E5-45C1-8784-25212A2654AA}" name="Name" dataDxfId="23"/>
    <tableColumn id="2" xr3:uid="{52A67B2B-967C-4970-8D83-8F8E9CC61522}" name="Points" dataDxfId="22"/>
    <tableColumn id="3" xr3:uid="{BA1FA2C8-AEC0-4644-83DB-5097750D7188}" name="Average" dataDxfId="21"/>
    <tableColumn id="4" xr3:uid="{4CF66F5D-BF10-4CBD-88FF-CCD38730E1CD}" name="Finishes" dataDxfId="20"/>
    <tableColumn id="5" xr3:uid="{BC246D5B-7E78-41A6-B796-C93ED8E53DF9}" name="Averages" dataDxfId="19"/>
    <tableColumn id="6" xr3:uid="{AB819419-CC06-4A40-8DED-E231125129C0}" name="Midranges" dataDxfId="18"/>
    <tableColumn id="7" xr3:uid="{064AA562-C451-4362-805E-D12DC76C3530}" name="Averages2" dataDxfId="17"/>
    <tableColumn id="8" xr3:uid="{BD0D8BAE-15E4-4B38-87FE-B682D7BAEE75}" name="Threes" dataDxfId="16"/>
    <tableColumn id="9" xr3:uid="{541E391B-4B08-4E98-A63F-753C11193269}" name="Averages3" dataDxfId="15"/>
    <tableColumn id="10" xr3:uid="{999BB5D2-D6FB-4EB9-A268-D62EA72F939D}" name="Missed Games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3" dataDxfId="12">
  <autoFilter ref="L4:U10" xr:uid="{C12CFC3F-7D59-4C0F-8D43-3F8ACD58C2BD}"/>
  <tableColumns count="10">
    <tableColumn id="1" xr3:uid="{CE15C23D-9493-4B21-9D40-1A25D210C18E}" name="Name" dataDxfId="11"/>
    <tableColumn id="2" xr3:uid="{6BB170B1-AA38-4699-9B96-400D2947EE9C}" name="Points" dataDxfId="10"/>
    <tableColumn id="3" xr3:uid="{EC8B6CBB-FCC9-416C-AEA6-738419DFE531}" name="Average" dataDxfId="9"/>
    <tableColumn id="4" xr3:uid="{315DA055-9A43-468A-A501-1092626F523F}" name="Finishes" dataDxfId="8"/>
    <tableColumn id="5" xr3:uid="{56B6FF4D-95D4-4550-88E4-C781ABDA83A6}" name="Averages" dataDxfId="7"/>
    <tableColumn id="6" xr3:uid="{F7B5C0B8-FBE2-44B0-A372-112C7776FCCF}" name="Midranges" dataDxfId="6"/>
    <tableColumn id="7" xr3:uid="{1A1C2126-FEB1-408F-8523-049E53028B4E}" name="Averages2" dataDxfId="5"/>
    <tableColumn id="8" xr3:uid="{AE94036B-3777-4C1B-97D5-7BFA1037C0BF}" name="Threes" dataDxfId="4"/>
    <tableColumn id="9" xr3:uid="{448B0903-7F66-40BA-809F-74ADBF397B45}" name="Averages3" dataDxfId="3"/>
    <tableColumn id="10" xr3:uid="{E0CAC55D-8398-4928-A219-C01706996D48}" name="Missed Gam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1">
      <calculatedColumnFormula>'3107'!R3+'0108'!R3</calculatedColumnFormula>
    </tableColumn>
    <tableColumn id="3" xr3:uid="{6CA15B41-F560-4B43-8836-163F5BB5689C}" name="Finishes" dataDxfId="98">
      <calculatedColumnFormula>'3107'!S3+'0108'!S3</calculatedColumnFormula>
    </tableColumn>
    <tableColumn id="4" xr3:uid="{8FF05262-0051-44F7-966E-8D405318BA69}" name="Midranges" dataDxfId="97">
      <calculatedColumnFormula>'3107'!T3+'0108'!T3</calculatedColumnFormula>
    </tableColumn>
    <tableColumn id="5" xr3:uid="{F0D843FC-7A93-4C9A-BCCF-E789F7811B3B}" name="Threes" dataDxfId="96">
      <calculatedColumnFormula>'3107'!U3+'0108'!U3</calculatedColumnFormula>
    </tableColumn>
    <tableColumn id="6" xr3:uid="{F0498F8A-F646-4C1F-A3CF-E89E73750FC1}" name="Avg P" dataDxfId="95">
      <calculatedColumnFormula>AL49/($AL$47-Table21124[[#This Row],[Missed Games]])</calculatedColumnFormula>
    </tableColumn>
    <tableColumn id="7" xr3:uid="{A387BC88-F45C-4386-8503-EFEA33BDAC38}" name="Avg F" dataDxfId="94">
      <calculatedColumnFormula>AM49/($AL$47-Table21124[[#This Row],[Missed Games]])</calculatedColumnFormula>
    </tableColumn>
    <tableColumn id="8" xr3:uid="{BEA82919-0828-4351-A01A-D72E13E63FAB}" name="Avg M" dataDxfId="93">
      <calculatedColumnFormula>AN49/($AL$47-Table21124[[#This Row],[Missed Games]])</calculatedColumnFormula>
    </tableColumn>
    <tableColumn id="9" xr3:uid="{ABEBCE01-BCA4-4342-966C-27301889B607}" name="Avg T" dataDxfId="92">
      <calculatedColumnFormula>AO49/($AL$47-Table21124[[#This Row],[Missed Games]])</calculatedColumnFormula>
    </tableColumn>
    <tableColumn id="10" xr3:uid="{65E7A8E7-4C51-42E4-AB0F-B7FF6099D70A}" name="Missed Games" dataDxfId="0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91" dataDxfId="90">
  <autoFilter ref="AK68:AT85" xr:uid="{18C7D514-96DE-4BA6-B019-3E860ED143EC}"/>
  <tableColumns count="10">
    <tableColumn id="1" xr3:uid="{D144EF14-69FD-4E71-90C7-56F49F45FAE5}" name="Scoring" dataDxfId="89"/>
    <tableColumn id="2" xr3:uid="{34D1D392-F3E0-4C36-9EED-849D5B1149E6}" name="Points" dataDxfId="88">
      <calculatedColumnFormula>Template!AC43</calculatedColumnFormula>
    </tableColumn>
    <tableColumn id="3" xr3:uid="{E91D98A2-80BD-4E5C-9036-2FCC8185369F}" name="Finishes" dataDxfId="87">
      <calculatedColumnFormula>Template!AD43</calculatedColumnFormula>
    </tableColumn>
    <tableColumn id="4" xr3:uid="{D2E5029E-4811-4E9B-9A2D-5F5F8F322B0D}" name="Midranges" dataDxfId="86">
      <calculatedColumnFormula>Template!AE43</calculatedColumnFormula>
    </tableColumn>
    <tableColumn id="5" xr3:uid="{B3E76CEE-33DA-4B18-8DCE-8EBC7EE592D7}" name="Threes" dataDxfId="85">
      <calculatedColumnFormula>Template!AF43</calculatedColumnFormula>
    </tableColumn>
    <tableColumn id="6" xr3:uid="{6ABE1879-8018-4498-A9A1-22CF831F0364}" name="Avg P" dataDxfId="84">
      <calculatedColumnFormula>AL69/$AA$27</calculatedColumnFormula>
    </tableColumn>
    <tableColumn id="7" xr3:uid="{8DA4DD79-8A2A-49E4-996F-C1ACCED3C565}" name="Avg F" dataDxfId="83">
      <calculatedColumnFormula>AM69/$AA$27</calculatedColumnFormula>
    </tableColumn>
    <tableColumn id="8" xr3:uid="{256EA4BC-BA61-49E2-969F-0786AA9AA6EA}" name="Avg M" dataDxfId="82">
      <calculatedColumnFormula>AN69/$AA$27</calculatedColumnFormula>
    </tableColumn>
    <tableColumn id="9" xr3:uid="{0E5566B2-99EC-4B03-A074-8705C4EDA484}" name="Avg T" dataDxfId="81">
      <calculatedColumnFormula>AO69/$AA$27</calculatedColumnFormula>
    </tableColumn>
    <tableColumn id="10" xr3:uid="{3E2357F0-493E-401D-AC75-9AAB260F684E}" name="Missed Games" dataDxfId="80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9" dataDxfId="78">
  <autoFilter ref="Z68:AI85" xr:uid="{F118BED8-7AAF-4E55-A61F-C75C69A64AAE}"/>
  <tableColumns count="10">
    <tableColumn id="1" xr3:uid="{7723929D-65B3-40BB-8FDD-C4533243706C}" name="Scoring" dataDxfId="77"/>
    <tableColumn id="2" xr3:uid="{EC28DE3D-619E-4930-A3AF-7AD1BE1D4843}" name="Points" dataDxfId="76">
      <calculatedColumnFormula>Template!R43</calculatedColumnFormula>
    </tableColumn>
    <tableColumn id="3" xr3:uid="{9537269D-8C1D-42B5-866F-D03CE61A8512}" name="Finishes" dataDxfId="75">
      <calculatedColumnFormula>Template!S43</calculatedColumnFormula>
    </tableColumn>
    <tableColumn id="4" xr3:uid="{AC590DDB-BE19-4A14-8B98-1E5E2430AA45}" name="Midranges" dataDxfId="74">
      <calculatedColumnFormula>Template!T43</calculatedColumnFormula>
    </tableColumn>
    <tableColumn id="5" xr3:uid="{C96D3ACD-F34D-477E-86DE-4650EE56BC94}" name="Threes" dataDxfId="73">
      <calculatedColumnFormula>Template!U43</calculatedColumnFormula>
    </tableColumn>
    <tableColumn id="6" xr3:uid="{A43DE5E9-BB01-49FA-A204-66EE7BAA2E9F}" name="Avg P" dataDxfId="72">
      <calculatedColumnFormula>AA69/$AA$27</calculatedColumnFormula>
    </tableColumn>
    <tableColumn id="7" xr3:uid="{C75A19FF-6041-45C2-BACB-E347F06B6329}" name="Avg F" dataDxfId="71">
      <calculatedColumnFormula>AB69/$AA$27</calculatedColumnFormula>
    </tableColumn>
    <tableColumn id="8" xr3:uid="{00D3FCFC-C9C5-4C96-BE0E-8E1FDC95D07C}" name="Avg M" dataDxfId="70">
      <calculatedColumnFormula>AC69/$AA$27</calculatedColumnFormula>
    </tableColumn>
    <tableColumn id="9" xr3:uid="{0448FF4E-9D2D-47F6-89B7-F17D36B05E8A}" name="Avg T" dataDxfId="69">
      <calculatedColumnFormula>AD69/$AA$27</calculatedColumnFormula>
    </tableColumn>
    <tableColumn id="10" xr3:uid="{D5BDFA2D-095B-44F8-8567-15B3B1520E5A}" name="Missed Games" dataDxfId="68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7" dataDxfId="66">
  <autoFilter ref="Z88:AI105" xr:uid="{BDD2E472-3925-41A7-BECD-3315E6E71ECC}"/>
  <tableColumns count="10">
    <tableColumn id="1" xr3:uid="{9DBD966D-620C-4B97-A502-29D00ABE150B}" name="Scoring" dataDxfId="65"/>
    <tableColumn id="2" xr3:uid="{F8F81F0E-16B3-4472-9D90-A92149C763E4}" name="Points" dataDxfId="64">
      <calculatedColumnFormula>Template!R63</calculatedColumnFormula>
    </tableColumn>
    <tableColumn id="3" xr3:uid="{09859CE1-290D-4977-B02C-46F4E5A6FDC2}" name="Finishes" dataDxfId="63">
      <calculatedColumnFormula>Template!S63</calculatedColumnFormula>
    </tableColumn>
    <tableColumn id="4" xr3:uid="{7D751A0E-2895-46DF-B5E2-5A8AA5531CD2}" name="Midranges" dataDxfId="62">
      <calculatedColumnFormula>Template!T63</calculatedColumnFormula>
    </tableColumn>
    <tableColumn id="5" xr3:uid="{591CDC71-B0EA-413B-B6C1-77884E7E50D4}" name="Threes" dataDxfId="61">
      <calculatedColumnFormula>Template!U63</calculatedColumnFormula>
    </tableColumn>
    <tableColumn id="6" xr3:uid="{52ED768C-5557-42DC-9824-7A4D9B547153}" name="Avg P" dataDxfId="60">
      <calculatedColumnFormula>AA89/$AA$27</calculatedColumnFormula>
    </tableColumn>
    <tableColumn id="7" xr3:uid="{FC79BE87-72E2-4F5E-83D6-CDCE645EB943}" name="Avg F" dataDxfId="59">
      <calculatedColumnFormula>AB89/$AA$27</calculatedColumnFormula>
    </tableColumn>
    <tableColumn id="8" xr3:uid="{BA012C22-0D65-4C11-98A7-4F958703D04B}" name="Avg M" dataDxfId="58">
      <calculatedColumnFormula>AC89/$AA$27</calculatedColumnFormula>
    </tableColumn>
    <tableColumn id="9" xr3:uid="{63344F2B-5D94-417D-85E2-C2BFBACE3E7E}" name="Avg T" dataDxfId="57">
      <calculatedColumnFormula>AD89/$AA$27</calculatedColumnFormula>
    </tableColumn>
    <tableColumn id="10" xr3:uid="{1AD5A604-8909-45B3-8E43-11D407451CEA}" name="Missed Games" dataDxfId="56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5" dataDxfId="54">
  <autoFilter ref="AK88:AT105" xr:uid="{F9183685-60DE-4163-AA62-BE4F563EE570}"/>
  <tableColumns count="10">
    <tableColumn id="1" xr3:uid="{E62FBAA0-D6F6-4997-96C9-B6B13FAA9B6E}" name="Scoring" dataDxfId="53"/>
    <tableColumn id="2" xr3:uid="{0A655F6F-9A21-4167-85B6-B9F7DC2070CA}" name="Points" dataDxfId="52">
      <calculatedColumnFormula>Template!AC63</calculatedColumnFormula>
    </tableColumn>
    <tableColumn id="3" xr3:uid="{460771D3-3BD8-4DA3-AF1B-1A0F98EF1499}" name="Finishes" dataDxfId="51">
      <calculatedColumnFormula>Template!AD63</calculatedColumnFormula>
    </tableColumn>
    <tableColumn id="4" xr3:uid="{3C08B2D7-823D-49C3-A627-A5848E664B2F}" name="Midranges" dataDxfId="50">
      <calculatedColumnFormula>Template!AE63</calculatedColumnFormula>
    </tableColumn>
    <tableColumn id="5" xr3:uid="{E88F45FB-4C46-4674-86D5-74808E7E5368}" name="Threes" dataDxfId="49">
      <calculatedColumnFormula>Template!AF63</calculatedColumnFormula>
    </tableColumn>
    <tableColumn id="6" xr3:uid="{0C0E8016-1E6E-4F25-9675-4EE061FFD0F7}" name="Avg P" dataDxfId="48">
      <calculatedColumnFormula>AL89/$AA$27</calculatedColumnFormula>
    </tableColumn>
    <tableColumn id="7" xr3:uid="{F7AC350B-AE4B-4912-B21D-16D99E2AE8BF}" name="Avg F" dataDxfId="47">
      <calculatedColumnFormula>AM89/$AA$27</calculatedColumnFormula>
    </tableColumn>
    <tableColumn id="8" xr3:uid="{F451E5CA-B9C4-4EFA-A647-CEDB2FB39550}" name="Avg M" dataDxfId="46">
      <calculatedColumnFormula>AN89/$AA$27</calculatedColumnFormula>
    </tableColumn>
    <tableColumn id="9" xr3:uid="{ED1D92B5-05F1-40CE-A89F-E6627FAB4A59}" name="Avg T" dataDxfId="45">
      <calculatedColumnFormula>AO89/$AA$27</calculatedColumnFormula>
    </tableColumn>
    <tableColumn id="10" xr3:uid="{48A4808A-3DE6-4644-83F5-C2AEDDFC3E5E}" name="Missed Games" dataDxfId="44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5" sqref="B25:B4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0.375</v>
      </c>
      <c r="E3" s="1">
        <f>'Stats Global'!AA8</f>
        <v>3</v>
      </c>
      <c r="F3" s="8">
        <f>'Stats Global'!AD8</f>
        <v>0</v>
      </c>
      <c r="G3" s="12">
        <f>'Stats Global'!AC8</f>
        <v>0</v>
      </c>
      <c r="H3" s="8">
        <f>'Stats Global'!AF8</f>
        <v>0.375</v>
      </c>
      <c r="I3" s="12">
        <f>'Stats Global'!AE8</f>
        <v>3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1.1428571428571428</v>
      </c>
      <c r="E4" s="12">
        <f>'Stats Global'!AA9</f>
        <v>8</v>
      </c>
      <c r="F4" s="8">
        <f>'Stats Global'!AD9</f>
        <v>1.1428571428571428</v>
      </c>
      <c r="G4" s="12">
        <f>'Stats Global'!AC9</f>
        <v>8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4</v>
      </c>
      <c r="E5" s="12">
        <f>'Stats Global'!AA10</f>
        <v>12</v>
      </c>
      <c r="F5" s="8">
        <f>'Stats Global'!AD10</f>
        <v>3.3333333333333335</v>
      </c>
      <c r="G5" s="12">
        <f>'Stats Global'!AC10</f>
        <v>10</v>
      </c>
      <c r="H5" s="8">
        <f>'Stats Global'!AF10</f>
        <v>0</v>
      </c>
      <c r="I5" s="12">
        <f>'Stats Global'!AE10</f>
        <v>0</v>
      </c>
      <c r="J5" s="8">
        <f>'Stats Global'!AH10</f>
        <v>0.33333333333333331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5</v>
      </c>
      <c r="F6" s="8">
        <f>'Stats Global'!AD11</f>
        <v>1</v>
      </c>
      <c r="G6" s="12">
        <f>'Stats Global'!AC11</f>
        <v>5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0.66666666666666663</v>
      </c>
      <c r="E7" s="12">
        <f>'Stats Global'!AA12</f>
        <v>4</v>
      </c>
      <c r="F7" s="8">
        <f>'Stats Global'!AD12</f>
        <v>0.16666666666666666</v>
      </c>
      <c r="G7" s="12">
        <f>'Stats Global'!AC12</f>
        <v>1</v>
      </c>
      <c r="H7" s="8">
        <f>'Stats Global'!AF12</f>
        <v>0.16666666666666666</v>
      </c>
      <c r="I7" s="12">
        <f>'Stats Global'!AE12</f>
        <v>1</v>
      </c>
      <c r="J7" s="8">
        <f>'Stats Global'!AH12</f>
        <v>0.16666666666666666</v>
      </c>
      <c r="K7" s="12">
        <f>'Stats Global'!AG12</f>
        <v>1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6" t="s">
        <v>26</v>
      </c>
      <c r="D8" s="8">
        <f>'Stats Global'!AB13</f>
        <v>0.42857142857142855</v>
      </c>
      <c r="E8" s="12">
        <f>'Stats Global'!AA13</f>
        <v>3</v>
      </c>
      <c r="F8" s="8">
        <f>'Stats Global'!AD13</f>
        <v>0.2857142857142857</v>
      </c>
      <c r="G8" s="12">
        <f>'Stats Global'!AC13</f>
        <v>2</v>
      </c>
      <c r="H8" s="8">
        <f>'Stats Global'!AF13</f>
        <v>0.14285714285714285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56" t="s">
        <v>240</v>
      </c>
      <c r="U8" s="12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0.5</v>
      </c>
      <c r="E9" s="12">
        <f>'Stats Global'!AA14</f>
        <v>4</v>
      </c>
      <c r="F9" s="8">
        <f>'Stats Global'!AD14</f>
        <v>0.375</v>
      </c>
      <c r="G9" s="12">
        <f>'Stats Global'!AC14</f>
        <v>3</v>
      </c>
      <c r="H9" s="8">
        <f>'Stats Global'!AF14</f>
        <v>0.125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1</v>
      </c>
      <c r="E10" s="12">
        <f>'Stats Global'!AA15</f>
        <v>2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0.5</v>
      </c>
      <c r="K10" s="12">
        <f>'Stats Global'!AG15</f>
        <v>1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2.4285714285714284</v>
      </c>
      <c r="E11" s="12">
        <f>'Stats Global'!AA16</f>
        <v>17</v>
      </c>
      <c r="F11" s="8">
        <f>'Stats Global'!AD16</f>
        <v>1</v>
      </c>
      <c r="G11" s="12">
        <f>'Stats Global'!AC16</f>
        <v>7</v>
      </c>
      <c r="H11" s="8">
        <f>'Stats Global'!AF16</f>
        <v>0.8571428571428571</v>
      </c>
      <c r="I11" s="12">
        <f>'Stats Global'!AE16</f>
        <v>6</v>
      </c>
      <c r="J11" s="8">
        <f>'Stats Global'!AH16</f>
        <v>0.2857142857142857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2</v>
      </c>
      <c r="E12" s="12">
        <f>'Stats Global'!AA17</f>
        <v>16</v>
      </c>
      <c r="F12" s="8">
        <f>'Stats Global'!AD17</f>
        <v>0.25</v>
      </c>
      <c r="G12" s="12">
        <f>'Stats Global'!AC17</f>
        <v>2</v>
      </c>
      <c r="H12" s="8">
        <f>'Stats Global'!AF17</f>
        <v>1.5</v>
      </c>
      <c r="I12" s="12">
        <f>'Stats Global'!AE17</f>
        <v>12</v>
      </c>
      <c r="J12" s="8">
        <f>'Stats Global'!AH17</f>
        <v>0.125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0.75</v>
      </c>
      <c r="E13" s="12">
        <f>'Stats Global'!AA18</f>
        <v>6</v>
      </c>
      <c r="F13" s="8">
        <f>'Stats Global'!AD18</f>
        <v>0.125</v>
      </c>
      <c r="G13" s="12">
        <f>'Stats Global'!AC18</f>
        <v>1</v>
      </c>
      <c r="H13" s="8">
        <f>'Stats Global'!AF18</f>
        <v>0.625</v>
      </c>
      <c r="I13" s="12">
        <f>'Stats Global'!AE18</f>
        <v>5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6" t="s">
        <v>31</v>
      </c>
      <c r="D15" s="8">
        <f>'Stats Global'!AB20</f>
        <v>0.5</v>
      </c>
      <c r="E15" s="12">
        <f>'Stats Global'!AA20</f>
        <v>4</v>
      </c>
      <c r="F15" s="8">
        <f>'Stats Global'!AD20</f>
        <v>0.375</v>
      </c>
      <c r="G15" s="12">
        <f>'Stats Global'!AC20</f>
        <v>3</v>
      </c>
      <c r="H15" s="8">
        <f>'Stats Global'!AF20</f>
        <v>0.125</v>
      </c>
      <c r="I15" s="12">
        <f>'Stats Global'!AE20</f>
        <v>1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57" t="s">
        <v>239</v>
      </c>
      <c r="U15" s="12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1.25</v>
      </c>
      <c r="E16" s="12">
        <f>'Stats Global'!AA21</f>
        <v>10</v>
      </c>
      <c r="F16" s="8">
        <f>'Stats Global'!AD21</f>
        <v>0.75</v>
      </c>
      <c r="G16" s="12">
        <f>'Stats Global'!AC21</f>
        <v>6</v>
      </c>
      <c r="H16" s="8">
        <f>'Stats Global'!AF21</f>
        <v>0.25</v>
      </c>
      <c r="I16" s="12">
        <f>'Stats Global'!AE21</f>
        <v>2</v>
      </c>
      <c r="J16" s="8">
        <f>'Stats Global'!AH21</f>
        <v>0.125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3.125</v>
      </c>
      <c r="E17" s="12">
        <f>'Stats Global'!AA22</f>
        <v>25</v>
      </c>
      <c r="F17" s="8">
        <f>'Stats Global'!AD22</f>
        <v>1.5</v>
      </c>
      <c r="G17" s="12">
        <f>'Stats Global'!AC22</f>
        <v>12</v>
      </c>
      <c r="H17" s="8">
        <f>'Stats Global'!AF22</f>
        <v>0.875</v>
      </c>
      <c r="I17" s="12">
        <f>'Stats Global'!AE22</f>
        <v>7</v>
      </c>
      <c r="J17" s="8">
        <f>'Stats Global'!AH22</f>
        <v>0.375</v>
      </c>
      <c r="K17" s="12">
        <f>'Stats Global'!AG22</f>
        <v>3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0.125</v>
      </c>
      <c r="E18" s="12">
        <f>'Stats Global'!AA23</f>
        <v>1</v>
      </c>
      <c r="F18" s="8">
        <f>'Stats Global'!AD23</f>
        <v>0</v>
      </c>
      <c r="G18" s="12">
        <f>'Stats Global'!AC23</f>
        <v>0</v>
      </c>
      <c r="H18" s="8">
        <f>'Stats Global'!AF23</f>
        <v>0.125</v>
      </c>
      <c r="I18" s="12">
        <f>'Stats Global'!AE23</f>
        <v>1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8" t="s">
        <v>119</v>
      </c>
      <c r="C22" s="158"/>
      <c r="D22" s="102"/>
      <c r="X22" s="2" t="s">
        <v>70</v>
      </c>
    </row>
    <row r="23" spans="2:24" ht="14.25" customHeight="1" x14ac:dyDescent="0.9">
      <c r="B23" s="158"/>
      <c r="C23" s="158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"PPG":[0.38,1.14,4,1,0.67,0.43,0.5,1,2.43,2,0.75,0,0.5,1.25,3.13,0.13,0],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"TP":[3,8,12,5,4,3,4,2,17,16,6,0,4,10,25,1,0],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"FPG":[0,1.14,3.33,1,0.17,0.29,0.38,0,1,0.25,0.13,0,0.38,0.75,1.5,0,0],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"TF":[0,8,10,5,1,2,3,0,7,2,1,0,3,6,12,0,0],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"MPG":[0.38,0,0,0,0.17,0.14,0.13,0,0.86,1.5,0.63,0,0.13,0.25,0.88,0.13,0],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"TM":[3,0,0,0,1,1,1,0,6,12,5,0,1,2,7,1,0],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"TPG":[0,0,0.33,0,0.17,0,0,0.5,0.29,0.13,0,0,0,0.13,0.38,0,0],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"TT":[0,0,1,0,1,0,0,1,2,1,0,0,0,1,3,0,0],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0.38,</v>
      </c>
      <c r="E50" s="18" t="str">
        <f t="shared" ref="E50:E65" si="7">E3&amp;","</f>
        <v>3,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0.38,</v>
      </c>
      <c r="I50" s="18" t="str">
        <f t="shared" ref="I50:I65" si="11">I3&amp;","</f>
        <v>3,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1.14,</v>
      </c>
      <c r="E51" s="18" t="str">
        <f t="shared" si="7"/>
        <v>8,</v>
      </c>
      <c r="F51" s="18" t="str">
        <f t="shared" si="8"/>
        <v>1.14,</v>
      </c>
      <c r="G51" s="18" t="str">
        <f t="shared" si="9"/>
        <v>8,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4,</v>
      </c>
      <c r="E52" s="18" t="str">
        <f t="shared" si="7"/>
        <v>12,</v>
      </c>
      <c r="F52" s="18" t="str">
        <f t="shared" si="8"/>
        <v>3.33,</v>
      </c>
      <c r="G52" s="18" t="str">
        <f t="shared" si="9"/>
        <v>10,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0.33,</v>
      </c>
      <c r="K52" s="18" t="str">
        <f t="shared" si="13"/>
        <v>1,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5,</v>
      </c>
      <c r="F53" s="18" t="str">
        <f t="shared" si="8"/>
        <v>1,</v>
      </c>
      <c r="G53" s="18" t="str">
        <f t="shared" si="9"/>
        <v>5,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0.67,</v>
      </c>
      <c r="E54" s="18" t="str">
        <f t="shared" si="7"/>
        <v>4,</v>
      </c>
      <c r="F54" s="18" t="str">
        <f t="shared" si="8"/>
        <v>0.17,</v>
      </c>
      <c r="G54" s="18" t="str">
        <f t="shared" si="9"/>
        <v>1,</v>
      </c>
      <c r="H54" s="18" t="str">
        <f t="shared" si="10"/>
        <v>0.17,</v>
      </c>
      <c r="I54" s="18" t="str">
        <f t="shared" si="11"/>
        <v>1,</v>
      </c>
      <c r="J54" s="18" t="str">
        <f t="shared" si="12"/>
        <v>0.17,</v>
      </c>
      <c r="K54" s="18" t="str">
        <f t="shared" si="13"/>
        <v>1,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"5 Musketeers",</v>
      </c>
      <c r="D55" s="18" t="str">
        <f t="shared" si="6"/>
        <v>0.43,</v>
      </c>
      <c r="E55" s="18" t="str">
        <f t="shared" si="7"/>
        <v>3,</v>
      </c>
      <c r="F55" s="18" t="str">
        <f t="shared" si="8"/>
        <v>0.29,</v>
      </c>
      <c r="G55" s="18" t="str">
        <f t="shared" si="9"/>
        <v>2,</v>
      </c>
      <c r="H55" s="18" t="str">
        <f t="shared" si="10"/>
        <v>0.14,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Willies. Traded to 5 Musketeers",</v>
      </c>
      <c r="U55" s="18" t="str">
        <f t="shared" si="19"/>
        <v>"../Images/5M_Final.png",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0.5,</v>
      </c>
      <c r="E56" s="18" t="str">
        <f t="shared" si="7"/>
        <v>4,</v>
      </c>
      <c r="F56" s="18" t="str">
        <f t="shared" si="8"/>
        <v>0.38,</v>
      </c>
      <c r="G56" s="18" t="str">
        <f t="shared" si="9"/>
        <v>3,</v>
      </c>
      <c r="H56" s="18" t="str">
        <f t="shared" si="10"/>
        <v>0.13,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1,</v>
      </c>
      <c r="E57" s="18" t="str">
        <f t="shared" si="7"/>
        <v>2,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0.5,</v>
      </c>
      <c r="K57" s="18" t="str">
        <f t="shared" si="13"/>
        <v>1,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2.43,</v>
      </c>
      <c r="E58" s="18" t="str">
        <f t="shared" si="7"/>
        <v>17,</v>
      </c>
      <c r="F58" s="18" t="str">
        <f t="shared" si="8"/>
        <v>1,</v>
      </c>
      <c r="G58" s="18" t="str">
        <f t="shared" si="9"/>
        <v>7,</v>
      </c>
      <c r="H58" s="18" t="str">
        <f t="shared" si="10"/>
        <v>0.86,</v>
      </c>
      <c r="I58" s="18" t="str">
        <f t="shared" si="11"/>
        <v>6,</v>
      </c>
      <c r="J58" s="18" t="str">
        <f t="shared" si="12"/>
        <v>0.29,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2,</v>
      </c>
      <c r="E59" s="18" t="str">
        <f t="shared" si="7"/>
        <v>16,</v>
      </c>
      <c r="F59" s="18" t="str">
        <f t="shared" si="8"/>
        <v>0.25,</v>
      </c>
      <c r="G59" s="18" t="str">
        <f t="shared" si="9"/>
        <v>2,</v>
      </c>
      <c r="H59" s="18" t="str">
        <f t="shared" si="10"/>
        <v>1.5,</v>
      </c>
      <c r="I59" s="18" t="str">
        <f t="shared" si="11"/>
        <v>12,</v>
      </c>
      <c r="J59" s="18" t="str">
        <f t="shared" si="12"/>
        <v>0.13,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0.75,</v>
      </c>
      <c r="E60" s="18" t="str">
        <f t="shared" si="7"/>
        <v>6,</v>
      </c>
      <c r="F60" s="18" t="str">
        <f t="shared" si="8"/>
        <v>0.13,</v>
      </c>
      <c r="G60" s="18" t="str">
        <f t="shared" si="9"/>
        <v>1,</v>
      </c>
      <c r="H60" s="18" t="str">
        <f t="shared" si="10"/>
        <v>0.63,</v>
      </c>
      <c r="I60" s="18" t="str">
        <f t="shared" si="11"/>
        <v>5,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"Wet Willies",</v>
      </c>
      <c r="D62" s="18" t="str">
        <f t="shared" si="6"/>
        <v>0.5,</v>
      </c>
      <c r="E62" s="18" t="str">
        <f t="shared" si="7"/>
        <v>4,</v>
      </c>
      <c r="F62" s="18" t="str">
        <f t="shared" si="8"/>
        <v>0.38,</v>
      </c>
      <c r="G62" s="18" t="str">
        <f t="shared" si="9"/>
        <v>3,</v>
      </c>
      <c r="H62" s="18" t="str">
        <f t="shared" si="10"/>
        <v>0.13,</v>
      </c>
      <c r="I62" s="18" t="str">
        <f t="shared" si="11"/>
        <v>1,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Musketeers. Traded to Wet Willies",</v>
      </c>
      <c r="U62" s="18" t="str">
        <f t="shared" si="26"/>
        <v>"../Images/WW_Final.png",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1.25,</v>
      </c>
      <c r="E63" s="18" t="str">
        <f t="shared" si="7"/>
        <v>10,</v>
      </c>
      <c r="F63" s="18" t="str">
        <f t="shared" si="8"/>
        <v>0.75,</v>
      </c>
      <c r="G63" s="18" t="str">
        <f t="shared" si="9"/>
        <v>6,</v>
      </c>
      <c r="H63" s="18" t="str">
        <f t="shared" si="10"/>
        <v>0.25,</v>
      </c>
      <c r="I63" s="18" t="str">
        <f t="shared" si="11"/>
        <v>2,</v>
      </c>
      <c r="J63" s="18" t="str">
        <f t="shared" si="12"/>
        <v>0.13,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3.13,</v>
      </c>
      <c r="E64" s="18" t="str">
        <f t="shared" si="7"/>
        <v>25,</v>
      </c>
      <c r="F64" s="18" t="str">
        <f t="shared" si="8"/>
        <v>1.5,</v>
      </c>
      <c r="G64" s="18" t="str">
        <f t="shared" si="9"/>
        <v>12,</v>
      </c>
      <c r="H64" s="18" t="str">
        <f t="shared" si="10"/>
        <v>0.88,</v>
      </c>
      <c r="I64" s="18" t="str">
        <f t="shared" si="11"/>
        <v>7,</v>
      </c>
      <c r="J64" s="18" t="str">
        <f t="shared" si="12"/>
        <v>0.38,</v>
      </c>
      <c r="K64" s="18" t="str">
        <f t="shared" si="13"/>
        <v>3,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0.13,</v>
      </c>
      <c r="E65" s="18" t="str">
        <f t="shared" si="7"/>
        <v>1,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0.13,</v>
      </c>
      <c r="I65" s="18" t="str">
        <f t="shared" si="11"/>
        <v>1,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9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topLeftCell="V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6</v>
      </c>
      <c r="M3" s="12">
        <f>COUNTIF(D3:D40, "Loose Gooses")</f>
        <v>5</v>
      </c>
      <c r="N3" s="11">
        <f>L3/(L3+M3)</f>
        <v>0.54545454545454541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5</v>
      </c>
      <c r="N4" s="11">
        <f t="shared" ref="N4:N5" si="4">L4/(L4+M4)</f>
        <v>0.61538461538461542</v>
      </c>
      <c r="O4" s="12">
        <f>IF(AND(N4&gt;N3, N4&gt;N5), 3, IF(OR(N4&gt;N3, N4&gt;N5), 2, 1))</f>
        <v>3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46</v>
      </c>
      <c r="F5" s="26" t="s">
        <v>99</v>
      </c>
      <c r="G5" s="26">
        <v>1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7</v>
      </c>
      <c r="N5" s="11">
        <f t="shared" si="4"/>
        <v>0.3</v>
      </c>
      <c r="O5" s="12">
        <f>IF(AND(N5&gt;N4, N5&gt;N3), 3, IF(OR(N5&gt;N4, N5&gt;N3), 2, 1))</f>
        <v>1</v>
      </c>
      <c r="Q5" s="2" t="s">
        <v>30</v>
      </c>
      <c r="R5" s="9">
        <f t="shared" si="0"/>
        <v>3</v>
      </c>
      <c r="S5" s="10">
        <f t="shared" si="1"/>
        <v>3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6</v>
      </c>
    </row>
    <row r="6" spans="2:31" ht="14.25" customHeight="1" x14ac:dyDescent="0.45">
      <c r="B6" s="26">
        <v>3</v>
      </c>
      <c r="C6" s="26" t="s">
        <v>31</v>
      </c>
      <c r="D6" s="26" t="s">
        <v>47</v>
      </c>
      <c r="E6" s="26" t="s">
        <v>42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>WW/LG</v>
      </c>
      <c r="Z6" s="54" t="str">
        <f t="shared" si="7"/>
        <v/>
      </c>
      <c r="AB6" s="2" t="s">
        <v>30</v>
      </c>
      <c r="AC6" s="17">
        <v>3</v>
      </c>
      <c r="AD6" s="17">
        <v>2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64</v>
      </c>
      <c r="F7" s="26" t="s">
        <v>99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  <c r="AC7" s="17">
        <v>2</v>
      </c>
      <c r="AD7" s="17">
        <v>1</v>
      </c>
      <c r="AE7" s="17">
        <v>2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1</v>
      </c>
      <c r="S9" s="10">
        <f t="shared" si="1"/>
        <v>1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1</v>
      </c>
      <c r="AE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30</v>
      </c>
      <c r="F10" s="26" t="s">
        <v>205</v>
      </c>
      <c r="G10" s="26">
        <v>2</v>
      </c>
      <c r="H10" s="26">
        <v>3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50</v>
      </c>
      <c r="F11" s="26" t="s">
        <v>99</v>
      </c>
      <c r="G11" s="26">
        <v>3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4</v>
      </c>
      <c r="H12" s="26">
        <v>4</v>
      </c>
      <c r="I12" s="26">
        <v>1</v>
      </c>
      <c r="Q12" s="2" t="s">
        <v>50</v>
      </c>
      <c r="R12" s="9">
        <f t="shared" si="0"/>
        <v>4</v>
      </c>
      <c r="S12" s="10">
        <f t="shared" si="1"/>
        <v>1</v>
      </c>
      <c r="T12" s="10">
        <f t="shared" si="2"/>
        <v>3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2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205</v>
      </c>
      <c r="G13" s="26">
        <v>5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3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205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58</v>
      </c>
      <c r="F15" s="26" t="s">
        <v>205</v>
      </c>
      <c r="G15" s="26">
        <v>2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D15" s="17">
        <v>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3</v>
      </c>
      <c r="H16" s="26">
        <v>2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  <c r="AD16" s="17">
        <v>1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28</v>
      </c>
      <c r="F17" s="26" t="s">
        <v>205</v>
      </c>
      <c r="G17" s="26">
        <v>4</v>
      </c>
      <c r="H17" s="26">
        <v>5</v>
      </c>
      <c r="I17" s="26">
        <v>1</v>
      </c>
      <c r="Q17" s="2" t="s">
        <v>61</v>
      </c>
      <c r="R17" s="9">
        <f t="shared" si="0"/>
        <v>3</v>
      </c>
      <c r="S17" s="10">
        <f t="shared" si="1"/>
        <v>2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5</v>
      </c>
    </row>
    <row r="18" spans="2:31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205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1</v>
      </c>
      <c r="S18" s="10">
        <f t="shared" si="1"/>
        <v>0</v>
      </c>
      <c r="T18" s="10">
        <f t="shared" si="2"/>
        <v>1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 t="s">
        <v>61</v>
      </c>
      <c r="AC18" s="17">
        <v>4</v>
      </c>
    </row>
    <row r="19" spans="2:31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6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  <c r="AB19" s="2" t="s">
        <v>64</v>
      </c>
      <c r="AD19" s="17">
        <v>1</v>
      </c>
    </row>
    <row r="20" spans="2:31" ht="14.25" customHeight="1" x14ac:dyDescent="0.45">
      <c r="B20" s="26">
        <v>17</v>
      </c>
      <c r="C20" s="26" t="s">
        <v>47</v>
      </c>
      <c r="D20" s="26" t="s">
        <v>26</v>
      </c>
      <c r="E20" s="26" t="s">
        <v>61</v>
      </c>
      <c r="F20" s="26" t="s">
        <v>99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  <c r="AB20" s="2" t="s">
        <v>67</v>
      </c>
      <c r="AE20" s="17">
        <v>1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3,</v>
      </c>
      <c r="S25" s="17" t="str">
        <f t="shared" si="9"/>
        <v>3,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1,</v>
      </c>
      <c r="S28" s="17" t="str">
        <f t="shared" si="9"/>
        <v>1,</v>
      </c>
      <c r="T28" s="17" t="str">
        <f>IF($V8, CHAR(34)&amp;"Did not Play"&amp;CHAR(34), T8)&amp;","</f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1,</v>
      </c>
      <c r="S29" s="17" t="str">
        <f t="shared" si="9"/>
        <v>1,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4,</v>
      </c>
      <c r="S32" s="17" t="str">
        <f t="shared" si="9"/>
        <v>1,</v>
      </c>
      <c r="T32" s="17" t="str">
        <f t="shared" si="9"/>
        <v>3,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3,</v>
      </c>
      <c r="S37" s="17" t="str">
        <f t="shared" si="9"/>
        <v>2,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1,</v>
      </c>
      <c r="S38" s="17" t="str">
        <f t="shared" si="9"/>
        <v>0,</v>
      </c>
      <c r="T38" s="17" t="str">
        <f t="shared" si="9"/>
        <v>1,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8" t="s">
        <v>119</v>
      </c>
      <c r="U41" s="158"/>
      <c r="V41" s="158"/>
    </row>
    <row r="42" spans="2:26" ht="14.25" customHeight="1" x14ac:dyDescent="0.9">
      <c r="R42" s="102"/>
      <c r="S42" s="102"/>
      <c r="T42" s="158"/>
      <c r="U42" s="158"/>
      <c r="V42" s="158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7" t="str">
        <f>C2</f>
        <v>26-July</v>
      </c>
      <c r="C45" s="17">
        <f>MAX(L3:L5)</f>
        <v>8</v>
      </c>
      <c r="D45" s="17">
        <f>COUNT(B4:B42)-C45-E45</f>
        <v>6</v>
      </c>
      <c r="E45" s="17">
        <f>MIN(L3:L5)</f>
        <v>3</v>
      </c>
      <c r="F45" s="17">
        <f>L3</f>
        <v>6</v>
      </c>
      <c r="G45" s="17">
        <f>COUNTIF(Y4:Y39, "WW/LG")</f>
        <v>2</v>
      </c>
      <c r="H45" s="17">
        <f>COUNTIF(Z4:Z39, "5M/LG")</f>
        <v>3</v>
      </c>
      <c r="I45" s="17">
        <f>L5</f>
        <v>3</v>
      </c>
      <c r="J45" s="17">
        <f>COUNTIF(X4:X39, "LG/WW")</f>
        <v>2</v>
      </c>
      <c r="K45" s="17">
        <f>COUNTIF(Z4:Z39, "5M/WW")</f>
        <v>5</v>
      </c>
      <c r="L45" s="17">
        <f>L4</f>
        <v>8</v>
      </c>
      <c r="M45" s="17">
        <f>COUNTIF(X4:X39, "LG/5M")</f>
        <v>4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</v>
      </c>
      <c r="M3" s="12">
        <f>COUNTIF(D3:D40, "Loose Gooses")</f>
        <v>5</v>
      </c>
      <c r="N3" s="11">
        <f>L3/(L3+M3)</f>
        <v>0.16666666666666666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115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9</v>
      </c>
      <c r="M4" s="12">
        <f>COUNTIF(D3:D40, "5 Musketeers")</f>
        <v>1</v>
      </c>
      <c r="N4" s="11">
        <f t="shared" ref="N4:N5" si="4">L4/(L4+M4)</f>
        <v>0.9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7">
        <v>1</v>
      </c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5</v>
      </c>
      <c r="N5" s="11">
        <f t="shared" si="4"/>
        <v>0.16666666666666666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4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 t="s">
        <v>28</v>
      </c>
      <c r="AC5" s="17">
        <v>1</v>
      </c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50</v>
      </c>
      <c r="F6" s="26" t="s">
        <v>99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 t="s">
        <v>30</v>
      </c>
      <c r="AC6" s="17">
        <v>2</v>
      </c>
      <c r="AD6" s="17">
        <v>1</v>
      </c>
      <c r="AE6" s="17">
        <v>2</v>
      </c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1</v>
      </c>
      <c r="S7" s="10">
        <f t="shared" si="1"/>
        <v>0</v>
      </c>
      <c r="T7" s="10">
        <f t="shared" si="2"/>
        <v>1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 t="s">
        <v>35</v>
      </c>
      <c r="AC7" s="17">
        <v>8</v>
      </c>
    </row>
    <row r="8" spans="2:31" ht="14.25" customHeight="1" x14ac:dyDescent="0.45">
      <c r="B8" s="26">
        <v>5</v>
      </c>
      <c r="C8" s="26" t="s">
        <v>31</v>
      </c>
      <c r="D8" s="26" t="s">
        <v>26</v>
      </c>
      <c r="E8" s="26" t="s">
        <v>37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WW/5M</v>
      </c>
      <c r="Z8" s="54" t="str">
        <f t="shared" si="7"/>
        <v/>
      </c>
      <c r="AB8" s="2" t="s">
        <v>37</v>
      </c>
      <c r="AC8" s="17">
        <v>2</v>
      </c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46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3</v>
      </c>
      <c r="S9" s="10">
        <f t="shared" si="1"/>
        <v>2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  <c r="AB9" s="2" t="s">
        <v>42</v>
      </c>
      <c r="AC9" s="17">
        <v>3</v>
      </c>
      <c r="AD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115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3</v>
      </c>
      <c r="H12" s="26">
        <v>2</v>
      </c>
      <c r="I12" s="26">
        <v>2</v>
      </c>
      <c r="Q12" s="2" t="s">
        <v>50</v>
      </c>
      <c r="R12" s="9">
        <f t="shared" si="0"/>
        <v>2</v>
      </c>
      <c r="S12" s="10">
        <f t="shared" si="1"/>
        <v>1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3</v>
      </c>
      <c r="AE12" s="17">
        <v>1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30</v>
      </c>
      <c r="F13" s="26" t="s">
        <v>205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4</v>
      </c>
      <c r="AD13" s="17">
        <v>2</v>
      </c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30</v>
      </c>
      <c r="F14" s="26" t="s">
        <v>205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 t="s">
        <v>52</v>
      </c>
      <c r="AE14" s="17">
        <v>2</v>
      </c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1</v>
      </c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 t="s">
        <v>55</v>
      </c>
      <c r="AC16" s="17">
        <v>2</v>
      </c>
      <c r="AE16" s="17">
        <v>2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1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53"/>
      <c r="AC23" s="153"/>
      <c r="AD23" s="153"/>
      <c r="AE23" s="153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53"/>
      <c r="AD24" s="153"/>
      <c r="AE24" s="153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4,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53"/>
      <c r="AD25" s="153"/>
      <c r="AE25" s="153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53"/>
      <c r="AD26" s="153"/>
      <c r="AE26" s="153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1,</v>
      </c>
      <c r="S27" s="17" t="str">
        <f t="shared" si="9"/>
        <v>0,</v>
      </c>
      <c r="T27" s="17" t="str">
        <f t="shared" si="9"/>
        <v>1,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6"/>
      <c r="AC27" s="153"/>
      <c r="AD27" s="153"/>
      <c r="AE27" s="153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6"/>
      <c r="AC28" s="153"/>
      <c r="AD28" s="153"/>
      <c r="AE28" s="153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3,</v>
      </c>
      <c r="S29" s="17" t="str">
        <f t="shared" si="9"/>
        <v>2,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53"/>
      <c r="AD29" s="153"/>
      <c r="AE29" s="153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53"/>
      <c r="AD30" s="153"/>
      <c r="AE30" s="153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53"/>
      <c r="AD31" s="153"/>
      <c r="AE31" s="153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1,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7"/>
      <c r="AC32" s="153"/>
      <c r="AD32" s="153"/>
      <c r="AE32" s="153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7"/>
      <c r="AC33" s="153"/>
      <c r="AD33" s="153"/>
      <c r="AE33" s="153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53"/>
      <c r="AD34" s="153"/>
      <c r="AE34" s="153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53"/>
      <c r="AD35" s="153"/>
      <c r="AE35" s="153"/>
    </row>
    <row r="36" spans="2:31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53"/>
      <c r="AD36" s="153"/>
      <c r="AE36" s="153"/>
    </row>
    <row r="37" spans="2:31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53"/>
      <c r="AD37" s="153"/>
      <c r="AE37" s="153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53"/>
      <c r="AD38" s="153"/>
      <c r="AE38" s="153"/>
    </row>
    <row r="39" spans="2:31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  <c r="AB39" s="138"/>
      <c r="AC39" s="153"/>
      <c r="AD39" s="153"/>
      <c r="AE39" s="153"/>
    </row>
    <row r="40" spans="2:31" ht="14.25" customHeight="1" x14ac:dyDescent="0.45">
      <c r="B40" s="76"/>
      <c r="S40" s="9"/>
      <c r="T40" s="9"/>
      <c r="U40" s="9"/>
      <c r="AB40" s="138"/>
      <c r="AC40" s="153"/>
      <c r="AD40" s="153"/>
      <c r="AE40" s="153"/>
    </row>
    <row r="41" spans="2:31" ht="14.25" customHeight="1" x14ac:dyDescent="0.9">
      <c r="R41" s="102"/>
      <c r="S41" s="102"/>
      <c r="T41" s="158" t="s">
        <v>119</v>
      </c>
      <c r="U41" s="158"/>
      <c r="V41" s="158"/>
    </row>
    <row r="42" spans="2:31" ht="14.25" customHeight="1" x14ac:dyDescent="0.9">
      <c r="R42" s="102"/>
      <c r="S42" s="102"/>
      <c r="T42" s="158"/>
      <c r="U42" s="158"/>
      <c r="V42" s="158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7" t="str">
        <f>C2</f>
        <v>24-July</v>
      </c>
      <c r="C45" s="17">
        <f>MAX(L3:L5)</f>
        <v>9</v>
      </c>
      <c r="D45" s="17">
        <f>COUNT(B4:B42)-C45-E45</f>
        <v>1</v>
      </c>
      <c r="E45" s="17">
        <f>MIN(L3:L5)</f>
        <v>1</v>
      </c>
      <c r="F45" s="17">
        <f>L3</f>
        <v>1</v>
      </c>
      <c r="G45" s="17">
        <f>COUNTIF(Y4:Y39, "WW/LG")</f>
        <v>0</v>
      </c>
      <c r="H45" s="17">
        <f>COUNTIF(Z4:Z39, "5M/LG")</f>
        <v>5</v>
      </c>
      <c r="I45" s="17">
        <f>L5</f>
        <v>1</v>
      </c>
      <c r="J45" s="17">
        <f>COUNTIF(X4:X39, "LG/WW")</f>
        <v>1</v>
      </c>
      <c r="K45" s="17">
        <f>COUNTIF(Z4:Z39, "5M/WW")</f>
        <v>4</v>
      </c>
      <c r="L45" s="17">
        <f>L4</f>
        <v>9</v>
      </c>
      <c r="M45" s="17">
        <f>COUNTIF(X4:X39, "LG/5M")</f>
        <v>0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8" t="s">
        <v>119</v>
      </c>
      <c r="U41" s="158"/>
      <c r="V41" s="158"/>
    </row>
    <row r="42" spans="2:26" ht="14.25" customHeight="1" x14ac:dyDescent="0.9">
      <c r="R42" s="102"/>
      <c r="S42" s="102"/>
      <c r="T42" s="158"/>
      <c r="U42" s="158"/>
      <c r="V42" s="158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8" t="s">
        <v>119</v>
      </c>
      <c r="U41" s="158"/>
      <c r="V41" s="158"/>
    </row>
    <row r="42" spans="2:26" ht="14.25" customHeight="1" x14ac:dyDescent="0.9">
      <c r="R42" s="102"/>
      <c r="S42" s="102"/>
      <c r="T42" s="158"/>
      <c r="U42" s="158"/>
      <c r="V42" s="158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8" t="s">
        <v>119</v>
      </c>
      <c r="U41" s="158"/>
      <c r="V41" s="158"/>
    </row>
    <row r="42" spans="2:31" ht="14.25" customHeight="1" x14ac:dyDescent="0.9">
      <c r="R42" s="102"/>
      <c r="S42" s="102"/>
      <c r="T42" s="158"/>
      <c r="U42" s="158"/>
      <c r="V42" s="158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9" t="s">
        <v>219</v>
      </c>
      <c r="Y2" s="159"/>
      <c r="Z2" s="159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8" t="s">
        <v>119</v>
      </c>
      <c r="U41" s="158"/>
      <c r="V41" s="158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8"/>
      <c r="U42" s="158"/>
      <c r="V42" s="158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8" t="s">
        <v>119</v>
      </c>
      <c r="U41" s="158"/>
      <c r="V41" s="158"/>
    </row>
    <row r="42" spans="2:26" ht="14.25" customHeight="1" x14ac:dyDescent="0.9">
      <c r="R42" s="102"/>
      <c r="S42" s="102"/>
      <c r="T42" s="158"/>
      <c r="U42" s="158"/>
      <c r="V42" s="158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8" t="s">
        <v>119</v>
      </c>
      <c r="U41" s="158"/>
      <c r="V41" s="158"/>
    </row>
    <row r="42" spans="2:26" ht="14.25" customHeight="1" x14ac:dyDescent="0.9">
      <c r="R42" s="102"/>
      <c r="S42" s="102"/>
      <c r="T42" s="158"/>
      <c r="U42" s="158"/>
      <c r="V42" s="158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8" t="s">
        <v>119</v>
      </c>
      <c r="U41" s="158"/>
      <c r="V41" s="158"/>
    </row>
    <row r="42" spans="2:26" ht="14.25" customHeight="1" x14ac:dyDescent="0.9">
      <c r="R42" s="102"/>
      <c r="S42" s="102"/>
      <c r="T42" s="158"/>
      <c r="U42" s="158"/>
      <c r="V42" s="158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BA1000"/>
  <sheetViews>
    <sheetView topLeftCell="Y16" zoomScale="70" zoomScaleNormal="70" workbookViewId="0">
      <selection activeCell="AT50" sqref="AT50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53" ht="14.25" customHeight="1" x14ac:dyDescent="0.45"/>
    <row r="2" spans="2:53" ht="14.25" customHeight="1" x14ac:dyDescent="0.45">
      <c r="B2" s="3" t="s">
        <v>76</v>
      </c>
    </row>
    <row r="3" spans="2:53" ht="14.25" customHeight="1" x14ac:dyDescent="0.45">
      <c r="AU3" t="s">
        <v>252</v>
      </c>
      <c r="AV3" s="19">
        <f>AA6-3</f>
        <v>5</v>
      </c>
    </row>
    <row r="4" spans="2:53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AA6/(20-AA5)</f>
        <v>0.42105263157894735</v>
      </c>
      <c r="AU4" s="2" t="s">
        <v>4</v>
      </c>
      <c r="AV4" s="155" t="s">
        <v>246</v>
      </c>
      <c r="AW4" s="155" t="s">
        <v>247</v>
      </c>
      <c r="AX4" s="155" t="s">
        <v>248</v>
      </c>
      <c r="AY4" s="155" t="s">
        <v>249</v>
      </c>
      <c r="AZ4" s="155" t="s">
        <v>250</v>
      </c>
      <c r="BA4" s="155" t="s">
        <v>251</v>
      </c>
    </row>
    <row r="5" spans="2:53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3"/>
      <c r="AS5" s="63"/>
      <c r="AT5" s="63"/>
      <c r="AU5" s="2" t="s">
        <v>25</v>
      </c>
      <c r="AV5" s="17">
        <f>'1707'!AC4+'1807'!AC4+'2407'!AC4+'2607'!AC4</f>
        <v>3</v>
      </c>
      <c r="AW5" s="17">
        <f>'1707'!AD4+'1807'!AD4+'2407'!AD4+'2607'!AD4</f>
        <v>1</v>
      </c>
      <c r="AX5" s="17">
        <f>'1707'!AE4+'1807'!AE4+'2407'!AE4+'2607'!AE4</f>
        <v>3</v>
      </c>
      <c r="AY5">
        <f>Table4[[#This Row],[Total R]]/($AV$3-AJ8)</f>
        <v>0.6</v>
      </c>
      <c r="AZ5" s="17">
        <f>Table4[[#This Row],[Total A]]/$AV$3</f>
        <v>0.2</v>
      </c>
      <c r="BA5" s="17">
        <f>Table4[[#This Row],[Total S]]/$AV$3</f>
        <v>0.6</v>
      </c>
    </row>
    <row r="6" spans="2:53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12.333333333333334</v>
      </c>
      <c r="T6" s="126">
        <f>AVERAGE(C8:C40)</f>
        <v>8.3333333333333339</v>
      </c>
      <c r="U6" s="126">
        <f t="shared" ref="U6:V6" si="0">AVERAGE(D8:D40)</f>
        <v>2.3333333333333335</v>
      </c>
      <c r="V6" s="126">
        <f t="shared" si="0"/>
        <v>1.6666666666666667</v>
      </c>
      <c r="Z6" s="72" t="s">
        <v>167</v>
      </c>
      <c r="AA6" s="9">
        <f>AA47+AA67+AL27+AL47+AL67+AA87+AL87</f>
        <v>8</v>
      </c>
      <c r="AK6" s="30"/>
      <c r="AL6" s="30"/>
      <c r="AM6" s="30" t="s">
        <v>221</v>
      </c>
      <c r="AO6" s="44"/>
      <c r="AR6" s="63"/>
      <c r="AS6" s="63"/>
      <c r="AT6" s="63"/>
      <c r="AU6" s="2" t="s">
        <v>28</v>
      </c>
      <c r="AV6" s="17">
        <f>'1707'!AC5+'1807'!AC5+'2407'!AC5+'2607'!AC5</f>
        <v>13</v>
      </c>
      <c r="AW6" s="17">
        <f>'1707'!AD5+'1807'!AD5+'2407'!AD5+'2607'!AD5</f>
        <v>0</v>
      </c>
      <c r="AX6" s="17">
        <f>'1707'!AE5+'1807'!AE5+'2407'!AE5+'2607'!AE5</f>
        <v>3</v>
      </c>
      <c r="AY6" s="17">
        <f>Table4[[#This Row],[Total R]]/$AV$3</f>
        <v>2.6</v>
      </c>
      <c r="AZ6" s="17">
        <f>Table4[[#This Row],[Total A]]/$AV$3</f>
        <v>0</v>
      </c>
      <c r="BA6" s="17">
        <f>Table4[[#This Row],[Total S]]/$AV$3</f>
        <v>0.6</v>
      </c>
    </row>
    <row r="7" spans="2:53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0.67567567567567566</v>
      </c>
      <c r="U7" s="6">
        <f>U6/$S$6</f>
        <v>0.1891891891891892</v>
      </c>
      <c r="V7" s="6">
        <f>V6/$S$6</f>
        <v>0.13513513513513514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  <c r="AU7" s="2" t="s">
        <v>30</v>
      </c>
      <c r="AV7" s="17">
        <f>'1707'!AC6+'1807'!AC6+'2407'!AC6+'2607'!AC6</f>
        <v>5</v>
      </c>
      <c r="AW7" s="17">
        <f>'1707'!AD6+'1807'!AD6+'2407'!AD6+'2607'!AD6</f>
        <v>3</v>
      </c>
      <c r="AX7" s="17">
        <f>'1707'!AE6+'1807'!AE6+'2407'!AE6+'2607'!AE6</f>
        <v>2</v>
      </c>
      <c r="AY7" s="17">
        <f>Table4[[#This Row],[Total R]]/$AV$3</f>
        <v>1</v>
      </c>
      <c r="AZ7" s="17">
        <f>Table4[[#This Row],[Total A]]/$AV$3</f>
        <v>0.6</v>
      </c>
      <c r="BA7" s="17">
        <f>Table4[[#This Row],[Total S]]/$AV$3</f>
        <v>0.4</v>
      </c>
    </row>
    <row r="8" spans="2:53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3</v>
      </c>
      <c r="AB8" s="68">
        <f>IF($AA$6-Table1[[#This Row],[Missed Games]]=0, 0,Table1[[#This Row],[Points]]/($AA$6-Table1[[#This Row],[Missed Games]]))</f>
        <v>0.375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3</v>
      </c>
      <c r="AF8" s="70">
        <f>IF($AA$6-Table1[[#This Row],[Missed Games]]=0, 0,Table1[[#This Row],[Midranges]]/($AA$6-Table1[[#This Row],[Missed Games]]))</f>
        <v>0.375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1.1348039215686274</v>
      </c>
      <c r="AN8" s="132">
        <f>MEDIAN(Table1[Average])</f>
        <v>0.75</v>
      </c>
      <c r="AO8" s="37"/>
      <c r="AP8" s="19">
        <f>_xlfn.CEILING.MATH('[1]Stats Global'!R8*(20-$AA$5-$AJ8))</f>
        <v>8</v>
      </c>
      <c r="AQ8" s="28">
        <f>Table1[[#This Row],[Points]]/AP8</f>
        <v>0.375</v>
      </c>
      <c r="AR8" s="143">
        <f>AP8-Table1[[#This Row],[Points]]</f>
        <v>5</v>
      </c>
      <c r="AS8" s="149">
        <f>Table1[[#This Row],[Points]]/(20-AA$5-Table1[[#This Row],[Missed Games]])</f>
        <v>0.15789473684210525</v>
      </c>
      <c r="AT8" s="40"/>
      <c r="AU8" s="2" t="s">
        <v>35</v>
      </c>
      <c r="AV8" s="17">
        <f>'1707'!AC7+'1807'!AC7+'2407'!AC7+'2607'!AC7</f>
        <v>10</v>
      </c>
      <c r="AW8" s="17">
        <f>'1707'!AD7+'1807'!AD7+'2407'!AD7+'2607'!AD7</f>
        <v>1</v>
      </c>
      <c r="AX8" s="17">
        <f>'1707'!AE7+'1807'!AE7+'2407'!AE7+'2607'!AE7</f>
        <v>2</v>
      </c>
      <c r="AY8" s="17">
        <f>Table4[[#This Row],[Total R]]/$AV$3</f>
        <v>2</v>
      </c>
      <c r="AZ8" s="17">
        <f>Table4[[#This Row],[Total A]]/$AV$3</f>
        <v>0.2</v>
      </c>
      <c r="BA8" s="17">
        <f>Table4[[#This Row],[Total S]]/$AV$3</f>
        <v>0.4</v>
      </c>
    </row>
    <row r="9" spans="2:53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8</v>
      </c>
      <c r="AB9" s="68">
        <f>IF($AA$6-Table1[[#This Row],[Missed Games]]=0, 0,Table1[[#This Row],[Points]]/($AA$6-Table1[[#This Row],[Missed Games]]))</f>
        <v>1.1428571428571428</v>
      </c>
      <c r="AC9" s="69">
        <f t="shared" si="2"/>
        <v>8</v>
      </c>
      <c r="AD9" s="70">
        <f>IF($AA$6-Table1[[#This Row],[Missed Games]]=0, 0,Table1[[#This Row],[Finishes]]/($AA$6-Table1[[#This Row],[Missed Games]]))</f>
        <v>1.1428571428571428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3.5294117647058822</v>
      </c>
      <c r="AN9" s="132">
        <f>MEDIAN(Table1[Finishes])</f>
        <v>2</v>
      </c>
      <c r="AO9" s="144"/>
      <c r="AP9" s="19">
        <f>_xlfn.CEILING.MATH('[1]Stats Global'!R9*(20-$AA$5-$AJ9))</f>
        <v>11</v>
      </c>
      <c r="AQ9" s="28">
        <f>Table1[[#This Row],[Points]]/AP9</f>
        <v>0.72727272727272729</v>
      </c>
      <c r="AR9" s="143">
        <f>AP9-Table1[[#This Row],[Points]]</f>
        <v>3</v>
      </c>
      <c r="AS9" s="149">
        <f>Table1[[#This Row],[Points]]/(20-AA$5-Table1[[#This Row],[Missed Games]])</f>
        <v>0.44444444444444442</v>
      </c>
      <c r="AT9" s="40"/>
      <c r="AU9" s="2" t="s">
        <v>37</v>
      </c>
      <c r="AV9" s="17">
        <f>'1707'!AC8+'1807'!AC8+'2407'!AC8+'2607'!AC8</f>
        <v>6</v>
      </c>
      <c r="AW9" s="17">
        <f>'1707'!AD8+'1807'!AD8+'2407'!AD8+'2607'!AD8</f>
        <v>1</v>
      </c>
      <c r="AX9" s="17">
        <f>'1707'!AE8+'1807'!AE8+'2407'!AE8+'2607'!AE8</f>
        <v>1</v>
      </c>
      <c r="AY9" s="17">
        <f>Table4[[#This Row],[Total R]]/$AV$3</f>
        <v>1.2</v>
      </c>
      <c r="AZ9" s="17">
        <f>Table4[[#This Row],[Total A]]/$AV$3</f>
        <v>0.2</v>
      </c>
      <c r="BA9" s="17">
        <f>Table4[[#This Row],[Total S]]/$AV$3</f>
        <v>0.2</v>
      </c>
    </row>
    <row r="10" spans="2:53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12</v>
      </c>
      <c r="AB10" s="68">
        <f>IF($AA$6-Table1[[#This Row],[Missed Games]]=0, 0,Table1[[#This Row],[Points]]/($AA$6-Table1[[#This Row],[Missed Games]]))</f>
        <v>4</v>
      </c>
      <c r="AC10" s="69">
        <f t="shared" si="2"/>
        <v>10</v>
      </c>
      <c r="AD10" s="70">
        <f>IF($AA$6-Table1[[#This Row],[Missed Games]]=0, 0,Table1[[#This Row],[Finishes]]/($AA$6-Table1[[#This Row],[Missed Games]]))</f>
        <v>3.3333333333333335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1</v>
      </c>
      <c r="AH10" s="70">
        <f>IF($AA$6-Table1[[#This Row],[Missed Games]]=0, 0,Table1[[#This Row],[Threes]]/($AA$6-Table1[[#This Row],[Missed Games]]))</f>
        <v>0.33333333333333331</v>
      </c>
      <c r="AI10" s="66" t="str">
        <f>SfW!C5</f>
        <v>5 Musketeers</v>
      </c>
      <c r="AJ10" s="71">
        <f t="shared" si="5"/>
        <v>5</v>
      </c>
      <c r="AK10" s="65"/>
      <c r="AL10" s="133" t="s">
        <v>220</v>
      </c>
      <c r="AM10" s="132">
        <f>AVERAGE(Table1[Midranges])</f>
        <v>2.3529411764705883</v>
      </c>
      <c r="AN10" s="132">
        <f>MEDIAN(Table1[Midranges])</f>
        <v>1</v>
      </c>
      <c r="AO10" s="37"/>
      <c r="AP10" s="19">
        <f>_xlfn.CEILING.MATH('[1]Stats Global'!R10*(20-$AA$5-$AJ10))</f>
        <v>44</v>
      </c>
      <c r="AQ10" s="28">
        <f>Table1[[#This Row],[Points]]/AP10</f>
        <v>0.27272727272727271</v>
      </c>
      <c r="AR10" s="143">
        <f>AP10-Table1[[#This Row],[Points]]</f>
        <v>32</v>
      </c>
      <c r="AS10" s="149">
        <f>Table1[[#This Row],[Points]]/(20-AA$5-Table1[[#This Row],[Missed Games]])</f>
        <v>0.8571428571428571</v>
      </c>
      <c r="AT10" s="40"/>
      <c r="AU10" s="2" t="s">
        <v>42</v>
      </c>
      <c r="AV10" s="17">
        <f>'1707'!AC9+'1807'!AC9+'2407'!AC9+'2607'!AC9</f>
        <v>6</v>
      </c>
      <c r="AW10" s="17">
        <f>'1707'!AD9+'1807'!AD9+'2407'!AD9+'2607'!AD9</f>
        <v>2</v>
      </c>
      <c r="AX10" s="17">
        <f>'1707'!AE9+'1807'!AE9+'2407'!AE9+'2607'!AE9</f>
        <v>1</v>
      </c>
      <c r="AY10" s="17">
        <f>Table4[[#This Row],[Total R]]/$AV$3</f>
        <v>1.2</v>
      </c>
      <c r="AZ10" s="17">
        <f>Table4[[#This Row],[Total A]]/$AV$3</f>
        <v>0.4</v>
      </c>
      <c r="BA10" s="17">
        <f>Table4[[#This Row],[Total S]]/$AV$3</f>
        <v>0.2</v>
      </c>
    </row>
    <row r="11" spans="2:53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5</v>
      </c>
      <c r="AB11" s="68">
        <f>IF($AA$6-Table1[[#This Row],[Missed Games]]=0, 0,Table1[[#This Row],[Points]]/($AA$6-Table1[[#This Row],[Missed Games]]))</f>
        <v>1</v>
      </c>
      <c r="AC11" s="69">
        <f t="shared" si="2"/>
        <v>5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3</v>
      </c>
      <c r="AK11" s="65"/>
      <c r="AL11" s="133" t="s">
        <v>3</v>
      </c>
      <c r="AM11" s="132">
        <f>AVERAGE(Table1[Threes])</f>
        <v>0.58823529411764708</v>
      </c>
      <c r="AN11" s="132">
        <f>MEDIAN(Table1[Threes])</f>
        <v>0</v>
      </c>
      <c r="AO11" s="37"/>
      <c r="AP11" s="19">
        <f>_xlfn.CEILING.MATH('[1]Stats Global'!R11*(20-$AA$5-$AJ11))</f>
        <v>45</v>
      </c>
      <c r="AQ11" s="28">
        <f>Table1[[#This Row],[Points]]/AP11</f>
        <v>0.1111111111111111</v>
      </c>
      <c r="AR11" s="143">
        <f>AP11-Table1[[#This Row],[Points]]</f>
        <v>40</v>
      </c>
      <c r="AS11" s="149">
        <f>Table1[[#This Row],[Points]]/(20-AA$5-Table1[[#This Row],[Missed Games]])</f>
        <v>0.3125</v>
      </c>
      <c r="AT11" s="40"/>
      <c r="AU11" s="17" t="s">
        <v>115</v>
      </c>
      <c r="AV11" s="17">
        <f>'1707'!AC10+'1807'!AC10+'2407'!AC10+'2607'!AC10</f>
        <v>9</v>
      </c>
      <c r="AW11" s="17">
        <f>'1707'!AD10+'1807'!AD10+'2407'!AD10+'2607'!AD10</f>
        <v>0</v>
      </c>
      <c r="AX11" s="17">
        <f>'1707'!AE10+'1807'!AE10+'2407'!AE10+'2607'!AE10</f>
        <v>2</v>
      </c>
      <c r="AY11" s="17">
        <f>Table4[[#This Row],[Total R]]/$AV$3</f>
        <v>1.8</v>
      </c>
      <c r="AZ11" s="17">
        <f>Table4[[#This Row],[Total A]]/$AV$3</f>
        <v>0</v>
      </c>
      <c r="BA11" s="17">
        <f>Table4[[#This Row],[Total S]]/$AV$3</f>
        <v>0.4</v>
      </c>
    </row>
    <row r="12" spans="2:53" ht="14.25" customHeight="1" x14ac:dyDescent="0.45">
      <c r="B12" s="122" t="str">
        <f>'2407'!B45</f>
        <v>24-July</v>
      </c>
      <c r="C12" s="122">
        <f>'2407'!C45</f>
        <v>9</v>
      </c>
      <c r="D12" s="122">
        <f>'2407'!D45</f>
        <v>1</v>
      </c>
      <c r="E12" s="122">
        <f>'2407'!E45</f>
        <v>1</v>
      </c>
      <c r="F12" s="122">
        <f>'2407'!F45</f>
        <v>1</v>
      </c>
      <c r="G12" s="122">
        <f>'2407'!G45</f>
        <v>0</v>
      </c>
      <c r="H12" s="122">
        <f>'2407'!H45</f>
        <v>5</v>
      </c>
      <c r="I12" s="122">
        <f>'2407'!I45</f>
        <v>1</v>
      </c>
      <c r="J12" s="122">
        <f>'2407'!J45</f>
        <v>1</v>
      </c>
      <c r="K12" s="122">
        <f>'2407'!K45</f>
        <v>4</v>
      </c>
      <c r="L12" s="122">
        <f>'2407'!L45</f>
        <v>9</v>
      </c>
      <c r="M12" s="122">
        <f>'2407'!M45</f>
        <v>0</v>
      </c>
      <c r="N12" s="122">
        <f>'2407'!N45</f>
        <v>1</v>
      </c>
      <c r="O12" s="122">
        <f>'2407'!O45</f>
        <v>2</v>
      </c>
      <c r="P12" s="122">
        <f>'2407'!P45</f>
        <v>1</v>
      </c>
      <c r="Q12" s="122">
        <f>'2407'!Q45</f>
        <v>3</v>
      </c>
      <c r="Z12" s="66" t="s">
        <v>57</v>
      </c>
      <c r="AA12" s="67">
        <f t="shared" si="1"/>
        <v>4</v>
      </c>
      <c r="AB12" s="68">
        <f>IF($AA$6-Table1[[#This Row],[Missed Games]]=0, 0,Table1[[#This Row],[Points]]/($AA$6-Table1[[#This Row],[Missed Games]]))</f>
        <v>0.66666666666666663</v>
      </c>
      <c r="AC12" s="69">
        <f t="shared" si="2"/>
        <v>1</v>
      </c>
      <c r="AD12" s="70">
        <f>IF($AA$6-Table1[[#This Row],[Missed Games]]=0, 0,Table1[[#This Row],[Finishes]]/($AA$6-Table1[[#This Row],[Missed Games]]))</f>
        <v>0.16666666666666666</v>
      </c>
      <c r="AE12" s="69">
        <f t="shared" si="3"/>
        <v>1</v>
      </c>
      <c r="AF12" s="70">
        <f>IF($AA$6-Table1[[#This Row],[Missed Games]]=0, 0,Table1[[#This Row],[Midranges]]/($AA$6-Table1[[#This Row],[Missed Games]]))</f>
        <v>0.16666666666666666</v>
      </c>
      <c r="AG12" s="69">
        <f t="shared" si="4"/>
        <v>1</v>
      </c>
      <c r="AH12" s="70">
        <f>IF($AA$6-Table1[[#This Row],[Missed Games]]=0, 0,Table1[[#This Row],[Threes]]/($AA$6-Table1[[#This Row],[Missed Games]]))</f>
        <v>0.16666666666666666</v>
      </c>
      <c r="AI12" s="66" t="str">
        <f>SfW!C7</f>
        <v>Wet Willies</v>
      </c>
      <c r="AJ12" s="71">
        <f t="shared" si="5"/>
        <v>2</v>
      </c>
      <c r="AK12" s="65"/>
      <c r="AL12" s="65"/>
      <c r="AM12" s="65"/>
      <c r="AO12" s="37"/>
      <c r="AP12" s="19">
        <f>_xlfn.CEILING.MATH('[1]Stats Global'!R12*(20-$AA$5-$AJ12))</f>
        <v>35</v>
      </c>
      <c r="AQ12" s="28">
        <f>Table1[[#This Row],[Points]]/AP12</f>
        <v>0.11428571428571428</v>
      </c>
      <c r="AR12" s="143">
        <f>AP12-Table1[[#This Row],[Points]]</f>
        <v>31</v>
      </c>
      <c r="AS12" s="149">
        <f>Table1[[#This Row],[Points]]/(20-AA$5-Table1[[#This Row],[Missed Games]])</f>
        <v>0.23529411764705882</v>
      </c>
      <c r="AT12" s="40"/>
      <c r="AU12" s="2" t="s">
        <v>44</v>
      </c>
      <c r="AV12" s="17">
        <f>'1707'!AC11+'1807'!AC11+'2407'!AC11+'2607'!AC11</f>
        <v>0</v>
      </c>
      <c r="AW12" s="17">
        <f>'1707'!AD11+'1807'!AD11+'2407'!AD11+'2607'!AD11</f>
        <v>0</v>
      </c>
      <c r="AX12" s="17">
        <f>'1707'!AE11+'1807'!AE11+'2407'!AE11+'2607'!AE11</f>
        <v>0</v>
      </c>
      <c r="AY12" s="17">
        <f>Table4[[#This Row],[Total R]]/$AV$3</f>
        <v>0</v>
      </c>
      <c r="AZ12" s="17">
        <f>Table4[[#This Row],[Total A]]/$AV$3</f>
        <v>0</v>
      </c>
      <c r="BA12" s="17">
        <f>Table4[[#This Row],[Total S]]/$AV$3</f>
        <v>0</v>
      </c>
    </row>
    <row r="13" spans="2:53" ht="14.25" customHeight="1" x14ac:dyDescent="0.45">
      <c r="B13" s="122" t="str">
        <f>'2607'!B45</f>
        <v>26-July</v>
      </c>
      <c r="C13" s="122">
        <f>'2607'!C45</f>
        <v>8</v>
      </c>
      <c r="D13" s="122">
        <f>'2607'!D45</f>
        <v>6</v>
      </c>
      <c r="E13" s="122">
        <f>'2607'!E45</f>
        <v>3</v>
      </c>
      <c r="F13" s="122">
        <f>'2607'!F45</f>
        <v>6</v>
      </c>
      <c r="G13" s="122">
        <f>'2607'!G45</f>
        <v>2</v>
      </c>
      <c r="H13" s="122">
        <f>'2607'!H45</f>
        <v>3</v>
      </c>
      <c r="I13" s="122">
        <f>'2607'!I45</f>
        <v>3</v>
      </c>
      <c r="J13" s="122">
        <f>'2607'!J45</f>
        <v>2</v>
      </c>
      <c r="K13" s="122">
        <f>'2607'!K45</f>
        <v>5</v>
      </c>
      <c r="L13" s="122">
        <f>'2607'!L45</f>
        <v>8</v>
      </c>
      <c r="M13" s="122">
        <f>'2607'!M45</f>
        <v>4</v>
      </c>
      <c r="N13" s="122">
        <f>'2607'!N45</f>
        <v>1</v>
      </c>
      <c r="O13" s="122">
        <f>'2607'!O45</f>
        <v>2</v>
      </c>
      <c r="P13" s="122">
        <f>'2607'!P45</f>
        <v>1</v>
      </c>
      <c r="Q13" s="122">
        <f>'2607'!Q45</f>
        <v>3</v>
      </c>
      <c r="Z13" s="66" t="s">
        <v>60</v>
      </c>
      <c r="AA13" s="67">
        <f t="shared" si="1"/>
        <v>3</v>
      </c>
      <c r="AB13" s="68">
        <f>IF($AA$6-Table1[[#This Row],[Missed Games]]=0, 0,Table1[[#This Row],[Points]]/($AA$6-Table1[[#This Row],[Missed Games]]))</f>
        <v>0.42857142857142855</v>
      </c>
      <c r="AC13" s="69">
        <f t="shared" si="2"/>
        <v>2</v>
      </c>
      <c r="AD13" s="70">
        <f>IF($AA$6-Table1[[#This Row],[Missed Games]]=0, 0,Table1[[#This Row],[Finishes]]/($AA$6-Table1[[#This Row],[Missed Games]]))</f>
        <v>0.2857142857142857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0.14285714285714285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5 Musketeers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21</v>
      </c>
      <c r="AQ13" s="28">
        <f>Table1[[#This Row],[Points]]/AP13</f>
        <v>0.14285714285714285</v>
      </c>
      <c r="AR13" s="143">
        <f>AP13-Table1[[#This Row],[Points]]</f>
        <v>18</v>
      </c>
      <c r="AS13" s="149">
        <f>Table1[[#This Row],[Points]]/(20-AA$5-Table1[[#This Row],[Missed Games]])</f>
        <v>0.16666666666666666</v>
      </c>
      <c r="AT13" s="40"/>
      <c r="AU13" s="2" t="s">
        <v>46</v>
      </c>
      <c r="AV13" s="17">
        <f>'1707'!AC12+'1807'!AC12+'2407'!AC12+'2607'!AC12</f>
        <v>14</v>
      </c>
      <c r="AW13" s="17">
        <f>'1707'!AD12+'1807'!AD12+'2407'!AD12+'2607'!AD12</f>
        <v>3</v>
      </c>
      <c r="AX13" s="17">
        <f>'1707'!AE12+'1807'!AE12+'2407'!AE12+'2607'!AE12</f>
        <v>2</v>
      </c>
      <c r="AY13" s="17">
        <f>Table4[[#This Row],[Total R]]/$AV$3</f>
        <v>2.8</v>
      </c>
      <c r="AZ13" s="17">
        <f>Table4[[#This Row],[Total A]]/$AV$3</f>
        <v>0.6</v>
      </c>
      <c r="BA13" s="17">
        <f>Table4[[#This Row],[Total S]]/$AV$3</f>
        <v>0.4</v>
      </c>
    </row>
    <row r="14" spans="2:53" ht="14.25" customHeight="1" x14ac:dyDescent="0.45">
      <c r="B14" s="122" t="str">
        <f>'2707'!B45</f>
        <v>27-July</v>
      </c>
      <c r="C14" s="122">
        <f>'2707'!C45</f>
        <v>8</v>
      </c>
      <c r="D14" s="122">
        <f>'2707'!D45</f>
        <v>3</v>
      </c>
      <c r="E14" s="122">
        <f>'2707'!E45</f>
        <v>3</v>
      </c>
      <c r="F14" s="122">
        <f>'2707'!F45</f>
        <v>3</v>
      </c>
      <c r="G14" s="122">
        <f>'2707'!G45</f>
        <v>1</v>
      </c>
      <c r="H14" s="122">
        <f>'2707'!H45</f>
        <v>4</v>
      </c>
      <c r="I14" s="122">
        <f>'2707'!I45</f>
        <v>3</v>
      </c>
      <c r="J14" s="122">
        <f>'2707'!J45</f>
        <v>2</v>
      </c>
      <c r="K14" s="122">
        <f>'2707'!K45</f>
        <v>4</v>
      </c>
      <c r="L14" s="122">
        <f>'2707'!L45</f>
        <v>8</v>
      </c>
      <c r="M14" s="122">
        <f>'2707'!M45</f>
        <v>1</v>
      </c>
      <c r="N14" s="122">
        <f>'2707'!N45</f>
        <v>2</v>
      </c>
      <c r="O14" s="122">
        <f>'2707'!O45</f>
        <v>2</v>
      </c>
      <c r="P14" s="122">
        <f>'2707'!P45</f>
        <v>1</v>
      </c>
      <c r="Q14" s="122">
        <f>'2707'!Q45</f>
        <v>3</v>
      </c>
      <c r="Z14" s="75" t="s">
        <v>93</v>
      </c>
      <c r="AA14" s="67">
        <f t="shared" si="1"/>
        <v>4</v>
      </c>
      <c r="AB14" s="68">
        <f>IF($AA$6-Table1[[#This Row],[Missed Games]]=0, 0,Table1[[#This Row],[Points]]/($AA$6-Table1[[#This Row],[Missed Games]]))</f>
        <v>0.5</v>
      </c>
      <c r="AC14" s="69">
        <f t="shared" si="2"/>
        <v>3</v>
      </c>
      <c r="AD14" s="70">
        <f>IF($AA$6-Table1[[#This Row],[Missed Games]]=0, 0,Table1[[#This Row],[Finishes]]/($AA$6-Table1[[#This Row],[Missed Games]]))</f>
        <v>0.375</v>
      </c>
      <c r="AE14" s="69">
        <f t="shared" si="3"/>
        <v>1</v>
      </c>
      <c r="AF14" s="70">
        <f>IF($AA$6-Table1[[#This Row],[Missed Games]]=0, 0,Table1[[#This Row],[Midranges]]/($AA$6-Table1[[#This Row],[Missed Games]]))</f>
        <v>0.125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6</v>
      </c>
      <c r="AQ14" s="28">
        <f>Table1[[#This Row],[Points]]/AP14</f>
        <v>0.66666666666666663</v>
      </c>
      <c r="AR14" s="143">
        <f>AP14-Table1[[#This Row],[Points]]</f>
        <v>2</v>
      </c>
      <c r="AS14" s="149">
        <f>Table1[[#This Row],[Points]]/(20-AA$5-Table1[[#This Row],[Missed Games]])</f>
        <v>0.21052631578947367</v>
      </c>
      <c r="AT14" s="40"/>
      <c r="AU14" s="2" t="s">
        <v>50</v>
      </c>
      <c r="AV14" s="17">
        <f>'1707'!AC13+'1807'!AC13+'2407'!AC13+'2607'!AC13</f>
        <v>14</v>
      </c>
      <c r="AW14" s="17">
        <f>'1707'!AD13+'1807'!AD13+'2407'!AD13+'2607'!AD13</f>
        <v>2</v>
      </c>
      <c r="AX14" s="17">
        <f>'1707'!AE13+'1807'!AE13+'2407'!AE13+'2607'!AE13</f>
        <v>0</v>
      </c>
      <c r="AY14" s="17">
        <f>Table4[[#This Row],[Total R]]/$AV$3</f>
        <v>2.8</v>
      </c>
      <c r="AZ14" s="17">
        <f>Table4[[#This Row],[Total A]]/$AV$3</f>
        <v>0.4</v>
      </c>
      <c r="BA14" s="17">
        <f>Table4[[#This Row],[Total S]]/$AV$3</f>
        <v>0</v>
      </c>
    </row>
    <row r="15" spans="2:53" ht="14.25" customHeight="1" x14ac:dyDescent="0.45">
      <c r="B15" s="122" t="str">
        <f>'3107'!B45</f>
        <v>31-July</v>
      </c>
      <c r="C15" s="122">
        <f>'3107'!C45</f>
        <v>9</v>
      </c>
      <c r="D15" s="122">
        <f>'3107'!D45</f>
        <v>4</v>
      </c>
      <c r="E15" s="122">
        <f>'3107'!E45</f>
        <v>3</v>
      </c>
      <c r="F15" s="122">
        <f>'3107'!F45</f>
        <v>9</v>
      </c>
      <c r="G15" s="122">
        <f>'3107'!G45</f>
        <v>2</v>
      </c>
      <c r="H15" s="122">
        <f>'3107'!H45</f>
        <v>1</v>
      </c>
      <c r="I15" s="122">
        <f>'3107'!I45</f>
        <v>4</v>
      </c>
      <c r="J15" s="122">
        <f>'3107'!J45</f>
        <v>4</v>
      </c>
      <c r="K15" s="122">
        <f>'3107'!K45</f>
        <v>2</v>
      </c>
      <c r="L15" s="122">
        <f>'3107'!L45</f>
        <v>3</v>
      </c>
      <c r="M15" s="122">
        <f>'3107'!M45</f>
        <v>5</v>
      </c>
      <c r="N15" s="122">
        <f>'3107'!N45</f>
        <v>2</v>
      </c>
      <c r="O15" s="122">
        <f>'3107'!O45</f>
        <v>3</v>
      </c>
      <c r="P15" s="122">
        <f>'3107'!P45</f>
        <v>2</v>
      </c>
      <c r="Q15" s="122">
        <f>'3107'!Q45</f>
        <v>1</v>
      </c>
      <c r="Z15" s="75" t="s">
        <v>63</v>
      </c>
      <c r="AA15" s="67">
        <f t="shared" si="1"/>
        <v>2</v>
      </c>
      <c r="AB15" s="68">
        <f>IF($AA$6-Table1[[#This Row],[Missed Games]]=0, 0,Table1[[#This Row],[Points]]/($AA$6-Table1[[#This Row],[Missed Games]]))</f>
        <v>1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1</v>
      </c>
      <c r="AH15" s="70">
        <f>IF($AA$6-Table1[[#This Row],[Missed Games]]=0, 0,Table1[[#This Row],[Threes]]/($AA$6-Table1[[#This Row],[Missed Games]]))</f>
        <v>0.5</v>
      </c>
      <c r="AI15" s="66" t="str">
        <f>SfW!C10</f>
        <v>Wet Willies</v>
      </c>
      <c r="AJ15" s="71">
        <f t="shared" si="5"/>
        <v>6</v>
      </c>
      <c r="AK15" s="65"/>
      <c r="AL15" s="65"/>
      <c r="AM15" s="65"/>
      <c r="AO15" s="37"/>
      <c r="AP15" s="19">
        <f>_xlfn.CEILING.MATH('[1]Stats Global'!R14*(20-$AA$5-$AJ15))</f>
        <v>21</v>
      </c>
      <c r="AQ15" s="28">
        <f>Table1[[#This Row],[Points]]/AP15</f>
        <v>9.5238095238095233E-2</v>
      </c>
      <c r="AR15" s="143">
        <f>AP15-Table1[[#This Row],[Points]]</f>
        <v>19</v>
      </c>
      <c r="AS15" s="149">
        <f>Table1[[#This Row],[Points]]/(20-AA$5-Table1[[#This Row],[Missed Games]])</f>
        <v>0.15384615384615385</v>
      </c>
      <c r="AT15" s="40"/>
      <c r="AU15" s="2" t="s">
        <v>52</v>
      </c>
      <c r="AV15" s="17">
        <f>'1707'!AC14+'1807'!AC14+'2407'!AC14+'2607'!AC14</f>
        <v>1</v>
      </c>
      <c r="AW15" s="17">
        <f>'1707'!AD14+'1807'!AD14+'2407'!AD14+'2607'!AD14</f>
        <v>0</v>
      </c>
      <c r="AX15" s="17">
        <f>'1707'!AE14+'1807'!AE14+'2407'!AE14+'2607'!AE14</f>
        <v>5</v>
      </c>
      <c r="AY15" s="17">
        <f>Table4[[#This Row],[Total R]]/$AV$3</f>
        <v>0.2</v>
      </c>
      <c r="AZ15" s="17">
        <f>Table4[[#This Row],[Total A]]/$AV$3</f>
        <v>0</v>
      </c>
      <c r="BA15" s="17">
        <f>Table4[[#This Row],[Total S]]/$AV$3</f>
        <v>1</v>
      </c>
    </row>
    <row r="16" spans="2:53" ht="14.25" customHeight="1" x14ac:dyDescent="0.45">
      <c r="B16" s="122" t="str">
        <f>'0108'!B45</f>
        <v>1-August</v>
      </c>
      <c r="C16" s="122">
        <f>'0108'!C45</f>
        <v>0</v>
      </c>
      <c r="D16" s="122">
        <f>'0108'!D45</f>
        <v>0</v>
      </c>
      <c r="E16" s="122">
        <f>'0108'!E45</f>
        <v>0</v>
      </c>
      <c r="F16" s="122">
        <f>'0108'!F45</f>
        <v>0</v>
      </c>
      <c r="G16" s="122">
        <f>'0108'!G45</f>
        <v>0</v>
      </c>
      <c r="H16" s="122">
        <f>'0108'!H45</f>
        <v>0</v>
      </c>
      <c r="I16" s="122">
        <f>'0108'!I45</f>
        <v>0</v>
      </c>
      <c r="J16" s="122">
        <f>'0108'!J45</f>
        <v>0</v>
      </c>
      <c r="K16" s="122">
        <f>'0108'!K45</f>
        <v>0</v>
      </c>
      <c r="L16" s="122">
        <f>'0108'!L45</f>
        <v>0</v>
      </c>
      <c r="M16" s="122">
        <f>'0108'!M45</f>
        <v>0</v>
      </c>
      <c r="N16" s="122">
        <f>'0108'!N45</f>
        <v>0</v>
      </c>
      <c r="O16" s="122" t="e">
        <f>'0108'!O45</f>
        <v>#DIV/0!</v>
      </c>
      <c r="P16" s="122" t="e">
        <f>'0108'!P45</f>
        <v>#DIV/0!</v>
      </c>
      <c r="Q16" s="122" t="e">
        <f>'0108'!Q45</f>
        <v>#DIV/0!</v>
      </c>
      <c r="Z16" s="75" t="s">
        <v>66</v>
      </c>
      <c r="AA16" s="67">
        <f t="shared" si="1"/>
        <v>17</v>
      </c>
      <c r="AB16" s="68">
        <f>IF($AA$6-Table1[[#This Row],[Missed Games]]=0, 0,Table1[[#This Row],[Points]]/($AA$6-Table1[[#This Row],[Missed Games]]))</f>
        <v>2.4285714285714284</v>
      </c>
      <c r="AC16" s="69">
        <f t="shared" si="2"/>
        <v>7</v>
      </c>
      <c r="AD16" s="70">
        <f>IF($AA$6-Table1[[#This Row],[Missed Games]]=0, 0,Table1[[#This Row],[Finishes]]/($AA$6-Table1[[#This Row],[Missed Games]]))</f>
        <v>1</v>
      </c>
      <c r="AE16" s="69">
        <f t="shared" si="3"/>
        <v>6</v>
      </c>
      <c r="AF16" s="70">
        <f>IF($AA$6-Table1[[#This Row],[Missed Games]]=0, 0,Table1[[#This Row],[Midranges]]/($AA$6-Table1[[#This Row],[Missed Games]]))</f>
        <v>0.8571428571428571</v>
      </c>
      <c r="AG16" s="69">
        <f t="shared" si="4"/>
        <v>2</v>
      </c>
      <c r="AH16" s="70">
        <f>IF($AA$6-Table1[[#This Row],[Missed Games]]=0, 0,Table1[[#This Row],[Threes]]/($AA$6-Table1[[#This Row],[Missed Games]]))</f>
        <v>0.2857142857142857</v>
      </c>
      <c r="AI16" s="66" t="str">
        <f>SfW!C11</f>
        <v>Loose Gooses</v>
      </c>
      <c r="AJ16" s="71">
        <f t="shared" si="5"/>
        <v>1</v>
      </c>
      <c r="AK16" s="65"/>
      <c r="AL16" s="65"/>
      <c r="AM16" s="65"/>
      <c r="AO16" s="37"/>
      <c r="AP16" s="19">
        <f>_xlfn.CEILING.MATH('[1]Stats Global'!R15*(20-$AA$5-$AJ16))</f>
        <v>26</v>
      </c>
      <c r="AQ16" s="28">
        <f>Table1[[#This Row],[Points]]/AP16</f>
        <v>0.65384615384615385</v>
      </c>
      <c r="AR16" s="143">
        <f>AP16-Table1[[#This Row],[Points]]</f>
        <v>9</v>
      </c>
      <c r="AS16" s="149">
        <f>Table1[[#This Row],[Points]]/(20-AA$5-Table1[[#This Row],[Missed Games]])</f>
        <v>0.94444444444444442</v>
      </c>
      <c r="AT16" s="40"/>
      <c r="AU16" s="2" t="s">
        <v>201</v>
      </c>
      <c r="AV16" s="17">
        <f>'1707'!AC15+'1807'!AC15+'2407'!AC15+'2607'!AC15</f>
        <v>3</v>
      </c>
      <c r="AW16" s="17">
        <f>'1707'!AD15+'1807'!AD15+'2407'!AD15+'2607'!AD15</f>
        <v>1</v>
      </c>
      <c r="AX16" s="17">
        <f>'1707'!AE15+'1807'!AE15+'2407'!AE15+'2607'!AE15</f>
        <v>0</v>
      </c>
      <c r="AY16" s="17">
        <f>Table4[[#This Row],[Total R]]/$AV$3</f>
        <v>0.6</v>
      </c>
      <c r="AZ16" s="17">
        <f>Table4[[#This Row],[Total A]]/$AV$3</f>
        <v>0.2</v>
      </c>
      <c r="BA16" s="17">
        <f>Table4[[#This Row],[Total S]]/$AV$3</f>
        <v>0</v>
      </c>
    </row>
    <row r="17" spans="2:53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16</v>
      </c>
      <c r="AB17" s="68">
        <f>IF($AA$6-Table1[[#This Row],[Missed Games]]=0, 0,Table1[[#This Row],[Points]]/($AA$6-Table1[[#This Row],[Missed Games]]))</f>
        <v>2</v>
      </c>
      <c r="AC17" s="69">
        <f t="shared" si="2"/>
        <v>2</v>
      </c>
      <c r="AD17" s="70">
        <f>IF($AA$6-Table1[[#This Row],[Missed Games]]=0, 0,Table1[[#This Row],[Finishes]]/($AA$6-Table1[[#This Row],[Missed Games]]))</f>
        <v>0.25</v>
      </c>
      <c r="AE17" s="69">
        <f t="shared" si="3"/>
        <v>12</v>
      </c>
      <c r="AF17" s="70">
        <f>IF($AA$6-Table1[[#This Row],[Missed Games]]=0, 0,Table1[[#This Row],[Midranges]]/($AA$6-Table1[[#This Row],[Missed Games]]))</f>
        <v>1.5</v>
      </c>
      <c r="AG17" s="69">
        <f t="shared" si="4"/>
        <v>1</v>
      </c>
      <c r="AH17" s="70">
        <f>IF($AA$6-Table1[[#This Row],[Missed Games]]=0, 0,Table1[[#This Row],[Threes]]/($AA$6-Table1[[#This Row],[Missed Games]]))</f>
        <v>0.125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49</v>
      </c>
      <c r="AQ17" s="28">
        <f>Table1[[#This Row],[Points]]/AP17</f>
        <v>0.32653061224489793</v>
      </c>
      <c r="AR17" s="143">
        <f>AP17-Table1[[#This Row],[Points]]</f>
        <v>33</v>
      </c>
      <c r="AS17" s="149">
        <f>Table1[[#This Row],[Points]]/(20-AA$5-Table1[[#This Row],[Missed Games]])</f>
        <v>0.84210526315789469</v>
      </c>
      <c r="AT17" s="40"/>
      <c r="AU17" s="2" t="s">
        <v>55</v>
      </c>
      <c r="AV17" s="17">
        <f>'1707'!AC16+'1807'!AC16+'2407'!AC16+'2607'!AC16</f>
        <v>8</v>
      </c>
      <c r="AW17" s="17">
        <f>'1707'!AD16+'1807'!AD16+'2407'!AD16+'2607'!AD16</f>
        <v>1</v>
      </c>
      <c r="AX17" s="17">
        <f>'1707'!AE16+'1807'!AE16+'2407'!AE16+'2607'!AE16</f>
        <v>3</v>
      </c>
      <c r="AY17" s="17">
        <f>Table4[[#This Row],[Total R]]/$AV$3</f>
        <v>1.6</v>
      </c>
      <c r="AZ17" s="17">
        <f>Table4[[#This Row],[Total A]]/$AV$3</f>
        <v>0.2</v>
      </c>
      <c r="BA17" s="17">
        <f>Table4[[#This Row],[Total S]]/$AV$3</f>
        <v>0.6</v>
      </c>
    </row>
    <row r="18" spans="2:53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6</v>
      </c>
      <c r="AB18" s="68">
        <f>IF($AA$6-Table1[[#This Row],[Missed Games]]=0, 0,Table1[[#This Row],[Points]]/($AA$6-Table1[[#This Row],[Missed Games]]))</f>
        <v>0.75</v>
      </c>
      <c r="AC18" s="69">
        <f t="shared" si="2"/>
        <v>1</v>
      </c>
      <c r="AD18" s="70">
        <f>IF($AA$6-Table1[[#This Row],[Missed Games]]=0, 0,Table1[[#This Row],[Finishes]]/($AA$6-Table1[[#This Row],[Missed Games]]))</f>
        <v>0.125</v>
      </c>
      <c r="AE18" s="69">
        <f t="shared" si="3"/>
        <v>5</v>
      </c>
      <c r="AF18" s="70">
        <f>IF($AA$6-Table1[[#This Row],[Missed Games]]=0, 0,Table1[[#This Row],[Midranges]]/($AA$6-Table1[[#This Row],[Missed Games]]))</f>
        <v>0.625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17</v>
      </c>
      <c r="AQ18" s="28">
        <f>Table1[[#This Row],[Points]]/AP18</f>
        <v>0.35294117647058826</v>
      </c>
      <c r="AR18" s="143">
        <f>AP18-Table1[[#This Row],[Points]]</f>
        <v>11</v>
      </c>
      <c r="AS18" s="149">
        <f>Table1[[#This Row],[Points]]/(20-AA$5-Table1[[#This Row],[Missed Games]])</f>
        <v>0.31578947368421051</v>
      </c>
      <c r="AT18" s="40"/>
      <c r="AU18" s="2" t="s">
        <v>58</v>
      </c>
      <c r="AV18" s="17">
        <f>'1707'!AC17+'1807'!AC17+'2407'!AC17+'2607'!AC17</f>
        <v>12</v>
      </c>
      <c r="AW18" s="17">
        <f>'1707'!AD17+'1807'!AD17+'2407'!AD17+'2607'!AD17</f>
        <v>2</v>
      </c>
      <c r="AX18" s="17">
        <f>'1707'!AE17+'1807'!AE17+'2407'!AE17+'2607'!AE17</f>
        <v>2</v>
      </c>
      <c r="AY18" s="17">
        <f>Table4[[#This Row],[Total R]]/$AV$3</f>
        <v>2.4</v>
      </c>
      <c r="AZ18" s="17">
        <f>Table4[[#This Row],[Total A]]/$AV$3</f>
        <v>0.4</v>
      </c>
      <c r="BA18" s="17">
        <f>Table4[[#This Row],[Total S]]/$AV$3</f>
        <v>0.4</v>
      </c>
    </row>
    <row r="19" spans="2:53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4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  <c r="AU19" s="2" t="s">
        <v>61</v>
      </c>
      <c r="AV19" s="17">
        <f>'1707'!AC18+'1807'!AC18+'2407'!AC18+'2607'!AC18</f>
        <v>11</v>
      </c>
      <c r="AW19" s="17">
        <f>'1707'!AD18+'1807'!AD18+'2407'!AD18+'2607'!AD18</f>
        <v>7</v>
      </c>
      <c r="AX19" s="17">
        <f>'1707'!AE18+'1807'!AE18+'2407'!AE18+'2607'!AE18</f>
        <v>3</v>
      </c>
      <c r="AY19" s="17">
        <f>Table4[[#This Row],[Total R]]/$AV$3</f>
        <v>2.2000000000000002</v>
      </c>
      <c r="AZ19" s="17">
        <f>Table4[[#This Row],[Total A]]/$AV$3</f>
        <v>1.4</v>
      </c>
      <c r="BA19" s="17">
        <f>Table4[[#This Row],[Total S]]/$AV$3</f>
        <v>0.6</v>
      </c>
    </row>
    <row r="20" spans="2:53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4</v>
      </c>
      <c r="AB20" s="68">
        <f>IF($AA$6-Table1[[#This Row],[Missed Games]]=0, 0,Table1[[#This Row],[Points]]/($AA$6-Table1[[#This Row],[Missed Games]]))</f>
        <v>0.5</v>
      </c>
      <c r="AC20" s="69">
        <f t="shared" si="2"/>
        <v>3</v>
      </c>
      <c r="AD20" s="119">
        <f>IF($AA$6-Table1[[#This Row],[Missed Games]]=0, 0,Table1[[#This Row],[Finishes]]/($AA$6-Table1[[#This Row],[Missed Games]]))</f>
        <v>0.375</v>
      </c>
      <c r="AE20" s="69">
        <f t="shared" si="3"/>
        <v>1</v>
      </c>
      <c r="AF20" s="119">
        <f>IF($AA$6-Table1[[#This Row],[Missed Games]]=0, 0,Table1[[#This Row],[Midranges]]/($AA$6-Table1[[#This Row],[Missed Games]]))</f>
        <v>0.125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Wet Willies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21</v>
      </c>
      <c r="AQ20" s="28">
        <f>Table1[[#This Row],[Points]]/AP20</f>
        <v>0.19047619047619047</v>
      </c>
      <c r="AR20" s="143">
        <f>AP20-Table1[[#This Row],[Points]]</f>
        <v>17</v>
      </c>
      <c r="AS20" s="149">
        <f>Table1[[#This Row],[Points]]/(20-AA$5-Table1[[#This Row],[Missed Games]])</f>
        <v>0.21052631578947367</v>
      </c>
      <c r="AT20" s="40"/>
      <c r="AU20" s="2" t="s">
        <v>64</v>
      </c>
      <c r="AV20" s="17">
        <f>'1707'!AC19+'1807'!AC19+'2407'!AC19+'2607'!AC19</f>
        <v>4</v>
      </c>
      <c r="AW20" s="17">
        <f>'1707'!AD19+'1807'!AD19+'2407'!AD19+'2607'!AD19</f>
        <v>1</v>
      </c>
      <c r="AX20" s="17">
        <f>'1707'!AE19+'1807'!AE19+'2407'!AE19+'2607'!AE19</f>
        <v>2</v>
      </c>
      <c r="AY20" s="17">
        <f>Table4[[#This Row],[Total R]]/$AV$3</f>
        <v>0.8</v>
      </c>
      <c r="AZ20" s="17">
        <f>Table4[[#This Row],[Total A]]/$AV$3</f>
        <v>0.2</v>
      </c>
      <c r="BA20" s="17">
        <f>Table4[[#This Row],[Total S]]/$AV$3</f>
        <v>0.4</v>
      </c>
    </row>
    <row r="21" spans="2:53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10</v>
      </c>
      <c r="AB21" s="68">
        <f>IF($AA$6-Table1[[#This Row],[Missed Games]]=0, 0,Table1[[#This Row],[Points]]/($AA$6-Table1[[#This Row],[Missed Games]]))</f>
        <v>1.25</v>
      </c>
      <c r="AC21" s="69">
        <f t="shared" si="2"/>
        <v>6</v>
      </c>
      <c r="AD21" s="119">
        <f>IF($AA$6-Table1[[#This Row],[Missed Games]]=0, 0,Table1[[#This Row],[Finishes]]/($AA$6-Table1[[#This Row],[Missed Games]]))</f>
        <v>0.75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0.25</v>
      </c>
      <c r="AG21" s="69">
        <f t="shared" si="4"/>
        <v>1</v>
      </c>
      <c r="AH21" s="119">
        <f>IF($AA$6-Table1[[#This Row],[Missed Games]]=0, 0,Table1[[#This Row],[Threes]]/($AA$6-Table1[[#This Row],[Missed Games]]))</f>
        <v>0.125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21</v>
      </c>
      <c r="AQ21" s="28">
        <f>Table1[[#This Row],[Points]]/AP21</f>
        <v>0.47619047619047616</v>
      </c>
      <c r="AR21" s="143">
        <f>AP21-Table1[[#This Row],[Points]]</f>
        <v>11</v>
      </c>
      <c r="AS21" s="149">
        <f>Table1[[#This Row],[Points]]/(20-AA$5-Table1[[#This Row],[Missed Games]])</f>
        <v>0.52631578947368418</v>
      </c>
      <c r="AT21" s="40"/>
      <c r="AU21" s="2" t="s">
        <v>67</v>
      </c>
      <c r="AV21" s="17">
        <f>'1707'!AC20+'1807'!AC20+'2407'!AC20+'2607'!AC20</f>
        <v>0</v>
      </c>
      <c r="AW21" s="17">
        <f>'1707'!AD20+'1807'!AD20+'2407'!AD20+'2607'!AD20</f>
        <v>0</v>
      </c>
      <c r="AX21" s="17">
        <f>'1707'!AE20+'1807'!AE20+'2407'!AE20+'2607'!AE20</f>
        <v>1</v>
      </c>
      <c r="AY21" s="17">
        <f>Table4[[#This Row],[Total R]]/$AV$3</f>
        <v>0</v>
      </c>
      <c r="AZ21" s="17">
        <f>Table4[[#This Row],[Total A]]/$AV$3</f>
        <v>0</v>
      </c>
      <c r="BA21" s="17">
        <f>Table4[[#This Row],[Total S]]/$AV$3</f>
        <v>0.2</v>
      </c>
    </row>
    <row r="22" spans="2:53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25</v>
      </c>
      <c r="AB22" s="68">
        <f>IF($AA$6-Table1[[#This Row],[Missed Games]]=0, 0,Table1[[#This Row],[Points]]/($AA$6-Table1[[#This Row],[Missed Games]]))</f>
        <v>3.125</v>
      </c>
      <c r="AC22" s="69">
        <f t="shared" si="2"/>
        <v>12</v>
      </c>
      <c r="AD22" s="119">
        <f>IF($AA$6-Table1[[#This Row],[Missed Games]]=0, 0,Table1[[#This Row],[Finishes]]/($AA$6-Table1[[#This Row],[Missed Games]]))</f>
        <v>1.5</v>
      </c>
      <c r="AE22" s="69">
        <f t="shared" si="3"/>
        <v>7</v>
      </c>
      <c r="AF22" s="119">
        <f>IF($AA$6-Table1[[#This Row],[Missed Games]]=0, 0,Table1[[#This Row],[Midranges]]/($AA$6-Table1[[#This Row],[Missed Games]]))</f>
        <v>0.875</v>
      </c>
      <c r="AG22" s="69">
        <f t="shared" si="4"/>
        <v>3</v>
      </c>
      <c r="AH22" s="119">
        <f>IF($AA$6-Table1[[#This Row],[Missed Games]]=0, 0,Table1[[#This Row],[Threes]]/($AA$6-Table1[[#This Row],[Missed Games]]))</f>
        <v>0.375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47</v>
      </c>
      <c r="AQ22" s="28">
        <f>Table1[[#This Row],[Points]]/AP22</f>
        <v>0.53191489361702127</v>
      </c>
      <c r="AR22" s="143">
        <f>AP22-Table1[[#This Row],[Points]]</f>
        <v>22</v>
      </c>
      <c r="AS22" s="149">
        <f>Table1[[#This Row],[Points]]/(20-AA$5-Table1[[#This Row],[Missed Games]])</f>
        <v>1.3157894736842106</v>
      </c>
      <c r="AT22" s="40"/>
    </row>
    <row r="23" spans="2:53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1</v>
      </c>
      <c r="AB23" s="118">
        <f>IF($AA$6-Table1[[#This Row],[Missed Games]]=0, 0,Table1[[#This Row],[Points]]/($AA$6-Table1[[#This Row],[Missed Games]]))</f>
        <v>0.125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1</v>
      </c>
      <c r="AF23" s="120">
        <f>IF($AA$6-Table1[[#This Row],[Missed Games]]=0, 0,Table1[[#This Row],[Midranges]]/($AA$6-Table1[[#This Row],[Missed Games]]))</f>
        <v>0.125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0.33333333333333331</v>
      </c>
      <c r="AR23" s="143">
        <f>AP23-Table1[[#This Row],[Points]]</f>
        <v>2</v>
      </c>
      <c r="AS23" s="149">
        <f>Table1[[#This Row],[Points]]/(20-AA$5-Table1[[#This Row],[Missed Games]])</f>
        <v>5.2631578947368418E-2</v>
      </c>
      <c r="AT23" s="4"/>
    </row>
    <row r="24" spans="2:53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5</v>
      </c>
      <c r="AL24" s="45"/>
      <c r="AM24" s="46"/>
      <c r="AN24" s="5"/>
      <c r="AP24" s="19">
        <f>_xlfn.CEILING.MATH('[1]Stats Global'!R22*(20-$AA$5-$AJ24))</f>
        <v>10</v>
      </c>
      <c r="AQ24" s="28">
        <f>Table1[[#This Row],[Points]]/AP24</f>
        <v>0</v>
      </c>
      <c r="AR24" s="143">
        <f>AP24-Table1[[#This Row],[Points]]</f>
        <v>10</v>
      </c>
      <c r="AS24" s="149">
        <f>Table1[[#This Row],[Points]]/(20-AA$5-Table1[[#This Row],[Missed Games]])</f>
        <v>0</v>
      </c>
      <c r="AT24" s="4"/>
    </row>
    <row r="25" spans="2:53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53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53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53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53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53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53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53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 t="e">
        <f>'Statistics LG'!J3</f>
        <v>#DIV/0!</v>
      </c>
      <c r="T41" s="139" t="e">
        <f>S41/SUM(S41:S43)</f>
        <v>#DIV/0!</v>
      </c>
      <c r="U41" s="145">
        <v>0.32188841201716739</v>
      </c>
      <c r="V41" s="45">
        <v>0.36899999999999999</v>
      </c>
      <c r="W41" t="e">
        <f>T41*(6*(20-AA$5))</f>
        <v>#DIV/0!</v>
      </c>
      <c r="X41" s="19">
        <f>((MAX(U41:U43)+MAX(V41:V43))/2)*6*(20-AA5)</f>
        <v>41.093085836909864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 t="e">
        <f>'Statistics WW'!J4</f>
        <v>#DIV/0!</v>
      </c>
      <c r="T42" s="145" t="e">
        <f>S42/SUM(S41:S43)</f>
        <v>#DIV/0!</v>
      </c>
      <c r="U42" s="145">
        <v>0.35193133047210301</v>
      </c>
      <c r="V42" s="45">
        <v>0.26200000000000001</v>
      </c>
      <c r="W42" s="17" t="e">
        <f t="shared" ref="W42:W43" si="6">T42*(6*(20-AA$5))</f>
        <v>#DIV/0!</v>
      </c>
      <c r="X42" s="19">
        <f>6*(20-AA5)-X41-X43</f>
        <v>39.625274678111587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 t="e">
        <f>'Statistics 5M'!J4</f>
        <v>#DIV/0!</v>
      </c>
      <c r="T43" s="145" t="e">
        <f>S43/SUM(S41:S43)</f>
        <v>#DIV/0!</v>
      </c>
      <c r="U43" s="145">
        <v>0.3261802575107296</v>
      </c>
      <c r="V43" s="45">
        <v>0.36899999999999999</v>
      </c>
      <c r="W43" s="17" t="e">
        <f t="shared" si="6"/>
        <v>#DIV/0!</v>
      </c>
      <c r="X43" s="19">
        <f>((MIN(U41:U43)+MIN(V41:V43))/2)*6*(20-AA5)</f>
        <v>33.281639484978548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22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3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1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60</v>
      </c>
      <c r="V49" s="18">
        <f>U49/AA6</f>
        <v>7.5</v>
      </c>
      <c r="W49" s="28">
        <f>U49/SUM($U$49:$U$51)</f>
        <v>0.54545454545454541</v>
      </c>
      <c r="Z49" s="49" t="s">
        <v>45</v>
      </c>
      <c r="AA49" s="32">
        <f>'2407'!R3+'2607'!R3+'2707'!R3</f>
        <v>1</v>
      </c>
      <c r="AB49" s="32">
        <f>'2407'!S3+'2607'!S3+'2707'!S3</f>
        <v>0</v>
      </c>
      <c r="AC49" s="32">
        <f>'2407'!T3+'2607'!T3+'2707'!T3</f>
        <v>1</v>
      </c>
      <c r="AD49" s="32">
        <f>'2407'!U3+'2607'!U3+'2707'!U3</f>
        <v>0</v>
      </c>
      <c r="AE49" s="154">
        <f>Table21123[[#This Row],[Points]]/($AA$47-Table21123[[#This Row],[Missed Games]])</f>
        <v>0.33333333333333331</v>
      </c>
      <c r="AF49" s="154">
        <f>Table21123[[#This Row],[Finishes]]/($AA$47-Table21123[[#This Row],[Missed Games]])</f>
        <v>0</v>
      </c>
      <c r="AG49" s="154">
        <f>Table21123[[#This Row],[Midranges]]/($AA$47-Table21123[[#This Row],[Missed Games]])</f>
        <v>0.33333333333333331</v>
      </c>
      <c r="AH49" s="154">
        <f>Table21123[[#This Row],[Threes]]/($AA$47-Table21123[[#This Row],[Missed Games]])</f>
        <v>0</v>
      </c>
      <c r="AI49" s="32">
        <f>COUNTIF('2407'!V3, "TRUE")+COUNTIF('2607'!V3, "TRUE")+COUNTIF('2707'!V3, "TRUE")</f>
        <v>0</v>
      </c>
      <c r="AJ49" s="36"/>
      <c r="AK49" s="49" t="s">
        <v>45</v>
      </c>
      <c r="AL49" s="32">
        <f>'3107'!R3+'0108'!R3</f>
        <v>0</v>
      </c>
      <c r="AM49" s="32">
        <f>'3107'!S3+'0108'!S3</f>
        <v>0</v>
      </c>
      <c r="AN49" s="32">
        <f>'3107'!T3+'0108'!T3</f>
        <v>0</v>
      </c>
      <c r="AO49" s="32">
        <f>'3107'!U3+'0108'!U3</f>
        <v>0</v>
      </c>
      <c r="AP49" s="32">
        <f>AL49/($AL$47-Table21124[[#This Row],[Missed Games]])</f>
        <v>0</v>
      </c>
      <c r="AQ49" s="32">
        <f>AM49/($AL$47-Table21124[[#This Row],[Missed Games]])</f>
        <v>0</v>
      </c>
      <c r="AR49" s="32">
        <f>AN49/($AL$47-Table21124[[#This Row],[Missed Games]])</f>
        <v>0</v>
      </c>
      <c r="AS49" s="32">
        <f>AO49/($AL$47-Table21124[[#This Row],[Missed Games]])</f>
        <v>0</v>
      </c>
      <c r="AT49" s="32">
        <f>COUNTIF('3107'!V3, "TRUE")+COUNTIF('0108'!V3, "TRUE")</f>
        <v>0</v>
      </c>
    </row>
    <row r="50" spans="19:46" ht="14.25" customHeight="1" x14ac:dyDescent="0.45">
      <c r="T50" s="14" t="s">
        <v>2</v>
      </c>
      <c r="U50" s="19">
        <f>SUM(Table1[Midranges])</f>
        <v>40</v>
      </c>
      <c r="V50" s="18">
        <f>U50/AA6</f>
        <v>5</v>
      </c>
      <c r="W50" s="28">
        <f>U50/SUM($U$49:$U$51)</f>
        <v>0.36363636363636365</v>
      </c>
      <c r="Z50" s="49" t="s">
        <v>49</v>
      </c>
      <c r="AA50" s="32">
        <f>'2407'!R4+'2607'!R4+'2707'!R4</f>
        <v>1</v>
      </c>
      <c r="AB50" s="32">
        <f>'2407'!S4+'2607'!S4+'2707'!S4</f>
        <v>1</v>
      </c>
      <c r="AC50" s="32">
        <f>'2407'!T4+'2607'!T4+'2707'!T4</f>
        <v>0</v>
      </c>
      <c r="AD50" s="32">
        <f>'2407'!U4+'2607'!U4+'2707'!U4</f>
        <v>0</v>
      </c>
      <c r="AE50" s="154">
        <f>Table21123[[#This Row],[Points]]/($AA$47-Table21123[[#This Row],[Missed Games]])</f>
        <v>0.33333333333333331</v>
      </c>
      <c r="AF50" s="154">
        <f>Table21123[[#This Row],[Finishes]]/($AA$47-Table21123[[#This Row],[Missed Games]])</f>
        <v>0.33333333333333331</v>
      </c>
      <c r="AG50" s="154">
        <f>Table21123[[#This Row],[Midranges]]/($AA$47-Table21123[[#This Row],[Missed Games]])</f>
        <v>0</v>
      </c>
      <c r="AH50" s="154">
        <f>Table21123[[#This Row],[Threes]]/($AA$47-Table21123[[#This Row],[Missed Games]])</f>
        <v>0</v>
      </c>
      <c r="AI50" s="32">
        <f>COUNTIF('2407'!V4, "TRUE")+COUNTIF('2607'!V4, "TRUE")+COUNTIF('2707'!V4, "TRUE")</f>
        <v>0</v>
      </c>
      <c r="AJ50" s="36"/>
      <c r="AK50" s="49" t="s">
        <v>49</v>
      </c>
      <c r="AL50" s="32">
        <f>'3107'!R4+'0108'!R4</f>
        <v>1</v>
      </c>
      <c r="AM50" s="32">
        <f>'3107'!S4+'0108'!S4</f>
        <v>1</v>
      </c>
      <c r="AN50" s="32">
        <f>'3107'!T4+'0108'!T4</f>
        <v>0</v>
      </c>
      <c r="AO50" s="32">
        <f>'3107'!U4+'0108'!U4</f>
        <v>0</v>
      </c>
      <c r="AP50" s="32">
        <f>AL50/($AL$47-Table21124[[#This Row],[Missed Games]])</f>
        <v>1</v>
      </c>
      <c r="AQ50" s="32">
        <f>AM50/($AL$47-Table21124[[#This Row],[Missed Games]])</f>
        <v>1</v>
      </c>
      <c r="AR50" s="32">
        <f>AN50/($AL$47-Table21124[[#This Row],[Missed Games]])</f>
        <v>0</v>
      </c>
      <c r="AS50" s="32">
        <f>AO50/($AL$47-Table21124[[#This Row],[Missed Games]])</f>
        <v>0</v>
      </c>
      <c r="AT50" s="32">
        <f>COUNTIF('3107'!V4, "TRUE")+COUNTIF('0108'!V4, "TRUE")</f>
        <v>0</v>
      </c>
    </row>
    <row r="51" spans="19:46" ht="14.25" customHeight="1" x14ac:dyDescent="0.45">
      <c r="T51" s="14" t="s">
        <v>3</v>
      </c>
      <c r="U51" s="19">
        <f>SUM(Table1[Threes])</f>
        <v>10</v>
      </c>
      <c r="V51" s="18">
        <f>U51/AA6</f>
        <v>1.25</v>
      </c>
      <c r="W51" s="28">
        <f>U51/SUM($U$49:$U$51)</f>
        <v>9.0909090909090912E-2</v>
      </c>
      <c r="Z51" s="49" t="s">
        <v>51</v>
      </c>
      <c r="AA51" s="32">
        <f>'2407'!R5+'2607'!R5+'2707'!R5</f>
        <v>12</v>
      </c>
      <c r="AB51" s="32">
        <f>'2407'!S5+'2607'!S5+'2707'!S5</f>
        <v>10</v>
      </c>
      <c r="AC51" s="32">
        <f>'2407'!T5+'2607'!T5+'2707'!T5</f>
        <v>0</v>
      </c>
      <c r="AD51" s="32">
        <f>'2407'!U5+'2607'!U5+'2707'!U5</f>
        <v>1</v>
      </c>
      <c r="AE51" s="154">
        <f>Table21123[[#This Row],[Points]]/($AA$47-Table21123[[#This Row],[Missed Games]])</f>
        <v>4</v>
      </c>
      <c r="AF51" s="154">
        <f>Table21123[[#This Row],[Finishes]]/($AA$47-Table21123[[#This Row],[Missed Games]])</f>
        <v>3.3333333333333335</v>
      </c>
      <c r="AG51" s="154">
        <f>Table21123[[#This Row],[Midranges]]/($AA$47-Table21123[[#This Row],[Missed Games]])</f>
        <v>0</v>
      </c>
      <c r="AH51" s="154">
        <f>Table21123[[#This Row],[Threes]]/($AA$47-Table21123[[#This Row],[Missed Games]])</f>
        <v>0.33333333333333331</v>
      </c>
      <c r="AI51" s="32">
        <f>COUNTIF('2407'!V5, "TRUE")+COUNTIF('2607'!V5, "TRUE")+COUNTIF('2707'!V5, "TRUE")</f>
        <v>0</v>
      </c>
      <c r="AJ51" s="36"/>
      <c r="AK51" s="49" t="s">
        <v>51</v>
      </c>
      <c r="AL51" s="32">
        <f>'3107'!R5+'0108'!R5</f>
        <v>0</v>
      </c>
      <c r="AM51" s="32">
        <f>'3107'!S5+'0108'!S5</f>
        <v>0</v>
      </c>
      <c r="AN51" s="32">
        <f>'3107'!T5+'0108'!T5</f>
        <v>0</v>
      </c>
      <c r="AO51" s="32">
        <f>'3107'!U5+'0108'!U5</f>
        <v>0</v>
      </c>
      <c r="AP51" s="32" t="e">
        <f>AL51/($AL$47-Table21124[[#This Row],[Missed Games]])</f>
        <v>#DIV/0!</v>
      </c>
      <c r="AQ51" s="32" t="e">
        <f>AM51/($AL$47-Table21124[[#This Row],[Missed Games]])</f>
        <v>#DIV/0!</v>
      </c>
      <c r="AR51" s="32" t="e">
        <f>AN51/($AL$47-Table21124[[#This Row],[Missed Games]])</f>
        <v>#DIV/0!</v>
      </c>
      <c r="AS51" s="32" t="e">
        <f>AO51/($AL$47-Table21124[[#This Row],[Missed Games]])</f>
        <v>#DIV/0!</v>
      </c>
      <c r="AT51" s="32">
        <f>COUNTIF('3107'!V5, "TRUE")+COUNTIF('0108'!V5, "TRUE")</f>
        <v>1</v>
      </c>
    </row>
    <row r="52" spans="19:46" ht="14.25" customHeight="1" x14ac:dyDescent="0.45">
      <c r="Z52" s="49" t="s">
        <v>54</v>
      </c>
      <c r="AA52" s="32">
        <f>'2407'!R6+'2607'!R6+'2707'!R6</f>
        <v>2</v>
      </c>
      <c r="AB52" s="32">
        <f>'2407'!S6+'2607'!S6+'2707'!S6</f>
        <v>2</v>
      </c>
      <c r="AC52" s="32">
        <f>'2407'!T6+'2607'!T6+'2707'!T6</f>
        <v>0</v>
      </c>
      <c r="AD52" s="32">
        <f>'2407'!U6+'2607'!U6+'2707'!U6</f>
        <v>0</v>
      </c>
      <c r="AE52" s="154">
        <f>Table21123[[#This Row],[Points]]/($AA$47-Table21123[[#This Row],[Missed Games]])</f>
        <v>0.66666666666666663</v>
      </c>
      <c r="AF52" s="154">
        <f>Table21123[[#This Row],[Finishes]]/($AA$47-Table21123[[#This Row],[Missed Games]])</f>
        <v>0.66666666666666663</v>
      </c>
      <c r="AG52" s="154">
        <f>Table21123[[#This Row],[Midranges]]/($AA$47-Table21123[[#This Row],[Missed Games]])</f>
        <v>0</v>
      </c>
      <c r="AH52" s="154">
        <f>Table21123[[#This Row],[Threes]]/($AA$47-Table21123[[#This Row],[Missed Games]])</f>
        <v>0</v>
      </c>
      <c r="AI52" s="32">
        <f>COUNTIF('2407'!V6, "TRUE")+COUNTIF('2607'!V6, "TRUE")+COUNTIF('2707'!V6, "TRUE")</f>
        <v>0</v>
      </c>
      <c r="AJ52" s="36"/>
      <c r="AK52" s="49" t="s">
        <v>54</v>
      </c>
      <c r="AL52" s="32">
        <f>'3107'!R6+'0108'!R6</f>
        <v>0</v>
      </c>
      <c r="AM52" s="32">
        <f>'3107'!S6+'0108'!S6</f>
        <v>0</v>
      </c>
      <c r="AN52" s="32">
        <f>'3107'!T6+'0108'!T6</f>
        <v>0</v>
      </c>
      <c r="AO52" s="32">
        <f>'3107'!U6+'0108'!U6</f>
        <v>0</v>
      </c>
      <c r="AP52" s="32" t="e">
        <f>AL52/($AL$47-Table21124[[#This Row],[Missed Games]])</f>
        <v>#DIV/0!</v>
      </c>
      <c r="AQ52" s="32" t="e">
        <f>AM52/($AL$47-Table21124[[#This Row],[Missed Games]])</f>
        <v>#DIV/0!</v>
      </c>
      <c r="AR52" s="32" t="e">
        <f>AN52/($AL$47-Table21124[[#This Row],[Missed Games]])</f>
        <v>#DIV/0!</v>
      </c>
      <c r="AS52" s="32" t="e">
        <f>AO52/($AL$47-Table21124[[#This Row],[Missed Games]])</f>
        <v>#DIV/0!</v>
      </c>
      <c r="AT52" s="32">
        <f>COUNTIF('3107'!V6, "TRUE")+COUNTIF('0108'!V6, "TRUE")</f>
        <v>1</v>
      </c>
    </row>
    <row r="53" spans="19:46" ht="14.25" customHeight="1" x14ac:dyDescent="0.45">
      <c r="T53" s="14" t="s">
        <v>130</v>
      </c>
      <c r="Z53" s="49" t="s">
        <v>57</v>
      </c>
      <c r="AA53" s="32">
        <f>'2407'!R7+'2607'!R7+'2707'!R7</f>
        <v>1</v>
      </c>
      <c r="AB53" s="32">
        <f>'2407'!S7+'2607'!S7+'2707'!S7</f>
        <v>0</v>
      </c>
      <c r="AC53" s="32">
        <f>'2407'!T7+'2607'!T7+'2707'!T7</f>
        <v>1</v>
      </c>
      <c r="AD53" s="32">
        <f>'2407'!U7+'2607'!U7+'2707'!U7</f>
        <v>0</v>
      </c>
      <c r="AE53" s="154">
        <f>Table21123[[#This Row],[Points]]/($AA$47-Table21123[[#This Row],[Missed Games]])</f>
        <v>1</v>
      </c>
      <c r="AF53" s="154">
        <f>Table21123[[#This Row],[Finishes]]/($AA$47-Table21123[[#This Row],[Missed Games]])</f>
        <v>0</v>
      </c>
      <c r="AG53" s="154">
        <f>Table21123[[#This Row],[Midranges]]/($AA$47-Table21123[[#This Row],[Missed Games]])</f>
        <v>1</v>
      </c>
      <c r="AH53" s="154">
        <f>Table21123[[#This Row],[Threes]]/($AA$47-Table21123[[#This Row],[Missed Games]])</f>
        <v>0</v>
      </c>
      <c r="AI53" s="32">
        <f>COUNTIF('2407'!V7, "TRUE")+COUNTIF('2607'!V7, "TRUE")+COUNTIF('2707'!V7, "TRUE")</f>
        <v>2</v>
      </c>
      <c r="AJ53" s="36"/>
      <c r="AK53" s="49" t="s">
        <v>57</v>
      </c>
      <c r="AL53" s="32">
        <f>'3107'!R7+'0108'!R7</f>
        <v>3</v>
      </c>
      <c r="AM53" s="32">
        <f>'3107'!S7+'0108'!S7</f>
        <v>1</v>
      </c>
      <c r="AN53" s="32">
        <f>'3107'!T7+'0108'!T7</f>
        <v>0</v>
      </c>
      <c r="AO53" s="32">
        <f>'3107'!U7+'0108'!U7</f>
        <v>1</v>
      </c>
      <c r="AP53" s="32">
        <f>AL53/($AL$47-Table21124[[#This Row],[Missed Games]])</f>
        <v>3</v>
      </c>
      <c r="AQ53" s="32">
        <f>AM53/($AL$47-Table21124[[#This Row],[Missed Games]])</f>
        <v>1</v>
      </c>
      <c r="AR53" s="32">
        <f>AN53/($AL$47-Table21124[[#This Row],[Missed Games]])</f>
        <v>0</v>
      </c>
      <c r="AS53" s="32">
        <f>AO53/($AL$47-Table21124[[#This Row],[Missed Games]])</f>
        <v>1</v>
      </c>
      <c r="AT53" s="32">
        <f>COUNTIF('3107'!V7, "TRUE")+COUNTIF('0108'!V7, "TRUE")</f>
        <v>0</v>
      </c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'2407'!R8+'2607'!R8+'2707'!R8</f>
        <v>1</v>
      </c>
      <c r="AB54" s="32">
        <f>'2407'!S8+'2607'!S8+'2707'!S8</f>
        <v>1</v>
      </c>
      <c r="AC54" s="32">
        <f>'2407'!T8+'2607'!T8+'2707'!T8</f>
        <v>0</v>
      </c>
      <c r="AD54" s="32">
        <f>'2407'!U8+'2607'!U8+'2707'!U8</f>
        <v>0</v>
      </c>
      <c r="AE54" s="154">
        <f>Table21123[[#This Row],[Points]]/($AA$47-Table21123[[#This Row],[Missed Games]])</f>
        <v>0.33333333333333331</v>
      </c>
      <c r="AF54" s="154">
        <f>Table21123[[#This Row],[Finishes]]/($AA$47-Table21123[[#This Row],[Missed Games]])</f>
        <v>0.33333333333333331</v>
      </c>
      <c r="AG54" s="154">
        <f>Table21123[[#This Row],[Midranges]]/($AA$47-Table21123[[#This Row],[Missed Games]])</f>
        <v>0</v>
      </c>
      <c r="AH54" s="154">
        <f>Table21123[[#This Row],[Threes]]/($AA$47-Table21123[[#This Row],[Missed Games]])</f>
        <v>0</v>
      </c>
      <c r="AI54" s="32">
        <f>COUNTIF('2407'!V8, "TRUE")+COUNTIF('2607'!V8, "TRUE")+COUNTIF('2707'!V8, "TRUE")</f>
        <v>0</v>
      </c>
      <c r="AJ54" s="36"/>
      <c r="AK54" s="49" t="s">
        <v>60</v>
      </c>
      <c r="AL54" s="32">
        <f>'3107'!R8+'0108'!R8</f>
        <v>0</v>
      </c>
      <c r="AM54" s="32">
        <f>'3107'!S8+'0108'!S8</f>
        <v>0</v>
      </c>
      <c r="AN54" s="32">
        <f>'3107'!T8+'0108'!T8</f>
        <v>0</v>
      </c>
      <c r="AO54" s="32">
        <f>'3107'!U8+'0108'!U8</f>
        <v>0</v>
      </c>
      <c r="AP54" s="32">
        <f>AL54/($AL$47-Table21124[[#This Row],[Missed Games]])</f>
        <v>0</v>
      </c>
      <c r="AQ54" s="32">
        <f>AM54/($AL$47-Table21124[[#This Row],[Missed Games]])</f>
        <v>0</v>
      </c>
      <c r="AR54" s="32">
        <f>AN54/($AL$47-Table21124[[#This Row],[Missed Games]])</f>
        <v>0</v>
      </c>
      <c r="AS54" s="32">
        <f>AO54/($AL$47-Table21124[[#This Row],[Missed Games]])</f>
        <v>0</v>
      </c>
      <c r="AT54" s="32">
        <f>COUNTIF('3107'!V8, "TRUE")+COUNTIF('0108'!V8, "TRUE")</f>
        <v>0</v>
      </c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0.76923076923076927</v>
      </c>
      <c r="V55" s="39">
        <f>'Statistics LG'!O42</f>
        <v>0.61363636363636365</v>
      </c>
      <c r="W55" s="39">
        <f>AVERAGE(U55:V55)</f>
        <v>0.69143356643356646</v>
      </c>
      <c r="Z55" s="36" t="s">
        <v>93</v>
      </c>
      <c r="AA55" s="32">
        <f>'2407'!R9+'2607'!R9+'2707'!R9</f>
        <v>4</v>
      </c>
      <c r="AB55" s="32">
        <f>'2407'!S9+'2607'!S9+'2707'!S9</f>
        <v>3</v>
      </c>
      <c r="AC55" s="32">
        <f>'2407'!T9+'2607'!T9+'2707'!T9</f>
        <v>1</v>
      </c>
      <c r="AD55" s="32">
        <f>'2407'!U9+'2607'!U9+'2707'!U9</f>
        <v>0</v>
      </c>
      <c r="AE55" s="154">
        <f>Table21123[[#This Row],[Points]]/($AA$47-Table21123[[#This Row],[Missed Games]])</f>
        <v>1.3333333333333333</v>
      </c>
      <c r="AF55" s="154">
        <f>Table21123[[#This Row],[Finishes]]/($AA$47-Table21123[[#This Row],[Missed Games]])</f>
        <v>1</v>
      </c>
      <c r="AG55" s="154">
        <f>Table21123[[#This Row],[Midranges]]/($AA$47-Table21123[[#This Row],[Missed Games]])</f>
        <v>0.33333333333333331</v>
      </c>
      <c r="AH55" s="154">
        <f>Table21123[[#This Row],[Threes]]/($AA$47-Table21123[[#This Row],[Missed Games]])</f>
        <v>0</v>
      </c>
      <c r="AI55" s="32">
        <f>COUNTIF('2407'!V9, "TRUE")+COUNTIF('2607'!V9, "TRUE")+COUNTIF('2707'!V9, "TRUE")</f>
        <v>0</v>
      </c>
      <c r="AJ55" s="36"/>
      <c r="AK55" s="36" t="s">
        <v>93</v>
      </c>
      <c r="AL55" s="32">
        <f>'3107'!R9+'0108'!R9</f>
        <v>0</v>
      </c>
      <c r="AM55" s="32">
        <f>'3107'!S9+'0108'!S9</f>
        <v>0</v>
      </c>
      <c r="AN55" s="32">
        <f>'3107'!T9+'0108'!T9</f>
        <v>0</v>
      </c>
      <c r="AO55" s="32">
        <f>'3107'!U9+'0108'!U9</f>
        <v>0</v>
      </c>
      <c r="AP55" s="32">
        <f>AL55/($AL$47-Table21124[[#This Row],[Missed Games]])</f>
        <v>0</v>
      </c>
      <c r="AQ55" s="32">
        <f>AM55/($AL$47-Table21124[[#This Row],[Missed Games]])</f>
        <v>0</v>
      </c>
      <c r="AR55" s="32">
        <f>AN55/($AL$47-Table21124[[#This Row],[Missed Games]])</f>
        <v>0</v>
      </c>
      <c r="AS55" s="32">
        <f>AO55/($AL$47-Table21124[[#This Row],[Missed Games]])</f>
        <v>0</v>
      </c>
      <c r="AT55" s="32">
        <f>COUNTIF('3107'!V9, "TRUE")+COUNTIF('0108'!V9, "TRUE")</f>
        <v>0</v>
      </c>
    </row>
    <row r="56" spans="19:46" ht="14.25" customHeight="1" x14ac:dyDescent="0.45">
      <c r="S56" s="14" t="s">
        <v>133</v>
      </c>
      <c r="T56" s="39">
        <f>1-'Statistics LG'!L42</f>
        <v>0.23076923076923073</v>
      </c>
      <c r="U56" s="42" t="s">
        <v>131</v>
      </c>
      <c r="V56" s="39">
        <f>'Statistics WW'!L42</f>
        <v>0.39285714285714285</v>
      </c>
      <c r="W56" s="39">
        <f>AVERAGE(T56:V56)</f>
        <v>0.31181318681318682</v>
      </c>
      <c r="Z56" s="49" t="s">
        <v>63</v>
      </c>
      <c r="AA56" s="32">
        <f>'2407'!R10+'2607'!R10+'2707'!R10</f>
        <v>0</v>
      </c>
      <c r="AB56" s="32">
        <f>'2407'!S10+'2607'!S10+'2707'!S10</f>
        <v>0</v>
      </c>
      <c r="AC56" s="32">
        <f>'2407'!T10+'2607'!T10+'2707'!T10</f>
        <v>0</v>
      </c>
      <c r="AD56" s="32">
        <f>'2407'!U10+'2607'!U10+'2707'!U10</f>
        <v>0</v>
      </c>
      <c r="AE56" s="154">
        <f>Table21123[[#This Row],[Points]]/($AA$47-Table21123[[#This Row],[Missed Games]])</f>
        <v>0</v>
      </c>
      <c r="AF56" s="154">
        <f>Table21123[[#This Row],[Finishes]]/($AA$47-Table21123[[#This Row],[Missed Games]])</f>
        <v>0</v>
      </c>
      <c r="AG56" s="154">
        <f>Table21123[[#This Row],[Midranges]]/($AA$47-Table21123[[#This Row],[Missed Games]])</f>
        <v>0</v>
      </c>
      <c r="AH56" s="154">
        <f>Table21123[[#This Row],[Threes]]/($AA$47-Table21123[[#This Row],[Missed Games]])</f>
        <v>0</v>
      </c>
      <c r="AI56" s="32">
        <f>COUNTIF('2407'!V10, "TRUE")+COUNTIF('2607'!V10, "TRUE")+COUNTIF('2707'!V10, "TRUE")</f>
        <v>2</v>
      </c>
      <c r="AJ56" s="36"/>
      <c r="AK56" s="49" t="s">
        <v>63</v>
      </c>
      <c r="AL56" s="32">
        <f>'3107'!R10+'0108'!R10</f>
        <v>2</v>
      </c>
      <c r="AM56" s="32">
        <f>'3107'!S10+'0108'!S10</f>
        <v>0</v>
      </c>
      <c r="AN56" s="32">
        <f>'3107'!T10+'0108'!T10</f>
        <v>0</v>
      </c>
      <c r="AO56" s="32">
        <f>'3107'!U10+'0108'!U10</f>
        <v>1</v>
      </c>
      <c r="AP56" s="32">
        <f>AL56/($AL$47-Table21124[[#This Row],[Missed Games]])</f>
        <v>2</v>
      </c>
      <c r="AQ56" s="32">
        <f>AM56/($AL$47-Table21124[[#This Row],[Missed Games]])</f>
        <v>0</v>
      </c>
      <c r="AR56" s="32">
        <f>AN56/($AL$47-Table21124[[#This Row],[Missed Games]])</f>
        <v>0</v>
      </c>
      <c r="AS56" s="32">
        <f>AO56/($AL$47-Table21124[[#This Row],[Missed Games]])</f>
        <v>1</v>
      </c>
      <c r="AT56" s="32">
        <f>COUNTIF('3107'!V10, "TRUE")+COUNTIF('0108'!V10, "TRUE")</f>
        <v>0</v>
      </c>
    </row>
    <row r="57" spans="19:46" ht="14.25" customHeight="1" x14ac:dyDescent="0.45">
      <c r="S57" s="14" t="s">
        <v>134</v>
      </c>
      <c r="T57" s="39">
        <f>1-V55</f>
        <v>0.38636363636363635</v>
      </c>
      <c r="U57" s="39">
        <f>1-V56</f>
        <v>0.60714285714285721</v>
      </c>
      <c r="V57" s="42" t="s">
        <v>131</v>
      </c>
      <c r="W57" s="39">
        <f>AVERAGE(T57:V57)</f>
        <v>0.49675324675324678</v>
      </c>
      <c r="Z57" s="49" t="s">
        <v>66</v>
      </c>
      <c r="AA57" s="32">
        <f>'2407'!R11+'2607'!R11+'2707'!R11</f>
        <v>2</v>
      </c>
      <c r="AB57" s="32">
        <f>'2407'!S11+'2607'!S11+'2707'!S11</f>
        <v>0</v>
      </c>
      <c r="AC57" s="32">
        <f>'2407'!T11+'2607'!T11+'2707'!T11</f>
        <v>2</v>
      </c>
      <c r="AD57" s="32">
        <f>'2407'!U11+'2607'!U11+'2707'!U11</f>
        <v>0</v>
      </c>
      <c r="AE57" s="154">
        <f>Table21123[[#This Row],[Points]]/($AA$47-Table21123[[#This Row],[Missed Games]])</f>
        <v>0.66666666666666663</v>
      </c>
      <c r="AF57" s="154">
        <f>Table21123[[#This Row],[Finishes]]/($AA$47-Table21123[[#This Row],[Missed Games]])</f>
        <v>0</v>
      </c>
      <c r="AG57" s="154">
        <f>Table21123[[#This Row],[Midranges]]/($AA$47-Table21123[[#This Row],[Missed Games]])</f>
        <v>0.66666666666666663</v>
      </c>
      <c r="AH57" s="154">
        <f>Table21123[[#This Row],[Threes]]/($AA$47-Table21123[[#This Row],[Missed Games]])</f>
        <v>0</v>
      </c>
      <c r="AI57" s="32">
        <f>COUNTIF('2407'!V11, "TRUE")+COUNTIF('2607'!V11, "TRUE")+COUNTIF('2707'!V11, "TRUE")</f>
        <v>0</v>
      </c>
      <c r="AJ57" s="36"/>
      <c r="AK57" s="49" t="s">
        <v>66</v>
      </c>
      <c r="AL57" s="32">
        <f>'3107'!R11+'0108'!R11</f>
        <v>4</v>
      </c>
      <c r="AM57" s="32">
        <f>'3107'!S11+'0108'!S11</f>
        <v>3</v>
      </c>
      <c r="AN57" s="32">
        <f>'3107'!T11+'0108'!T11</f>
        <v>1</v>
      </c>
      <c r="AO57" s="32">
        <f>'3107'!U11+'0108'!U11</f>
        <v>0</v>
      </c>
      <c r="AP57" s="32" t="e">
        <f>AL57/($AL$47-Table21124[[#This Row],[Missed Games]])</f>
        <v>#DIV/0!</v>
      </c>
      <c r="AQ57" s="32" t="e">
        <f>AM57/($AL$47-Table21124[[#This Row],[Missed Games]])</f>
        <v>#DIV/0!</v>
      </c>
      <c r="AR57" s="32" t="e">
        <f>AN57/($AL$47-Table21124[[#This Row],[Missed Games]])</f>
        <v>#DIV/0!</v>
      </c>
      <c r="AS57" s="32" t="e">
        <f>AO57/($AL$47-Table21124[[#This Row],[Missed Games]])</f>
        <v>#DIV/0!</v>
      </c>
      <c r="AT57" s="32">
        <f>COUNTIF('3107'!V11, "TRUE")+COUNTIF('0108'!V11, "TRUE")</f>
        <v>1</v>
      </c>
    </row>
    <row r="58" spans="19:46" ht="14.25" customHeight="1" x14ac:dyDescent="0.45">
      <c r="V58" s="43"/>
      <c r="W58" s="123"/>
      <c r="Z58" s="49" t="s">
        <v>68</v>
      </c>
      <c r="AA58" s="32">
        <f>'2407'!R12+'2607'!R12+'2707'!R12</f>
        <v>8</v>
      </c>
      <c r="AB58" s="32">
        <f>'2407'!S12+'2607'!S12+'2707'!S12</f>
        <v>2</v>
      </c>
      <c r="AC58" s="32">
        <f>'2407'!T12+'2607'!T12+'2707'!T12</f>
        <v>6</v>
      </c>
      <c r="AD58" s="32">
        <f>'2407'!U12+'2607'!U12+'2707'!U12</f>
        <v>0</v>
      </c>
      <c r="AE58" s="154">
        <f>Table21123[[#This Row],[Points]]/($AA$47-Table21123[[#This Row],[Missed Games]])</f>
        <v>2.6666666666666665</v>
      </c>
      <c r="AF58" s="154">
        <f>Table21123[[#This Row],[Finishes]]/($AA$47-Table21123[[#This Row],[Missed Games]])</f>
        <v>0.66666666666666663</v>
      </c>
      <c r="AG58" s="154">
        <f>Table21123[[#This Row],[Midranges]]/($AA$47-Table21123[[#This Row],[Missed Games]])</f>
        <v>2</v>
      </c>
      <c r="AH58" s="154">
        <f>Table21123[[#This Row],[Threes]]/($AA$47-Table21123[[#This Row],[Missed Games]])</f>
        <v>0</v>
      </c>
      <c r="AI58" s="32">
        <f>COUNTIF('2407'!V12, "TRUE")+COUNTIF('2607'!V12, "TRUE")+COUNTIF('2707'!V12, "TRUE")</f>
        <v>0</v>
      </c>
      <c r="AJ58" s="36"/>
      <c r="AK58" s="49" t="s">
        <v>68</v>
      </c>
      <c r="AL58" s="32">
        <f>'3107'!R12+'0108'!R12</f>
        <v>2</v>
      </c>
      <c r="AM58" s="32">
        <f>'3107'!S12+'0108'!S12</f>
        <v>0</v>
      </c>
      <c r="AN58" s="32">
        <f>'3107'!T12+'0108'!T12</f>
        <v>2</v>
      </c>
      <c r="AO58" s="32">
        <f>'3107'!U12+'0108'!U12</f>
        <v>0</v>
      </c>
      <c r="AP58" s="32">
        <f>AL58/($AL$47-Table21124[[#This Row],[Missed Games]])</f>
        <v>2</v>
      </c>
      <c r="AQ58" s="32">
        <f>AM58/($AL$47-Table21124[[#This Row],[Missed Games]])</f>
        <v>0</v>
      </c>
      <c r="AR58" s="32">
        <f>AN58/($AL$47-Table21124[[#This Row],[Missed Games]])</f>
        <v>2</v>
      </c>
      <c r="AS58" s="32">
        <f>AO58/($AL$47-Table21124[[#This Row],[Missed Games]])</f>
        <v>0</v>
      </c>
      <c r="AT58" s="32">
        <f>COUNTIF('3107'!V12, "TRUE")+COUNTIF('0108'!V12, "TRUE")</f>
        <v>0</v>
      </c>
    </row>
    <row r="59" spans="19:46" ht="14.25" customHeight="1" x14ac:dyDescent="0.45">
      <c r="Z59" s="49" t="s">
        <v>69</v>
      </c>
      <c r="AA59" s="32">
        <f>'2407'!R13+'2607'!R13+'2707'!R13</f>
        <v>2</v>
      </c>
      <c r="AB59" s="32">
        <f>'2407'!S13+'2607'!S13+'2707'!S13</f>
        <v>0</v>
      </c>
      <c r="AC59" s="32">
        <f>'2407'!T13+'2607'!T13+'2707'!T13</f>
        <v>2</v>
      </c>
      <c r="AD59" s="32">
        <f>'2407'!U13+'2607'!U13+'2707'!U13</f>
        <v>0</v>
      </c>
      <c r="AE59" s="154">
        <f>Table21123[[#This Row],[Points]]/($AA$47-Table21123[[#This Row],[Missed Games]])</f>
        <v>0.66666666666666663</v>
      </c>
      <c r="AF59" s="154">
        <f>Table21123[[#This Row],[Finishes]]/($AA$47-Table21123[[#This Row],[Missed Games]])</f>
        <v>0</v>
      </c>
      <c r="AG59" s="154">
        <f>Table21123[[#This Row],[Midranges]]/($AA$47-Table21123[[#This Row],[Missed Games]])</f>
        <v>0.66666666666666663</v>
      </c>
      <c r="AH59" s="154">
        <f>Table21123[[#This Row],[Threes]]/($AA$47-Table21123[[#This Row],[Missed Games]])</f>
        <v>0</v>
      </c>
      <c r="AI59" s="32">
        <f>COUNTIF('2407'!V13, "TRUE")+COUNTIF('2607'!V13, "TRUE")+COUNTIF('2707'!V13, "TRUE")</f>
        <v>0</v>
      </c>
      <c r="AJ59" s="36"/>
      <c r="AK59" s="49" t="s">
        <v>69</v>
      </c>
      <c r="AL59" s="32">
        <f>'3107'!R13+'0108'!R13</f>
        <v>0</v>
      </c>
      <c r="AM59" s="32">
        <f>'3107'!S13+'0108'!S13</f>
        <v>0</v>
      </c>
      <c r="AN59" s="32">
        <f>'3107'!T13+'0108'!T13</f>
        <v>0</v>
      </c>
      <c r="AO59" s="32">
        <f>'3107'!U13+'0108'!U13</f>
        <v>0</v>
      </c>
      <c r="AP59" s="32">
        <f>AL59/($AL$47-Table21124[[#This Row],[Missed Games]])</f>
        <v>0</v>
      </c>
      <c r="AQ59" s="32">
        <f>AM59/($AL$47-Table21124[[#This Row],[Missed Games]])</f>
        <v>0</v>
      </c>
      <c r="AR59" s="32">
        <f>AN59/($AL$47-Table21124[[#This Row],[Missed Games]])</f>
        <v>0</v>
      </c>
      <c r="AS59" s="32">
        <f>AO59/($AL$47-Table21124[[#This Row],[Missed Games]])</f>
        <v>0</v>
      </c>
      <c r="AT59" s="32">
        <f>COUNTIF('3107'!V13, "TRUE")+COUNTIF('0108'!V13, "TRUE")</f>
        <v>0</v>
      </c>
    </row>
    <row r="60" spans="19:46" ht="14.25" customHeight="1" x14ac:dyDescent="0.45">
      <c r="Z60" s="36" t="s">
        <v>201</v>
      </c>
      <c r="AA60" s="32">
        <f>'2407'!R14+'2607'!R14+'2707'!R14</f>
        <v>0</v>
      </c>
      <c r="AB60" s="32">
        <f>'2407'!S14+'2607'!S14+'2707'!S14</f>
        <v>0</v>
      </c>
      <c r="AC60" s="32">
        <f>'2407'!T14+'2607'!T14+'2707'!T14</f>
        <v>0</v>
      </c>
      <c r="AD60" s="32">
        <f>'2407'!U14+'2607'!U14+'2707'!U14</f>
        <v>0</v>
      </c>
      <c r="AE60" s="154">
        <f>Table21123[[#This Row],[Points]]/($AA$47-Table21123[[#This Row],[Missed Games]])</f>
        <v>0</v>
      </c>
      <c r="AF60" s="154">
        <f>Table21123[[#This Row],[Finishes]]/($AA$47-Table21123[[#This Row],[Missed Games]])</f>
        <v>0</v>
      </c>
      <c r="AG60" s="154">
        <f>Table21123[[#This Row],[Midranges]]/($AA$47-Table21123[[#This Row],[Missed Games]])</f>
        <v>0</v>
      </c>
      <c r="AH60" s="154">
        <f>Table21123[[#This Row],[Threes]]/($AA$47-Table21123[[#This Row],[Missed Games]])</f>
        <v>0</v>
      </c>
      <c r="AI60" s="32">
        <f>COUNTIF('2407'!V14, "TRUE")+COUNTIF('2607'!V14, "TRUE")+COUNTIF('2707'!V14, "TRUE")</f>
        <v>2</v>
      </c>
      <c r="AJ60" s="36"/>
      <c r="AK60" s="36" t="s">
        <v>201</v>
      </c>
      <c r="AL60" s="32">
        <f>'3107'!R14+'0108'!R14</f>
        <v>0</v>
      </c>
      <c r="AM60" s="32">
        <f>'3107'!S14+'0108'!S14</f>
        <v>0</v>
      </c>
      <c r="AN60" s="32">
        <f>'3107'!T14+'0108'!T14</f>
        <v>0</v>
      </c>
      <c r="AO60" s="32">
        <f>'3107'!U14+'0108'!U14</f>
        <v>0</v>
      </c>
      <c r="AP60" s="32" t="e">
        <f>AL60/($AL$47-Table21124[[#This Row],[Missed Games]])</f>
        <v>#DIV/0!</v>
      </c>
      <c r="AQ60" s="32" t="e">
        <f>AM60/($AL$47-Table21124[[#This Row],[Missed Games]])</f>
        <v>#DIV/0!</v>
      </c>
      <c r="AR60" s="32" t="e">
        <f>AN60/($AL$47-Table21124[[#This Row],[Missed Games]])</f>
        <v>#DIV/0!</v>
      </c>
      <c r="AS60" s="32" t="e">
        <f>AO60/($AL$47-Table21124[[#This Row],[Missed Games]])</f>
        <v>#DIV/0!</v>
      </c>
      <c r="AT60" s="32">
        <f>COUNTIF('3107'!V14, "TRUE")+COUNTIF('0108'!V14, "TRUE")</f>
        <v>1</v>
      </c>
    </row>
    <row r="61" spans="19:46" ht="14.25" customHeight="1" x14ac:dyDescent="0.45">
      <c r="Z61" s="36" t="s">
        <v>128</v>
      </c>
      <c r="AA61" s="32">
        <f>'2407'!R15+'2607'!R15+'2707'!R15</f>
        <v>2</v>
      </c>
      <c r="AB61" s="32">
        <f>'2407'!S15+'2607'!S15+'2707'!S15</f>
        <v>1</v>
      </c>
      <c r="AC61" s="32">
        <f>'2407'!T15+'2607'!T15+'2707'!T15</f>
        <v>1</v>
      </c>
      <c r="AD61" s="32">
        <f>'2407'!U15+'2607'!U15+'2707'!U15</f>
        <v>0</v>
      </c>
      <c r="AE61" s="154">
        <f>Table21123[[#This Row],[Points]]/($AA$47-Table21123[[#This Row],[Missed Games]])</f>
        <v>0.66666666666666663</v>
      </c>
      <c r="AF61" s="154">
        <f>Table21123[[#This Row],[Finishes]]/($AA$47-Table21123[[#This Row],[Missed Games]])</f>
        <v>0.33333333333333331</v>
      </c>
      <c r="AG61" s="154">
        <f>Table21123[[#This Row],[Midranges]]/($AA$47-Table21123[[#This Row],[Missed Games]])</f>
        <v>0.33333333333333331</v>
      </c>
      <c r="AH61" s="154">
        <f>Table21123[[#This Row],[Threes]]/($AA$47-Table21123[[#This Row],[Missed Games]])</f>
        <v>0</v>
      </c>
      <c r="AI61" s="32">
        <f>COUNTIF('2407'!V15, "TRUE")+COUNTIF('2607'!V15, "TRUE")+COUNTIF('2707'!V15, "TRUE")</f>
        <v>0</v>
      </c>
      <c r="AJ61" s="36"/>
      <c r="AK61" s="36" t="s">
        <v>128</v>
      </c>
      <c r="AL61" s="32">
        <f>'3107'!R15+'0108'!R15</f>
        <v>1</v>
      </c>
      <c r="AM61" s="32">
        <f>'3107'!S15+'0108'!S15</f>
        <v>1</v>
      </c>
      <c r="AN61" s="32">
        <f>'3107'!T15+'0108'!T15</f>
        <v>0</v>
      </c>
      <c r="AO61" s="32">
        <f>'3107'!U15+'0108'!U15</f>
        <v>0</v>
      </c>
      <c r="AP61" s="32">
        <f>AL61/($AL$47-Table21124[[#This Row],[Missed Games]])</f>
        <v>1</v>
      </c>
      <c r="AQ61" s="32">
        <f>AM61/($AL$47-Table21124[[#This Row],[Missed Games]])</f>
        <v>1</v>
      </c>
      <c r="AR61" s="32">
        <f>AN61/($AL$47-Table21124[[#This Row],[Missed Games]])</f>
        <v>0</v>
      </c>
      <c r="AS61" s="32">
        <f>AO61/($AL$47-Table21124[[#This Row],[Missed Games]])</f>
        <v>0</v>
      </c>
      <c r="AT61" s="32">
        <f>COUNTIF('3107'!V15, "TRUE")+COUNTIF('0108'!V15, "TRUE")</f>
        <v>0</v>
      </c>
    </row>
    <row r="62" spans="19:46" ht="14.25" customHeight="1" x14ac:dyDescent="0.45">
      <c r="Z62" s="36" t="s">
        <v>127</v>
      </c>
      <c r="AA62" s="32">
        <f>'2407'!R16+'2607'!R16+'2707'!R16</f>
        <v>1</v>
      </c>
      <c r="AB62" s="32">
        <f>'2407'!S16+'2607'!S16+'2707'!S16</f>
        <v>1</v>
      </c>
      <c r="AC62" s="32">
        <f>'2407'!T16+'2607'!T16+'2707'!T16</f>
        <v>0</v>
      </c>
      <c r="AD62" s="32">
        <f>'2407'!U16+'2607'!U16+'2707'!U16</f>
        <v>0</v>
      </c>
      <c r="AE62" s="154">
        <f>Table21123[[#This Row],[Points]]/($AA$47-Table21123[[#This Row],[Missed Games]])</f>
        <v>0.33333333333333331</v>
      </c>
      <c r="AF62" s="154">
        <f>Table21123[[#This Row],[Finishes]]/($AA$47-Table21123[[#This Row],[Missed Games]])</f>
        <v>0.33333333333333331</v>
      </c>
      <c r="AG62" s="154">
        <f>Table21123[[#This Row],[Midranges]]/($AA$47-Table21123[[#This Row],[Missed Games]])</f>
        <v>0</v>
      </c>
      <c r="AH62" s="154">
        <f>Table21123[[#This Row],[Threes]]/($AA$47-Table21123[[#This Row],[Missed Games]])</f>
        <v>0</v>
      </c>
      <c r="AI62" s="32">
        <f>COUNTIF('2407'!V16, "TRUE")+COUNTIF('2607'!V16, "TRUE")+COUNTIF('2707'!V16, "TRUE")</f>
        <v>0</v>
      </c>
      <c r="AJ62" s="36"/>
      <c r="AK62" s="36" t="s">
        <v>127</v>
      </c>
      <c r="AL62" s="32">
        <f>'3107'!R16+'0108'!R16</f>
        <v>1</v>
      </c>
      <c r="AM62" s="32">
        <f>'3107'!S16+'0108'!S16</f>
        <v>1</v>
      </c>
      <c r="AN62" s="32">
        <f>'3107'!T16+'0108'!T16</f>
        <v>0</v>
      </c>
      <c r="AO62" s="32">
        <f>'3107'!U16+'0108'!U16</f>
        <v>0</v>
      </c>
      <c r="AP62" s="32">
        <f>AL62/($AL$47-Table21124[[#This Row],[Missed Games]])</f>
        <v>1</v>
      </c>
      <c r="AQ62" s="32">
        <f>AM62/($AL$47-Table21124[[#This Row],[Missed Games]])</f>
        <v>1</v>
      </c>
      <c r="AR62" s="32">
        <f>AN62/($AL$47-Table21124[[#This Row],[Missed Games]])</f>
        <v>0</v>
      </c>
      <c r="AS62" s="32">
        <f>AO62/($AL$47-Table21124[[#This Row],[Missed Games]])</f>
        <v>0</v>
      </c>
      <c r="AT62" s="32">
        <f>COUNTIF('3107'!V16, "TRUE")+COUNTIF('0108'!V16, "TRUE")</f>
        <v>0</v>
      </c>
    </row>
    <row r="63" spans="19:46" ht="14.25" customHeight="1" x14ac:dyDescent="0.45">
      <c r="Z63" s="36" t="s">
        <v>73</v>
      </c>
      <c r="AA63" s="32">
        <f>'2407'!R17+'2607'!R17+'2707'!R17</f>
        <v>5</v>
      </c>
      <c r="AB63" s="32">
        <f>'2407'!S17+'2607'!S17+'2707'!S17</f>
        <v>3</v>
      </c>
      <c r="AC63" s="32">
        <f>'2407'!T17+'2607'!T17+'2707'!T17</f>
        <v>2</v>
      </c>
      <c r="AD63" s="32">
        <f>'2407'!U17+'2607'!U17+'2707'!U17</f>
        <v>0</v>
      </c>
      <c r="AE63" s="154">
        <f>Table21123[[#This Row],[Points]]/($AA$47-Table21123[[#This Row],[Missed Games]])</f>
        <v>1.6666666666666667</v>
      </c>
      <c r="AF63" s="154">
        <f>Table21123[[#This Row],[Finishes]]/($AA$47-Table21123[[#This Row],[Missed Games]])</f>
        <v>1</v>
      </c>
      <c r="AG63" s="154">
        <f>Table21123[[#This Row],[Midranges]]/($AA$47-Table21123[[#This Row],[Missed Games]])</f>
        <v>0.66666666666666663</v>
      </c>
      <c r="AH63" s="154">
        <f>Table21123[[#This Row],[Threes]]/($AA$47-Table21123[[#This Row],[Missed Games]])</f>
        <v>0</v>
      </c>
      <c r="AI63" s="32">
        <f>COUNTIF('2407'!V17, "TRUE")+COUNTIF('2607'!V17, "TRUE")+COUNTIF('2707'!V17, "TRUE")</f>
        <v>0</v>
      </c>
      <c r="AJ63" s="36"/>
      <c r="AK63" s="36" t="s">
        <v>73</v>
      </c>
      <c r="AL63" s="32">
        <f>'3107'!R17+'0108'!R17</f>
        <v>4</v>
      </c>
      <c r="AM63" s="32">
        <f>'3107'!S17+'0108'!S17</f>
        <v>1</v>
      </c>
      <c r="AN63" s="32">
        <f>'3107'!T17+'0108'!T17</f>
        <v>1</v>
      </c>
      <c r="AO63" s="32">
        <f>'3107'!U17+'0108'!U17</f>
        <v>1</v>
      </c>
      <c r="AP63" s="32">
        <f>AL63/($AL$47-Table21124[[#This Row],[Missed Games]])</f>
        <v>4</v>
      </c>
      <c r="AQ63" s="32">
        <f>AM63/($AL$47-Table21124[[#This Row],[Missed Games]])</f>
        <v>1</v>
      </c>
      <c r="AR63" s="32">
        <f>AN63/($AL$47-Table21124[[#This Row],[Missed Games]])</f>
        <v>1</v>
      </c>
      <c r="AS63" s="32">
        <f>AO63/($AL$47-Table21124[[#This Row],[Missed Games]])</f>
        <v>1</v>
      </c>
      <c r="AT63" s="32">
        <f>COUNTIF('3107'!V17, "TRUE")+COUNTIF('0108'!V17, "TRUE")</f>
        <v>0</v>
      </c>
    </row>
    <row r="64" spans="19:46" ht="14.25" customHeight="1" x14ac:dyDescent="0.45">
      <c r="Z64" s="36" t="s">
        <v>74</v>
      </c>
      <c r="AA64" s="32">
        <f>'2407'!R18+'2607'!R18+'2707'!R18</f>
        <v>1</v>
      </c>
      <c r="AB64" s="32">
        <f>'2407'!S18+'2607'!S18+'2707'!S18</f>
        <v>0</v>
      </c>
      <c r="AC64" s="32">
        <f>'2407'!T18+'2607'!T18+'2707'!T18</f>
        <v>1</v>
      </c>
      <c r="AD64" s="32">
        <f>'2407'!U18+'2607'!U18+'2707'!U18</f>
        <v>0</v>
      </c>
      <c r="AE64" s="154">
        <f>Table21123[[#This Row],[Points]]/($AA$47-Table21123[[#This Row],[Missed Games]])</f>
        <v>0.33333333333333331</v>
      </c>
      <c r="AF64" s="154">
        <f>Table21123[[#This Row],[Finishes]]/($AA$47-Table21123[[#This Row],[Missed Games]])</f>
        <v>0</v>
      </c>
      <c r="AG64" s="154">
        <f>Table21123[[#This Row],[Midranges]]/($AA$47-Table21123[[#This Row],[Missed Games]])</f>
        <v>0.33333333333333331</v>
      </c>
      <c r="AH64" s="154">
        <f>Table21123[[#This Row],[Threes]]/($AA$47-Table21123[[#This Row],[Missed Games]])</f>
        <v>0</v>
      </c>
      <c r="AI64" s="32">
        <f>COUNTIF('2407'!V18, "TRUE")+COUNTIF('2607'!V18, "TRUE")+COUNTIF('2707'!V18, "TRUE")</f>
        <v>0</v>
      </c>
      <c r="AJ64" s="36"/>
      <c r="AK64" s="36" t="s">
        <v>74</v>
      </c>
      <c r="AL64" s="32">
        <f>'3107'!R18+'0108'!R18</f>
        <v>0</v>
      </c>
      <c r="AM64" s="32">
        <f>'3107'!S18+'0108'!S18</f>
        <v>0</v>
      </c>
      <c r="AN64" s="32">
        <f>'3107'!T18+'0108'!T18</f>
        <v>0</v>
      </c>
      <c r="AO64" s="32">
        <f>'3107'!U18+'0108'!U18</f>
        <v>0</v>
      </c>
      <c r="AP64" s="32">
        <f>AL64/($AL$47-Table21124[[#This Row],[Missed Games]])</f>
        <v>0</v>
      </c>
      <c r="AQ64" s="32">
        <f>AM64/($AL$47-Table21124[[#This Row],[Missed Games]])</f>
        <v>0</v>
      </c>
      <c r="AR64" s="32">
        <f>AN64/($AL$47-Table21124[[#This Row],[Missed Games]])</f>
        <v>0</v>
      </c>
      <c r="AS64" s="32">
        <f>AO64/($AL$47-Table21124[[#This Row],[Missed Games]])</f>
        <v>0</v>
      </c>
      <c r="AT64" s="32">
        <f>COUNTIF('3107'!V18, "TRUE")+COUNTIF('0108'!V18, "TRUE")</f>
        <v>0</v>
      </c>
    </row>
    <row r="65" spans="18:46" ht="14.25" customHeight="1" x14ac:dyDescent="0.45">
      <c r="Z65" s="49" t="s">
        <v>75</v>
      </c>
      <c r="AA65" s="32">
        <f>'2407'!R19+'2607'!R19+'2707'!R19</f>
        <v>0</v>
      </c>
      <c r="AB65" s="32">
        <f>'2407'!S19+'2607'!S19+'2707'!S19</f>
        <v>0</v>
      </c>
      <c r="AC65" s="32">
        <f>'2407'!T19+'2607'!T19+'2707'!T19</f>
        <v>0</v>
      </c>
      <c r="AD65" s="32">
        <f>'2407'!U19+'2607'!U19+'2707'!U19</f>
        <v>0</v>
      </c>
      <c r="AE65" s="154">
        <f>Table21123[[#This Row],[Points]]/($AA$47-Table21123[[#This Row],[Missed Games]])</f>
        <v>0</v>
      </c>
      <c r="AF65" s="154">
        <f>Table21123[[#This Row],[Finishes]]/($AA$47-Table21123[[#This Row],[Missed Games]])</f>
        <v>0</v>
      </c>
      <c r="AG65" s="154">
        <f>Table21123[[#This Row],[Midranges]]/($AA$47-Table21123[[#This Row],[Missed Games]])</f>
        <v>0</v>
      </c>
      <c r="AH65" s="154">
        <f>Table21123[[#This Row],[Threes]]/($AA$47-Table21123[[#This Row],[Missed Games]])</f>
        <v>0</v>
      </c>
      <c r="AI65" s="32">
        <f>COUNTIF('2407'!V19, "TRUE")+COUNTIF('2607'!V19, "TRUE")+COUNTIF('2707'!V19, "TRUE")</f>
        <v>1</v>
      </c>
      <c r="AJ65" s="36"/>
      <c r="AK65" s="49" t="s">
        <v>75</v>
      </c>
      <c r="AL65" s="32">
        <f>'3107'!R19+'0108'!R19</f>
        <v>0</v>
      </c>
      <c r="AM65" s="32">
        <f>'3107'!S19+'0108'!S19</f>
        <v>0</v>
      </c>
      <c r="AN65" s="32">
        <f>'3107'!T19+'0108'!T19</f>
        <v>0</v>
      </c>
      <c r="AO65" s="32">
        <f>'3107'!U19+'0108'!U19</f>
        <v>0</v>
      </c>
      <c r="AP65" s="32">
        <f>AL65/($AL$47-Table21124[[#This Row],[Missed Games]])</f>
        <v>0</v>
      </c>
      <c r="AQ65" s="32">
        <f>AM65/($AL$47-Table21124[[#This Row],[Missed Games]])</f>
        <v>0</v>
      </c>
      <c r="AR65" s="32">
        <f>AN65/($AL$47-Table21124[[#This Row],[Missed Games]])</f>
        <v>0</v>
      </c>
      <c r="AS65" s="32">
        <f>AO65/($AL$47-Table21124[[#This Row],[Missed Games]])</f>
        <v>0</v>
      </c>
      <c r="AT65" s="32">
        <f>COUNTIF('3107'!V19, "TRUE")+COUNTIF('0108'!V19, "TRUE")</f>
        <v>0</v>
      </c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13</v>
      </c>
      <c r="U82" s="17">
        <f>U81+'Statistics WW'!D11</f>
        <v>7</v>
      </c>
      <c r="V82" s="17">
        <f>V81+'Statistics 5M'!D11</f>
        <v>10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15</v>
      </c>
      <c r="U83" s="17">
        <f>U82+'Statistics WW'!D12</f>
        <v>8</v>
      </c>
      <c r="V83" s="17">
        <f>V82+'Statistics 5M'!D12</f>
        <v>13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17</v>
      </c>
      <c r="U84" s="17">
        <f>U83+'Statistics WW'!D13</f>
        <v>9</v>
      </c>
      <c r="V84" s="17">
        <f>V83+'Statistics 5M'!D13</f>
        <v>16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>
        <f>T84+'Statistics LG'!D14</f>
        <v>20</v>
      </c>
      <c r="U85" s="17">
        <f>U84+'Statistics WW'!D14</f>
        <v>11</v>
      </c>
      <c r="V85" s="17">
        <f>V84+'Statistics 5M'!D14</f>
        <v>17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 t="str">
        <f>'Statistics LG'!A12</f>
        <v>26-July</v>
      </c>
      <c r="T86" s="17" t="e">
        <f>T85+'Statistics LG'!D15</f>
        <v>#DIV/0!</v>
      </c>
      <c r="U86" s="17" t="e">
        <f>U85+'Statistics WW'!D15</f>
        <v>#DIV/0!</v>
      </c>
      <c r="V86" s="17" t="e">
        <f>V85+'Statistics 5M'!D15</f>
        <v>#DIV/0!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 t="str">
        <f>'Statistics LG'!A13</f>
        <v>27-July</v>
      </c>
      <c r="T87" s="17" t="e">
        <f>T86+'Statistics LG'!D16</f>
        <v>#DIV/0!</v>
      </c>
      <c r="U87" s="17" t="e">
        <f>U86+'Statistics WW'!D16</f>
        <v>#DIV/0!</v>
      </c>
      <c r="V87" s="17" t="e">
        <f>V86+'Statistics 5M'!D16</f>
        <v>#DIV/0!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 t="str">
        <f>'Statistics LG'!A14</f>
        <v>31-July</v>
      </c>
      <c r="T88" s="17" t="e">
        <f>T87+'Statistics LG'!D17</f>
        <v>#DIV/0!</v>
      </c>
      <c r="U88" s="17" t="e">
        <f>U87+'Statistics WW'!D17</f>
        <v>#DIV/0!</v>
      </c>
      <c r="V88" s="17" t="e">
        <f>V87+'Statistics 5M'!D17</f>
        <v>#DIV/0!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 t="str">
        <f>'Statistics LG'!A15</f>
        <v>1-August</v>
      </c>
      <c r="T89" s="17" t="e">
        <f>T88+'Statistics LG'!D18</f>
        <v>#DIV/0!</v>
      </c>
      <c r="U89" s="17" t="e">
        <f>U88+'Statistics WW'!D18</f>
        <v>#DIV/0!</v>
      </c>
      <c r="V89" s="17" t="e">
        <f>V88+'Statistics 5M'!D18</f>
        <v>#DIV/0!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 t="e">
        <f>T89+'Statistics LG'!D19</f>
        <v>#DIV/0!</v>
      </c>
      <c r="U90" s="17" t="e">
        <f>U89+'Statistics WW'!D19</f>
        <v>#DIV/0!</v>
      </c>
      <c r="V90" s="17" t="e">
        <f>V89+'Statistics 5M'!D19</f>
        <v>#DIV/0!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 t="e">
        <f>T90+'Statistics LG'!D20</f>
        <v>#DIV/0!</v>
      </c>
      <c r="U91" s="17" t="e">
        <f>U90+'Statistics WW'!D20</f>
        <v>#DIV/0!</v>
      </c>
      <c r="V91" s="17" t="e">
        <f>V90+'Statistics 5M'!D20</f>
        <v>#DIV/0!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 t="e">
        <f>T91+'Statistics LG'!D21</f>
        <v>#DIV/0!</v>
      </c>
      <c r="U92" s="17" t="e">
        <f>U91+'Statistics WW'!D21</f>
        <v>#DIV/0!</v>
      </c>
      <c r="V92" s="17" t="e">
        <f>V91+'Statistics 5M'!D21</f>
        <v>#DIV/0!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9" type="noConversion"/>
  <conditionalFormatting sqref="U109:U118 W103:W108">
    <cfRule type="cellIs" dxfId="158" priority="7" operator="greaterThan">
      <formula>0</formula>
    </cfRule>
  </conditionalFormatting>
  <conditionalFormatting sqref="U109:U118 W103:W108">
    <cfRule type="cellIs" dxfId="157" priority="6" operator="lessThan">
      <formula>0</formula>
    </cfRule>
  </conditionalFormatting>
  <conditionalFormatting sqref="AQ8:AQ24">
    <cfRule type="cellIs" dxfId="156" priority="1" operator="equal">
      <formula>$AA$4</formula>
    </cfRule>
    <cfRule type="cellIs" dxfId="155" priority="2" operator="lessThan">
      <formula>$AA$4</formula>
    </cfRule>
    <cfRule type="cellIs" dxfId="154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57</v>
      </c>
      <c r="I3" s="84">
        <f>SUM(C7:C40)</f>
        <v>26</v>
      </c>
      <c r="J3" s="81" t="e">
        <f>SUM(D7:D40)</f>
        <v>#DIV/0!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25</v>
      </c>
      <c r="T4" s="101">
        <f>'Stats Global'!AB22</f>
        <v>3.125</v>
      </c>
      <c r="U4" s="101">
        <f>'Stats Global'!AC22</f>
        <v>12</v>
      </c>
      <c r="V4" s="101">
        <f>'Stats Global'!AD22</f>
        <v>1.5</v>
      </c>
      <c r="W4" s="101">
        <f>'Stats Global'!AE22</f>
        <v>7</v>
      </c>
      <c r="X4" s="101">
        <f>'Stats Global'!AF22</f>
        <v>0.875</v>
      </c>
      <c r="Y4" s="101">
        <f>'Stats Global'!AG22</f>
        <v>3</v>
      </c>
      <c r="Z4" s="101">
        <f>'Stats Global'!AH22</f>
        <v>0.375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17</v>
      </c>
      <c r="T5" s="101">
        <f>'Stats Global'!AB16</f>
        <v>2.4285714285714284</v>
      </c>
      <c r="U5" s="101">
        <f>'Stats Global'!AC16</f>
        <v>7</v>
      </c>
      <c r="V5" s="101">
        <f>'Stats Global'!AD16</f>
        <v>1</v>
      </c>
      <c r="W5" s="101">
        <f>'Stats Global'!AE16</f>
        <v>6</v>
      </c>
      <c r="X5" s="101">
        <f>'Stats Global'!AF16</f>
        <v>0.8571428571428571</v>
      </c>
      <c r="Y5" s="101">
        <f>'Stats Global'!AG16</f>
        <v>2</v>
      </c>
      <c r="Z5" s="101">
        <f>'Stats Global'!AH16</f>
        <v>0.2857142857142857</v>
      </c>
      <c r="AA5" s="101">
        <f>'Stats Global'!AJ16</f>
        <v>1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10</v>
      </c>
      <c r="T6" s="101">
        <f>'Stats Global'!AB21</f>
        <v>1.25</v>
      </c>
      <c r="U6" s="101">
        <f>'Stats Global'!AC21</f>
        <v>6</v>
      </c>
      <c r="V6" s="101">
        <f>'Stats Global'!AD21</f>
        <v>0.75</v>
      </c>
      <c r="W6" s="101">
        <f>'Stats Global'!AE21</f>
        <v>2</v>
      </c>
      <c r="X6" s="101">
        <f>'Stats Global'!AF21</f>
        <v>0.25</v>
      </c>
      <c r="Y6" s="101">
        <f>'Stats Global'!AG21</f>
        <v>1</v>
      </c>
      <c r="Z6" s="101">
        <f>'Stats Global'!AH21</f>
        <v>0.125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3</v>
      </c>
      <c r="T7" s="101">
        <f>'Stats Global'!AB8</f>
        <v>0.375</v>
      </c>
      <c r="U7" s="101">
        <f>'Stats Global'!AC8</f>
        <v>0</v>
      </c>
      <c r="V7" s="101">
        <f>'Stats Global'!AD8</f>
        <v>0</v>
      </c>
      <c r="W7" s="101">
        <f>'Stats Global'!AE8</f>
        <v>3</v>
      </c>
      <c r="X7" s="101">
        <f>'Stats Global'!AF8</f>
        <v>0.375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8</v>
      </c>
      <c r="T8" s="101">
        <f>'Stats Global'!AB9</f>
        <v>1.1428571428571428</v>
      </c>
      <c r="U8" s="101">
        <f>'Stats Global'!AC9</f>
        <v>8</v>
      </c>
      <c r="V8" s="101">
        <f>'Stats Global'!AD9</f>
        <v>1.1428571428571428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1</v>
      </c>
      <c r="C11" s="86">
        <f>'Stats Global'!G12+'Stats Global'!H12</f>
        <v>5</v>
      </c>
      <c r="D11" s="86">
        <f>'Stats Global'!O12</f>
        <v>2</v>
      </c>
      <c r="E11" s="83" t="s">
        <v>46</v>
      </c>
      <c r="F11" s="83" t="s">
        <v>208</v>
      </c>
      <c r="I11" s="84"/>
      <c r="J11" s="87"/>
      <c r="L11" s="88">
        <f>'Stats Global'!J12</f>
        <v>1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5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 t="str">
        <f>'Stats Global'!B13</f>
        <v>26-July</v>
      </c>
      <c r="B12" s="86">
        <f>'Stats Global'!F13</f>
        <v>6</v>
      </c>
      <c r="C12" s="86">
        <f>'Stats Global'!G13+'Stats Global'!H13</f>
        <v>5</v>
      </c>
      <c r="D12" s="86">
        <f>'Stats Global'!O13</f>
        <v>2</v>
      </c>
      <c r="E12" s="83" t="s">
        <v>61</v>
      </c>
      <c r="F12" s="83" t="s">
        <v>243</v>
      </c>
      <c r="I12" s="84"/>
      <c r="J12" s="87"/>
      <c r="L12" s="88">
        <f>'Stats Global'!J13</f>
        <v>2</v>
      </c>
      <c r="M12" s="88">
        <f>'Stats Global'!G13</f>
        <v>2</v>
      </c>
      <c r="N12" s="89"/>
      <c r="O12" s="88">
        <f>'Stats Global'!M13</f>
        <v>4</v>
      </c>
      <c r="P12" s="88">
        <f>'Stats Global'!H13</f>
        <v>3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 t="str">
        <f>'Stats Global'!B14</f>
        <v>27-July</v>
      </c>
      <c r="B13" s="86">
        <f>'Stats Global'!F14</f>
        <v>3</v>
      </c>
      <c r="C13" s="86">
        <f>'Stats Global'!G14+'Stats Global'!H14</f>
        <v>5</v>
      </c>
      <c r="D13" s="86">
        <f>'Stats Global'!O14</f>
        <v>2</v>
      </c>
      <c r="E13" s="83" t="s">
        <v>253</v>
      </c>
      <c r="F13" s="83" t="s">
        <v>61</v>
      </c>
      <c r="J13" s="87"/>
      <c r="L13" s="88">
        <f>'Stats Global'!J14</f>
        <v>2</v>
      </c>
      <c r="M13" s="88">
        <f>'Stats Global'!G14</f>
        <v>1</v>
      </c>
      <c r="N13" s="89"/>
      <c r="O13" s="88">
        <f>'Stats Global'!M14</f>
        <v>1</v>
      </c>
      <c r="P13" s="88">
        <f>'Stats Global'!H14</f>
        <v>4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 t="str">
        <f>'Stats Global'!B15</f>
        <v>31-July</v>
      </c>
      <c r="B14" s="86">
        <f>'Stats Global'!F15</f>
        <v>9</v>
      </c>
      <c r="C14" s="86">
        <f>'Stats Global'!G15+'Stats Global'!H15</f>
        <v>3</v>
      </c>
      <c r="D14" s="86">
        <f>'Stats Global'!O15</f>
        <v>3</v>
      </c>
      <c r="E14" s="83" t="s">
        <v>61</v>
      </c>
      <c r="F14" s="83" t="s">
        <v>46</v>
      </c>
      <c r="J14" s="87"/>
      <c r="L14" s="88">
        <f>'Stats Global'!J15</f>
        <v>4</v>
      </c>
      <c r="M14" s="88">
        <f>'Stats Global'!G15</f>
        <v>2</v>
      </c>
      <c r="N14" s="89"/>
      <c r="O14" s="88">
        <f>'Stats Global'!M15</f>
        <v>5</v>
      </c>
      <c r="P14" s="88">
        <f>'Stats Global'!H15</f>
        <v>1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 t="str">
        <f>'Stats Global'!B16</f>
        <v>1-August</v>
      </c>
      <c r="B15" s="86">
        <f>'Stats Global'!F16</f>
        <v>0</v>
      </c>
      <c r="C15" s="86">
        <f>'Stats Global'!G16+'Stats Global'!H16</f>
        <v>0</v>
      </c>
      <c r="D15" s="86" t="e">
        <f>'Stats Global'!O16</f>
        <v>#DIV/0!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0.68674698795180722</v>
      </c>
      <c r="J41" s="87"/>
      <c r="K41" s="84" t="s">
        <v>94</v>
      </c>
      <c r="L41" s="105">
        <f>SUM(L7:L40)</f>
        <v>30</v>
      </c>
      <c r="M41" s="105">
        <f>SUM(M7:M40)</f>
        <v>9</v>
      </c>
      <c r="N41" s="87"/>
      <c r="O41" s="105">
        <f>SUM(O7:O40)</f>
        <v>27</v>
      </c>
      <c r="P41" s="105">
        <f>SUM(P7:P40)</f>
        <v>17</v>
      </c>
    </row>
    <row r="42" spans="1:16" ht="14.25" customHeight="1" x14ac:dyDescent="0.45">
      <c r="L42" s="96">
        <f>L41/(M41+L41)</f>
        <v>0.76923076923076927</v>
      </c>
      <c r="O42" s="96">
        <f>O41/(P41+O41)</f>
        <v>0.61363636363636365</v>
      </c>
    </row>
    <row r="43" spans="1:16" ht="14.25" customHeight="1" x14ac:dyDescent="0.45">
      <c r="I43" s="97" t="str">
        <f>K43&amp;H3&amp;","&amp;I3&amp;"],"</f>
        <v>"PartA":[57,26],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7.9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"PartB":[25,"Angus Walker",12,"Angus Walker",7,"Angus Walker",3,"Angus Walker"],</v>
      </c>
      <c r="K44" s="79" t="s">
        <v>136</v>
      </c>
      <c r="M44" s="99">
        <f>MAX(Table1114[Points])</f>
        <v>25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4.0999999999999996</v>
      </c>
    </row>
    <row r="45" spans="1:16" ht="14.25" customHeight="1" x14ac:dyDescent="0.45">
      <c r="I45" s="79" t="str">
        <f>K45&amp;O43&amp;","&amp;O44&amp;","&amp;O45&amp;","&amp;O46&amp;","&amp;O47&amp;","&amp;O48&amp;"],"</f>
        <v>"PartC":[7.9,4.1,2.3,0.8,7.1,3.3],</v>
      </c>
      <c r="K45" s="79" t="s">
        <v>137</v>
      </c>
      <c r="M45" s="99">
        <f>MAX(Table1114[Finishes])</f>
        <v>12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"PartD":[30,9,76.9,27,17,61.4],</v>
      </c>
      <c r="K46" s="79" t="s">
        <v>138</v>
      </c>
      <c r="M46" s="99">
        <f>MAX(Table1114[Midranges])</f>
        <v>7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0.8</v>
      </c>
    </row>
    <row r="47" spans="1:16" ht="14.25" customHeight="1" x14ac:dyDescent="0.45">
      <c r="M47" s="99">
        <f>MAX(Table1114[Threes])</f>
        <v>3</v>
      </c>
      <c r="N47" s="79" t="str">
        <f>IF(M47&lt;&gt;0,IF(M47=Y4,R4,IF(M47=Y5,R5,IF(Y6=M47,R6,IF(Y7=M47,R7,R8)))),"N/A")</f>
        <v>Angus Walker</v>
      </c>
      <c r="O47" s="79">
        <f>ROUND(H3/'Stats Global'!AA6,1)</f>
        <v>7.1</v>
      </c>
    </row>
    <row r="48" spans="1:16" ht="14.25" customHeight="1" x14ac:dyDescent="0.45">
      <c r="O48" s="79">
        <f>ROUND(I3/'Stats Global'!AA6,1)</f>
        <v>3.3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20</v>
      </c>
      <c r="I4" s="84">
        <f>SUM(C7:C40)</f>
        <v>47</v>
      </c>
      <c r="J4" s="81" t="e">
        <f>SUM(D7:D40)</f>
        <v>#DIV/0!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5</v>
      </c>
      <c r="Q4" s="101">
        <f>'Stats Global'!AB11</f>
        <v>1</v>
      </c>
      <c r="R4" s="101">
        <f>'Stats Global'!AC11</f>
        <v>5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3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4</v>
      </c>
      <c r="Q5" s="101">
        <f>'Stats Global'!AB12</f>
        <v>0.66666666666666663</v>
      </c>
      <c r="R5" s="101">
        <f>'Stats Global'!AC12</f>
        <v>1</v>
      </c>
      <c r="S5" s="101">
        <f>'Stats Global'!AD12</f>
        <v>0.16666666666666666</v>
      </c>
      <c r="T5" s="101">
        <f>'Stats Global'!AE12</f>
        <v>1</v>
      </c>
      <c r="U5" s="101">
        <f>'Stats Global'!AF12</f>
        <v>0.16666666666666666</v>
      </c>
      <c r="V5" s="101">
        <f>'Stats Global'!AG12</f>
        <v>1</v>
      </c>
      <c r="W5" s="101">
        <f>'Stats Global'!AH12</f>
        <v>0.16666666666666666</v>
      </c>
      <c r="X5" s="101">
        <f>'Stats Global'!AJ12</f>
        <v>2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55</v>
      </c>
      <c r="P6" s="101">
        <f>'Stats Global'!AA20</f>
        <v>4</v>
      </c>
      <c r="Q6" s="101">
        <f>'Stats Global'!AB20</f>
        <v>0.5</v>
      </c>
      <c r="R6" s="101">
        <f>'Stats Global'!AC20</f>
        <v>3</v>
      </c>
      <c r="S6" s="101">
        <f>'Stats Global'!AD20</f>
        <v>0.375</v>
      </c>
      <c r="T6" s="101">
        <f>'Stats Global'!AE20</f>
        <v>1</v>
      </c>
      <c r="U6" s="101">
        <f>'Stats Global'!AF20</f>
        <v>0.125</v>
      </c>
      <c r="V6" s="101">
        <f>'Stats Global'!AG20</f>
        <v>0</v>
      </c>
      <c r="W6" s="101">
        <f>'Stats Global'!AH20</f>
        <v>0</v>
      </c>
      <c r="X6" s="101">
        <f>'Stats Global'!AJ20</f>
        <v>0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6</v>
      </c>
      <c r="Q7" s="101">
        <f>'Stats Global'!AB18</f>
        <v>0.75</v>
      </c>
      <c r="R7" s="101">
        <f>'Stats Global'!AC18</f>
        <v>1</v>
      </c>
      <c r="S7" s="101">
        <f>'Stats Global'!AD18</f>
        <v>0.125</v>
      </c>
      <c r="T7" s="101">
        <f>'Stats Global'!AE18</f>
        <v>5</v>
      </c>
      <c r="U7" s="101">
        <f>'Stats Global'!AF18</f>
        <v>0.625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1</v>
      </c>
      <c r="Q8" s="101">
        <f>'Stats Global'!AB23</f>
        <v>0.125</v>
      </c>
      <c r="R8" s="101">
        <f>'Stats Global'!AC23</f>
        <v>0</v>
      </c>
      <c r="S8" s="101">
        <f>'Stats Global'!AD23</f>
        <v>0</v>
      </c>
      <c r="T8" s="101">
        <f>'Stats Global'!AE23</f>
        <v>1</v>
      </c>
      <c r="U8" s="101">
        <f>'Stats Global'!AF23</f>
        <v>0.125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2</v>
      </c>
      <c r="Q9" s="121">
        <f>'Stats Global'!AB15</f>
        <v>1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1</v>
      </c>
      <c r="W9" s="121">
        <f>'Stats Global'!AH15</f>
        <v>0.5</v>
      </c>
      <c r="X9" s="121">
        <f>'Stats Global'!AJ15</f>
        <v>6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5</v>
      </c>
    </row>
    <row r="11" spans="1:24" ht="14.25" customHeight="1" x14ac:dyDescent="0.45">
      <c r="A11" s="78" t="str">
        <f>'Stats Global'!B12</f>
        <v>24-July</v>
      </c>
      <c r="B11" s="86">
        <f>'Stats Global'!I12</f>
        <v>1</v>
      </c>
      <c r="C11" s="86">
        <f>'Stats Global'!J12+'Stats Global'!K12</f>
        <v>5</v>
      </c>
      <c r="D11" s="86">
        <f>'Stats Global'!P12</f>
        <v>1</v>
      </c>
      <c r="E11" s="83" t="s">
        <v>208</v>
      </c>
      <c r="F11" s="83" t="s">
        <v>37</v>
      </c>
      <c r="I11" s="84"/>
      <c r="J11" s="87"/>
      <c r="L11" s="88">
        <f>'Stats Global'!N12</f>
        <v>1</v>
      </c>
      <c r="M11" s="88">
        <f>'Stats Global'!K12</f>
        <v>4</v>
      </c>
      <c r="N11" s="89"/>
      <c r="O11" s="87"/>
      <c r="P11" s="58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Global'!I13</f>
        <v>3</v>
      </c>
      <c r="C12" s="86">
        <f>'Stats Global'!J13+'Stats Global'!K13</f>
        <v>7</v>
      </c>
      <c r="D12" s="86">
        <f>'Stats Global'!P13</f>
        <v>1</v>
      </c>
      <c r="E12" s="83" t="s">
        <v>244</v>
      </c>
      <c r="F12" s="83" t="s">
        <v>203</v>
      </c>
      <c r="I12" s="84"/>
      <c r="J12" s="87"/>
      <c r="L12" s="88">
        <f>'Stats Global'!N13</f>
        <v>1</v>
      </c>
      <c r="M12" s="88">
        <f>'Stats Global'!K13</f>
        <v>5</v>
      </c>
      <c r="N12" s="89"/>
      <c r="O12" s="87"/>
      <c r="P12" s="58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Global'!I14</f>
        <v>3</v>
      </c>
      <c r="C13" s="86">
        <f>'Stats Global'!J14+'Stats Global'!K14</f>
        <v>6</v>
      </c>
      <c r="D13" s="86">
        <f>'Stats Global'!P14</f>
        <v>1</v>
      </c>
      <c r="E13" s="83" t="s">
        <v>35</v>
      </c>
      <c r="F13" s="83" t="s">
        <v>52</v>
      </c>
      <c r="I13" s="84"/>
      <c r="J13" s="87"/>
      <c r="L13" s="88">
        <f>'Stats Global'!N14</f>
        <v>2</v>
      </c>
      <c r="M13" s="88">
        <f>'Stats Global'!K14</f>
        <v>4</v>
      </c>
      <c r="N13" s="89"/>
      <c r="O13" s="87"/>
      <c r="P13" s="58"/>
      <c r="W13" s="87"/>
      <c r="X13" s="87"/>
    </row>
    <row r="14" spans="1:24" ht="14.25" customHeight="1" x14ac:dyDescent="0.45">
      <c r="A14" s="78" t="str">
        <f>'Stats Global'!B15</f>
        <v>31-July</v>
      </c>
      <c r="B14" s="86">
        <f>'Stats Global'!I15</f>
        <v>4</v>
      </c>
      <c r="C14" s="86">
        <f>'Stats Global'!J15+'Stats Global'!K15</f>
        <v>6</v>
      </c>
      <c r="D14" s="86">
        <f>'Stats Global'!P15</f>
        <v>2</v>
      </c>
      <c r="E14" s="83" t="s">
        <v>258</v>
      </c>
      <c r="F14" s="83" t="s">
        <v>37</v>
      </c>
      <c r="J14" s="87"/>
      <c r="L14" s="88">
        <f>'Stats Global'!N15</f>
        <v>2</v>
      </c>
      <c r="M14" s="88">
        <f>'Stats Global'!K15</f>
        <v>2</v>
      </c>
      <c r="N14" s="89"/>
      <c r="O14" s="87"/>
      <c r="P14" s="58"/>
      <c r="W14" s="87"/>
      <c r="X14" s="87"/>
    </row>
    <row r="15" spans="1:24" ht="14.25" customHeight="1" x14ac:dyDescent="0.45">
      <c r="A15" s="78" t="str">
        <f>'Stats Global'!B16</f>
        <v>1-August</v>
      </c>
      <c r="B15" s="86">
        <f>'Stats Global'!I16</f>
        <v>0</v>
      </c>
      <c r="C15" s="86">
        <f>'Stats Global'!J16+'Stats Global'!K16</f>
        <v>0</v>
      </c>
      <c r="D15" s="86" t="e">
        <f>'Stats Global'!P16</f>
        <v>#DIV/0!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0.29850746268656714</v>
      </c>
      <c r="J41" s="87"/>
      <c r="K41" s="79" t="s">
        <v>94</v>
      </c>
      <c r="L41" s="105">
        <f>SUM(L7:L40)</f>
        <v>11</v>
      </c>
      <c r="M41" s="105">
        <f>SUM(M7:M40)</f>
        <v>17</v>
      </c>
      <c r="N41" s="87"/>
      <c r="O41" s="87"/>
      <c r="P41" s="58"/>
    </row>
    <row r="42" spans="1:16" ht="14.25" customHeight="1" x14ac:dyDescent="0.45">
      <c r="L42" s="96">
        <f>L41/(M41+L41)</f>
        <v>0.39285714285714285</v>
      </c>
      <c r="P42" s="58"/>
    </row>
    <row r="43" spans="1:16" ht="14.25" customHeight="1" x14ac:dyDescent="0.45">
      <c r="J43" s="97" t="str">
        <f>L43&amp;H4&amp;","&amp;I4&amp;"],"</f>
        <v>"PartA":[20,47],</v>
      </c>
      <c r="K43" s="84"/>
      <c r="L43" s="79" t="s">
        <v>135</v>
      </c>
      <c r="N43" s="79" t="s">
        <v>139</v>
      </c>
      <c r="P43" s="98">
        <f>ROUND(SUM('Stats Global'!AA11,'Stats Global'!AA12,'Stats Global'!AA20,'Stats Global'!AA15,'Stats Global'!AA19,'Stats Global'!AA18,'Stats Global'!AA23)/'Stats Global'!AA6,1)</f>
        <v>2.8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"PartB":[6,"Ryan Pattemore",5,"Rudy Hoschke",5,"Ryan Pattemore",1,"Michael Iffland"],</v>
      </c>
      <c r="L44" s="79" t="s">
        <v>136</v>
      </c>
      <c r="N44" s="99">
        <f>MAX(Table1113[Points])</f>
        <v>6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Global'!AC20,'Stats Global'!AC15,'Stats Global'!AC19,'Stats Global'!AC18,'Stats Global'!AC23)/'Stats Global'!AA6,1)</f>
        <v>1.3</v>
      </c>
    </row>
    <row r="45" spans="1:16" ht="14.25" customHeight="1" x14ac:dyDescent="0.45">
      <c r="J45" s="79" t="str">
        <f>L45&amp;P43&amp;","&amp;P44&amp;","&amp;P45&amp;","&amp;P46&amp;","&amp;P47&amp;","&amp;P48&amp;"],"</f>
        <v>"PartC":[2.8,1.3,1,0.3,2.5,5.9],</v>
      </c>
      <c r="L45" s="79" t="s">
        <v>137</v>
      </c>
      <c r="N45" s="99">
        <f>MAX(Table1113[Finishes])</f>
        <v>5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Global'!AE20,'Stats Global'!AE15,'Stats Global'!AE19,'Stats Global'!AE18,'Stats Global'!AE23)/'Stats Global'!AA6,1)</f>
        <v>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"PartD":[9,30,23.1,11,17,39.3],</v>
      </c>
      <c r="L46" s="79" t="s">
        <v>138</v>
      </c>
      <c r="N46" s="99">
        <f>MAX(Table1113[Midranges])</f>
        <v>5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Global'!AG20,'Stats Global'!AG15,'Stats Global'!AG19,'Stats Global'!AG18,'Stats Global'!AG23)/'Stats Global'!AA6,1)</f>
        <v>0.3</v>
      </c>
    </row>
    <row r="47" spans="1:16" ht="14.25" customHeight="1" x14ac:dyDescent="0.45">
      <c r="N47" s="99">
        <f>MAX(Table1113[Threes])</f>
        <v>1</v>
      </c>
      <c r="O47" s="106" t="str">
        <f>IF(N47&lt;&gt;0,IF(N47=V4,O4,IF(N47=V5,O5,IF(V6=N47,O6,IF(V7=N47,O7,IF(V8=N47,O8,IF(V9=N47,O9,O10)))))),"N/A")</f>
        <v>Michael Iffland</v>
      </c>
      <c r="P47" s="79">
        <f>ROUND(H4/'Stats Global'!AA6,1)</f>
        <v>2.5</v>
      </c>
    </row>
    <row r="48" spans="1:16" ht="14.25" customHeight="1" x14ac:dyDescent="0.45">
      <c r="P48" s="79">
        <f>ROUND(I4/'Stats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K31" sqref="K31:M36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34</v>
      </c>
      <c r="I4" s="84">
        <f>SUM(C7:C40)</f>
        <v>38</v>
      </c>
      <c r="J4" s="81" t="e">
        <f>SUM(D7:D40)</f>
        <v>#DIV/0!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16</v>
      </c>
      <c r="N5" s="101">
        <f>'Stats Global'!AB17</f>
        <v>2</v>
      </c>
      <c r="O5" s="101">
        <f>'Stats Global'!AC17</f>
        <v>2</v>
      </c>
      <c r="P5" s="101">
        <f>'Stats Global'!AD17</f>
        <v>0.25</v>
      </c>
      <c r="Q5" s="101">
        <f>'Stats Global'!AE17</f>
        <v>12</v>
      </c>
      <c r="R5" s="101">
        <f>'Stats Global'!AF17</f>
        <v>1.5</v>
      </c>
      <c r="S5" s="101">
        <f>'Stats Global'!AG17</f>
        <v>1</v>
      </c>
      <c r="T5" s="101">
        <f>'Stats Global'!AH17</f>
        <v>0.125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12</v>
      </c>
      <c r="N6" s="101">
        <f>'Stats Global'!AB10</f>
        <v>4</v>
      </c>
      <c r="O6" s="101">
        <f>'Stats Global'!AC10</f>
        <v>10</v>
      </c>
      <c r="P6" s="101">
        <f>'Stats Global'!AD10</f>
        <v>3.3333333333333335</v>
      </c>
      <c r="Q6" s="101">
        <f>'Stats Global'!AE10</f>
        <v>0</v>
      </c>
      <c r="R6" s="101">
        <f>'Stats Global'!AF10</f>
        <v>0</v>
      </c>
      <c r="S6" s="101">
        <f>'Stats Global'!AG10</f>
        <v>1</v>
      </c>
      <c r="T6" s="101">
        <f>'Stats Global'!AH10</f>
        <v>0.33333333333333331</v>
      </c>
      <c r="U6" s="101">
        <f>'Stats Global'!AJ10</f>
        <v>5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42</v>
      </c>
      <c r="M7" s="101">
        <f>'Stats Global'!AA13</f>
        <v>3</v>
      </c>
      <c r="N7" s="101">
        <f>'Stats Global'!AB13</f>
        <v>0.42857142857142855</v>
      </c>
      <c r="O7" s="101">
        <f>'Stats Global'!AC13</f>
        <v>2</v>
      </c>
      <c r="P7" s="101">
        <f>'Stats Global'!AD13</f>
        <v>0.2857142857142857</v>
      </c>
      <c r="Q7" s="101">
        <f>'Stats Global'!AE13</f>
        <v>1</v>
      </c>
      <c r="R7" s="101">
        <f>'Stats Global'!AF13</f>
        <v>0.14285714285714285</v>
      </c>
      <c r="S7" s="101">
        <f>'Stats Global'!AG13</f>
        <v>0</v>
      </c>
      <c r="T7" s="101">
        <f>'Stats Global'!AH13</f>
        <v>0</v>
      </c>
      <c r="U7" s="101">
        <f>'Stats Global'!AJ13</f>
        <v>1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4</v>
      </c>
      <c r="N8" s="101">
        <f>'Stats Global'!AB14</f>
        <v>0.5</v>
      </c>
      <c r="O8" s="101">
        <f>'Stats Global'!AC14</f>
        <v>3</v>
      </c>
      <c r="P8" s="101">
        <f>'Stats Global'!AD14</f>
        <v>0.375</v>
      </c>
      <c r="Q8" s="101">
        <f>'Stats Global'!AE14</f>
        <v>1</v>
      </c>
      <c r="R8" s="101">
        <f>'Stats Global'!AF14</f>
        <v>0.125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4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9</v>
      </c>
      <c r="C11" s="86">
        <f>'Stats Global'!M12+'Stats Global'!N12</f>
        <v>1</v>
      </c>
      <c r="D11" s="86">
        <f>'Stats Global'!Q12</f>
        <v>3</v>
      </c>
      <c r="E11" s="83" t="s">
        <v>30</v>
      </c>
      <c r="F11" s="83" t="s">
        <v>115</v>
      </c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Global'!L13</f>
        <v>8</v>
      </c>
      <c r="C12" s="86">
        <f>'Stats Global'!M13+'Stats Global'!N13</f>
        <v>5</v>
      </c>
      <c r="D12" s="86">
        <f>'Stats Global'!Q13</f>
        <v>3</v>
      </c>
      <c r="E12" s="83" t="s">
        <v>30</v>
      </c>
      <c r="F12" s="83" t="s">
        <v>50</v>
      </c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Global'!L14</f>
        <v>8</v>
      </c>
      <c r="C13" s="86">
        <f>'Stats Global'!M14+'Stats Global'!N14</f>
        <v>3</v>
      </c>
      <c r="D13" s="86">
        <f>'Stats Global'!Q14</f>
        <v>3</v>
      </c>
      <c r="E13" s="83" t="s">
        <v>254</v>
      </c>
      <c r="F13" s="83" t="s">
        <v>30</v>
      </c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 t="str">
        <f>'Stats Global'!B15</f>
        <v>31-July</v>
      </c>
      <c r="B14" s="86">
        <f>'Stats Global'!L15</f>
        <v>3</v>
      </c>
      <c r="C14" s="86">
        <f>'Stats Global'!M15+'Stats Global'!N15</f>
        <v>7</v>
      </c>
      <c r="D14" s="86">
        <f>'Stats Global'!Q15</f>
        <v>1</v>
      </c>
      <c r="E14" s="83" t="s">
        <v>50</v>
      </c>
      <c r="F14" s="83" t="s">
        <v>259</v>
      </c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 t="str">
        <f>'Stats Global'!B16</f>
        <v>1-August</v>
      </c>
      <c r="B15" s="86">
        <f>'Stats Global'!L16</f>
        <v>0</v>
      </c>
      <c r="C15" s="86">
        <f>'Stats Global'!M16+'Stats Global'!N16</f>
        <v>0</v>
      </c>
      <c r="D15" s="86" t="e">
        <f>'Stats Global'!Q16</f>
        <v>#DIV/0!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"PartA":[34,38],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Global'!AA13,'Stats Global'!AA24)/'Stats Global'!AA6,1)</f>
        <v>4.4000000000000004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"PartB":[16,"Samuel McConaghy",10,"Alexander Galt",12,"Samuel McConaghy",1,"Samuel McConaghy"],</v>
      </c>
      <c r="M33" s="79" t="s">
        <v>136</v>
      </c>
      <c r="O33" s="99">
        <f>MAX(Table11[Points])</f>
        <v>16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Global'!AC13,'Stats Global'!AC24)/'Stats Global'!AA6,1)</f>
        <v>2.1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"PartC":[4.4,2.1,1.8,0.3,4.3,4.8],</v>
      </c>
      <c r="M34" s="79" t="s">
        <v>137</v>
      </c>
      <c r="O34" s="99">
        <f>MAX(Table11[Finishes])</f>
        <v>10</v>
      </c>
      <c r="P34" s="79" t="str">
        <f>IF(O34&lt;&gt;0,IF(O34=O5,L5,IF(O34=O6,L6,IF(O7=O34,L7,IF(O8=O34,L8,L9)))),"N/A")</f>
        <v>Alexander Galt</v>
      </c>
      <c r="Q34" s="98">
        <f>ROUND(SUM('Stats Global'!AE10,'Stats Global'!AE14,'Stats Global'!AE17,'Stats Global'!AE13,'Stats Global'!AE24)/'Stats Global'!AA6,1)</f>
        <v>1.8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"PartD":[17,27,38.6,17,11,60.7],</v>
      </c>
      <c r="M35" s="79" t="s">
        <v>138</v>
      </c>
      <c r="O35" s="99">
        <f>MAX(Table11[Midranges])</f>
        <v>12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Global'!AG13,'Stats Global'!AG24)/'Stats Global'!AA6,1)</f>
        <v>0.3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4.3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4.8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0.47222222222222221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256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8" t="s">
        <v>119</v>
      </c>
      <c r="U41" s="158"/>
      <c r="V41" s="158"/>
    </row>
    <row r="42" spans="2:26" ht="14.25" customHeight="1" x14ac:dyDescent="0.9">
      <c r="R42" s="102"/>
      <c r="S42" s="102"/>
      <c r="T42" s="158"/>
      <c r="U42" s="158"/>
      <c r="V42" s="158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7" t="str">
        <f>C2</f>
        <v>12-August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tabSelected="1" zoomScale="79" workbookViewId="0">
      <selection activeCell="V12" sqref="V12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260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1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"Did not Play",</v>
      </c>
      <c r="S31" s="17" t="str">
        <f t="shared" si="9"/>
        <v>"Did not Play",</v>
      </c>
      <c r="T31" s="17" t="str">
        <f t="shared" si="9"/>
        <v>"Did not Play",</v>
      </c>
      <c r="U31" s="17" t="str">
        <f t="shared" si="9"/>
        <v>"Did not Play",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8" t="s">
        <v>119</v>
      </c>
      <c r="U41" s="158"/>
      <c r="V41" s="158"/>
    </row>
    <row r="42" spans="2:26" ht="14.25" customHeight="1" x14ac:dyDescent="0.9">
      <c r="R42" s="102"/>
      <c r="S42" s="102"/>
      <c r="T42" s="158"/>
      <c r="U42" s="158"/>
      <c r="V42" s="158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7" t="str">
        <f>C2</f>
        <v>1-August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"Points":[0,0,0,0,0,0,0,0,"Did not Play",0,0,0,0,0,0,0,0],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"Finishes":[0,0,0,0,0,0,0,0,"Did not Play",0,0,0,0,0,0,0,0],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"Midrange":[0,0,0,0,0,0,0,0,"Did not Play",0,0,0,0,0,0,0,0],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3</v>
      </c>
      <c r="N3" s="11">
        <f>L3/(L3+M3)</f>
        <v>0.75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7</v>
      </c>
      <c r="N4" s="11">
        <f t="shared" ref="N4:N5" si="4">L4/(L4+M4)</f>
        <v>0.3</v>
      </c>
      <c r="O4" s="12">
        <f>IF(AND(N4&gt;N3, N4&gt;N5), 3, IF(OR(N4&gt;N3, N4&gt;N5), 2, 1))</f>
        <v>1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WW/5M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46</v>
      </c>
      <c r="F5" s="26" t="s">
        <v>205</v>
      </c>
      <c r="G5" s="26">
        <v>1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6</v>
      </c>
      <c r="N5" s="11">
        <f t="shared" si="4"/>
        <v>0.4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26</v>
      </c>
      <c r="E6" s="26" t="s">
        <v>46</v>
      </c>
      <c r="F6" s="26" t="s">
        <v>205</v>
      </c>
      <c r="G6" s="26">
        <v>2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LG/5M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31</v>
      </c>
      <c r="D7" s="26" t="s">
        <v>47</v>
      </c>
      <c r="E7" s="26" t="s">
        <v>44</v>
      </c>
      <c r="F7" s="26" t="s">
        <v>206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1</v>
      </c>
      <c r="T7" s="10">
        <f t="shared" si="2"/>
        <v>0</v>
      </c>
      <c r="U7" s="10">
        <f t="shared" si="3"/>
        <v>1</v>
      </c>
      <c r="V7" s="27" t="b">
        <v>0</v>
      </c>
      <c r="X7" s="54" t="str">
        <f t="shared" si="5"/>
        <v/>
      </c>
      <c r="Y7" s="54" t="str">
        <f t="shared" si="6"/>
        <v>WW/LG</v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28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206</v>
      </c>
      <c r="G10" s="26">
        <v>2</v>
      </c>
      <c r="H10" s="26">
        <v>2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99</v>
      </c>
      <c r="G11" s="26">
        <v>3</v>
      </c>
      <c r="H11" s="26">
        <v>2</v>
      </c>
      <c r="I11" s="26">
        <v>2</v>
      </c>
      <c r="Q11" s="2" t="s">
        <v>46</v>
      </c>
      <c r="R11" s="9">
        <f t="shared" si="0"/>
        <v>4</v>
      </c>
      <c r="S11" s="10">
        <f t="shared" si="1"/>
        <v>3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58</v>
      </c>
      <c r="F12" s="26" t="s">
        <v>205</v>
      </c>
      <c r="G12" s="26">
        <v>4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99</v>
      </c>
      <c r="G13" s="26">
        <v>5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6</v>
      </c>
      <c r="H14" s="26">
        <v>4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205</v>
      </c>
      <c r="G15" s="26">
        <v>7</v>
      </c>
      <c r="H15" s="26">
        <v>4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31</v>
      </c>
      <c r="D16" s="26" t="s">
        <v>47</v>
      </c>
      <c r="E16" s="26" t="s">
        <v>37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>WW/LG</v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31</v>
      </c>
      <c r="E17" s="26" t="s">
        <v>50</v>
      </c>
      <c r="F17" s="26" t="s">
        <v>99</v>
      </c>
      <c r="G17" s="26">
        <v>1</v>
      </c>
      <c r="H17" s="26">
        <v>1</v>
      </c>
      <c r="I17" s="26">
        <v>1</v>
      </c>
      <c r="Q17" s="2" t="s">
        <v>61</v>
      </c>
      <c r="R17" s="9">
        <f t="shared" si="0"/>
        <v>4</v>
      </c>
      <c r="S17" s="10">
        <f t="shared" si="1"/>
        <v>1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5M/WW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50</v>
      </c>
      <c r="F18" s="26" t="s">
        <v>99</v>
      </c>
      <c r="G18" s="26">
        <v>2</v>
      </c>
      <c r="H18" s="26">
        <v>2</v>
      </c>
      <c r="I18" s="26">
        <v>2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31</v>
      </c>
      <c r="D19" s="26" t="s">
        <v>26</v>
      </c>
      <c r="E19" s="26" t="s">
        <v>257</v>
      </c>
      <c r="F19" s="26" t="s">
        <v>257</v>
      </c>
      <c r="G19" s="26">
        <v>1</v>
      </c>
      <c r="H19" s="26">
        <v>1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>WW/5M</v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3,</v>
      </c>
      <c r="S27" s="17" t="str">
        <f t="shared" si="9"/>
        <v>1,</v>
      </c>
      <c r="T27" s="17" t="str">
        <f t="shared" si="9"/>
        <v>0,</v>
      </c>
      <c r="U27" s="17" t="str">
        <f t="shared" si="9"/>
        <v>1,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2,</v>
      </c>
      <c r="S30" s="17" t="str">
        <f t="shared" si="9"/>
        <v>0,</v>
      </c>
      <c r="T30" s="17" t="str">
        <f t="shared" si="9"/>
        <v>0,</v>
      </c>
      <c r="U30" s="17" t="str">
        <f t="shared" si="9"/>
        <v>1,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4,</v>
      </c>
      <c r="S31" s="17" t="str">
        <f t="shared" si="9"/>
        <v>3,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1,</v>
      </c>
      <c r="T37" s="17" t="str">
        <f t="shared" si="9"/>
        <v>1,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8" t="s">
        <v>119</v>
      </c>
      <c r="U41" s="158"/>
      <c r="V41" s="158"/>
    </row>
    <row r="42" spans="2:26" ht="14.25" customHeight="1" x14ac:dyDescent="0.9">
      <c r="R42" s="102"/>
      <c r="S42" s="102"/>
      <c r="T42" s="158"/>
      <c r="U42" s="158"/>
      <c r="V42" s="158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7" t="str">
        <f>C2</f>
        <v>31-July</v>
      </c>
      <c r="C45" s="17">
        <f>MAX(L3:L5)</f>
        <v>9</v>
      </c>
      <c r="D45" s="17">
        <f>COUNT(B4:B42)-C45-E45</f>
        <v>4</v>
      </c>
      <c r="E45" s="17">
        <f>MIN(L3:L5)</f>
        <v>3</v>
      </c>
      <c r="F45" s="17">
        <f>L3</f>
        <v>9</v>
      </c>
      <c r="G45" s="17">
        <f>COUNTIF(Y4:Y39, "WW/LG")</f>
        <v>2</v>
      </c>
      <c r="H45" s="17">
        <f>COUNTIF(Z4:Z39, "5M/LG")</f>
        <v>1</v>
      </c>
      <c r="I45" s="17">
        <f>L5</f>
        <v>4</v>
      </c>
      <c r="J45" s="17">
        <f>COUNTIF(X4:X39, "LG/WW")</f>
        <v>4</v>
      </c>
      <c r="K45" s="17">
        <f>COUNTIF(Z4:Z39, "5M/WW")</f>
        <v>2</v>
      </c>
      <c r="L45" s="17">
        <f>L4</f>
        <v>3</v>
      </c>
      <c r="M45" s="17">
        <f>COUNTIF(X4:X39, "LG/5M")</f>
        <v>5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5</v>
      </c>
      <c r="N3" s="11">
        <f>L3/(L3+M3)</f>
        <v>0.375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3</v>
      </c>
      <c r="N4" s="11">
        <f t="shared" ref="N4:N5" si="4">L4/(L4+M4)</f>
        <v>0.72727272727272729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50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6</v>
      </c>
      <c r="N5" s="11">
        <f t="shared" si="4"/>
        <v>0.33333333333333331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55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30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30</v>
      </c>
      <c r="F10" s="26" t="s">
        <v>206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55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26</v>
      </c>
      <c r="E12" s="26" t="s">
        <v>52</v>
      </c>
      <c r="F12" s="26" t="s">
        <v>99</v>
      </c>
      <c r="G12" s="26">
        <v>1</v>
      </c>
      <c r="H12" s="26">
        <v>1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WW/5M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47</v>
      </c>
      <c r="E13" s="26" t="s">
        <v>35</v>
      </c>
      <c r="F13" s="26" t="s">
        <v>205</v>
      </c>
      <c r="G13" s="26">
        <v>2</v>
      </c>
      <c r="H13" s="26">
        <v>5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WW/LG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31</v>
      </c>
      <c r="D14" s="26" t="s">
        <v>26</v>
      </c>
      <c r="E14" s="26" t="s">
        <v>52</v>
      </c>
      <c r="F14" s="26" t="s">
        <v>99</v>
      </c>
      <c r="G14" s="26">
        <v>3</v>
      </c>
      <c r="H14" s="26">
        <v>2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>WW/5M</v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99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1</v>
      </c>
      <c r="T15" s="10">
        <f t="shared" si="2"/>
        <v>1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2</v>
      </c>
      <c r="H16" s="26">
        <v>3</v>
      </c>
      <c r="I16" s="26">
        <v>2</v>
      </c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25</v>
      </c>
      <c r="F17" s="26" t="s">
        <v>99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2</v>
      </c>
      <c r="S17" s="10">
        <f t="shared" si="1"/>
        <v>1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5,</v>
      </c>
      <c r="S25" s="17" t="str">
        <f t="shared" si="9"/>
        <v>3,</v>
      </c>
      <c r="T25" s="17" t="str">
        <f t="shared" si="9"/>
        <v>0,</v>
      </c>
      <c r="U25" s="17" t="str">
        <f t="shared" si="9"/>
        <v>1,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1,</v>
      </c>
      <c r="T35" s="17" t="str">
        <f t="shared" si="9"/>
        <v>1,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2,</v>
      </c>
      <c r="S37" s="17" t="str">
        <f t="shared" si="9"/>
        <v>1,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8" t="s">
        <v>119</v>
      </c>
      <c r="U41" s="158"/>
      <c r="V41" s="158"/>
    </row>
    <row r="42" spans="2:26" ht="14.25" customHeight="1" x14ac:dyDescent="0.9">
      <c r="R42" s="102"/>
      <c r="S42" s="102"/>
      <c r="T42" s="158"/>
      <c r="U42" s="158"/>
      <c r="V42" s="158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7" t="str">
        <f>C2</f>
        <v>27-July</v>
      </c>
      <c r="C45" s="17">
        <f>MAX(L3:L5)</f>
        <v>8</v>
      </c>
      <c r="D45" s="17">
        <f>COUNT(B4:B42)-C45-E45</f>
        <v>3</v>
      </c>
      <c r="E45" s="17">
        <f>MIN(L3:L5)</f>
        <v>3</v>
      </c>
      <c r="F45" s="17">
        <f>L3</f>
        <v>3</v>
      </c>
      <c r="G45" s="17">
        <f>COUNTIF(Y4:Y39, "WW/LG")</f>
        <v>1</v>
      </c>
      <c r="H45" s="17">
        <f>COUNTIF(Z4:Z39, "5M/LG")</f>
        <v>4</v>
      </c>
      <c r="I45" s="17">
        <f>L5</f>
        <v>3</v>
      </c>
      <c r="J45" s="17">
        <f>COUNTIF(X4:X39, "LG/WW")</f>
        <v>2</v>
      </c>
      <c r="K45" s="17">
        <f>COUNTIF(Z4:Z39, "5M/WW")</f>
        <v>4</v>
      </c>
      <c r="L45" s="17">
        <f>L4</f>
        <v>8</v>
      </c>
      <c r="M45" s="17">
        <f>COUNTIF(X4:X39, "LG/5M")</f>
        <v>1</v>
      </c>
      <c r="N45" s="17">
        <f>COUNTIF(Y4:Y39, "WW/5M")</f>
        <v>2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SfW</vt:lpstr>
      <vt:lpstr>Stats Global</vt:lpstr>
      <vt:lpstr>Statistics LG</vt:lpstr>
      <vt:lpstr>Statistics WW</vt:lpstr>
      <vt:lpstr>Statistics 5M</vt:lpstr>
      <vt:lpstr>Template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2023-08-01T03:00:09Z</dcterms:modified>
</cp:coreProperties>
</file>